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filterPrivacy="1"/>
  <xr:revisionPtr revIDLastSave="0" documentId="8_{AB7A2EEF-0F75-46D1-BA67-2DB121947CAE}" xr6:coauthVersionLast="47" xr6:coauthVersionMax="47" xr10:uidLastSave="{00000000-0000-0000-0000-000000000000}"/>
  <bookViews>
    <workbookView xWindow="-108" yWindow="-108" windowWidth="23256" windowHeight="12720" tabRatio="936" firstSheet="6" activeTab="14" xr2:uid="{00000000-000D-0000-FFFF-FFFF00000000}"/>
  </bookViews>
  <sheets>
    <sheet name="2" sheetId="4" r:id="rId1"/>
    <sheet name="3" sheetId="5" r:id="rId2"/>
    <sheet name="4" sheetId="2" r:id="rId3"/>
    <sheet name="5" sheetId="3" r:id="rId4"/>
    <sheet name="10" sheetId="6" r:id="rId5"/>
    <sheet name="ЗП" sheetId="1" r:id="rId6"/>
    <sheet name="МАТЕРІАЛИ" sheetId="35" r:id="rId7"/>
    <sheet name="НАКЛАДНІ" sheetId="32" r:id="rId8"/>
    <sheet name="АМОРТИЗАЦІЯ" sheetId="30" r:id="rId9"/>
    <sheet name="Обстеження" sheetId="15" r:id="rId10"/>
    <sheet name="ТАРИФИ" sheetId="29" r:id="rId11"/>
    <sheet name="МЕДИЧНІ М" sheetId="31" r:id="rId12"/>
    <sheet name="Перелік ціни" sheetId="11" r:id="rId13"/>
    <sheet name="!!!ТАРИФИ додаткові!!!" sheetId="41" r:id="rId14"/>
    <sheet name="МО довідка ф №10-2о " sheetId="40" r:id="rId15"/>
    <sheet name="2.Лабораторія ДОДАТКОВІ" sheetId="36" r:id="rId16"/>
    <sheet name="1.Медичні огляди" sheetId="18" r:id="rId17"/>
    <sheet name="1.Медичні огляди ДОДАТКОВІ" sheetId="37" r:id="rId18"/>
    <sheet name="2.Лабораторія" sheetId="14" r:id="rId19"/>
    <sheet name="ІФА COVID" sheetId="34" r:id="rId20"/>
    <sheet name="3.Масаж" sheetId="9" r:id="rId21"/>
    <sheet name="4.Рентген Фл" sheetId="16" r:id="rId22"/>
    <sheet name="4.Рентген НОВИЙ" sheetId="39" r:id="rId23"/>
    <sheet name="4.УЗД" sheetId="12" r:id="rId24"/>
    <sheet name="4.РЕХ" sheetId="17" r:id="rId25"/>
    <sheet name="4.Ендоскопія" sheetId="21" r:id="rId26"/>
    <sheet name="5.Консультація Лікаря" sheetId="10" r:id="rId27"/>
    <sheet name="6.Штучне п.в." sheetId="23" r:id="rId28"/>
    <sheet name="7.Корекція Зір" sheetId="20" r:id="rId29"/>
    <sheet name="8.Видача" sheetId="19" r:id="rId30"/>
    <sheet name="9.Сервіс" sheetId="24" r:id="rId31"/>
    <sheet name="10.Фізіотерапія" sheetId="13" r:id="rId32"/>
    <sheet name="11.Забір аналізів" sheetId="28" r:id="rId33"/>
  </sheets>
  <definedNames>
    <definedName name="_xlnm._FilterDatabase" localSheetId="23" hidden="1">'4.УЗД'!$A$2:$N$2</definedName>
    <definedName name="_xlnm._FilterDatabase" localSheetId="11" hidden="1">'МЕДИЧНІ М'!$A$4:$AG$182</definedName>
    <definedName name="_xlnm._FilterDatabase" localSheetId="12" hidden="1">'Перелік ціни'!$A$4:$BO$33</definedName>
    <definedName name="_xlnm.Print_Area" localSheetId="13">'!!!ТАРИФИ додаткові!!!'!$B$1:$S$23</definedName>
    <definedName name="_xlnm.Print_Area" localSheetId="16">'1.Медичні огляди'!$B$1:$D$364</definedName>
    <definedName name="_xlnm.Print_Area" localSheetId="17">'1.Медичні огляди ДОДАТКОВІ'!$B$2:$D$169</definedName>
    <definedName name="_xlnm.Print_Area" localSheetId="4">'10'!$C$1:$G$23</definedName>
    <definedName name="_xlnm.Print_Area" localSheetId="31">'10.Фізіотерапія'!$B$1:$J$2549</definedName>
    <definedName name="_xlnm.Print_Area" localSheetId="32">'11.Забір аналізів'!$A$1:$I$53</definedName>
    <definedName name="_xlnm.Print_Area" localSheetId="0">'2'!$B$1:$F$32</definedName>
    <definedName name="_xlnm.Print_Area" localSheetId="18">'2.Лабораторія'!$B$1:$J$1636</definedName>
    <definedName name="_xlnm.Print_Area" localSheetId="15">'2.Лабораторія ДОДАТКОВІ'!$B$1:$J$1382</definedName>
    <definedName name="_xlnm.Print_Area" localSheetId="1">'3'!$C$1:$H$31</definedName>
    <definedName name="_xlnm.Print_Area" localSheetId="20">'3.Масаж'!$B$1:$J$1322</definedName>
    <definedName name="_xlnm.Print_Area" localSheetId="2">'4'!$B$1:$G$83</definedName>
    <definedName name="_xlnm.Print_Area" localSheetId="25">'4.Ендоскопія'!$B$1:$K$224</definedName>
    <definedName name="_xlnm.Print_Area" localSheetId="22">'4.Рентген НОВИЙ'!$A$1:$I$2315</definedName>
    <definedName name="_xlnm.Print_Area" localSheetId="21">'4.Рентген Фл'!$A$1:$I$2014</definedName>
    <definedName name="_xlnm.Print_Area" localSheetId="24">'4.РЕХ'!$B$1:$J$160</definedName>
    <definedName name="_xlnm.Print_Area" localSheetId="23">'4.УЗД'!$B$1:$J$2255</definedName>
    <definedName name="_xlnm.Print_Area" localSheetId="3">'5'!$B$1:$G$32</definedName>
    <definedName name="_xlnm.Print_Area" localSheetId="26">'5.Консультація Лікаря'!$A$1:$I$585</definedName>
    <definedName name="_xlnm.Print_Area" localSheetId="29">'8.Видача'!$A$1:$I$43</definedName>
    <definedName name="_xlnm.Print_Area" localSheetId="30">'9.Сервіс'!$A$1:$I$50</definedName>
    <definedName name="_xlnm.Print_Area" localSheetId="8">АМОРТИЗАЦІЯ!$B$1:$C$70</definedName>
    <definedName name="_xlnm.Print_Area" localSheetId="5">ЗП!$B$1:$I$53</definedName>
    <definedName name="_xlnm.Print_Area" localSheetId="19">'ІФА COVID'!$B$1:$J$171</definedName>
    <definedName name="_xlnm.Print_Area" localSheetId="6">МАТЕРІАЛИ!$B$1:$E$19</definedName>
    <definedName name="_xlnm.Print_Area" localSheetId="11">'МЕДИЧНІ М'!$B$1:$F$337</definedName>
    <definedName name="_xlnm.Print_Area" localSheetId="14">'МО довідка ф №10-2о '!$A$1:$C$29</definedName>
    <definedName name="_xlnm.Print_Area" localSheetId="9">Обстеження!$B$1:$J$674</definedName>
    <definedName name="_xlnm.Print_Area" localSheetId="12">'Перелік ціни'!$B$1:$Y$386</definedName>
    <definedName name="_xlnm.Print_Area" localSheetId="10">ТАРИФИ!$B$1:$S$479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7" i="35" l="1"/>
  <c r="G7" i="35"/>
  <c r="E1362" i="36"/>
  <c r="G1362" i="36"/>
  <c r="E328" i="31"/>
  <c r="F328" i="31"/>
  <c r="E1358" i="36"/>
  <c r="G1358" i="36" s="1"/>
  <c r="P21" i="41"/>
  <c r="D21" i="41"/>
  <c r="E1361" i="36"/>
  <c r="G1361" i="36"/>
  <c r="E1359" i="36"/>
  <c r="F330" i="31"/>
  <c r="E1360" i="36" s="1"/>
  <c r="G1360" i="36" s="1"/>
  <c r="F329" i="31"/>
  <c r="C1358" i="36"/>
  <c r="G1377" i="36"/>
  <c r="E1377" i="36"/>
  <c r="G1376" i="36"/>
  <c r="E1376" i="36"/>
  <c r="G1375" i="36"/>
  <c r="E1375" i="36"/>
  <c r="G1374" i="36"/>
  <c r="E1374" i="36"/>
  <c r="B1359" i="36"/>
  <c r="G8" i="35"/>
  <c r="B10" i="40"/>
  <c r="G9" i="35"/>
  <c r="C10" i="40"/>
  <c r="C25" i="40"/>
  <c r="C9" i="40"/>
  <c r="C24" i="40"/>
  <c r="D10" i="41"/>
  <c r="AB34" i="11"/>
  <c r="Z34" i="11"/>
  <c r="P34" i="11"/>
  <c r="C8" i="35"/>
  <c r="C7" i="35"/>
  <c r="C48" i="23"/>
  <c r="U305" i="29"/>
  <c r="U310" i="29"/>
  <c r="U318" i="29"/>
  <c r="U323" i="29"/>
  <c r="U328" i="29"/>
  <c r="U334" i="29"/>
  <c r="U339" i="29"/>
  <c r="U343" i="29"/>
  <c r="U347" i="29"/>
  <c r="U351" i="29"/>
  <c r="B1420" i="39"/>
  <c r="B1419" i="39"/>
  <c r="B957" i="39"/>
  <c r="B956" i="39"/>
  <c r="P301" i="29"/>
  <c r="P302" i="29"/>
  <c r="P303" i="29"/>
  <c r="P304" i="29"/>
  <c r="E305" i="29"/>
  <c r="F305" i="29"/>
  <c r="G305" i="29"/>
  <c r="H305" i="29"/>
  <c r="I305" i="29"/>
  <c r="J305" i="29"/>
  <c r="K305" i="29"/>
  <c r="L305" i="29"/>
  <c r="M305" i="29"/>
  <c r="N305" i="29"/>
  <c r="O305" i="29"/>
  <c r="P305" i="29"/>
  <c r="P306" i="29"/>
  <c r="P307" i="29"/>
  <c r="P308" i="29"/>
  <c r="P309" i="29"/>
  <c r="E310" i="29"/>
  <c r="F310" i="29"/>
  <c r="G310" i="29"/>
  <c r="H310" i="29"/>
  <c r="I310" i="29"/>
  <c r="J310" i="29"/>
  <c r="K310" i="29"/>
  <c r="L310" i="29"/>
  <c r="M310" i="29"/>
  <c r="N310" i="29"/>
  <c r="O310" i="29"/>
  <c r="P310" i="29"/>
  <c r="P311" i="29"/>
  <c r="P312" i="29"/>
  <c r="P313" i="29"/>
  <c r="P314" i="29"/>
  <c r="P315" i="29"/>
  <c r="P316" i="29"/>
  <c r="P317" i="29"/>
  <c r="G318" i="29"/>
  <c r="I318" i="29"/>
  <c r="J318" i="29"/>
  <c r="K318" i="29"/>
  <c r="L318" i="29"/>
  <c r="M318" i="29"/>
  <c r="N318" i="29"/>
  <c r="O318" i="29"/>
  <c r="P318" i="29"/>
  <c r="P319" i="29"/>
  <c r="P320" i="29"/>
  <c r="P321" i="29"/>
  <c r="P322" i="29"/>
  <c r="G323" i="29"/>
  <c r="I323" i="29"/>
  <c r="J323" i="29"/>
  <c r="K323" i="29"/>
  <c r="L323" i="29"/>
  <c r="M323" i="29"/>
  <c r="N323" i="29"/>
  <c r="O323" i="29"/>
  <c r="P323" i="29"/>
  <c r="P324" i="29"/>
  <c r="P325" i="29"/>
  <c r="P326" i="29"/>
  <c r="P327" i="29"/>
  <c r="G328" i="29"/>
  <c r="I328" i="29"/>
  <c r="J328" i="29"/>
  <c r="K328" i="29"/>
  <c r="L328" i="29"/>
  <c r="M328" i="29"/>
  <c r="N328" i="29"/>
  <c r="O328" i="29"/>
  <c r="P328" i="29"/>
  <c r="P329" i="29"/>
  <c r="P330" i="29"/>
  <c r="P331" i="29"/>
  <c r="P332" i="29"/>
  <c r="P333" i="29"/>
  <c r="G334" i="29"/>
  <c r="I334" i="29"/>
  <c r="J334" i="29"/>
  <c r="K334" i="29"/>
  <c r="L334" i="29"/>
  <c r="M334" i="29"/>
  <c r="N334" i="29"/>
  <c r="O334" i="29"/>
  <c r="P334" i="29"/>
  <c r="P335" i="29"/>
  <c r="P336" i="29"/>
  <c r="P337" i="29"/>
  <c r="P338" i="29"/>
  <c r="G339" i="29"/>
  <c r="I339" i="29"/>
  <c r="J339" i="29"/>
  <c r="K339" i="29"/>
  <c r="L339" i="29"/>
  <c r="M339" i="29"/>
  <c r="N339" i="29"/>
  <c r="O339" i="29"/>
  <c r="P339" i="29"/>
  <c r="P340" i="29"/>
  <c r="P341" i="29"/>
  <c r="P342" i="29"/>
  <c r="G343" i="29"/>
  <c r="I343" i="29"/>
  <c r="J343" i="29"/>
  <c r="K343" i="29"/>
  <c r="L343" i="29"/>
  <c r="M343" i="29"/>
  <c r="N343" i="29"/>
  <c r="O343" i="29"/>
  <c r="P343" i="29"/>
  <c r="P344" i="29"/>
  <c r="P345" i="29"/>
  <c r="P346" i="29"/>
  <c r="G347" i="29"/>
  <c r="I347" i="29"/>
  <c r="J347" i="29"/>
  <c r="K347" i="29"/>
  <c r="L347" i="29"/>
  <c r="M347" i="29"/>
  <c r="N347" i="29"/>
  <c r="O347" i="29"/>
  <c r="P347" i="29"/>
  <c r="P348" i="29"/>
  <c r="P349" i="29"/>
  <c r="P350" i="29"/>
  <c r="G351" i="29"/>
  <c r="I351" i="29"/>
  <c r="J351" i="29"/>
  <c r="K351" i="29"/>
  <c r="L351" i="29"/>
  <c r="M351" i="29"/>
  <c r="N351" i="29"/>
  <c r="O351" i="29"/>
  <c r="P351" i="29"/>
  <c r="P352" i="29"/>
  <c r="P353" i="29"/>
  <c r="P354" i="29"/>
  <c r="D300" i="29"/>
  <c r="D301" i="29"/>
  <c r="D302" i="29"/>
  <c r="D303" i="29"/>
  <c r="D304" i="29"/>
  <c r="D305" i="29"/>
  <c r="D306" i="29"/>
  <c r="D307" i="29"/>
  <c r="D308" i="29"/>
  <c r="D309" i="29"/>
  <c r="D310" i="29"/>
  <c r="D311" i="29"/>
  <c r="D312" i="29"/>
  <c r="D313" i="29"/>
  <c r="D314" i="29"/>
  <c r="D315" i="29"/>
  <c r="D316" i="29"/>
  <c r="D317" i="29"/>
  <c r="D318" i="29"/>
  <c r="D319" i="29"/>
  <c r="D320" i="29"/>
  <c r="D321" i="29"/>
  <c r="D322" i="29"/>
  <c r="D323" i="29"/>
  <c r="D324" i="29"/>
  <c r="D325" i="29"/>
  <c r="D326" i="29"/>
  <c r="D327" i="29"/>
  <c r="D328" i="29"/>
  <c r="D329" i="29"/>
  <c r="D330" i="29"/>
  <c r="D331" i="29"/>
  <c r="D332" i="29"/>
  <c r="D333" i="29"/>
  <c r="D334" i="29"/>
  <c r="D335" i="29"/>
  <c r="D336" i="29"/>
  <c r="D337" i="29"/>
  <c r="D338" i="29"/>
  <c r="D339" i="29"/>
  <c r="D340" i="29"/>
  <c r="D341" i="29"/>
  <c r="D342" i="29"/>
  <c r="D343" i="29"/>
  <c r="D344" i="29"/>
  <c r="D345" i="29"/>
  <c r="D346" i="29"/>
  <c r="D347" i="29"/>
  <c r="D348" i="29"/>
  <c r="D349" i="29"/>
  <c r="D350" i="29"/>
  <c r="D351" i="29"/>
  <c r="D352" i="29"/>
  <c r="D353" i="29"/>
  <c r="D354" i="29"/>
  <c r="D299" i="29"/>
  <c r="M49" i="39"/>
  <c r="L49" i="39"/>
  <c r="K49" i="39"/>
  <c r="N48" i="39"/>
  <c r="M48" i="39"/>
  <c r="L48" i="39"/>
  <c r="K48" i="39"/>
  <c r="M47" i="39"/>
  <c r="L47" i="39"/>
  <c r="K47" i="39"/>
  <c r="M46" i="39"/>
  <c r="L46" i="39"/>
  <c r="K46" i="39"/>
  <c r="N45" i="39"/>
  <c r="M45" i="39"/>
  <c r="L45" i="39"/>
  <c r="K45" i="39"/>
  <c r="M44" i="39"/>
  <c r="L44" i="39"/>
  <c r="K44" i="39"/>
  <c r="M43" i="39"/>
  <c r="L43" i="39"/>
  <c r="K43" i="39"/>
  <c r="N39" i="39"/>
  <c r="N42" i="39"/>
  <c r="M42" i="39"/>
  <c r="L42" i="39"/>
  <c r="K42" i="39"/>
  <c r="M41" i="39"/>
  <c r="L41" i="39"/>
  <c r="K41" i="39"/>
  <c r="M40" i="39"/>
  <c r="L40" i="39"/>
  <c r="K40" i="39"/>
  <c r="M39" i="39"/>
  <c r="L39" i="39"/>
  <c r="K39" i="39"/>
  <c r="M38" i="39"/>
  <c r="L38" i="39"/>
  <c r="K38" i="39"/>
  <c r="M37" i="39"/>
  <c r="L37" i="39"/>
  <c r="K37" i="39"/>
  <c r="N36" i="39"/>
  <c r="M36" i="39"/>
  <c r="L36" i="39"/>
  <c r="K36" i="39"/>
  <c r="N35" i="39"/>
  <c r="M35" i="39"/>
  <c r="L35" i="39"/>
  <c r="K35" i="39"/>
  <c r="M34" i="39"/>
  <c r="L34" i="39"/>
  <c r="K34" i="39"/>
  <c r="M33" i="39"/>
  <c r="L33" i="39"/>
  <c r="K33" i="39"/>
  <c r="N32" i="39"/>
  <c r="M32" i="39"/>
  <c r="L32" i="39"/>
  <c r="K32" i="39"/>
  <c r="N31" i="39"/>
  <c r="M31" i="39"/>
  <c r="L31" i="39"/>
  <c r="K31" i="39"/>
  <c r="N30" i="39"/>
  <c r="M30" i="39"/>
  <c r="L30" i="39"/>
  <c r="K30" i="39"/>
  <c r="M29" i="39"/>
  <c r="L29" i="39"/>
  <c r="K29" i="39"/>
  <c r="M28" i="39"/>
  <c r="L28" i="39"/>
  <c r="K28" i="39"/>
  <c r="N27" i="39"/>
  <c r="M27" i="39"/>
  <c r="L27" i="39"/>
  <c r="K27" i="39"/>
  <c r="N26" i="39"/>
  <c r="M26" i="39"/>
  <c r="L26" i="39"/>
  <c r="K26" i="39"/>
  <c r="M25" i="39"/>
  <c r="L25" i="39"/>
  <c r="K25" i="39"/>
  <c r="M24" i="39"/>
  <c r="L24" i="39"/>
  <c r="K24" i="39"/>
  <c r="N23" i="39"/>
  <c r="M23" i="39"/>
  <c r="L23" i="39"/>
  <c r="K23" i="39"/>
  <c r="N22" i="39"/>
  <c r="M22" i="39"/>
  <c r="L22" i="39"/>
  <c r="K22" i="39"/>
  <c r="M21" i="39"/>
  <c r="L21" i="39"/>
  <c r="K21" i="39"/>
  <c r="M20" i="39"/>
  <c r="L20" i="39"/>
  <c r="K20" i="39"/>
  <c r="N19" i="39"/>
  <c r="M19" i="39"/>
  <c r="L19" i="39"/>
  <c r="K19" i="39"/>
  <c r="N18" i="39"/>
  <c r="M18" i="39"/>
  <c r="L18" i="39"/>
  <c r="K18" i="39"/>
  <c r="N17" i="39"/>
  <c r="M17" i="39"/>
  <c r="L17" i="39"/>
  <c r="K17" i="39"/>
  <c r="N16" i="39"/>
  <c r="M16" i="39"/>
  <c r="L16" i="39"/>
  <c r="K16" i="39"/>
  <c r="N15" i="39"/>
  <c r="M15" i="39"/>
  <c r="L15" i="39"/>
  <c r="K15" i="39"/>
  <c r="M14" i="39"/>
  <c r="L14" i="39"/>
  <c r="K14" i="39"/>
  <c r="M13" i="39"/>
  <c r="L13" i="39"/>
  <c r="K13" i="39"/>
  <c r="N12" i="39"/>
  <c r="M12" i="39"/>
  <c r="L12" i="39"/>
  <c r="K12" i="39"/>
  <c r="N11" i="39"/>
  <c r="M11" i="39"/>
  <c r="L11" i="39"/>
  <c r="K11" i="39"/>
  <c r="M10" i="39"/>
  <c r="L10" i="39"/>
  <c r="K10" i="39"/>
  <c r="M9" i="39"/>
  <c r="L9" i="39"/>
  <c r="K9" i="39"/>
  <c r="N8" i="39"/>
  <c r="M8" i="39"/>
  <c r="L8" i="39"/>
  <c r="K8" i="39"/>
  <c r="N7" i="39"/>
  <c r="M7" i="39"/>
  <c r="L7" i="39"/>
  <c r="K7" i="39"/>
  <c r="N6" i="39"/>
  <c r="M6" i="39"/>
  <c r="L6" i="39"/>
  <c r="K6" i="39"/>
  <c r="M5" i="39"/>
  <c r="L5" i="39"/>
  <c r="K5" i="39"/>
  <c r="B2233" i="39"/>
  <c r="B2079" i="39"/>
  <c r="C1715" i="39"/>
  <c r="D1715" i="39"/>
  <c r="C1716" i="39"/>
  <c r="D1716" i="39"/>
  <c r="C1717" i="39"/>
  <c r="D1717" i="39"/>
  <c r="C1718" i="39"/>
  <c r="D1718" i="39"/>
  <c r="C1719" i="39"/>
  <c r="D1719" i="39"/>
  <c r="C1720" i="39"/>
  <c r="D1720" i="39"/>
  <c r="C1721" i="39"/>
  <c r="D1721" i="39"/>
  <c r="B1716" i="39"/>
  <c r="B1717" i="39"/>
  <c r="B1718" i="39"/>
  <c r="B1719" i="39"/>
  <c r="B1720" i="39"/>
  <c r="B1721" i="39"/>
  <c r="B1715" i="39"/>
  <c r="B1615" i="39"/>
  <c r="C1612" i="39"/>
  <c r="D1612" i="39"/>
  <c r="C1613" i="39"/>
  <c r="D1613" i="39"/>
  <c r="C1614" i="39"/>
  <c r="D1614" i="39"/>
  <c r="C1615" i="39"/>
  <c r="D1615" i="39"/>
  <c r="C1616" i="39"/>
  <c r="D1616" i="39"/>
  <c r="C1617" i="39"/>
  <c r="D1617" i="39"/>
  <c r="C1618" i="39"/>
  <c r="D1618" i="39"/>
  <c r="B1613" i="39"/>
  <c r="B1614" i="39"/>
  <c r="B1616" i="39"/>
  <c r="B1617" i="39"/>
  <c r="B1618" i="39"/>
  <c r="B1612" i="39"/>
  <c r="F1639" i="39"/>
  <c r="D1639" i="39"/>
  <c r="F1638" i="39"/>
  <c r="D1638" i="39"/>
  <c r="F1637" i="39"/>
  <c r="D1637" i="39"/>
  <c r="F1636" i="39"/>
  <c r="D1636" i="39"/>
  <c r="F1634" i="39"/>
  <c r="D1634" i="39"/>
  <c r="F1633" i="39"/>
  <c r="D1633" i="39"/>
  <c r="F1632" i="39"/>
  <c r="D1632" i="39"/>
  <c r="F1631" i="39"/>
  <c r="D1631" i="39"/>
  <c r="F1625" i="39"/>
  <c r="D1625" i="39"/>
  <c r="F1624" i="39"/>
  <c r="D1624" i="39"/>
  <c r="H1499" i="39"/>
  <c r="H1500" i="39"/>
  <c r="C1410" i="39"/>
  <c r="H1396" i="39"/>
  <c r="D1427" i="39" s="1"/>
  <c r="H1397" i="39"/>
  <c r="D1433" i="39"/>
  <c r="F1434" i="39"/>
  <c r="F1433" i="39"/>
  <c r="F1432" i="39"/>
  <c r="F1431" i="39"/>
  <c r="F1429" i="39"/>
  <c r="D1429" i="39"/>
  <c r="F1428" i="39"/>
  <c r="F1427" i="39"/>
  <c r="F1426" i="39"/>
  <c r="D1426" i="39"/>
  <c r="F1420" i="39"/>
  <c r="F1419" i="39"/>
  <c r="D1419" i="39"/>
  <c r="C1359" i="39"/>
  <c r="C1411" i="39"/>
  <c r="D1359" i="39"/>
  <c r="D1411" i="39"/>
  <c r="C1360" i="39"/>
  <c r="C1412" i="39" s="1"/>
  <c r="D1360" i="39"/>
  <c r="D1412" i="39" s="1"/>
  <c r="C1361" i="39"/>
  <c r="C1413" i="39"/>
  <c r="D1361" i="39"/>
  <c r="D1413" i="39"/>
  <c r="B1360" i="39"/>
  <c r="B1412" i="39" s="1"/>
  <c r="B1361" i="39"/>
  <c r="B1413" i="39" s="1"/>
  <c r="B1359" i="39"/>
  <c r="B1411" i="39"/>
  <c r="C1355" i="39"/>
  <c r="C1407" i="39"/>
  <c r="D1355" i="39"/>
  <c r="D1407" i="39" s="1"/>
  <c r="C1356" i="39"/>
  <c r="C1408" i="39" s="1"/>
  <c r="D1356" i="39"/>
  <c r="D1408" i="39"/>
  <c r="C1357" i="39"/>
  <c r="C1409" i="39"/>
  <c r="D1357" i="39"/>
  <c r="D1409" i="39" s="1"/>
  <c r="B1356" i="39"/>
  <c r="B1408" i="39" s="1"/>
  <c r="B1357" i="39"/>
  <c r="B1409" i="39"/>
  <c r="B1355" i="39"/>
  <c r="B1407" i="39"/>
  <c r="B1358" i="39"/>
  <c r="B1410" i="39" s="1"/>
  <c r="F1382" i="39"/>
  <c r="D1382" i="39"/>
  <c r="F1381" i="39"/>
  <c r="D1381" i="39"/>
  <c r="F1380" i="39"/>
  <c r="D1380" i="39"/>
  <c r="F1379" i="39"/>
  <c r="D1379" i="39"/>
  <c r="F1377" i="39"/>
  <c r="D1377" i="39"/>
  <c r="F1376" i="39"/>
  <c r="D1376" i="39"/>
  <c r="F1375" i="39"/>
  <c r="D1375" i="39"/>
  <c r="F1374" i="39"/>
  <c r="D1374" i="39"/>
  <c r="F1368" i="39"/>
  <c r="D1368" i="39"/>
  <c r="F1367" i="39"/>
  <c r="D1367" i="39"/>
  <c r="B1153" i="39"/>
  <c r="C1150" i="39"/>
  <c r="D1150" i="39"/>
  <c r="C1151" i="39"/>
  <c r="D1151" i="39"/>
  <c r="C1152" i="39"/>
  <c r="D1152" i="39"/>
  <c r="C1153" i="39"/>
  <c r="C1154" i="39"/>
  <c r="D1154" i="39"/>
  <c r="C1155" i="39"/>
  <c r="D1155" i="39"/>
  <c r="C1156" i="39"/>
  <c r="D1156" i="39"/>
  <c r="B1151" i="39"/>
  <c r="B1152" i="39"/>
  <c r="B1154" i="39"/>
  <c r="B1155" i="39"/>
  <c r="B1156" i="39"/>
  <c r="B1150" i="39"/>
  <c r="F1177" i="39"/>
  <c r="D1177" i="39"/>
  <c r="F1176" i="39"/>
  <c r="D1176" i="39"/>
  <c r="F1175" i="39"/>
  <c r="D1175" i="39"/>
  <c r="F1174" i="39"/>
  <c r="D1174" i="39"/>
  <c r="F1172" i="39"/>
  <c r="D1172" i="39"/>
  <c r="F1171" i="39"/>
  <c r="D1171" i="39"/>
  <c r="F1170" i="39"/>
  <c r="D1170" i="39"/>
  <c r="F1169" i="39"/>
  <c r="D1169" i="39"/>
  <c r="F1163" i="39"/>
  <c r="D1163" i="39"/>
  <c r="F1162" i="39"/>
  <c r="D1162" i="39"/>
  <c r="B947" i="39"/>
  <c r="C944" i="39"/>
  <c r="D944" i="39"/>
  <c r="C945" i="39"/>
  <c r="D945" i="39"/>
  <c r="C946" i="39"/>
  <c r="D946" i="39"/>
  <c r="C947" i="39"/>
  <c r="D947" i="39"/>
  <c r="C948" i="39"/>
  <c r="D948" i="39"/>
  <c r="C949" i="39"/>
  <c r="D949" i="39"/>
  <c r="C950" i="39"/>
  <c r="D950" i="39"/>
  <c r="B945" i="39"/>
  <c r="B946" i="39"/>
  <c r="B948" i="39"/>
  <c r="B949" i="39"/>
  <c r="B950" i="39"/>
  <c r="B944" i="39"/>
  <c r="H933" i="39"/>
  <c r="D965" i="39" s="1"/>
  <c r="H934" i="39"/>
  <c r="F971" i="39"/>
  <c r="F970" i="39"/>
  <c r="F969" i="39"/>
  <c r="F968" i="39"/>
  <c r="F966" i="39"/>
  <c r="F965" i="39"/>
  <c r="F964" i="39"/>
  <c r="F963" i="39"/>
  <c r="F957" i="39"/>
  <c r="F956" i="39"/>
  <c r="H828" i="39"/>
  <c r="H829" i="39"/>
  <c r="B739" i="39"/>
  <c r="B688" i="39"/>
  <c r="B637" i="39"/>
  <c r="F763" i="39"/>
  <c r="D763" i="39"/>
  <c r="F762" i="39"/>
  <c r="D762" i="39"/>
  <c r="F761" i="39"/>
  <c r="D761" i="39"/>
  <c r="F760" i="39"/>
  <c r="D760" i="39"/>
  <c r="F758" i="39"/>
  <c r="D758" i="39"/>
  <c r="F757" i="39"/>
  <c r="D757" i="39"/>
  <c r="F756" i="39"/>
  <c r="D756" i="39"/>
  <c r="F755" i="39"/>
  <c r="D755" i="39"/>
  <c r="F749" i="39"/>
  <c r="D749" i="39"/>
  <c r="F748" i="39"/>
  <c r="D748" i="39"/>
  <c r="F712" i="39"/>
  <c r="D712" i="39"/>
  <c r="F711" i="39"/>
  <c r="D711" i="39"/>
  <c r="F710" i="39"/>
  <c r="D710" i="39"/>
  <c r="F709" i="39"/>
  <c r="D709" i="39"/>
  <c r="F707" i="39"/>
  <c r="D707" i="39"/>
  <c r="F706" i="39"/>
  <c r="D706" i="39"/>
  <c r="F705" i="39"/>
  <c r="D705" i="39"/>
  <c r="F704" i="39"/>
  <c r="D704" i="39"/>
  <c r="F698" i="39"/>
  <c r="D698" i="39"/>
  <c r="F697" i="39"/>
  <c r="D697" i="39"/>
  <c r="F661" i="39"/>
  <c r="D661" i="39"/>
  <c r="F660" i="39"/>
  <c r="D660" i="39"/>
  <c r="F659" i="39"/>
  <c r="D659" i="39"/>
  <c r="F658" i="39"/>
  <c r="D658" i="39"/>
  <c r="F656" i="39"/>
  <c r="D656" i="39"/>
  <c r="F655" i="39"/>
  <c r="D655" i="39"/>
  <c r="F654" i="39"/>
  <c r="D654" i="39"/>
  <c r="F653" i="39"/>
  <c r="D653" i="39"/>
  <c r="F647" i="39"/>
  <c r="D647" i="39"/>
  <c r="F646" i="39"/>
  <c r="D646" i="39"/>
  <c r="B586" i="39"/>
  <c r="C583" i="39"/>
  <c r="C634" i="39"/>
  <c r="C685" i="39" s="1"/>
  <c r="C736" i="39" s="1"/>
  <c r="D583" i="39"/>
  <c r="D634" i="39" s="1"/>
  <c r="D685" i="39" s="1"/>
  <c r="D736" i="39" s="1"/>
  <c r="C584" i="39"/>
  <c r="C635" i="39"/>
  <c r="C686" i="39" s="1"/>
  <c r="C737" i="39" s="1"/>
  <c r="D584" i="39"/>
  <c r="D635" i="39" s="1"/>
  <c r="D686" i="39" s="1"/>
  <c r="D737" i="39" s="1"/>
  <c r="C585" i="39"/>
  <c r="C636" i="39"/>
  <c r="C687" i="39" s="1"/>
  <c r="C738" i="39" s="1"/>
  <c r="D585" i="39"/>
  <c r="D636" i="39" s="1"/>
  <c r="D687" i="39" s="1"/>
  <c r="D738" i="39" s="1"/>
  <c r="C586" i="39"/>
  <c r="C637" i="39"/>
  <c r="C688" i="39" s="1"/>
  <c r="C739" i="39" s="1"/>
  <c r="D586" i="39"/>
  <c r="C587" i="39"/>
  <c r="C638" i="39" s="1"/>
  <c r="C689" i="39" s="1"/>
  <c r="C740" i="39" s="1"/>
  <c r="D587" i="39"/>
  <c r="C588" i="39"/>
  <c r="C639" i="39" s="1"/>
  <c r="C690" i="39" s="1"/>
  <c r="C741" i="39" s="1"/>
  <c r="D588" i="39"/>
  <c r="C589" i="39"/>
  <c r="C640" i="39" s="1"/>
  <c r="C691" i="39" s="1"/>
  <c r="C742" i="39" s="1"/>
  <c r="D589" i="39"/>
  <c r="B584" i="39"/>
  <c r="B635" i="39" s="1"/>
  <c r="B686" i="39" s="1"/>
  <c r="B737" i="39" s="1"/>
  <c r="B585" i="39"/>
  <c r="B636" i="39" s="1"/>
  <c r="B687" i="39" s="1"/>
  <c r="B738" i="39" s="1"/>
  <c r="B587" i="39"/>
  <c r="B638" i="39" s="1"/>
  <c r="B689" i="39" s="1"/>
  <c r="B740" i="39" s="1"/>
  <c r="B588" i="39"/>
  <c r="B639" i="39" s="1"/>
  <c r="B690" i="39" s="1"/>
  <c r="B741" i="39" s="1"/>
  <c r="B589" i="39"/>
  <c r="B640" i="39" s="1"/>
  <c r="B691" i="39" s="1"/>
  <c r="B742" i="39" s="1"/>
  <c r="B583" i="39"/>
  <c r="B634" i="39" s="1"/>
  <c r="B685" i="39"/>
  <c r="B736" i="39" s="1"/>
  <c r="F610" i="39"/>
  <c r="D610" i="39"/>
  <c r="F609" i="39"/>
  <c r="D609" i="39"/>
  <c r="F608" i="39"/>
  <c r="D608" i="39"/>
  <c r="F607" i="39"/>
  <c r="D607" i="39"/>
  <c r="F605" i="39"/>
  <c r="D605" i="39"/>
  <c r="F604" i="39"/>
  <c r="D604" i="39"/>
  <c r="F603" i="39"/>
  <c r="D603" i="39"/>
  <c r="F602" i="39"/>
  <c r="D602" i="39"/>
  <c r="F596" i="39"/>
  <c r="D596" i="39"/>
  <c r="F595" i="39"/>
  <c r="D595" i="39"/>
  <c r="C378" i="39"/>
  <c r="D378" i="39"/>
  <c r="C379" i="39"/>
  <c r="D379" i="39"/>
  <c r="C380" i="39"/>
  <c r="D380" i="39"/>
  <c r="C381" i="39"/>
  <c r="C382" i="39"/>
  <c r="D382" i="39"/>
  <c r="C383" i="39"/>
  <c r="D383" i="39"/>
  <c r="F383" i="39" s="1"/>
  <c r="C384" i="39"/>
  <c r="D384" i="39"/>
  <c r="B379" i="39"/>
  <c r="B380" i="39"/>
  <c r="B382" i="39"/>
  <c r="B383" i="39"/>
  <c r="B384" i="39"/>
  <c r="B378" i="39"/>
  <c r="F405" i="39"/>
  <c r="D405" i="39"/>
  <c r="F404" i="39"/>
  <c r="D404" i="39"/>
  <c r="F403" i="39"/>
  <c r="D403" i="39"/>
  <c r="F402" i="39"/>
  <c r="D402" i="39"/>
  <c r="F400" i="39"/>
  <c r="D400" i="39"/>
  <c r="F399" i="39"/>
  <c r="D399" i="39"/>
  <c r="F398" i="39"/>
  <c r="D398" i="39"/>
  <c r="F397" i="39"/>
  <c r="D397" i="39"/>
  <c r="F391" i="39"/>
  <c r="D391" i="39"/>
  <c r="F390" i="39"/>
  <c r="D390" i="39"/>
  <c r="B330" i="39"/>
  <c r="B381" i="39"/>
  <c r="H265" i="39"/>
  <c r="H266" i="39"/>
  <c r="E4" i="35"/>
  <c r="B176" i="39"/>
  <c r="F200" i="39"/>
  <c r="D200" i="39"/>
  <c r="F199" i="39"/>
  <c r="D199" i="39"/>
  <c r="F198" i="39"/>
  <c r="D198" i="39"/>
  <c r="F197" i="39"/>
  <c r="D197" i="39"/>
  <c r="F195" i="39"/>
  <c r="D195" i="39"/>
  <c r="F194" i="39"/>
  <c r="D194" i="39"/>
  <c r="F193" i="39"/>
  <c r="D193" i="39"/>
  <c r="F192" i="39"/>
  <c r="D192" i="39"/>
  <c r="F186" i="39"/>
  <c r="D186" i="39"/>
  <c r="F185" i="39"/>
  <c r="D185" i="39"/>
  <c r="B125" i="39"/>
  <c r="C122" i="39"/>
  <c r="C173" i="39" s="1"/>
  <c r="D122" i="39"/>
  <c r="D173" i="39" s="1"/>
  <c r="C123" i="39"/>
  <c r="C174" i="39"/>
  <c r="D123" i="39"/>
  <c r="D174" i="39" s="1"/>
  <c r="C124" i="39"/>
  <c r="C175" i="39" s="1"/>
  <c r="D124" i="39"/>
  <c r="D175" i="39" s="1"/>
  <c r="C125" i="39"/>
  <c r="C176" i="39"/>
  <c r="D125" i="39"/>
  <c r="C126" i="39"/>
  <c r="C177" i="39"/>
  <c r="D126" i="39"/>
  <c r="D177" i="39"/>
  <c r="C127" i="39"/>
  <c r="C178" i="39" s="1"/>
  <c r="D127" i="39"/>
  <c r="D178" i="39"/>
  <c r="C128" i="39"/>
  <c r="C179" i="39"/>
  <c r="D128" i="39"/>
  <c r="D179" i="39"/>
  <c r="B123" i="39"/>
  <c r="B174" i="39" s="1"/>
  <c r="B124" i="39"/>
  <c r="B175" i="39"/>
  <c r="B126" i="39"/>
  <c r="B177" i="39"/>
  <c r="B127" i="39"/>
  <c r="B178" i="39"/>
  <c r="B128" i="39"/>
  <c r="B179" i="39" s="1"/>
  <c r="B122" i="39"/>
  <c r="B173" i="39"/>
  <c r="F149" i="39"/>
  <c r="D149" i="39"/>
  <c r="F148" i="39"/>
  <c r="D148" i="39"/>
  <c r="F147" i="39"/>
  <c r="D147" i="39"/>
  <c r="F146" i="39"/>
  <c r="D146" i="39"/>
  <c r="F144" i="39"/>
  <c r="D144" i="39"/>
  <c r="F143" i="39"/>
  <c r="D143" i="39"/>
  <c r="F142" i="39"/>
  <c r="D142" i="39"/>
  <c r="F141" i="39"/>
  <c r="D141" i="39"/>
  <c r="F135" i="39"/>
  <c r="D135" i="39"/>
  <c r="F134" i="39"/>
  <c r="D134" i="39"/>
  <c r="D1432" i="39"/>
  <c r="D1434" i="39"/>
  <c r="D966" i="39"/>
  <c r="D971" i="39"/>
  <c r="D1420" i="39"/>
  <c r="D1431" i="39"/>
  <c r="D956" i="39"/>
  <c r="D964" i="39"/>
  <c r="D963" i="39"/>
  <c r="B1924" i="39"/>
  <c r="B1769" i="39"/>
  <c r="B1564" i="39"/>
  <c r="B1307" i="39"/>
  <c r="B1102" i="39"/>
  <c r="B894" i="39"/>
  <c r="B535" i="39"/>
  <c r="B74" i="39"/>
  <c r="Q43" i="29"/>
  <c r="Q111" i="29" s="1"/>
  <c r="Q149" i="29" s="1"/>
  <c r="Q201" i="29" s="1"/>
  <c r="Q219" i="29" s="1"/>
  <c r="Q292" i="29" s="1"/>
  <c r="Q359" i="29" s="1"/>
  <c r="Q381" i="29" s="1"/>
  <c r="E318" i="29"/>
  <c r="E170" i="9"/>
  <c r="E327" i="31"/>
  <c r="F327" i="31" s="1"/>
  <c r="E326" i="31"/>
  <c r="F326" i="31" s="1"/>
  <c r="C55" i="30"/>
  <c r="C52" i="30"/>
  <c r="C10" i="30"/>
  <c r="C5" i="30"/>
  <c r="D7" i="32"/>
  <c r="D5" i="32"/>
  <c r="D6" i="32"/>
  <c r="E1769" i="39"/>
  <c r="F1769" i="39" s="1"/>
  <c r="E894" i="39"/>
  <c r="E74" i="39"/>
  <c r="F74" i="39" s="1"/>
  <c r="E947" i="39"/>
  <c r="F947" i="39" s="1"/>
  <c r="F318" i="29"/>
  <c r="H318" i="29"/>
  <c r="D4" i="32"/>
  <c r="E4" i="32"/>
  <c r="G5" i="35"/>
  <c r="E42" i="1"/>
  <c r="C42" i="1"/>
  <c r="C39" i="1"/>
  <c r="C27" i="1"/>
  <c r="C26" i="1"/>
  <c r="C8" i="16"/>
  <c r="C21" i="1"/>
  <c r="E16" i="1"/>
  <c r="C16" i="1"/>
  <c r="E12" i="1"/>
  <c r="C12" i="1"/>
  <c r="E10" i="1"/>
  <c r="C10" i="1"/>
  <c r="C9" i="1"/>
  <c r="E6" i="35"/>
  <c r="G6" i="35" s="1"/>
  <c r="F4" i="35"/>
  <c r="G4" i="35" s="1"/>
  <c r="P300" i="29"/>
  <c r="B1266" i="39"/>
  <c r="B1265" i="39"/>
  <c r="B1670" i="16"/>
  <c r="B1669" i="16"/>
  <c r="B1565" i="16"/>
  <c r="B1564" i="16"/>
  <c r="B1460" i="16"/>
  <c r="B1459" i="16"/>
  <c r="B1353" i="16"/>
  <c r="B1352" i="16"/>
  <c r="B1248" i="16"/>
  <c r="B1247" i="16"/>
  <c r="B1143" i="16"/>
  <c r="B1142" i="16"/>
  <c r="B1037" i="16"/>
  <c r="B1036" i="16"/>
  <c r="B932" i="16"/>
  <c r="B931" i="16"/>
  <c r="B772" i="16"/>
  <c r="B771" i="16"/>
  <c r="B666" i="16"/>
  <c r="B665" i="16"/>
  <c r="B560" i="16"/>
  <c r="B559" i="16"/>
  <c r="B455" i="16"/>
  <c r="B454" i="16"/>
  <c r="B350" i="16"/>
  <c r="B349" i="16"/>
  <c r="B244" i="16"/>
  <c r="B243" i="16"/>
  <c r="B138" i="16"/>
  <c r="E9" i="16"/>
  <c r="E8" i="16"/>
  <c r="C9" i="16"/>
  <c r="B9" i="16"/>
  <c r="B8" i="16"/>
  <c r="F2308" i="39"/>
  <c r="D2308" i="39"/>
  <c r="F2307" i="39"/>
  <c r="D2307" i="39"/>
  <c r="F2306" i="39"/>
  <c r="D2306" i="39"/>
  <c r="F2305" i="39"/>
  <c r="D2305" i="39"/>
  <c r="F2303" i="39"/>
  <c r="D2303" i="39"/>
  <c r="F2302" i="39"/>
  <c r="D2302" i="39"/>
  <c r="F2301" i="39"/>
  <c r="D2301" i="39"/>
  <c r="F2300" i="39"/>
  <c r="D2300" i="39"/>
  <c r="F2294" i="39"/>
  <c r="D2294" i="39"/>
  <c r="F2293" i="39"/>
  <c r="D2293" i="39"/>
  <c r="E2287" i="39"/>
  <c r="F2287" i="39" s="1"/>
  <c r="E2286" i="39"/>
  <c r="F2286" i="39"/>
  <c r="E2285" i="39"/>
  <c r="F2285" i="39"/>
  <c r="E2284" i="39"/>
  <c r="F2284" i="39"/>
  <c r="E2283" i="39"/>
  <c r="F2283" i="39" s="1"/>
  <c r="F2257" i="39"/>
  <c r="D2257" i="39"/>
  <c r="F2256" i="39"/>
  <c r="D2256" i="39"/>
  <c r="F2255" i="39"/>
  <c r="D2255" i="39"/>
  <c r="F2254" i="39"/>
  <c r="D2254" i="39"/>
  <c r="F2252" i="39"/>
  <c r="D2252" i="39"/>
  <c r="F2251" i="39"/>
  <c r="D2251" i="39"/>
  <c r="F2250" i="39"/>
  <c r="D2250" i="39"/>
  <c r="F2249" i="39"/>
  <c r="D2249" i="39"/>
  <c r="F2243" i="39"/>
  <c r="D2243" i="39"/>
  <c r="F2242" i="39"/>
  <c r="D2242" i="39"/>
  <c r="E2236" i="39"/>
  <c r="F2236" i="39"/>
  <c r="E2235" i="39"/>
  <c r="F2235" i="39" s="1"/>
  <c r="E2234" i="39"/>
  <c r="F2234" i="39"/>
  <c r="E2232" i="39"/>
  <c r="F2232" i="39"/>
  <c r="E2231" i="39"/>
  <c r="F2231" i="39"/>
  <c r="F2206" i="39"/>
  <c r="D2206" i="39"/>
  <c r="F2205" i="39"/>
  <c r="D2205" i="39"/>
  <c r="F2204" i="39"/>
  <c r="D2204" i="39"/>
  <c r="F2203" i="39"/>
  <c r="D2203" i="39"/>
  <c r="F2201" i="39"/>
  <c r="D2201" i="39"/>
  <c r="F2200" i="39"/>
  <c r="D2200" i="39"/>
  <c r="F2199" i="39"/>
  <c r="D2199" i="39"/>
  <c r="F2198" i="39"/>
  <c r="D2198" i="39"/>
  <c r="F2192" i="39"/>
  <c r="D2192" i="39"/>
  <c r="F2191" i="39"/>
  <c r="D2191" i="39"/>
  <c r="E2185" i="39"/>
  <c r="F2185" i="39"/>
  <c r="E2184" i="39"/>
  <c r="F2184" i="39"/>
  <c r="E2183" i="39"/>
  <c r="F2183" i="39"/>
  <c r="E2182" i="39"/>
  <c r="F2182" i="39"/>
  <c r="E2181" i="39"/>
  <c r="F2181" i="39"/>
  <c r="E2180" i="39"/>
  <c r="F2180" i="39"/>
  <c r="F2153" i="39"/>
  <c r="D2153" i="39"/>
  <c r="F2152" i="39"/>
  <c r="D2152" i="39"/>
  <c r="F2151" i="39"/>
  <c r="D2151" i="39"/>
  <c r="F2150" i="39"/>
  <c r="D2150" i="39"/>
  <c r="F2148" i="39"/>
  <c r="D2148" i="39"/>
  <c r="F2147" i="39"/>
  <c r="D2147" i="39"/>
  <c r="F2146" i="39"/>
  <c r="D2146" i="39"/>
  <c r="F2145" i="39"/>
  <c r="D2145" i="39"/>
  <c r="F2139" i="39"/>
  <c r="D2139" i="39"/>
  <c r="F2138" i="39"/>
  <c r="D2138" i="39"/>
  <c r="E2132" i="39"/>
  <c r="F2132" i="39"/>
  <c r="E2131" i="39"/>
  <c r="F2131" i="39"/>
  <c r="E2130" i="39"/>
  <c r="F2130" i="39"/>
  <c r="E2129" i="39"/>
  <c r="F2129" i="39"/>
  <c r="E2128" i="39"/>
  <c r="F2128" i="39"/>
  <c r="F2103" i="39"/>
  <c r="D2103" i="39"/>
  <c r="F2102" i="39"/>
  <c r="D2102" i="39"/>
  <c r="F2101" i="39"/>
  <c r="D2101" i="39"/>
  <c r="F2100" i="39"/>
  <c r="D2100" i="39"/>
  <c r="F2098" i="39"/>
  <c r="D2098" i="39"/>
  <c r="F2097" i="39"/>
  <c r="D2097" i="39"/>
  <c r="F2096" i="39"/>
  <c r="D2096" i="39"/>
  <c r="F2095" i="39"/>
  <c r="D2095" i="39"/>
  <c r="F2089" i="39"/>
  <c r="D2089" i="39"/>
  <c r="F2088" i="39"/>
  <c r="D2088" i="39"/>
  <c r="E2082" i="39"/>
  <c r="F2082" i="39"/>
  <c r="E2081" i="39"/>
  <c r="F2081" i="39"/>
  <c r="E2080" i="39"/>
  <c r="F2080" i="39"/>
  <c r="E2078" i="39"/>
  <c r="F2078" i="39" s="1"/>
  <c r="E2077" i="39"/>
  <c r="F2077" i="39" s="1"/>
  <c r="F2051" i="39"/>
  <c r="D2051" i="39"/>
  <c r="F2050" i="39"/>
  <c r="D2050" i="39"/>
  <c r="F2049" i="39"/>
  <c r="D2049" i="39"/>
  <c r="F2048" i="39"/>
  <c r="D2048" i="39"/>
  <c r="F2046" i="39"/>
  <c r="D2046" i="39"/>
  <c r="F2045" i="39"/>
  <c r="D2045" i="39"/>
  <c r="F2044" i="39"/>
  <c r="D2044" i="39"/>
  <c r="F2043" i="39"/>
  <c r="D2043" i="39"/>
  <c r="F2037" i="39"/>
  <c r="D2037" i="39"/>
  <c r="F2036" i="39"/>
  <c r="D2036" i="39"/>
  <c r="E2030" i="39"/>
  <c r="F2030" i="39"/>
  <c r="E2029" i="39"/>
  <c r="F2029" i="39" s="1"/>
  <c r="E2028" i="39"/>
  <c r="F2028" i="39" s="1"/>
  <c r="E2027" i="39"/>
  <c r="F2027" i="39" s="1"/>
  <c r="E2026" i="39"/>
  <c r="F2026" i="39"/>
  <c r="F1998" i="39"/>
  <c r="D1998" i="39"/>
  <c r="F1997" i="39"/>
  <c r="D1997" i="39"/>
  <c r="F1996" i="39"/>
  <c r="D1996" i="39"/>
  <c r="F1995" i="39"/>
  <c r="D1995" i="39"/>
  <c r="F1993" i="39"/>
  <c r="D1993" i="39"/>
  <c r="F1992" i="39"/>
  <c r="D1992" i="39"/>
  <c r="F1991" i="39"/>
  <c r="D1991" i="39"/>
  <c r="F1990" i="39"/>
  <c r="D1990" i="39"/>
  <c r="F1984" i="39"/>
  <c r="D1984" i="39"/>
  <c r="F1983" i="39"/>
  <c r="D1983" i="39"/>
  <c r="E1977" i="39"/>
  <c r="F1977" i="39"/>
  <c r="E1976" i="39"/>
  <c r="F1976" i="39"/>
  <c r="E1975" i="39"/>
  <c r="F1975" i="39" s="1"/>
  <c r="E1974" i="39"/>
  <c r="F1974" i="39" s="1"/>
  <c r="E1973" i="39"/>
  <c r="F1973" i="39"/>
  <c r="F1948" i="39"/>
  <c r="D1948" i="39"/>
  <c r="F1947" i="39"/>
  <c r="D1947" i="39"/>
  <c r="F1946" i="39"/>
  <c r="D1946" i="39"/>
  <c r="F1945" i="39"/>
  <c r="D1945" i="39"/>
  <c r="F1943" i="39"/>
  <c r="D1943" i="39"/>
  <c r="F1942" i="39"/>
  <c r="D1942" i="39"/>
  <c r="F1941" i="39"/>
  <c r="D1941" i="39"/>
  <c r="F1940" i="39"/>
  <c r="D1940" i="39"/>
  <c r="F1934" i="39"/>
  <c r="D1934" i="39"/>
  <c r="F1933" i="39"/>
  <c r="D1933" i="39"/>
  <c r="E1927" i="39"/>
  <c r="F1927" i="39" s="1"/>
  <c r="E1926" i="39"/>
  <c r="F1926" i="39"/>
  <c r="E1925" i="39"/>
  <c r="F1925" i="39"/>
  <c r="E1923" i="39"/>
  <c r="F1923" i="39"/>
  <c r="E1922" i="39"/>
  <c r="F1922" i="39" s="1"/>
  <c r="F1896" i="39"/>
  <c r="D1896" i="39"/>
  <c r="F1895" i="39"/>
  <c r="D1895" i="39"/>
  <c r="F1894" i="39"/>
  <c r="D1894" i="39"/>
  <c r="F1893" i="39"/>
  <c r="D1893" i="39"/>
  <c r="F1891" i="39"/>
  <c r="D1891" i="39"/>
  <c r="F1890" i="39"/>
  <c r="D1890" i="39"/>
  <c r="F1889" i="39"/>
  <c r="D1889" i="39"/>
  <c r="F1888" i="39"/>
  <c r="D1888" i="39"/>
  <c r="F1882" i="39"/>
  <c r="D1882" i="39"/>
  <c r="F1881" i="39"/>
  <c r="D1881" i="39"/>
  <c r="E1875" i="39"/>
  <c r="F1875" i="39"/>
  <c r="E1874" i="39"/>
  <c r="F1874" i="39"/>
  <c r="E1873" i="39"/>
  <c r="F1873" i="39"/>
  <c r="E1872" i="39"/>
  <c r="F1872" i="39"/>
  <c r="E1871" i="39"/>
  <c r="F1871" i="39"/>
  <c r="E1870" i="39"/>
  <c r="F1870" i="39"/>
  <c r="F1843" i="39"/>
  <c r="D1843" i="39"/>
  <c r="F1842" i="39"/>
  <c r="D1842" i="39"/>
  <c r="F1841" i="39"/>
  <c r="D1841" i="39"/>
  <c r="F1840" i="39"/>
  <c r="D1840" i="39"/>
  <c r="F1838" i="39"/>
  <c r="D1838" i="39"/>
  <c r="F1837" i="39"/>
  <c r="D1837" i="39"/>
  <c r="F1836" i="39"/>
  <c r="D1836" i="39"/>
  <c r="F1835" i="39"/>
  <c r="D1835" i="39"/>
  <c r="F1829" i="39"/>
  <c r="D1829" i="39"/>
  <c r="F1828" i="39"/>
  <c r="D1828" i="39"/>
  <c r="E1822" i="39"/>
  <c r="F1822" i="39"/>
  <c r="E1821" i="39"/>
  <c r="F1821" i="39"/>
  <c r="E1820" i="39"/>
  <c r="F1820" i="39"/>
  <c r="E1819" i="39"/>
  <c r="F1819" i="39"/>
  <c r="E1818" i="39"/>
  <c r="F1818" i="39"/>
  <c r="F1793" i="39"/>
  <c r="D1793" i="39"/>
  <c r="F1792" i="39"/>
  <c r="D1792" i="39"/>
  <c r="F1791" i="39"/>
  <c r="D1791" i="39"/>
  <c r="F1790" i="39"/>
  <c r="D1790" i="39"/>
  <c r="F1788" i="39"/>
  <c r="D1788" i="39"/>
  <c r="F1787" i="39"/>
  <c r="D1787" i="39"/>
  <c r="F1786" i="39"/>
  <c r="D1786" i="39"/>
  <c r="F1785" i="39"/>
  <c r="D1785" i="39"/>
  <c r="F1779" i="39"/>
  <c r="D1779" i="39"/>
  <c r="F1778" i="39"/>
  <c r="D1778" i="39"/>
  <c r="E1772" i="39"/>
  <c r="F1772" i="39"/>
  <c r="E1771" i="39"/>
  <c r="F1771" i="39"/>
  <c r="E1770" i="39"/>
  <c r="F1770" i="39"/>
  <c r="E1768" i="39"/>
  <c r="F1768" i="39"/>
  <c r="E1767" i="39"/>
  <c r="F1767" i="39"/>
  <c r="F1742" i="39"/>
  <c r="D1742" i="39"/>
  <c r="F1741" i="39"/>
  <c r="D1741" i="39"/>
  <c r="F1740" i="39"/>
  <c r="D1740" i="39"/>
  <c r="F1739" i="39"/>
  <c r="D1739" i="39"/>
  <c r="F1737" i="39"/>
  <c r="D1737" i="39"/>
  <c r="F1736" i="39"/>
  <c r="D1736" i="39"/>
  <c r="F1735" i="39"/>
  <c r="D1735" i="39"/>
  <c r="F1734" i="39"/>
  <c r="D1734" i="39"/>
  <c r="F1728" i="39"/>
  <c r="D1728" i="39"/>
  <c r="F1727" i="39"/>
  <c r="D1727" i="39"/>
  <c r="F1689" i="39"/>
  <c r="D1689" i="39"/>
  <c r="F1688" i="39"/>
  <c r="D1688" i="39"/>
  <c r="F1687" i="39"/>
  <c r="D1687" i="39"/>
  <c r="F1686" i="39"/>
  <c r="D1686" i="39"/>
  <c r="F1684" i="39"/>
  <c r="D1684" i="39"/>
  <c r="F1683" i="39"/>
  <c r="D1683" i="39"/>
  <c r="F1682" i="39"/>
  <c r="D1682" i="39"/>
  <c r="F1681" i="39"/>
  <c r="D1681" i="39"/>
  <c r="F1675" i="39"/>
  <c r="D1675" i="39"/>
  <c r="F1674" i="39"/>
  <c r="D1674" i="39"/>
  <c r="E1668" i="39"/>
  <c r="F1668" i="39"/>
  <c r="E1667" i="39"/>
  <c r="F1667" i="39"/>
  <c r="E1666" i="39"/>
  <c r="F1666" i="39"/>
  <c r="E1665" i="39"/>
  <c r="F1665" i="39"/>
  <c r="E1664" i="39"/>
  <c r="F1664" i="39"/>
  <c r="F1588" i="39"/>
  <c r="D1588" i="39"/>
  <c r="F1587" i="39"/>
  <c r="D1587" i="39"/>
  <c r="F1586" i="39"/>
  <c r="D1586" i="39"/>
  <c r="F1585" i="39"/>
  <c r="D1585" i="39"/>
  <c r="F1583" i="39"/>
  <c r="D1583" i="39"/>
  <c r="F1582" i="39"/>
  <c r="D1582" i="39"/>
  <c r="F1581" i="39"/>
  <c r="D1581" i="39"/>
  <c r="F1580" i="39"/>
  <c r="D1580" i="39"/>
  <c r="F1574" i="39"/>
  <c r="D1574" i="39"/>
  <c r="F1573" i="39"/>
  <c r="D1573" i="39"/>
  <c r="E1567" i="39"/>
  <c r="E1566" i="39"/>
  <c r="E1565" i="39"/>
  <c r="E1563" i="39"/>
  <c r="E1562" i="39"/>
  <c r="F1537" i="39"/>
  <c r="D1537" i="39"/>
  <c r="F1536" i="39"/>
  <c r="D1536" i="39"/>
  <c r="F1535" i="39"/>
  <c r="D1535" i="39"/>
  <c r="F1534" i="39"/>
  <c r="D1534" i="39"/>
  <c r="F1532" i="39"/>
  <c r="F1531" i="39"/>
  <c r="F1530" i="39"/>
  <c r="F1529" i="39"/>
  <c r="F1523" i="39"/>
  <c r="D1523" i="39"/>
  <c r="F1522" i="39"/>
  <c r="E1516" i="39"/>
  <c r="E1515" i="39"/>
  <c r="E1514" i="39"/>
  <c r="E1513" i="39"/>
  <c r="E1512" i="39"/>
  <c r="E1511" i="39"/>
  <c r="F1484" i="39"/>
  <c r="D1484" i="39"/>
  <c r="F1483" i="39"/>
  <c r="D1483" i="39"/>
  <c r="F1482" i="39"/>
  <c r="D1482" i="39"/>
  <c r="F1481" i="39"/>
  <c r="D1481" i="39"/>
  <c r="F1479" i="39"/>
  <c r="D1479" i="39"/>
  <c r="F1478" i="39"/>
  <c r="D1478" i="39"/>
  <c r="F1477" i="39"/>
  <c r="D1477" i="39"/>
  <c r="F1476" i="39"/>
  <c r="D1476" i="39"/>
  <c r="F1470" i="39"/>
  <c r="D1470" i="39"/>
  <c r="F1469" i="39"/>
  <c r="D1469" i="39"/>
  <c r="E1463" i="39"/>
  <c r="F1463" i="39"/>
  <c r="E1462" i="39"/>
  <c r="F1462" i="39"/>
  <c r="E1461" i="39"/>
  <c r="F1461" i="39"/>
  <c r="E1460" i="39"/>
  <c r="F1460" i="39"/>
  <c r="E1459" i="39"/>
  <c r="F1459" i="39"/>
  <c r="F1331" i="39"/>
  <c r="D1331" i="39"/>
  <c r="F1330" i="39"/>
  <c r="D1330" i="39"/>
  <c r="F1329" i="39"/>
  <c r="D1329" i="39"/>
  <c r="F1328" i="39"/>
  <c r="D1328" i="39"/>
  <c r="F1326" i="39"/>
  <c r="D1326" i="39"/>
  <c r="F1325" i="39"/>
  <c r="D1325" i="39"/>
  <c r="F1324" i="39"/>
  <c r="D1324" i="39"/>
  <c r="F1323" i="39"/>
  <c r="D1323" i="39"/>
  <c r="F1317" i="39"/>
  <c r="D1317" i="39"/>
  <c r="F1316" i="39"/>
  <c r="D1316" i="39"/>
  <c r="E1310" i="39"/>
  <c r="E1309" i="39"/>
  <c r="E1308" i="39"/>
  <c r="E1306" i="39"/>
  <c r="E1305" i="39"/>
  <c r="F1280" i="39"/>
  <c r="D1280" i="39"/>
  <c r="F1279" i="39"/>
  <c r="D1279" i="39"/>
  <c r="F1278" i="39"/>
  <c r="D1278" i="39"/>
  <c r="F1277" i="39"/>
  <c r="D1277" i="39"/>
  <c r="F1275" i="39"/>
  <c r="D1275" i="39"/>
  <c r="F1274" i="39"/>
  <c r="D1274" i="39"/>
  <c r="F1273" i="39"/>
  <c r="D1273" i="39"/>
  <c r="F1272" i="39"/>
  <c r="D1272" i="39"/>
  <c r="F1266" i="39"/>
  <c r="D1266" i="39"/>
  <c r="F1265" i="39"/>
  <c r="D1265" i="39"/>
  <c r="E1259" i="39"/>
  <c r="F1259" i="39" s="1"/>
  <c r="E1258" i="39"/>
  <c r="F1258" i="39"/>
  <c r="E1257" i="39"/>
  <c r="F1257" i="39"/>
  <c r="E1256" i="39"/>
  <c r="F1256" i="39" s="1"/>
  <c r="E1255" i="39"/>
  <c r="F1255" i="39" s="1"/>
  <c r="E1254" i="39"/>
  <c r="F1254" i="39"/>
  <c r="F1227" i="39"/>
  <c r="D1227" i="39"/>
  <c r="F1226" i="39"/>
  <c r="D1226" i="39"/>
  <c r="F1225" i="39"/>
  <c r="D1225" i="39"/>
  <c r="F1224" i="39"/>
  <c r="D1224" i="39"/>
  <c r="F1222" i="39"/>
  <c r="D1222" i="39"/>
  <c r="F1221" i="39"/>
  <c r="D1221" i="39"/>
  <c r="F1220" i="39"/>
  <c r="D1220" i="39"/>
  <c r="F1219" i="39"/>
  <c r="D1219" i="39"/>
  <c r="F1213" i="39"/>
  <c r="D1213" i="39"/>
  <c r="F1212" i="39"/>
  <c r="D1212" i="39"/>
  <c r="E1206" i="39"/>
  <c r="F1206" i="39" s="1"/>
  <c r="E1205" i="39"/>
  <c r="F1205" i="39"/>
  <c r="E1204" i="39"/>
  <c r="F1204" i="39"/>
  <c r="E1203" i="39"/>
  <c r="F1203" i="39" s="1"/>
  <c r="E1202" i="39"/>
  <c r="F1202" i="39" s="1"/>
  <c r="F1126" i="39"/>
  <c r="D1126" i="39"/>
  <c r="F1125" i="39"/>
  <c r="D1125" i="39"/>
  <c r="F1124" i="39"/>
  <c r="D1124" i="39"/>
  <c r="F1123" i="39"/>
  <c r="D1123" i="39"/>
  <c r="F1121" i="39"/>
  <c r="D1121" i="39"/>
  <c r="F1120" i="39"/>
  <c r="D1120" i="39"/>
  <c r="F1119" i="39"/>
  <c r="D1119" i="39"/>
  <c r="F1118" i="39"/>
  <c r="D1118" i="39"/>
  <c r="F1112" i="39"/>
  <c r="D1112" i="39"/>
  <c r="F1111" i="39"/>
  <c r="D1111" i="39"/>
  <c r="E1105" i="39"/>
  <c r="F1105" i="39" s="1"/>
  <c r="E1104" i="39"/>
  <c r="E1103" i="39"/>
  <c r="E1100" i="39"/>
  <c r="F1075" i="39"/>
  <c r="D1075" i="39"/>
  <c r="F1074" i="39"/>
  <c r="D1074" i="39"/>
  <c r="F1073" i="39"/>
  <c r="D1073" i="39"/>
  <c r="F1072" i="39"/>
  <c r="D1072" i="39"/>
  <c r="F1070" i="39"/>
  <c r="D1070" i="39"/>
  <c r="F1069" i="39"/>
  <c r="D1069" i="39"/>
  <c r="F1068" i="39"/>
  <c r="D1068" i="39"/>
  <c r="F1067" i="39"/>
  <c r="D1067" i="39"/>
  <c r="F1061" i="39"/>
  <c r="D1061" i="39"/>
  <c r="F1060" i="39"/>
  <c r="D1060" i="39"/>
  <c r="E1054" i="39"/>
  <c r="F1054" i="39"/>
  <c r="E1053" i="39"/>
  <c r="F1053" i="39" s="1"/>
  <c r="E1052" i="39"/>
  <c r="F1052" i="39" s="1"/>
  <c r="E1051" i="39"/>
  <c r="F1051" i="39"/>
  <c r="E1050" i="39"/>
  <c r="F1050" i="39"/>
  <c r="E1049" i="39"/>
  <c r="F1049" i="39" s="1"/>
  <c r="F1022" i="39"/>
  <c r="D1022" i="39"/>
  <c r="F1021" i="39"/>
  <c r="D1021" i="39"/>
  <c r="F1020" i="39"/>
  <c r="D1020" i="39"/>
  <c r="F1019" i="39"/>
  <c r="D1019" i="39"/>
  <c r="F1017" i="39"/>
  <c r="D1017" i="39"/>
  <c r="F1016" i="39"/>
  <c r="D1016" i="39"/>
  <c r="F1015" i="39"/>
  <c r="D1015" i="39"/>
  <c r="F1014" i="39"/>
  <c r="D1014" i="39"/>
  <c r="F1008" i="39"/>
  <c r="D1008" i="39"/>
  <c r="F1007" i="39"/>
  <c r="D1007" i="39"/>
  <c r="E1001" i="39"/>
  <c r="F1001" i="39"/>
  <c r="E1000" i="39"/>
  <c r="F1000" i="39"/>
  <c r="E999" i="39"/>
  <c r="F999" i="39"/>
  <c r="E998" i="39"/>
  <c r="F998" i="39"/>
  <c r="E997" i="39"/>
  <c r="F997" i="39"/>
  <c r="F918" i="39"/>
  <c r="D918" i="39"/>
  <c r="F917" i="39"/>
  <c r="D917" i="39"/>
  <c r="F916" i="39"/>
  <c r="D916" i="39"/>
  <c r="F915" i="39"/>
  <c r="D915" i="39"/>
  <c r="F913" i="39"/>
  <c r="D913" i="39"/>
  <c r="F912" i="39"/>
  <c r="D912" i="39"/>
  <c r="F911" i="39"/>
  <c r="D911" i="39"/>
  <c r="F910" i="39"/>
  <c r="D910" i="39"/>
  <c r="F904" i="39"/>
  <c r="D904" i="39"/>
  <c r="F903" i="39"/>
  <c r="D903" i="39"/>
  <c r="E897" i="39"/>
  <c r="E896" i="39"/>
  <c r="E895" i="39"/>
  <c r="F894" i="39"/>
  <c r="E893" i="39"/>
  <c r="E892" i="39"/>
  <c r="F866" i="39"/>
  <c r="D866" i="39"/>
  <c r="F865" i="39"/>
  <c r="D865" i="39"/>
  <c r="F864" i="39"/>
  <c r="D864" i="39"/>
  <c r="F863" i="39"/>
  <c r="D863" i="39"/>
  <c r="F861" i="39"/>
  <c r="D861" i="39"/>
  <c r="F860" i="39"/>
  <c r="D860" i="39"/>
  <c r="F859" i="39"/>
  <c r="D859" i="39"/>
  <c r="F858" i="39"/>
  <c r="D858" i="39"/>
  <c r="F852" i="39"/>
  <c r="D852" i="39"/>
  <c r="F851" i="39"/>
  <c r="D851" i="39"/>
  <c r="E845" i="39"/>
  <c r="F845" i="39"/>
  <c r="E844" i="39"/>
  <c r="F844" i="39"/>
  <c r="E843" i="39"/>
  <c r="F843" i="39"/>
  <c r="E842" i="39"/>
  <c r="F842" i="39"/>
  <c r="E841" i="39"/>
  <c r="F841" i="39"/>
  <c r="E840" i="39"/>
  <c r="F840" i="39"/>
  <c r="F813" i="39"/>
  <c r="D813" i="39"/>
  <c r="F812" i="39"/>
  <c r="D812" i="39"/>
  <c r="F811" i="39"/>
  <c r="D811" i="39"/>
  <c r="F810" i="39"/>
  <c r="D810" i="39"/>
  <c r="F808" i="39"/>
  <c r="D808" i="39"/>
  <c r="F807" i="39"/>
  <c r="D807" i="39"/>
  <c r="F806" i="39"/>
  <c r="D806" i="39"/>
  <c r="F805" i="39"/>
  <c r="D805" i="39"/>
  <c r="F799" i="39"/>
  <c r="D799" i="39"/>
  <c r="F798" i="39"/>
  <c r="D798" i="39"/>
  <c r="E792" i="39"/>
  <c r="F792" i="39"/>
  <c r="E791" i="39"/>
  <c r="F791" i="39"/>
  <c r="E790" i="39"/>
  <c r="F790" i="39"/>
  <c r="E789" i="39"/>
  <c r="F789" i="39"/>
  <c r="E788" i="39"/>
  <c r="F788" i="39"/>
  <c r="F559" i="39"/>
  <c r="D559" i="39"/>
  <c r="F558" i="39"/>
  <c r="D558" i="39"/>
  <c r="F557" i="39"/>
  <c r="D557" i="39"/>
  <c r="F556" i="39"/>
  <c r="D556" i="39"/>
  <c r="F554" i="39"/>
  <c r="D554" i="39"/>
  <c r="F553" i="39"/>
  <c r="D553" i="39"/>
  <c r="F552" i="39"/>
  <c r="D552" i="39"/>
  <c r="F551" i="39"/>
  <c r="D551" i="39"/>
  <c r="F545" i="39"/>
  <c r="D545" i="39"/>
  <c r="F544" i="39"/>
  <c r="D544" i="39"/>
  <c r="E538" i="39"/>
  <c r="E589" i="39"/>
  <c r="E640" i="39" s="1"/>
  <c r="E537" i="39"/>
  <c r="E588" i="39"/>
  <c r="E536" i="39"/>
  <c r="E587" i="39"/>
  <c r="E534" i="39"/>
  <c r="E533" i="39"/>
  <c r="F508" i="39"/>
  <c r="D508" i="39"/>
  <c r="F507" i="39"/>
  <c r="D507" i="39"/>
  <c r="F506" i="39"/>
  <c r="D506" i="39"/>
  <c r="F505" i="39"/>
  <c r="D505" i="39"/>
  <c r="F503" i="39"/>
  <c r="D503" i="39"/>
  <c r="F502" i="39"/>
  <c r="D502" i="39"/>
  <c r="F501" i="39"/>
  <c r="D501" i="39"/>
  <c r="F500" i="39"/>
  <c r="D500" i="39"/>
  <c r="F494" i="39"/>
  <c r="D494" i="39"/>
  <c r="F493" i="39"/>
  <c r="D493" i="39"/>
  <c r="E487" i="39"/>
  <c r="F487" i="39"/>
  <c r="E486" i="39"/>
  <c r="F486" i="39"/>
  <c r="E485" i="39"/>
  <c r="F485" i="39" s="1"/>
  <c r="E484" i="39"/>
  <c r="F484" i="39" s="1"/>
  <c r="E483" i="39"/>
  <c r="F483" i="39"/>
  <c r="E482" i="39"/>
  <c r="F482" i="39"/>
  <c r="F455" i="39"/>
  <c r="D455" i="39"/>
  <c r="F454" i="39"/>
  <c r="D454" i="39"/>
  <c r="F453" i="39"/>
  <c r="D453" i="39"/>
  <c r="F452" i="39"/>
  <c r="D452" i="39"/>
  <c r="F450" i="39"/>
  <c r="D450" i="39"/>
  <c r="F449" i="39"/>
  <c r="D449" i="39"/>
  <c r="F448" i="39"/>
  <c r="D448" i="39"/>
  <c r="F447" i="39"/>
  <c r="D447" i="39"/>
  <c r="F441" i="39"/>
  <c r="D441" i="39"/>
  <c r="F440" i="39"/>
  <c r="D440" i="39"/>
  <c r="E434" i="39"/>
  <c r="F434" i="39"/>
  <c r="E433" i="39"/>
  <c r="F433" i="39"/>
  <c r="E432" i="39"/>
  <c r="F432" i="39" s="1"/>
  <c r="E431" i="39"/>
  <c r="F431" i="39" s="1"/>
  <c r="E430" i="39"/>
  <c r="F430" i="39"/>
  <c r="F354" i="39"/>
  <c r="D354" i="39"/>
  <c r="F353" i="39"/>
  <c r="D353" i="39"/>
  <c r="F352" i="39"/>
  <c r="D352" i="39"/>
  <c r="F351" i="39"/>
  <c r="D351" i="39"/>
  <c r="F349" i="39"/>
  <c r="D349" i="39"/>
  <c r="F348" i="39"/>
  <c r="D348" i="39"/>
  <c r="F347" i="39"/>
  <c r="D347" i="39"/>
  <c r="F346" i="39"/>
  <c r="D346" i="39"/>
  <c r="F340" i="39"/>
  <c r="D340" i="39"/>
  <c r="F339" i="39"/>
  <c r="D339" i="39"/>
  <c r="E333" i="39"/>
  <c r="F333" i="39" s="1"/>
  <c r="E332" i="39"/>
  <c r="E331" i="39"/>
  <c r="E329" i="39"/>
  <c r="E328" i="39"/>
  <c r="F303" i="39"/>
  <c r="F302" i="39"/>
  <c r="F301" i="39"/>
  <c r="F300" i="39"/>
  <c r="F298" i="39"/>
  <c r="D298" i="39"/>
  <c r="F297" i="39"/>
  <c r="D297" i="39"/>
  <c r="F296" i="39"/>
  <c r="D296" i="39"/>
  <c r="F295" i="39"/>
  <c r="D295" i="39"/>
  <c r="F289" i="39"/>
  <c r="F288" i="39"/>
  <c r="D288" i="39"/>
  <c r="E282" i="39"/>
  <c r="F282" i="39"/>
  <c r="E281" i="39"/>
  <c r="F281" i="39" s="1"/>
  <c r="E280" i="39"/>
  <c r="F280" i="39" s="1"/>
  <c r="E279" i="39"/>
  <c r="F279" i="39" s="1"/>
  <c r="E278" i="39"/>
  <c r="F278" i="39"/>
  <c r="E277" i="39"/>
  <c r="F277" i="39"/>
  <c r="F250" i="39"/>
  <c r="D250" i="39"/>
  <c r="F249" i="39"/>
  <c r="D249" i="39"/>
  <c r="F248" i="39"/>
  <c r="D248" i="39"/>
  <c r="F247" i="39"/>
  <c r="D247" i="39"/>
  <c r="F245" i="39"/>
  <c r="D245" i="39"/>
  <c r="F244" i="39"/>
  <c r="D244" i="39"/>
  <c r="F243" i="39"/>
  <c r="D243" i="39"/>
  <c r="F242" i="39"/>
  <c r="D242" i="39"/>
  <c r="F236" i="39"/>
  <c r="D236" i="39"/>
  <c r="F235" i="39"/>
  <c r="D235" i="39"/>
  <c r="E229" i="39"/>
  <c r="F229" i="39"/>
  <c r="E228" i="39"/>
  <c r="F228" i="39"/>
  <c r="E227" i="39"/>
  <c r="F227" i="39" s="1"/>
  <c r="E226" i="39"/>
  <c r="F226" i="39" s="1"/>
  <c r="E225" i="39"/>
  <c r="F225" i="39"/>
  <c r="F98" i="39"/>
  <c r="D98" i="39"/>
  <c r="F97" i="39"/>
  <c r="D97" i="39"/>
  <c r="F96" i="39"/>
  <c r="D96" i="39"/>
  <c r="F95" i="39"/>
  <c r="D95" i="39"/>
  <c r="F93" i="39"/>
  <c r="D93" i="39"/>
  <c r="F92" i="39"/>
  <c r="D92" i="39"/>
  <c r="F91" i="39"/>
  <c r="D91" i="39"/>
  <c r="F90" i="39"/>
  <c r="D90" i="39"/>
  <c r="F84" i="39"/>
  <c r="D84" i="39"/>
  <c r="F83" i="39"/>
  <c r="D83" i="39"/>
  <c r="C83" i="39"/>
  <c r="E77" i="39"/>
  <c r="E76" i="39"/>
  <c r="E75" i="39"/>
  <c r="E73" i="39"/>
  <c r="E72" i="39"/>
  <c r="F47" i="39"/>
  <c r="D47" i="39"/>
  <c r="F46" i="39"/>
  <c r="D46" i="39"/>
  <c r="F45" i="39"/>
  <c r="D45" i="39"/>
  <c r="F44" i="39"/>
  <c r="D44" i="39"/>
  <c r="F42" i="39"/>
  <c r="D42" i="39"/>
  <c r="F41" i="39"/>
  <c r="D41" i="39"/>
  <c r="F40" i="39"/>
  <c r="D40" i="39"/>
  <c r="F39" i="39"/>
  <c r="D39" i="39"/>
  <c r="F33" i="39"/>
  <c r="D33" i="39"/>
  <c r="F32" i="39"/>
  <c r="D32" i="39"/>
  <c r="E32" i="39" s="1"/>
  <c r="E26" i="39"/>
  <c r="F26" i="39" s="1"/>
  <c r="E25" i="39"/>
  <c r="F25" i="39"/>
  <c r="E24" i="39"/>
  <c r="F24" i="39"/>
  <c r="E23" i="39"/>
  <c r="F23" i="39" s="1"/>
  <c r="E22" i="39"/>
  <c r="F22" i="39"/>
  <c r="E21" i="39"/>
  <c r="F21" i="39"/>
  <c r="E10" i="39"/>
  <c r="F10" i="39"/>
  <c r="F61" i="39" s="1"/>
  <c r="C10" i="39"/>
  <c r="C61" i="39" s="1"/>
  <c r="C112" i="39" s="1"/>
  <c r="B10" i="39"/>
  <c r="B61" i="39"/>
  <c r="E9" i="39"/>
  <c r="E60" i="39"/>
  <c r="E111" i="39" s="1"/>
  <c r="E162" i="39"/>
  <c r="B9" i="39"/>
  <c r="B38" i="39"/>
  <c r="Z91" i="11"/>
  <c r="Z92" i="11"/>
  <c r="C92" i="11"/>
  <c r="D105" i="29" s="1"/>
  <c r="C91" i="11"/>
  <c r="D104" i="29"/>
  <c r="C1304" i="36"/>
  <c r="C1287" i="36"/>
  <c r="E1333" i="36"/>
  <c r="E1332" i="36"/>
  <c r="E1331" i="36"/>
  <c r="E1330" i="36"/>
  <c r="G1328" i="36"/>
  <c r="E1328" i="36"/>
  <c r="G1327" i="36"/>
  <c r="E1327" i="36"/>
  <c r="G1326" i="36"/>
  <c r="E1326" i="36"/>
  <c r="G1325" i="36"/>
  <c r="E1325" i="36"/>
  <c r="B1305" i="36"/>
  <c r="B1306" i="36"/>
  <c r="B1307" i="36" s="1"/>
  <c r="B1308" i="36"/>
  <c r="B1309" i="36" s="1"/>
  <c r="B1310" i="36" s="1"/>
  <c r="B1311" i="36" s="1"/>
  <c r="B1312" i="36" s="1"/>
  <c r="B1313" i="36" s="1"/>
  <c r="E1297" i="36"/>
  <c r="C1248" i="36"/>
  <c r="E325" i="31"/>
  <c r="F325" i="31" s="1"/>
  <c r="H325" i="31"/>
  <c r="H324" i="31"/>
  <c r="F324" i="31"/>
  <c r="O30" i="36" s="1"/>
  <c r="E324" i="31"/>
  <c r="C1231" i="36"/>
  <c r="E1277" i="36"/>
  <c r="E1276" i="36"/>
  <c r="E1275" i="36"/>
  <c r="E1274" i="36"/>
  <c r="E1272" i="36"/>
  <c r="E1271" i="36"/>
  <c r="E1270" i="36"/>
  <c r="E1269" i="36"/>
  <c r="B1249" i="36"/>
  <c r="B1250" i="36"/>
  <c r="B1251" i="36" s="1"/>
  <c r="B1252" i="36" s="1"/>
  <c r="B1253" i="36" s="1"/>
  <c r="B1254" i="36" s="1"/>
  <c r="B1255" i="36" s="1"/>
  <c r="B1256" i="36" s="1"/>
  <c r="B1257" i="36" s="1"/>
  <c r="E1241" i="36"/>
  <c r="G1274" i="36" s="1"/>
  <c r="G1270" i="36"/>
  <c r="E1248" i="36"/>
  <c r="F323" i="29"/>
  <c r="E323" i="29"/>
  <c r="F1511" i="39"/>
  <c r="F1716" i="39" s="1"/>
  <c r="E1716" i="39"/>
  <c r="F1514" i="39"/>
  <c r="F1719" i="39" s="1"/>
  <c r="E1719" i="39"/>
  <c r="F1513" i="39"/>
  <c r="F1718" i="39"/>
  <c r="E1718" i="39"/>
  <c r="F1512" i="39"/>
  <c r="F1717" i="39" s="1"/>
  <c r="E1717" i="39"/>
  <c r="F1516" i="39"/>
  <c r="F1721" i="39"/>
  <c r="E1721" i="39"/>
  <c r="F1563" i="39"/>
  <c r="E1614" i="39"/>
  <c r="F1614" i="39"/>
  <c r="F1567" i="39"/>
  <c r="E1618" i="39"/>
  <c r="F1618" i="39"/>
  <c r="F1562" i="39"/>
  <c r="E1613" i="39"/>
  <c r="F1613" i="39"/>
  <c r="F1565" i="39"/>
  <c r="E1616" i="39"/>
  <c r="F1616" i="39"/>
  <c r="F1306" i="39"/>
  <c r="E1357" i="39"/>
  <c r="E1409" i="39" s="1"/>
  <c r="F1310" i="39"/>
  <c r="E1361" i="39"/>
  <c r="E1413" i="39"/>
  <c r="F1413" i="39"/>
  <c r="F1305" i="39"/>
  <c r="E1356" i="39"/>
  <c r="E1408" i="39" s="1"/>
  <c r="F1308" i="39"/>
  <c r="E1359" i="39"/>
  <c r="F1100" i="39"/>
  <c r="E1151" i="39"/>
  <c r="F1151" i="39" s="1"/>
  <c r="F1104" i="39"/>
  <c r="E1155" i="39"/>
  <c r="F1155" i="39" s="1"/>
  <c r="F893" i="39"/>
  <c r="E946" i="39"/>
  <c r="F946" i="39"/>
  <c r="F897" i="39"/>
  <c r="E950" i="39"/>
  <c r="F950" i="39"/>
  <c r="F892" i="39"/>
  <c r="E945" i="39"/>
  <c r="F945" i="39"/>
  <c r="F895" i="39"/>
  <c r="E948" i="39"/>
  <c r="F948" i="39" s="1"/>
  <c r="E585" i="39"/>
  <c r="E584" i="39"/>
  <c r="E639" i="39"/>
  <c r="E638" i="39"/>
  <c r="F329" i="39"/>
  <c r="E380" i="39"/>
  <c r="F380" i="39" s="1"/>
  <c r="E384" i="39"/>
  <c r="F384" i="39" s="1"/>
  <c r="F328" i="39"/>
  <c r="E379" i="39"/>
  <c r="F379" i="39" s="1"/>
  <c r="F332" i="39"/>
  <c r="E383" i="39"/>
  <c r="F331" i="39"/>
  <c r="E382" i="39"/>
  <c r="F382" i="39"/>
  <c r="F73" i="39"/>
  <c r="F124" i="39" s="1"/>
  <c r="F175" i="39"/>
  <c r="E124" i="39"/>
  <c r="E175" i="39" s="1"/>
  <c r="F77" i="39"/>
  <c r="F128" i="39" s="1"/>
  <c r="F179" i="39" s="1"/>
  <c r="E128" i="39"/>
  <c r="E179" i="39" s="1"/>
  <c r="F72" i="39"/>
  <c r="F123" i="39" s="1"/>
  <c r="F174" i="39" s="1"/>
  <c r="E123" i="39"/>
  <c r="E174" i="39" s="1"/>
  <c r="F76" i="39"/>
  <c r="F127" i="39"/>
  <c r="F178" i="39" s="1"/>
  <c r="E127" i="39"/>
  <c r="E178" i="39" s="1"/>
  <c r="F75" i="39"/>
  <c r="F126" i="39"/>
  <c r="F177" i="39"/>
  <c r="E126" i="39"/>
  <c r="E177" i="39"/>
  <c r="E213" i="39"/>
  <c r="E265" i="39" s="1"/>
  <c r="F533" i="39"/>
  <c r="C9" i="39"/>
  <c r="C60" i="39" s="1"/>
  <c r="C111" i="39" s="1"/>
  <c r="F534" i="39"/>
  <c r="B43" i="39"/>
  <c r="B60" i="39"/>
  <c r="B111" i="39" s="1"/>
  <c r="B162" i="39" s="1"/>
  <c r="B65" i="39"/>
  <c r="F536" i="39"/>
  <c r="E61" i="39"/>
  <c r="E112" i="39"/>
  <c r="D10" i="39"/>
  <c r="G10" i="39"/>
  <c r="I10" i="39" s="1"/>
  <c r="C14" i="39" s="1"/>
  <c r="E14" i="39" s="1"/>
  <c r="B13" i="39"/>
  <c r="B14" i="39"/>
  <c r="F538" i="39"/>
  <c r="F9" i="39"/>
  <c r="F60" i="39"/>
  <c r="F111" i="39" s="1"/>
  <c r="F162" i="39" s="1"/>
  <c r="F537" i="39"/>
  <c r="G1331" i="36"/>
  <c r="G1269" i="36"/>
  <c r="G1277" i="36"/>
  <c r="G1272" i="36"/>
  <c r="G1276" i="36"/>
  <c r="G1271" i="36"/>
  <c r="G1275" i="36"/>
  <c r="G1263" i="36"/>
  <c r="E34" i="12"/>
  <c r="E338" i="16"/>
  <c r="F338" i="16" s="1"/>
  <c r="E1658" i="16"/>
  <c r="B1658" i="16"/>
  <c r="E1553" i="16"/>
  <c r="B1553" i="16"/>
  <c r="E1448" i="16"/>
  <c r="B1448" i="16"/>
  <c r="E1341" i="16"/>
  <c r="B1341" i="16"/>
  <c r="E1236" i="16"/>
  <c r="B1236" i="16"/>
  <c r="E1131" i="16"/>
  <c r="B1131" i="16"/>
  <c r="E1025" i="16"/>
  <c r="B1025" i="16"/>
  <c r="E920" i="16"/>
  <c r="B920" i="16"/>
  <c r="E760" i="16"/>
  <c r="B760" i="16"/>
  <c r="E654" i="16"/>
  <c r="B654" i="16"/>
  <c r="D280" i="29"/>
  <c r="D281" i="29"/>
  <c r="D282" i="29"/>
  <c r="D283" i="29"/>
  <c r="D284" i="29"/>
  <c r="D285" i="29"/>
  <c r="D286" i="29"/>
  <c r="D279" i="29"/>
  <c r="U278" i="29"/>
  <c r="U281" i="29"/>
  <c r="U283" i="29"/>
  <c r="U285" i="29"/>
  <c r="U287" i="29"/>
  <c r="U279" i="29"/>
  <c r="E1981" i="16"/>
  <c r="F1981" i="16"/>
  <c r="B1981" i="16"/>
  <c r="E1926" i="16"/>
  <c r="F1926" i="16"/>
  <c r="B1926" i="16"/>
  <c r="E548" i="16"/>
  <c r="B548" i="16"/>
  <c r="E1871" i="16"/>
  <c r="B1871" i="16"/>
  <c r="C1816" i="16"/>
  <c r="C1871" i="16" s="1"/>
  <c r="C1926" i="16"/>
  <c r="C1981" i="16" s="1"/>
  <c r="B1816" i="16"/>
  <c r="E1816" i="16"/>
  <c r="E443" i="16"/>
  <c r="B443" i="16"/>
  <c r="B1840" i="16"/>
  <c r="B1895" i="16" s="1"/>
  <c r="B1950" i="16"/>
  <c r="B2005" i="16" s="1"/>
  <c r="B1841" i="16"/>
  <c r="B1896" i="16" s="1"/>
  <c r="B1951" i="16" s="1"/>
  <c r="B2006" i="16" s="1"/>
  <c r="B1842" i="16"/>
  <c r="B1897" i="16" s="1"/>
  <c r="B1952" i="16" s="1"/>
  <c r="B2007" i="16" s="1"/>
  <c r="B1839" i="16"/>
  <c r="B1894" i="16" s="1"/>
  <c r="B1949" i="16" s="1"/>
  <c r="B2004" i="16" s="1"/>
  <c r="B1835" i="16"/>
  <c r="B1890" i="16" s="1"/>
  <c r="B1945" i="16" s="1"/>
  <c r="B2000" i="16" s="1"/>
  <c r="B1836" i="16"/>
  <c r="B1891" i="16" s="1"/>
  <c r="B1946" i="16" s="1"/>
  <c r="B2001" i="16" s="1"/>
  <c r="B1837" i="16"/>
  <c r="B1892" i="16" s="1"/>
  <c r="B1947" i="16" s="1"/>
  <c r="B2002" i="16" s="1"/>
  <c r="B1834" i="16"/>
  <c r="B1889" i="16" s="1"/>
  <c r="B1944" i="16" s="1"/>
  <c r="B1999" i="16" s="1"/>
  <c r="B1828" i="16"/>
  <c r="B1883" i="16" s="1"/>
  <c r="B1938" i="16"/>
  <c r="B1993" i="16" s="1"/>
  <c r="B1827" i="16"/>
  <c r="B1882" i="16" s="1"/>
  <c r="B1937" i="16" s="1"/>
  <c r="B1992" i="16" s="1"/>
  <c r="B1814" i="16"/>
  <c r="B1869" i="16" s="1"/>
  <c r="B1924" i="16"/>
  <c r="B1979" i="16" s="1"/>
  <c r="C1814" i="16"/>
  <c r="C1869" i="16" s="1"/>
  <c r="C1924" i="16" s="1"/>
  <c r="C1979" i="16" s="1"/>
  <c r="D1814" i="16"/>
  <c r="D1869" i="16" s="1"/>
  <c r="D1924" i="16"/>
  <c r="D1979" i="16" s="1"/>
  <c r="B1815" i="16"/>
  <c r="B1870" i="16" s="1"/>
  <c r="B1925" i="16" s="1"/>
  <c r="B1980" i="16" s="1"/>
  <c r="C1815" i="16"/>
  <c r="C1870" i="16" s="1"/>
  <c r="C1925" i="16" s="1"/>
  <c r="C1980" i="16" s="1"/>
  <c r="D1815" i="16"/>
  <c r="D1870" i="16" s="1"/>
  <c r="D1925" i="16" s="1"/>
  <c r="D1980" i="16" s="1"/>
  <c r="D1816" i="16"/>
  <c r="D1871" i="16" s="1"/>
  <c r="B1817" i="16"/>
  <c r="B1872" i="16" s="1"/>
  <c r="B1927" i="16" s="1"/>
  <c r="B1982" i="16" s="1"/>
  <c r="C1817" i="16"/>
  <c r="C1872" i="16" s="1"/>
  <c r="C1927" i="16"/>
  <c r="C1982" i="16" s="1"/>
  <c r="D1817" i="16"/>
  <c r="D1872" i="16" s="1"/>
  <c r="D1927" i="16" s="1"/>
  <c r="D1982" i="16" s="1"/>
  <c r="B1818" i="16"/>
  <c r="B1873" i="16" s="1"/>
  <c r="B1928" i="16" s="1"/>
  <c r="B1983" i="16" s="1"/>
  <c r="C1818" i="16"/>
  <c r="C1873" i="16" s="1"/>
  <c r="C1928" i="16" s="1"/>
  <c r="C1983" i="16" s="1"/>
  <c r="D1818" i="16"/>
  <c r="D1873" i="16" s="1"/>
  <c r="D1928" i="16"/>
  <c r="D1983" i="16" s="1"/>
  <c r="B1819" i="16"/>
  <c r="B1874" i="16" s="1"/>
  <c r="B1929" i="16" s="1"/>
  <c r="B1984" i="16" s="1"/>
  <c r="C1819" i="16"/>
  <c r="C1874" i="16" s="1"/>
  <c r="C1929" i="16" s="1"/>
  <c r="C1984" i="16" s="1"/>
  <c r="D1819" i="16"/>
  <c r="D1874" i="16" s="1"/>
  <c r="D1929" i="16" s="1"/>
  <c r="D1984" i="16" s="1"/>
  <c r="B1820" i="16"/>
  <c r="B1875" i="16" s="1"/>
  <c r="B1930" i="16" s="1"/>
  <c r="B1985" i="16" s="1"/>
  <c r="C1820" i="16"/>
  <c r="C1875" i="16" s="1"/>
  <c r="C1930" i="16" s="1"/>
  <c r="C1985" i="16" s="1"/>
  <c r="D1820" i="16"/>
  <c r="D1875" i="16" s="1"/>
  <c r="D1930" i="16" s="1"/>
  <c r="D1985" i="16" s="1"/>
  <c r="B1821" i="16"/>
  <c r="B1876" i="16" s="1"/>
  <c r="B1931" i="16" s="1"/>
  <c r="B1986" i="16" s="1"/>
  <c r="C1821" i="16"/>
  <c r="C1876" i="16" s="1"/>
  <c r="C1931" i="16"/>
  <c r="C1986" i="16" s="1"/>
  <c r="D1821" i="16"/>
  <c r="D1876" i="16" s="1"/>
  <c r="D1931" i="16" s="1"/>
  <c r="D1986" i="16" s="1"/>
  <c r="C1813" i="16"/>
  <c r="C1868" i="16" s="1"/>
  <c r="C1923" i="16"/>
  <c r="C1978" i="16" s="1"/>
  <c r="D1813" i="16"/>
  <c r="D1868" i="16" s="1"/>
  <c r="D1923" i="16" s="1"/>
  <c r="D1978" i="16" s="1"/>
  <c r="B1813" i="16"/>
  <c r="B1868" i="16" s="1"/>
  <c r="B1923" i="16"/>
  <c r="B1978" i="16" s="1"/>
  <c r="D1806" i="16"/>
  <c r="D1861" i="16" s="1"/>
  <c r="D1916" i="16" s="1"/>
  <c r="D1971" i="16" s="1"/>
  <c r="D1807" i="16"/>
  <c r="D1862" i="16" s="1"/>
  <c r="D1917" i="16" s="1"/>
  <c r="D1972" i="16" s="1"/>
  <c r="B338" i="16"/>
  <c r="E232" i="16"/>
  <c r="B232" i="16"/>
  <c r="C40" i="37"/>
  <c r="C62" i="37"/>
  <c r="AB9" i="11"/>
  <c r="AB7" i="11"/>
  <c r="AB5" i="11"/>
  <c r="E9" i="37"/>
  <c r="E8" i="37"/>
  <c r="E7" i="37"/>
  <c r="E6" i="37"/>
  <c r="E5" i="37"/>
  <c r="F4" i="37"/>
  <c r="E4" i="37"/>
  <c r="F3" i="37"/>
  <c r="E3" i="37"/>
  <c r="E2" i="37"/>
  <c r="F2" i="37"/>
  <c r="D10" i="29"/>
  <c r="D11" i="29"/>
  <c r="D12" i="29"/>
  <c r="D13" i="29"/>
  <c r="D14" i="29"/>
  <c r="D15" i="29"/>
  <c r="D16" i="29"/>
  <c r="D9" i="29"/>
  <c r="U229" i="29"/>
  <c r="U232" i="29"/>
  <c r="U235" i="29"/>
  <c r="U238" i="29"/>
  <c r="U241" i="29"/>
  <c r="U244" i="29"/>
  <c r="U247" i="29"/>
  <c r="U250" i="29"/>
  <c r="U252" i="29"/>
  <c r="U255" i="29"/>
  <c r="U258" i="29"/>
  <c r="U261" i="29"/>
  <c r="U264" i="29"/>
  <c r="U267" i="29"/>
  <c r="U270" i="29"/>
  <c r="U273" i="29"/>
  <c r="E127" i="16"/>
  <c r="B127" i="16"/>
  <c r="E22" i="16"/>
  <c r="B22" i="16"/>
  <c r="E320" i="31"/>
  <c r="E321" i="31"/>
  <c r="E322" i="31"/>
  <c r="E319" i="31"/>
  <c r="E318" i="31"/>
  <c r="E1100" i="14"/>
  <c r="G1100" i="14"/>
  <c r="C317" i="31"/>
  <c r="E1156" i="14"/>
  <c r="C1156" i="14"/>
  <c r="F316" i="31"/>
  <c r="F1156" i="14"/>
  <c r="D238" i="13"/>
  <c r="C238" i="13"/>
  <c r="L49" i="13"/>
  <c r="Z368" i="11"/>
  <c r="G244" i="13"/>
  <c r="E250" i="13"/>
  <c r="G250" i="13"/>
  <c r="E251" i="13"/>
  <c r="G251" i="13"/>
  <c r="E252" i="13"/>
  <c r="G252" i="13"/>
  <c r="E253" i="13"/>
  <c r="G253" i="13"/>
  <c r="E255" i="13"/>
  <c r="G255" i="13"/>
  <c r="E256" i="13"/>
  <c r="G256" i="13"/>
  <c r="E257" i="13"/>
  <c r="G257" i="13"/>
  <c r="E258" i="13"/>
  <c r="G258" i="13"/>
  <c r="L8" i="13"/>
  <c r="B433" i="29"/>
  <c r="B434" i="29"/>
  <c r="B435" i="29"/>
  <c r="B436" i="29"/>
  <c r="B437" i="29"/>
  <c r="B438" i="29"/>
  <c r="B439" i="29"/>
  <c r="B440" i="29"/>
  <c r="B441" i="29"/>
  <c r="B442" i="29"/>
  <c r="B443" i="29"/>
  <c r="B444" i="29"/>
  <c r="B445" i="29"/>
  <c r="B446" i="29"/>
  <c r="B447" i="29"/>
  <c r="B448" i="29"/>
  <c r="B449" i="29"/>
  <c r="B450" i="29"/>
  <c r="B451" i="29"/>
  <c r="B452" i="29"/>
  <c r="B453" i="29"/>
  <c r="B454" i="29"/>
  <c r="B455" i="29"/>
  <c r="B456" i="29"/>
  <c r="B457" i="29"/>
  <c r="B458" i="29"/>
  <c r="B459" i="29"/>
  <c r="B460" i="29"/>
  <c r="B461" i="29"/>
  <c r="B462" i="29"/>
  <c r="B463" i="29"/>
  <c r="B464" i="29"/>
  <c r="B465" i="29"/>
  <c r="B466" i="29"/>
  <c r="B467" i="29"/>
  <c r="B468" i="29"/>
  <c r="B469" i="29"/>
  <c r="B470" i="29"/>
  <c r="B471" i="29"/>
  <c r="B472" i="29"/>
  <c r="B473" i="29"/>
  <c r="B474" i="29"/>
  <c r="B475" i="29"/>
  <c r="B476" i="29"/>
  <c r="B477" i="29"/>
  <c r="B432" i="29"/>
  <c r="C432" i="29"/>
  <c r="D433" i="29"/>
  <c r="D434" i="29"/>
  <c r="D435" i="29"/>
  <c r="D436" i="29"/>
  <c r="D437" i="29"/>
  <c r="D438" i="29"/>
  <c r="D439" i="29"/>
  <c r="D440" i="29"/>
  <c r="D441" i="29"/>
  <c r="D442" i="29"/>
  <c r="D443" i="29"/>
  <c r="D444" i="29"/>
  <c r="D445" i="29"/>
  <c r="D446" i="29"/>
  <c r="D447" i="29"/>
  <c r="D448" i="29"/>
  <c r="D449" i="29"/>
  <c r="D450" i="29"/>
  <c r="D451" i="29"/>
  <c r="D452" i="29"/>
  <c r="D453" i="29"/>
  <c r="D454" i="29"/>
  <c r="D455" i="29"/>
  <c r="D456" i="29"/>
  <c r="D457" i="29"/>
  <c r="D458" i="29"/>
  <c r="D459" i="29"/>
  <c r="D460" i="29"/>
  <c r="D461" i="29"/>
  <c r="D462" i="29"/>
  <c r="D463" i="29"/>
  <c r="D464" i="29"/>
  <c r="D465" i="29"/>
  <c r="D466" i="29"/>
  <c r="D467" i="29"/>
  <c r="D468" i="29"/>
  <c r="D469" i="29"/>
  <c r="D470" i="29"/>
  <c r="D471" i="29"/>
  <c r="D472" i="29"/>
  <c r="D473" i="29"/>
  <c r="D474" i="29"/>
  <c r="D475" i="29"/>
  <c r="D476" i="29"/>
  <c r="D477" i="29"/>
  <c r="D432" i="29"/>
  <c r="F315" i="31"/>
  <c r="G2506" i="13"/>
  <c r="G2507" i="13"/>
  <c r="F2471" i="13"/>
  <c r="C2471" i="13"/>
  <c r="D2471" i="13"/>
  <c r="E2471" i="13"/>
  <c r="C2416" i="13"/>
  <c r="F314" i="31"/>
  <c r="F2416" i="13" s="1"/>
  <c r="G2416" i="13" s="1"/>
  <c r="C2353" i="13"/>
  <c r="F313" i="31"/>
  <c r="C1924" i="13"/>
  <c r="E1915" i="13"/>
  <c r="E1916" i="13"/>
  <c r="E1917" i="13"/>
  <c r="E1918" i="13"/>
  <c r="E1919" i="13"/>
  <c r="E1920" i="13"/>
  <c r="E1921" i="13"/>
  <c r="E1922" i="13"/>
  <c r="E1923" i="13"/>
  <c r="F299" i="31"/>
  <c r="F1857" i="13"/>
  <c r="G1857" i="13" s="1"/>
  <c r="D1856" i="13"/>
  <c r="D1858" i="13"/>
  <c r="D1859" i="13"/>
  <c r="D1860" i="13"/>
  <c r="D1861" i="13"/>
  <c r="D1855" i="13"/>
  <c r="C1856" i="13"/>
  <c r="C1857" i="13"/>
  <c r="C1858" i="13"/>
  <c r="C1859" i="13"/>
  <c r="C1860" i="13"/>
  <c r="C1861" i="13"/>
  <c r="C1862" i="13"/>
  <c r="C1915" i="13" s="1"/>
  <c r="C1863" i="13"/>
  <c r="C1916" i="13" s="1"/>
  <c r="C1864" i="13"/>
  <c r="C1917" i="13" s="1"/>
  <c r="C1865" i="13"/>
  <c r="C1918" i="13" s="1"/>
  <c r="C1866" i="13"/>
  <c r="C1919" i="13" s="1"/>
  <c r="C1867" i="13"/>
  <c r="C1920" i="13" s="1"/>
  <c r="C1868" i="13"/>
  <c r="C1921" i="13" s="1"/>
  <c r="C1869" i="13"/>
  <c r="C1922" i="13" s="1"/>
  <c r="C1870" i="13"/>
  <c r="C1923" i="13" s="1"/>
  <c r="C1855" i="13"/>
  <c r="F298" i="31"/>
  <c r="F1856" i="13"/>
  <c r="G1856" i="13" s="1"/>
  <c r="F300" i="31"/>
  <c r="F1858" i="13" s="1"/>
  <c r="G1858" i="13" s="1"/>
  <c r="F301" i="31"/>
  <c r="F1859" i="13"/>
  <c r="G1859" i="13" s="1"/>
  <c r="F302" i="31"/>
  <c r="F1860" i="13" s="1"/>
  <c r="G1860" i="13" s="1"/>
  <c r="F303" i="31"/>
  <c r="F1861" i="13"/>
  <c r="G1861" i="13" s="1"/>
  <c r="F297" i="31"/>
  <c r="F1855" i="13" s="1"/>
  <c r="G1855" i="13" s="1"/>
  <c r="A298" i="31"/>
  <c r="A299" i="31"/>
  <c r="A300" i="31" s="1"/>
  <c r="A301" i="31"/>
  <c r="A302" i="31" s="1"/>
  <c r="A303" i="31" s="1"/>
  <c r="A305" i="31"/>
  <c r="A306" i="31"/>
  <c r="A307" i="31" s="1"/>
  <c r="A308" i="31" s="1"/>
  <c r="A309" i="31" s="1"/>
  <c r="A310" i="31"/>
  <c r="A311" i="31" s="1"/>
  <c r="A312" i="31" s="1"/>
  <c r="E1810" i="13"/>
  <c r="C1756" i="13"/>
  <c r="C1810" i="13" s="1"/>
  <c r="F296" i="31"/>
  <c r="F1756" i="13" s="1"/>
  <c r="F1810" i="13" s="1"/>
  <c r="F1702" i="13"/>
  <c r="C1702" i="13"/>
  <c r="F295" i="31"/>
  <c r="E1702" i="13"/>
  <c r="D1648" i="13"/>
  <c r="D1702" i="13"/>
  <c r="D1756" i="13" s="1"/>
  <c r="D1810" i="13"/>
  <c r="F294" i="31"/>
  <c r="F1648" i="13"/>
  <c r="G1648" i="13" s="1"/>
  <c r="E1531" i="13"/>
  <c r="E2024" i="13"/>
  <c r="E2296" i="13"/>
  <c r="E1476" i="13"/>
  <c r="F279" i="31"/>
  <c r="E277" i="31"/>
  <c r="F277" i="31"/>
  <c r="F453" i="13" s="1"/>
  <c r="F278" i="31"/>
  <c r="F280" i="31"/>
  <c r="F795" i="13"/>
  <c r="F281" i="31"/>
  <c r="F909" i="13"/>
  <c r="F282" i="31"/>
  <c r="F283" i="31"/>
  <c r="F1137" i="13" s="1"/>
  <c r="F1194" i="13" s="1"/>
  <c r="G1194" i="13" s="1"/>
  <c r="F284" i="31"/>
  <c r="F1251" i="13" s="1"/>
  <c r="G1251" i="13"/>
  <c r="E276" i="31"/>
  <c r="F276" i="31"/>
  <c r="F339" i="13" s="1"/>
  <c r="C1251" i="13"/>
  <c r="C1137" i="13"/>
  <c r="C1194" i="13"/>
  <c r="C1023" i="13"/>
  <c r="C1080" i="13"/>
  <c r="C909" i="13"/>
  <c r="C966" i="13" s="1"/>
  <c r="C795" i="13"/>
  <c r="C852" i="13" s="1"/>
  <c r="C681" i="13"/>
  <c r="C738" i="13"/>
  <c r="E568" i="13"/>
  <c r="E682" i="13"/>
  <c r="E796" i="13" s="1"/>
  <c r="E910" i="13" s="1"/>
  <c r="E1024" i="13" s="1"/>
  <c r="E1138" i="13" s="1"/>
  <c r="E1252" i="13" s="1"/>
  <c r="F567" i="13"/>
  <c r="F624" i="13" s="1"/>
  <c r="C567" i="13"/>
  <c r="C624" i="13" s="1"/>
  <c r="E454" i="13"/>
  <c r="C454" i="13"/>
  <c r="C453" i="13"/>
  <c r="C510" i="13" s="1"/>
  <c r="C397" i="13"/>
  <c r="C511" i="13" s="1"/>
  <c r="C625" i="13"/>
  <c r="C739" i="13" s="1"/>
  <c r="C853" i="13" s="1"/>
  <c r="C967" i="13" s="1"/>
  <c r="C1081" i="13" s="1"/>
  <c r="C1195" i="13" s="1"/>
  <c r="C1309" i="13" s="1"/>
  <c r="E285" i="13"/>
  <c r="E286" i="13"/>
  <c r="E287" i="13"/>
  <c r="E288" i="13"/>
  <c r="E289" i="13"/>
  <c r="E290" i="13"/>
  <c r="E291" i="13"/>
  <c r="E292" i="13"/>
  <c r="E293" i="13"/>
  <c r="G1338" i="13"/>
  <c r="E1338" i="13"/>
  <c r="G1337" i="13"/>
  <c r="E1337" i="13"/>
  <c r="G1336" i="13"/>
  <c r="E1336" i="13"/>
  <c r="G1335" i="13"/>
  <c r="E1335" i="13"/>
  <c r="G1333" i="13"/>
  <c r="E1333" i="13"/>
  <c r="G1332" i="13"/>
  <c r="E1332" i="13"/>
  <c r="G1331" i="13"/>
  <c r="E1331" i="13"/>
  <c r="G1330" i="13"/>
  <c r="E1330" i="13"/>
  <c r="G1324" i="13"/>
  <c r="G1281" i="13"/>
  <c r="E1281" i="13"/>
  <c r="G1280" i="13"/>
  <c r="E1280" i="13"/>
  <c r="G1279" i="13"/>
  <c r="E1279" i="13"/>
  <c r="G1278" i="13"/>
  <c r="E1278" i="13"/>
  <c r="G1276" i="13"/>
  <c r="E1276" i="13"/>
  <c r="G1275" i="13"/>
  <c r="E1275" i="13"/>
  <c r="G1274" i="13"/>
  <c r="E1274" i="13"/>
  <c r="G1273" i="13"/>
  <c r="E1273" i="13"/>
  <c r="G1267" i="13"/>
  <c r="G1224" i="13"/>
  <c r="E1224" i="13"/>
  <c r="G1223" i="13"/>
  <c r="E1223" i="13"/>
  <c r="G1222" i="13"/>
  <c r="E1222" i="13"/>
  <c r="G1221" i="13"/>
  <c r="E1221" i="13"/>
  <c r="G1219" i="13"/>
  <c r="E1219" i="13"/>
  <c r="G1218" i="13"/>
  <c r="E1218" i="13"/>
  <c r="G1217" i="13"/>
  <c r="E1217" i="13"/>
  <c r="G1216" i="13"/>
  <c r="E1216" i="13"/>
  <c r="G1210" i="13"/>
  <c r="G1167" i="13"/>
  <c r="E1167" i="13"/>
  <c r="G1166" i="13"/>
  <c r="E1166" i="13"/>
  <c r="G1165" i="13"/>
  <c r="E1165" i="13"/>
  <c r="G1164" i="13"/>
  <c r="E1164" i="13"/>
  <c r="G1162" i="13"/>
  <c r="E1162" i="13"/>
  <c r="G1161" i="13"/>
  <c r="E1161" i="13"/>
  <c r="G1160" i="13"/>
  <c r="E1160" i="13"/>
  <c r="G1159" i="13"/>
  <c r="E1159" i="13"/>
  <c r="G1153" i="13"/>
  <c r="G1110" i="13"/>
  <c r="E1110" i="13"/>
  <c r="G1109" i="13"/>
  <c r="E1109" i="13"/>
  <c r="G1108" i="13"/>
  <c r="E1108" i="13"/>
  <c r="G1107" i="13"/>
  <c r="E1107" i="13"/>
  <c r="G1105" i="13"/>
  <c r="E1105" i="13"/>
  <c r="G1104" i="13"/>
  <c r="E1104" i="13"/>
  <c r="G1103" i="13"/>
  <c r="E1103" i="13"/>
  <c r="G1102" i="13"/>
  <c r="E1102" i="13"/>
  <c r="G1096" i="13"/>
  <c r="G1053" i="13"/>
  <c r="E1053" i="13"/>
  <c r="G1052" i="13"/>
  <c r="E1052" i="13"/>
  <c r="G1051" i="13"/>
  <c r="E1051" i="13"/>
  <c r="G1050" i="13"/>
  <c r="E1050" i="13"/>
  <c r="G1048" i="13"/>
  <c r="E1048" i="13"/>
  <c r="G1047" i="13"/>
  <c r="E1047" i="13"/>
  <c r="G1046" i="13"/>
  <c r="E1046" i="13"/>
  <c r="G1045" i="13"/>
  <c r="E1045" i="13"/>
  <c r="G1039" i="13"/>
  <c r="G996" i="13"/>
  <c r="E996" i="13"/>
  <c r="G995" i="13"/>
  <c r="E995" i="13"/>
  <c r="G994" i="13"/>
  <c r="E994" i="13"/>
  <c r="G993" i="13"/>
  <c r="E993" i="13"/>
  <c r="G991" i="13"/>
  <c r="E991" i="13"/>
  <c r="G990" i="13"/>
  <c r="E990" i="13"/>
  <c r="G989" i="13"/>
  <c r="E989" i="13"/>
  <c r="G988" i="13"/>
  <c r="E988" i="13"/>
  <c r="G982" i="13"/>
  <c r="G939" i="13"/>
  <c r="E939" i="13"/>
  <c r="G938" i="13"/>
  <c r="E938" i="13"/>
  <c r="G937" i="13"/>
  <c r="E937" i="13"/>
  <c r="G936" i="13"/>
  <c r="E936" i="13"/>
  <c r="G934" i="13"/>
  <c r="E934" i="13"/>
  <c r="G933" i="13"/>
  <c r="E933" i="13"/>
  <c r="G932" i="13"/>
  <c r="E932" i="13"/>
  <c r="G931" i="13"/>
  <c r="E931" i="13"/>
  <c r="G925" i="13"/>
  <c r="G882" i="13"/>
  <c r="E882" i="13"/>
  <c r="G881" i="13"/>
  <c r="E881" i="13"/>
  <c r="G880" i="13"/>
  <c r="E880" i="13"/>
  <c r="G879" i="13"/>
  <c r="E879" i="13"/>
  <c r="G877" i="13"/>
  <c r="E877" i="13"/>
  <c r="G876" i="13"/>
  <c r="E876" i="13"/>
  <c r="G875" i="13"/>
  <c r="E875" i="13"/>
  <c r="G874" i="13"/>
  <c r="E874" i="13"/>
  <c r="G868" i="13"/>
  <c r="G825" i="13"/>
  <c r="E825" i="13"/>
  <c r="G824" i="13"/>
  <c r="E824" i="13"/>
  <c r="G823" i="13"/>
  <c r="E823" i="13"/>
  <c r="G822" i="13"/>
  <c r="E822" i="13"/>
  <c r="G820" i="13"/>
  <c r="E820" i="13"/>
  <c r="G819" i="13"/>
  <c r="E819" i="13"/>
  <c r="G818" i="13"/>
  <c r="E818" i="13"/>
  <c r="G817" i="13"/>
  <c r="E817" i="13"/>
  <c r="G811" i="13"/>
  <c r="G768" i="13"/>
  <c r="E768" i="13"/>
  <c r="G767" i="13"/>
  <c r="E767" i="13"/>
  <c r="G766" i="13"/>
  <c r="E766" i="13"/>
  <c r="G765" i="13"/>
  <c r="E765" i="13"/>
  <c r="G763" i="13"/>
  <c r="E763" i="13"/>
  <c r="G762" i="13"/>
  <c r="E762" i="13"/>
  <c r="G761" i="13"/>
  <c r="E761" i="13"/>
  <c r="G760" i="13"/>
  <c r="E760" i="13"/>
  <c r="G754" i="13"/>
  <c r="G711" i="13"/>
  <c r="E711" i="13"/>
  <c r="G710" i="13"/>
  <c r="E710" i="13"/>
  <c r="G709" i="13"/>
  <c r="E709" i="13"/>
  <c r="G708" i="13"/>
  <c r="E708" i="13"/>
  <c r="G706" i="13"/>
  <c r="E706" i="13"/>
  <c r="G705" i="13"/>
  <c r="E705" i="13"/>
  <c r="G704" i="13"/>
  <c r="E704" i="13"/>
  <c r="G703" i="13"/>
  <c r="E703" i="13"/>
  <c r="G697" i="13"/>
  <c r="G654" i="13"/>
  <c r="E654" i="13"/>
  <c r="G653" i="13"/>
  <c r="E653" i="13"/>
  <c r="G652" i="13"/>
  <c r="E652" i="13"/>
  <c r="G651" i="13"/>
  <c r="E651" i="13"/>
  <c r="G649" i="13"/>
  <c r="E649" i="13"/>
  <c r="G648" i="13"/>
  <c r="E648" i="13"/>
  <c r="G647" i="13"/>
  <c r="E647" i="13"/>
  <c r="G646" i="13"/>
  <c r="E646" i="13"/>
  <c r="G640" i="13"/>
  <c r="G597" i="13"/>
  <c r="E597" i="13"/>
  <c r="G596" i="13"/>
  <c r="E596" i="13"/>
  <c r="G595" i="13"/>
  <c r="E595" i="13"/>
  <c r="G594" i="13"/>
  <c r="E594" i="13"/>
  <c r="G592" i="13"/>
  <c r="E592" i="13"/>
  <c r="G591" i="13"/>
  <c r="E591" i="13"/>
  <c r="G590" i="13"/>
  <c r="E590" i="13"/>
  <c r="G589" i="13"/>
  <c r="E589" i="13"/>
  <c r="G583" i="13"/>
  <c r="G540" i="13"/>
  <c r="E540" i="13"/>
  <c r="G539" i="13"/>
  <c r="E539" i="13"/>
  <c r="G538" i="13"/>
  <c r="E538" i="13"/>
  <c r="G537" i="13"/>
  <c r="E537" i="13"/>
  <c r="G535" i="13"/>
  <c r="E535" i="13"/>
  <c r="G534" i="13"/>
  <c r="E534" i="13"/>
  <c r="G533" i="13"/>
  <c r="E533" i="13"/>
  <c r="G532" i="13"/>
  <c r="E532" i="13"/>
  <c r="G526" i="13"/>
  <c r="G483" i="13"/>
  <c r="E483" i="13"/>
  <c r="G482" i="13"/>
  <c r="E482" i="13"/>
  <c r="G481" i="13"/>
  <c r="E481" i="13"/>
  <c r="G480" i="13"/>
  <c r="E480" i="13"/>
  <c r="G478" i="13"/>
  <c r="E478" i="13"/>
  <c r="G477" i="13"/>
  <c r="E477" i="13"/>
  <c r="G476" i="13"/>
  <c r="E476" i="13"/>
  <c r="G475" i="13"/>
  <c r="E475" i="13"/>
  <c r="G469" i="13"/>
  <c r="E396" i="13"/>
  <c r="E453" i="13" s="1"/>
  <c r="E510" i="13" s="1"/>
  <c r="E567" i="13" s="1"/>
  <c r="E624" i="13" s="1"/>
  <c r="E738" i="13"/>
  <c r="E852" i="13"/>
  <c r="E909" i="13" s="1"/>
  <c r="E966" i="13"/>
  <c r="E1023" i="13" s="1"/>
  <c r="E1080" i="13" s="1"/>
  <c r="E1194" i="13"/>
  <c r="E1308" i="13"/>
  <c r="E397" i="13"/>
  <c r="E511" i="13"/>
  <c r="E625" i="13" s="1"/>
  <c r="E739" i="13" s="1"/>
  <c r="E853" i="13" s="1"/>
  <c r="E967" i="13" s="1"/>
  <c r="E1081" i="13" s="1"/>
  <c r="E1195" i="13" s="1"/>
  <c r="E1309" i="13" s="1"/>
  <c r="E398" i="13"/>
  <c r="E455" i="13" s="1"/>
  <c r="E512" i="13"/>
  <c r="E569" i="13" s="1"/>
  <c r="E626" i="13" s="1"/>
  <c r="E683" i="13" s="1"/>
  <c r="E740" i="13" s="1"/>
  <c r="E797" i="13" s="1"/>
  <c r="E854" i="13" s="1"/>
  <c r="E911" i="13" s="1"/>
  <c r="E968" i="13" s="1"/>
  <c r="E1025" i="13" s="1"/>
  <c r="E1082" i="13" s="1"/>
  <c r="E1139" i="13" s="1"/>
  <c r="E1196" i="13" s="1"/>
  <c r="E1253" i="13" s="1"/>
  <c r="E1310" i="13" s="1"/>
  <c r="E399" i="13"/>
  <c r="E456" i="13"/>
  <c r="E513" i="13" s="1"/>
  <c r="E570" i="13" s="1"/>
  <c r="E627" i="13" s="1"/>
  <c r="E684" i="13" s="1"/>
  <c r="E741" i="13" s="1"/>
  <c r="E798" i="13" s="1"/>
  <c r="E855" i="13" s="1"/>
  <c r="E912" i="13" s="1"/>
  <c r="E969" i="13" s="1"/>
  <c r="E1026" i="13" s="1"/>
  <c r="E1083" i="13" s="1"/>
  <c r="E1140" i="13" s="1"/>
  <c r="E1197" i="13" s="1"/>
  <c r="E1254" i="13" s="1"/>
  <c r="E1311" i="13" s="1"/>
  <c r="E400" i="13"/>
  <c r="E457" i="13" s="1"/>
  <c r="E514" i="13"/>
  <c r="E571" i="13" s="1"/>
  <c r="E628" i="13" s="1"/>
  <c r="E685" i="13" s="1"/>
  <c r="E742" i="13" s="1"/>
  <c r="E799" i="13" s="1"/>
  <c r="E856" i="13" s="1"/>
  <c r="E913" i="13" s="1"/>
  <c r="E970" i="13" s="1"/>
  <c r="E1027" i="13" s="1"/>
  <c r="E1084" i="13" s="1"/>
  <c r="E1141" i="13" s="1"/>
  <c r="E1198" i="13" s="1"/>
  <c r="E1255" i="13" s="1"/>
  <c r="E1312" i="13" s="1"/>
  <c r="E401" i="13"/>
  <c r="E458" i="13"/>
  <c r="E515" i="13" s="1"/>
  <c r="E572" i="13" s="1"/>
  <c r="E629" i="13" s="1"/>
  <c r="E686" i="13" s="1"/>
  <c r="E743" i="13" s="1"/>
  <c r="E800" i="13" s="1"/>
  <c r="E857" i="13" s="1"/>
  <c r="E914" i="13" s="1"/>
  <c r="E971" i="13" s="1"/>
  <c r="E1028" i="13" s="1"/>
  <c r="E1085" i="13" s="1"/>
  <c r="E1142" i="13" s="1"/>
  <c r="E1199" i="13" s="1"/>
  <c r="E1256" i="13" s="1"/>
  <c r="E1313" i="13" s="1"/>
  <c r="E402" i="13"/>
  <c r="E459" i="13" s="1"/>
  <c r="E516" i="13" s="1"/>
  <c r="E573" i="13" s="1"/>
  <c r="E630" i="13" s="1"/>
  <c r="E687" i="13" s="1"/>
  <c r="E744" i="13"/>
  <c r="E801" i="13" s="1"/>
  <c r="E858" i="13" s="1"/>
  <c r="E915" i="13" s="1"/>
  <c r="E972" i="13" s="1"/>
  <c r="E1029" i="13" s="1"/>
  <c r="E1086" i="13" s="1"/>
  <c r="E1143" i="13" s="1"/>
  <c r="E1200" i="13" s="1"/>
  <c r="E1257" i="13" s="1"/>
  <c r="E1314" i="13" s="1"/>
  <c r="E403" i="13"/>
  <c r="E460" i="13"/>
  <c r="E517" i="13" s="1"/>
  <c r="E574" i="13" s="1"/>
  <c r="E631" i="13" s="1"/>
  <c r="E688" i="13"/>
  <c r="E745" i="13" s="1"/>
  <c r="E802" i="13" s="1"/>
  <c r="E859" i="13" s="1"/>
  <c r="E916" i="13" s="1"/>
  <c r="E973" i="13" s="1"/>
  <c r="E1030" i="13" s="1"/>
  <c r="E1087" i="13" s="1"/>
  <c r="E1144" i="13" s="1"/>
  <c r="E1201" i="13" s="1"/>
  <c r="E1258" i="13" s="1"/>
  <c r="E1315" i="13" s="1"/>
  <c r="E404" i="13"/>
  <c r="E461" i="13" s="1"/>
  <c r="E518" i="13" s="1"/>
  <c r="E575" i="13" s="1"/>
  <c r="E632" i="13"/>
  <c r="E689" i="13" s="1"/>
  <c r="E746" i="13" s="1"/>
  <c r="E803" i="13" s="1"/>
  <c r="E860" i="13" s="1"/>
  <c r="E917" i="13" s="1"/>
  <c r="E974" i="13" s="1"/>
  <c r="E1031" i="13" s="1"/>
  <c r="E1088" i="13" s="1"/>
  <c r="E1145" i="13" s="1"/>
  <c r="E1202" i="13" s="1"/>
  <c r="E1259" i="13" s="1"/>
  <c r="E1316" i="13" s="1"/>
  <c r="E405" i="13"/>
  <c r="E462" i="13"/>
  <c r="E519" i="13" s="1"/>
  <c r="E576" i="13" s="1"/>
  <c r="E633" i="13" s="1"/>
  <c r="E690" i="13" s="1"/>
  <c r="E747" i="13" s="1"/>
  <c r="E804" i="13" s="1"/>
  <c r="E861" i="13" s="1"/>
  <c r="E918" i="13" s="1"/>
  <c r="E975" i="13" s="1"/>
  <c r="E1032" i="13" s="1"/>
  <c r="E1089" i="13" s="1"/>
  <c r="E1146" i="13" s="1"/>
  <c r="E1203" i="13" s="1"/>
  <c r="E1260" i="13" s="1"/>
  <c r="E1317" i="13" s="1"/>
  <c r="E406" i="13"/>
  <c r="E463" i="13" s="1"/>
  <c r="E520" i="13"/>
  <c r="E577" i="13" s="1"/>
  <c r="E634" i="13" s="1"/>
  <c r="E691" i="13" s="1"/>
  <c r="E748" i="13" s="1"/>
  <c r="E805" i="13" s="1"/>
  <c r="E862" i="13" s="1"/>
  <c r="E919" i="13" s="1"/>
  <c r="E976" i="13" s="1"/>
  <c r="E1033" i="13" s="1"/>
  <c r="E1090" i="13" s="1"/>
  <c r="E1147" i="13" s="1"/>
  <c r="E1204" i="13" s="1"/>
  <c r="E1261" i="13" s="1"/>
  <c r="E1318" i="13" s="1"/>
  <c r="G412" i="13"/>
  <c r="E418" i="13"/>
  <c r="G418" i="13"/>
  <c r="E419" i="13"/>
  <c r="G419" i="13"/>
  <c r="E420" i="13"/>
  <c r="G420" i="13"/>
  <c r="E421" i="13"/>
  <c r="G421" i="13"/>
  <c r="E423" i="13"/>
  <c r="G423" i="13"/>
  <c r="E424" i="13"/>
  <c r="G424" i="13"/>
  <c r="E425" i="13"/>
  <c r="G425" i="13"/>
  <c r="E426" i="13"/>
  <c r="G426" i="13"/>
  <c r="F681" i="13"/>
  <c r="G681" i="13" s="1"/>
  <c r="F275" i="31"/>
  <c r="F397" i="13" s="1"/>
  <c r="F511" i="13" s="1"/>
  <c r="E274" i="31"/>
  <c r="F274" i="31"/>
  <c r="F340" i="13" s="1"/>
  <c r="F454" i="13" s="1"/>
  <c r="G454" i="13" s="1"/>
  <c r="C342" i="13"/>
  <c r="C286" i="13" s="1"/>
  <c r="C343" i="13"/>
  <c r="C400" i="13" s="1"/>
  <c r="C457" i="13" s="1"/>
  <c r="C514" i="13" s="1"/>
  <c r="C571" i="13" s="1"/>
  <c r="C628" i="13" s="1"/>
  <c r="C685" i="13" s="1"/>
  <c r="C742" i="13" s="1"/>
  <c r="C799" i="13" s="1"/>
  <c r="C856" i="13" s="1"/>
  <c r="C913" i="13" s="1"/>
  <c r="C970" i="13" s="1"/>
  <c r="C1027" i="13" s="1"/>
  <c r="C1084" i="13" s="1"/>
  <c r="C1141" i="13" s="1"/>
  <c r="C1198" i="13" s="1"/>
  <c r="C1255" i="13" s="1"/>
  <c r="C1312" i="13" s="1"/>
  <c r="C344" i="13"/>
  <c r="C345" i="13"/>
  <c r="C346" i="13"/>
  <c r="C403" i="13" s="1"/>
  <c r="C460" i="13" s="1"/>
  <c r="C517" i="13" s="1"/>
  <c r="C574" i="13" s="1"/>
  <c r="C631" i="13" s="1"/>
  <c r="C688" i="13" s="1"/>
  <c r="C745" i="13" s="1"/>
  <c r="C802" i="13" s="1"/>
  <c r="C859" i="13" s="1"/>
  <c r="C916" i="13" s="1"/>
  <c r="C973" i="13" s="1"/>
  <c r="C1030" i="13" s="1"/>
  <c r="C1087" i="13" s="1"/>
  <c r="C1144" i="13" s="1"/>
  <c r="C1201" i="13" s="1"/>
  <c r="C1258" i="13" s="1"/>
  <c r="C1315" i="13" s="1"/>
  <c r="C347" i="13"/>
  <c r="C291" i="13" s="1"/>
  <c r="C348" i="13"/>
  <c r="C405" i="13" s="1"/>
  <c r="C462" i="13" s="1"/>
  <c r="C519" i="13" s="1"/>
  <c r="C576" i="13" s="1"/>
  <c r="C633" i="13" s="1"/>
  <c r="C690" i="13" s="1"/>
  <c r="C747" i="13" s="1"/>
  <c r="C804" i="13" s="1"/>
  <c r="C861" i="13" s="1"/>
  <c r="C918" i="13" s="1"/>
  <c r="C975" i="13" s="1"/>
  <c r="C1032" i="13" s="1"/>
  <c r="C1089" i="13" s="1"/>
  <c r="C1146" i="13" s="1"/>
  <c r="C1203" i="13" s="1"/>
  <c r="C1260" i="13" s="1"/>
  <c r="C1317" i="13" s="1"/>
  <c r="C349" i="13"/>
  <c r="C406" i="13" s="1"/>
  <c r="C463" i="13" s="1"/>
  <c r="C520" i="13" s="1"/>
  <c r="C577" i="13" s="1"/>
  <c r="C634" i="13" s="1"/>
  <c r="C691" i="13" s="1"/>
  <c r="C748" i="13" s="1"/>
  <c r="C805" i="13" s="1"/>
  <c r="C862" i="13" s="1"/>
  <c r="C919" i="13" s="1"/>
  <c r="C976" i="13" s="1"/>
  <c r="C1033" i="13" s="1"/>
  <c r="C1090" i="13" s="1"/>
  <c r="C1147" i="13" s="1"/>
  <c r="C1204" i="13" s="1"/>
  <c r="C1261" i="13" s="1"/>
  <c r="C1318" i="13" s="1"/>
  <c r="C341" i="13"/>
  <c r="C285" i="13" s="1"/>
  <c r="D340" i="13"/>
  <c r="D568" i="13" s="1"/>
  <c r="D682" i="13" s="1"/>
  <c r="D796" i="13" s="1"/>
  <c r="D910" i="13" s="1"/>
  <c r="D1024" i="13" s="1"/>
  <c r="D1138" i="13" s="1"/>
  <c r="D1252" i="13" s="1"/>
  <c r="D339" i="13"/>
  <c r="D396" i="13" s="1"/>
  <c r="D453" i="13" s="1"/>
  <c r="D510" i="13" s="1"/>
  <c r="D567" i="13" s="1"/>
  <c r="D624" i="13" s="1"/>
  <c r="D738" i="13"/>
  <c r="D795" i="13" s="1"/>
  <c r="D852" i="13" s="1"/>
  <c r="D909" i="13" s="1"/>
  <c r="D966" i="13" s="1"/>
  <c r="D1023" i="13" s="1"/>
  <c r="D1080" i="13" s="1"/>
  <c r="D1137" i="13" s="1"/>
  <c r="D1194" i="13" s="1"/>
  <c r="D1251" i="13" s="1"/>
  <c r="D1308" i="13" s="1"/>
  <c r="C340" i="13"/>
  <c r="C568" i="13"/>
  <c r="C682" i="13" s="1"/>
  <c r="C796" i="13" s="1"/>
  <c r="C910" i="13" s="1"/>
  <c r="C1024" i="13" s="1"/>
  <c r="C1138" i="13" s="1"/>
  <c r="C1252" i="13" s="1"/>
  <c r="C339" i="13"/>
  <c r="C396" i="13"/>
  <c r="C1308" i="13"/>
  <c r="A277" i="31"/>
  <c r="A278" i="31" s="1"/>
  <c r="A279" i="31"/>
  <c r="A280" i="31" s="1"/>
  <c r="A281" i="31"/>
  <c r="A282" i="31" s="1"/>
  <c r="A283" i="31" s="1"/>
  <c r="A284" i="31" s="1"/>
  <c r="A286" i="31"/>
  <c r="A287" i="31" s="1"/>
  <c r="A288" i="31"/>
  <c r="A289" i="31" s="1"/>
  <c r="A290" i="31" s="1"/>
  <c r="A291" i="31" s="1"/>
  <c r="A292" i="31" s="1"/>
  <c r="A293" i="31" s="1"/>
  <c r="A275" i="31"/>
  <c r="L26" i="13"/>
  <c r="Z345" i="11"/>
  <c r="L27" i="13"/>
  <c r="Z346" i="11"/>
  <c r="L25" i="13"/>
  <c r="Z344" i="11"/>
  <c r="L24" i="13"/>
  <c r="Z343" i="11"/>
  <c r="L23" i="13"/>
  <c r="Z342" i="11"/>
  <c r="L22" i="13"/>
  <c r="Z341" i="11"/>
  <c r="L21" i="13"/>
  <c r="Z340" i="11"/>
  <c r="L20" i="13"/>
  <c r="Z339" i="11" s="1"/>
  <c r="L19" i="13"/>
  <c r="Z338" i="11"/>
  <c r="L18" i="13"/>
  <c r="Z337" i="11"/>
  <c r="L17" i="13"/>
  <c r="Z336" i="11"/>
  <c r="L16" i="13"/>
  <c r="Z335" i="11" s="1"/>
  <c r="L15" i="13"/>
  <c r="Z334" i="11"/>
  <c r="L14" i="13"/>
  <c r="Z333" i="11"/>
  <c r="L13" i="13"/>
  <c r="Z332" i="11"/>
  <c r="L12" i="13"/>
  <c r="Z331" i="11" s="1"/>
  <c r="L11" i="13"/>
  <c r="Z330" i="11"/>
  <c r="L10" i="13"/>
  <c r="Z329" i="11"/>
  <c r="L9" i="13"/>
  <c r="Z328" i="11"/>
  <c r="G369" i="13"/>
  <c r="E369" i="13"/>
  <c r="G368" i="13"/>
  <c r="E368" i="13"/>
  <c r="G367" i="13"/>
  <c r="E367" i="13"/>
  <c r="G366" i="13"/>
  <c r="E366" i="13"/>
  <c r="G364" i="13"/>
  <c r="E364" i="13"/>
  <c r="G363" i="13"/>
  <c r="E363" i="13"/>
  <c r="G362" i="13"/>
  <c r="E362" i="13"/>
  <c r="G361" i="13"/>
  <c r="E361" i="13"/>
  <c r="G355" i="13"/>
  <c r="L48" i="13"/>
  <c r="Z367" i="11"/>
  <c r="G2542" i="13"/>
  <c r="E2542" i="13"/>
  <c r="G2541" i="13"/>
  <c r="E2541" i="13"/>
  <c r="G2540" i="13"/>
  <c r="E2540" i="13"/>
  <c r="G2539" i="13"/>
  <c r="E2539" i="13"/>
  <c r="G2537" i="13"/>
  <c r="E2537" i="13"/>
  <c r="G2536" i="13"/>
  <c r="E2536" i="13"/>
  <c r="G2535" i="13"/>
  <c r="E2535" i="13"/>
  <c r="G2534" i="13"/>
  <c r="E2534" i="13"/>
  <c r="G2528" i="13"/>
  <c r="G2491" i="13"/>
  <c r="E2491" i="13"/>
  <c r="G2490" i="13"/>
  <c r="E2490" i="13"/>
  <c r="G2489" i="13"/>
  <c r="E2489" i="13"/>
  <c r="G2488" i="13"/>
  <c r="E2488" i="13"/>
  <c r="G2486" i="13"/>
  <c r="E2486" i="13"/>
  <c r="G2485" i="13"/>
  <c r="E2485" i="13"/>
  <c r="G2484" i="13"/>
  <c r="E2484" i="13"/>
  <c r="G2483" i="13"/>
  <c r="E2483" i="13"/>
  <c r="G2477" i="13"/>
  <c r="L47" i="13"/>
  <c r="Z366" i="11" s="1"/>
  <c r="L46" i="13"/>
  <c r="Z365" i="11" s="1"/>
  <c r="L45" i="13"/>
  <c r="Z364" i="11" s="1"/>
  <c r="L44" i="13"/>
  <c r="Z363" i="11" s="1"/>
  <c r="L43" i="13"/>
  <c r="Z362" i="11" s="1"/>
  <c r="L42" i="13"/>
  <c r="Z361" i="11" s="1"/>
  <c r="L41" i="13"/>
  <c r="Z360" i="11" s="1"/>
  <c r="L39" i="13"/>
  <c r="Z358" i="11" s="1"/>
  <c r="L40" i="13"/>
  <c r="Z359" i="11" s="1"/>
  <c r="L38" i="13"/>
  <c r="Z357" i="11" s="1"/>
  <c r="L37" i="13"/>
  <c r="Z356" i="11" s="1"/>
  <c r="L36" i="13"/>
  <c r="Z355" i="11" s="1"/>
  <c r="L35" i="13"/>
  <c r="Z354" i="11" s="1"/>
  <c r="G2325" i="13"/>
  <c r="E2325" i="13"/>
  <c r="G2324" i="13"/>
  <c r="E2324" i="13"/>
  <c r="G2323" i="13"/>
  <c r="E2323" i="13"/>
  <c r="G2322" i="13"/>
  <c r="E2322" i="13"/>
  <c r="G2320" i="13"/>
  <c r="E2320" i="13"/>
  <c r="G2319" i="13"/>
  <c r="E2319" i="13"/>
  <c r="G2318" i="13"/>
  <c r="E2318" i="13"/>
  <c r="G2317" i="13"/>
  <c r="E2317" i="13"/>
  <c r="G2311" i="13"/>
  <c r="E2039" i="13"/>
  <c r="G2053" i="13"/>
  <c r="E2053" i="13"/>
  <c r="G2052" i="13"/>
  <c r="E2052" i="13"/>
  <c r="G2051" i="13"/>
  <c r="E2051" i="13"/>
  <c r="G2050" i="13"/>
  <c r="E2050" i="13"/>
  <c r="G2048" i="13"/>
  <c r="E2048" i="13"/>
  <c r="G2047" i="13"/>
  <c r="E2047" i="13"/>
  <c r="G2046" i="13"/>
  <c r="E2046" i="13"/>
  <c r="G2045" i="13"/>
  <c r="E2045" i="13"/>
  <c r="G2039" i="13"/>
  <c r="G1890" i="13"/>
  <c r="E1890" i="13"/>
  <c r="G1889" i="13"/>
  <c r="E1889" i="13"/>
  <c r="G1888" i="13"/>
  <c r="E1888" i="13"/>
  <c r="G1887" i="13"/>
  <c r="E1887" i="13"/>
  <c r="G1885" i="13"/>
  <c r="E1885" i="13"/>
  <c r="G1884" i="13"/>
  <c r="E1884" i="13"/>
  <c r="G1883" i="13"/>
  <c r="E1883" i="13"/>
  <c r="G1882" i="13"/>
  <c r="E1882" i="13"/>
  <c r="G1876" i="13"/>
  <c r="G1830" i="13"/>
  <c r="E1830" i="13"/>
  <c r="G1829" i="13"/>
  <c r="E1829" i="13"/>
  <c r="G1828" i="13"/>
  <c r="E1828" i="13"/>
  <c r="G1827" i="13"/>
  <c r="E1827" i="13"/>
  <c r="G1825" i="13"/>
  <c r="E1825" i="13"/>
  <c r="G1824" i="13"/>
  <c r="E1824" i="13"/>
  <c r="G1823" i="13"/>
  <c r="E1823" i="13"/>
  <c r="G1822" i="13"/>
  <c r="E1822" i="13"/>
  <c r="G1816" i="13"/>
  <c r="G1776" i="13"/>
  <c r="E1776" i="13"/>
  <c r="G1775" i="13"/>
  <c r="E1775" i="13"/>
  <c r="G1774" i="13"/>
  <c r="E1774" i="13"/>
  <c r="G1773" i="13"/>
  <c r="E1773" i="13"/>
  <c r="G1771" i="13"/>
  <c r="E1771" i="13"/>
  <c r="G1770" i="13"/>
  <c r="E1770" i="13"/>
  <c r="G1769" i="13"/>
  <c r="E1769" i="13"/>
  <c r="G1768" i="13"/>
  <c r="E1768" i="13"/>
  <c r="G1762" i="13"/>
  <c r="L34" i="13"/>
  <c r="Z353" i="11" s="1"/>
  <c r="E1708" i="13"/>
  <c r="E1762" i="13" s="1"/>
  <c r="E1816" i="13" s="1"/>
  <c r="E1876" i="13" s="1"/>
  <c r="G1722" i="13"/>
  <c r="E1722" i="13"/>
  <c r="G1721" i="13"/>
  <c r="E1721" i="13"/>
  <c r="G1720" i="13"/>
  <c r="E1720" i="13"/>
  <c r="G1719" i="13"/>
  <c r="E1719" i="13"/>
  <c r="G1717" i="13"/>
  <c r="E1717" i="13"/>
  <c r="G1716" i="13"/>
  <c r="E1716" i="13"/>
  <c r="G1715" i="13"/>
  <c r="E1715" i="13"/>
  <c r="G1714" i="13"/>
  <c r="E1714" i="13"/>
  <c r="G1708" i="13"/>
  <c r="L33" i="13"/>
  <c r="Z352" i="11"/>
  <c r="G1668" i="13"/>
  <c r="E1668" i="13"/>
  <c r="G1667" i="13"/>
  <c r="E1667" i="13"/>
  <c r="G1666" i="13"/>
  <c r="E1666" i="13"/>
  <c r="G1665" i="13"/>
  <c r="E1665" i="13"/>
  <c r="G1663" i="13"/>
  <c r="E1663" i="13"/>
  <c r="G1662" i="13"/>
  <c r="E1662" i="13"/>
  <c r="G1661" i="13"/>
  <c r="E1661" i="13"/>
  <c r="G1660" i="13"/>
  <c r="E1660" i="13"/>
  <c r="G1654" i="13"/>
  <c r="G1552" i="13"/>
  <c r="L32" i="13"/>
  <c r="Z351" i="11" s="1"/>
  <c r="L31" i="13"/>
  <c r="Z350" i="11"/>
  <c r="G1560" i="13"/>
  <c r="E1560" i="13"/>
  <c r="G1559" i="13"/>
  <c r="E1559" i="13"/>
  <c r="G1558" i="13"/>
  <c r="E1558" i="13"/>
  <c r="G1557" i="13"/>
  <c r="E1557" i="13"/>
  <c r="G1555" i="13"/>
  <c r="E1555" i="13"/>
  <c r="G1554" i="13"/>
  <c r="E1554" i="13"/>
  <c r="G1553" i="13"/>
  <c r="E1553" i="13"/>
  <c r="E1552" i="13"/>
  <c r="G1546" i="13"/>
  <c r="L30" i="13"/>
  <c r="Z349" i="11"/>
  <c r="L29" i="13"/>
  <c r="Z348" i="11"/>
  <c r="L28" i="13"/>
  <c r="Z347" i="11" s="1"/>
  <c r="Z327" i="11"/>
  <c r="L7" i="13"/>
  <c r="Z326" i="11" s="1"/>
  <c r="L6" i="13"/>
  <c r="Z325" i="11" s="1"/>
  <c r="L5" i="13"/>
  <c r="Z324" i="11" s="1"/>
  <c r="L4" i="13"/>
  <c r="Z323" i="11" s="1"/>
  <c r="E1436" i="13"/>
  <c r="F1421" i="13"/>
  <c r="D1421" i="13"/>
  <c r="D1531" i="13" s="1"/>
  <c r="D2024" i="13" s="1"/>
  <c r="D2296" i="13" s="1"/>
  <c r="C1421" i="13"/>
  <c r="C1531" i="13" s="1"/>
  <c r="C2024" i="13" s="1"/>
  <c r="C2296" i="13" s="1"/>
  <c r="G1450" i="13"/>
  <c r="E1450" i="13"/>
  <c r="G1449" i="13"/>
  <c r="E1449" i="13"/>
  <c r="G1448" i="13"/>
  <c r="E1448" i="13"/>
  <c r="G1447" i="13"/>
  <c r="E1447" i="13"/>
  <c r="G1445" i="13"/>
  <c r="E1445" i="13"/>
  <c r="G1444" i="13"/>
  <c r="E1444" i="13"/>
  <c r="G1443" i="13"/>
  <c r="E1443" i="13"/>
  <c r="G1442" i="13"/>
  <c r="E1442" i="13"/>
  <c r="D1365" i="13"/>
  <c r="D1476" i="13" s="1"/>
  <c r="D1970" i="13" s="1"/>
  <c r="D2241" i="13" s="1"/>
  <c r="C1366" i="13"/>
  <c r="C1367" i="13"/>
  <c r="C1368" i="13"/>
  <c r="C1424" i="13" s="1"/>
  <c r="C1534" i="13" s="1"/>
  <c r="C2027" i="13" s="1"/>
  <c r="C1369" i="13"/>
  <c r="C1480" i="13" s="1"/>
  <c r="C1974" i="13" s="1"/>
  <c r="C2245" i="13" s="1"/>
  <c r="C1370" i="13"/>
  <c r="C1426" i="13" s="1"/>
  <c r="C1536" i="13" s="1"/>
  <c r="C2029" i="13" s="1"/>
  <c r="C1371" i="13"/>
  <c r="C1482" i="13" s="1"/>
  <c r="C1591" i="13" s="1"/>
  <c r="C1644" i="13" s="1"/>
  <c r="C1698" i="13" s="1"/>
  <c r="C1752" i="13" s="1"/>
  <c r="C1806" i="13" s="1"/>
  <c r="C1372" i="13"/>
  <c r="C1428" i="13"/>
  <c r="C1538" i="13" s="1"/>
  <c r="C2031" i="13" s="1"/>
  <c r="C1373" i="13"/>
  <c r="C1484" i="13"/>
  <c r="C1978" i="13" s="1"/>
  <c r="C2249" i="13" s="1"/>
  <c r="C1374" i="13"/>
  <c r="C1365" i="13"/>
  <c r="C1476" i="13" s="1"/>
  <c r="C1970" i="13" s="1"/>
  <c r="C2241" i="13" s="1"/>
  <c r="F264" i="31"/>
  <c r="A265" i="31"/>
  <c r="A266" i="31"/>
  <c r="A267" i="31" s="1"/>
  <c r="A268" i="31"/>
  <c r="A269" i="31" s="1"/>
  <c r="A270" i="31" s="1"/>
  <c r="A271" i="31" s="1"/>
  <c r="A272" i="31" s="1"/>
  <c r="A273" i="31" s="1"/>
  <c r="E254" i="31"/>
  <c r="F254" i="31" s="1"/>
  <c r="F1365" i="13"/>
  <c r="F1476" i="13" s="1"/>
  <c r="F1970" i="13" s="1"/>
  <c r="F2241" i="13" s="1"/>
  <c r="A255" i="31"/>
  <c r="A256" i="31" s="1"/>
  <c r="A257" i="31" s="1"/>
  <c r="A258" i="31" s="1"/>
  <c r="A259" i="31" s="1"/>
  <c r="A260" i="31" s="1"/>
  <c r="A261" i="31" s="1"/>
  <c r="A262" i="31" s="1"/>
  <c r="A263" i="31" s="1"/>
  <c r="D257" i="31"/>
  <c r="D1368" i="13"/>
  <c r="E257" i="31"/>
  <c r="E267" i="31"/>
  <c r="E287" i="31" s="1"/>
  <c r="E306" i="31" s="1"/>
  <c r="D261" i="31"/>
  <c r="D271" i="31"/>
  <c r="D291" i="31" s="1"/>
  <c r="E261" i="31"/>
  <c r="E271" i="31" s="1"/>
  <c r="D263" i="31"/>
  <c r="D1374" i="13" s="1"/>
  <c r="D1430" i="13" s="1"/>
  <c r="D1540" i="13" s="1"/>
  <c r="D2033" i="13"/>
  <c r="E263" i="31"/>
  <c r="C74" i="13"/>
  <c r="C127" i="13" s="1"/>
  <c r="C180" i="13"/>
  <c r="C234" i="13" s="1"/>
  <c r="E74" i="13"/>
  <c r="E127" i="13" s="1"/>
  <c r="C75" i="13"/>
  <c r="C128" i="13" s="1"/>
  <c r="C181" i="13" s="1"/>
  <c r="E75" i="13"/>
  <c r="E128" i="13"/>
  <c r="E181" i="13" s="1"/>
  <c r="E1368" i="13" s="1"/>
  <c r="C76" i="13"/>
  <c r="C129" i="13"/>
  <c r="C182" i="13" s="1"/>
  <c r="E76" i="13"/>
  <c r="E129" i="13" s="1"/>
  <c r="E182" i="13" s="1"/>
  <c r="E1369" i="13" s="1"/>
  <c r="C77" i="13"/>
  <c r="C130" i="13" s="1"/>
  <c r="C183" i="13" s="1"/>
  <c r="C235" i="13" s="1"/>
  <c r="E77" i="13"/>
  <c r="E130" i="13" s="1"/>
  <c r="E183" i="13"/>
  <c r="E235" i="13" s="1"/>
  <c r="C78" i="13"/>
  <c r="C131" i="13" s="1"/>
  <c r="C184" i="13" s="1"/>
  <c r="E78" i="13"/>
  <c r="E131" i="13"/>
  <c r="E184" i="13" s="1"/>
  <c r="E1371" i="13"/>
  <c r="C79" i="13"/>
  <c r="C132" i="13"/>
  <c r="C185" i="13" s="1"/>
  <c r="C236" i="13"/>
  <c r="E79" i="13"/>
  <c r="C80" i="13"/>
  <c r="C133" i="13" s="1"/>
  <c r="C186" i="13" s="1"/>
  <c r="C237" i="13" s="1"/>
  <c r="E80" i="13"/>
  <c r="E133" i="13" s="1"/>
  <c r="C81" i="13"/>
  <c r="C134" i="13" s="1"/>
  <c r="C187" i="13" s="1"/>
  <c r="E81" i="13"/>
  <c r="E134" i="13"/>
  <c r="E187" i="13" s="1"/>
  <c r="E1374" i="13" s="1"/>
  <c r="E73" i="13"/>
  <c r="E126" i="13"/>
  <c r="C73" i="13"/>
  <c r="C126" i="13"/>
  <c r="C179" i="13" s="1"/>
  <c r="C233" i="13"/>
  <c r="D22" i="13"/>
  <c r="D75" i="13"/>
  <c r="D128" i="13" s="1"/>
  <c r="D181" i="13"/>
  <c r="D26" i="13"/>
  <c r="D79" i="13"/>
  <c r="D132" i="13" s="1"/>
  <c r="D185" i="13" s="1"/>
  <c r="D236" i="13" s="1"/>
  <c r="D28" i="13"/>
  <c r="D81" i="13" s="1"/>
  <c r="D134" i="13" s="1"/>
  <c r="D187" i="13" s="1"/>
  <c r="F253" i="31"/>
  <c r="F28" i="13" s="1"/>
  <c r="D252" i="31"/>
  <c r="D27" i="13" s="1"/>
  <c r="D80" i="13" s="1"/>
  <c r="D133" i="13" s="1"/>
  <c r="D186" i="13"/>
  <c r="D237" i="13" s="1"/>
  <c r="E211" i="31"/>
  <c r="F242" i="31"/>
  <c r="F2353" i="13"/>
  <c r="G2353" i="13" s="1"/>
  <c r="F251" i="31"/>
  <c r="F261" i="31" s="1"/>
  <c r="F271" i="31" s="1"/>
  <c r="F291" i="31" s="1"/>
  <c r="F247" i="31"/>
  <c r="F257" i="31" s="1"/>
  <c r="F267" i="31"/>
  <c r="F287" i="31" s="1"/>
  <c r="F306" i="31" s="1"/>
  <c r="F1864" i="13" s="1"/>
  <c r="D249" i="31"/>
  <c r="D24" i="13" s="1"/>
  <c r="D77" i="13" s="1"/>
  <c r="D130" i="13" s="1"/>
  <c r="D183" i="13" s="1"/>
  <c r="D235" i="13" s="1"/>
  <c r="E249" i="31"/>
  <c r="E259" i="31" s="1"/>
  <c r="E269" i="31" s="1"/>
  <c r="E289" i="31" s="1"/>
  <c r="E308" i="31" s="1"/>
  <c r="D250" i="31"/>
  <c r="D260" i="31"/>
  <c r="E250" i="31"/>
  <c r="E260" i="31"/>
  <c r="E270" i="31" s="1"/>
  <c r="E290" i="31"/>
  <c r="E309" i="31" s="1"/>
  <c r="E248" i="31"/>
  <c r="E258" i="31" s="1"/>
  <c r="E268" i="31" s="1"/>
  <c r="E288" i="31" s="1"/>
  <c r="E307" i="31" s="1"/>
  <c r="D248" i="31"/>
  <c r="D258" i="31"/>
  <c r="D1369" i="13" s="1"/>
  <c r="D246" i="31"/>
  <c r="D256" i="31" s="1"/>
  <c r="D1367" i="13"/>
  <c r="D245" i="31"/>
  <c r="D20" i="13" s="1"/>
  <c r="D73" i="13" s="1"/>
  <c r="D126" i="13"/>
  <c r="D179" i="13" s="1"/>
  <c r="D233" i="13" s="1"/>
  <c r="A246" i="31"/>
  <c r="A247" i="31"/>
  <c r="A248" i="31" s="1"/>
  <c r="A249" i="31" s="1"/>
  <c r="A250" i="31" s="1"/>
  <c r="A251" i="31" s="1"/>
  <c r="A252" i="31" s="1"/>
  <c r="A253" i="31" s="1"/>
  <c r="F240" i="31"/>
  <c r="F250" i="31"/>
  <c r="F260" i="31" s="1"/>
  <c r="F238" i="31"/>
  <c r="F20" i="9" s="1"/>
  <c r="E236" i="31"/>
  <c r="F236" i="31" s="1"/>
  <c r="F18" i="9" s="1"/>
  <c r="E68" i="9"/>
  <c r="E117" i="9"/>
  <c r="E166" i="9" s="1"/>
  <c r="E215" i="9" s="1"/>
  <c r="E264" i="9" s="1"/>
  <c r="E313" i="9"/>
  <c r="E362" i="9" s="1"/>
  <c r="E411" i="9"/>
  <c r="E460" i="9" s="1"/>
  <c r="E509" i="9" s="1"/>
  <c r="E558" i="9" s="1"/>
  <c r="E607" i="9" s="1"/>
  <c r="E656" i="9" s="1"/>
  <c r="E705" i="9" s="1"/>
  <c r="E754" i="9" s="1"/>
  <c r="E803" i="9" s="1"/>
  <c r="E852" i="9" s="1"/>
  <c r="E901" i="9" s="1"/>
  <c r="E950" i="9" s="1"/>
  <c r="E999" i="9" s="1"/>
  <c r="E1048" i="9" s="1"/>
  <c r="E1097" i="9" s="1"/>
  <c r="E1146" i="9" s="1"/>
  <c r="E1195" i="9" s="1"/>
  <c r="E1244" i="9" s="1"/>
  <c r="E1293" i="9" s="1"/>
  <c r="E69" i="9"/>
  <c r="E118" i="9"/>
  <c r="E167" i="9" s="1"/>
  <c r="E216" i="9"/>
  <c r="E265" i="9" s="1"/>
  <c r="E314" i="9"/>
  <c r="E363" i="9" s="1"/>
  <c r="E412" i="9" s="1"/>
  <c r="E461" i="9" s="1"/>
  <c r="E510" i="9" s="1"/>
  <c r="E559" i="9" s="1"/>
  <c r="E608" i="9" s="1"/>
  <c r="E657" i="9" s="1"/>
  <c r="E706" i="9" s="1"/>
  <c r="E755" i="9" s="1"/>
  <c r="E804" i="9" s="1"/>
  <c r="E853" i="9" s="1"/>
  <c r="E902" i="9" s="1"/>
  <c r="E951" i="9" s="1"/>
  <c r="E1000" i="9" s="1"/>
  <c r="E1049" i="9" s="1"/>
  <c r="E1098" i="9" s="1"/>
  <c r="E1147" i="9" s="1"/>
  <c r="E1196" i="9" s="1"/>
  <c r="E1245" i="9" s="1"/>
  <c r="E1294" i="9" s="1"/>
  <c r="E70" i="9"/>
  <c r="E119" i="9"/>
  <c r="E168" i="9" s="1"/>
  <c r="E217" i="9"/>
  <c r="E266" i="9" s="1"/>
  <c r="E315" i="9" s="1"/>
  <c r="E364" i="9" s="1"/>
  <c r="E413" i="9" s="1"/>
  <c r="E462" i="9" s="1"/>
  <c r="E511" i="9" s="1"/>
  <c r="E560" i="9" s="1"/>
  <c r="E609" i="9" s="1"/>
  <c r="E658" i="9" s="1"/>
  <c r="E707" i="9" s="1"/>
  <c r="E756" i="9" s="1"/>
  <c r="E805" i="9" s="1"/>
  <c r="E854" i="9" s="1"/>
  <c r="E903" i="9" s="1"/>
  <c r="E952" i="9" s="1"/>
  <c r="E1001" i="9" s="1"/>
  <c r="E1050" i="9" s="1"/>
  <c r="E1099" i="9" s="1"/>
  <c r="E1148" i="9" s="1"/>
  <c r="E1197" i="9" s="1"/>
  <c r="E1246" i="9" s="1"/>
  <c r="E1295" i="9" s="1"/>
  <c r="E71" i="9"/>
  <c r="E120" i="9"/>
  <c r="E169" i="9" s="1"/>
  <c r="E218" i="9"/>
  <c r="E267" i="9" s="1"/>
  <c r="E316" i="9" s="1"/>
  <c r="E365" i="9" s="1"/>
  <c r="E414" i="9" s="1"/>
  <c r="E463" i="9" s="1"/>
  <c r="E512" i="9" s="1"/>
  <c r="E561" i="9" s="1"/>
  <c r="E610" i="9" s="1"/>
  <c r="E659" i="9" s="1"/>
  <c r="E708" i="9" s="1"/>
  <c r="E757" i="9" s="1"/>
  <c r="E806" i="9" s="1"/>
  <c r="E855" i="9" s="1"/>
  <c r="E904" i="9" s="1"/>
  <c r="E953" i="9" s="1"/>
  <c r="E1002" i="9" s="1"/>
  <c r="E1051" i="9" s="1"/>
  <c r="E1100" i="9" s="1"/>
  <c r="E1149" i="9" s="1"/>
  <c r="E1198" i="9" s="1"/>
  <c r="E1247" i="9" s="1"/>
  <c r="E1296" i="9" s="1"/>
  <c r="E72" i="9"/>
  <c r="E121" i="9"/>
  <c r="E219" i="9"/>
  <c r="E268" i="9"/>
  <c r="E366" i="9"/>
  <c r="E415" i="9"/>
  <c r="E464" i="9" s="1"/>
  <c r="E513" i="9"/>
  <c r="E611" i="9"/>
  <c r="E660" i="9"/>
  <c r="E758" i="9"/>
  <c r="E807" i="9"/>
  <c r="E905" i="9"/>
  <c r="E1003" i="9"/>
  <c r="E1052" i="9" s="1"/>
  <c r="E1101" i="9"/>
  <c r="E73" i="9"/>
  <c r="E122" i="9"/>
  <c r="E171" i="9" s="1"/>
  <c r="E220" i="9" s="1"/>
  <c r="E269" i="9" s="1"/>
  <c r="E318" i="9" s="1"/>
  <c r="E367" i="9" s="1"/>
  <c r="E416" i="9" s="1"/>
  <c r="E465" i="9" s="1"/>
  <c r="E514" i="9" s="1"/>
  <c r="E563" i="9" s="1"/>
  <c r="E612" i="9" s="1"/>
  <c r="E661" i="9" s="1"/>
  <c r="E710" i="9" s="1"/>
  <c r="E759" i="9" s="1"/>
  <c r="E808" i="9" s="1"/>
  <c r="E857" i="9" s="1"/>
  <c r="E906" i="9" s="1"/>
  <c r="E955" i="9" s="1"/>
  <c r="E1004" i="9" s="1"/>
  <c r="E1053" i="9" s="1"/>
  <c r="E1102" i="9" s="1"/>
  <c r="E1151" i="9" s="1"/>
  <c r="E1200" i="9" s="1"/>
  <c r="E1249" i="9" s="1"/>
  <c r="E1298" i="9" s="1"/>
  <c r="E74" i="9"/>
  <c r="E123" i="9"/>
  <c r="E172" i="9" s="1"/>
  <c r="E221" i="9" s="1"/>
  <c r="E270" i="9" s="1"/>
  <c r="E319" i="9" s="1"/>
  <c r="E368" i="9" s="1"/>
  <c r="E417" i="9" s="1"/>
  <c r="E466" i="9" s="1"/>
  <c r="E515" i="9" s="1"/>
  <c r="E564" i="9" s="1"/>
  <c r="E613" i="9" s="1"/>
  <c r="E662" i="9" s="1"/>
  <c r="E711" i="9" s="1"/>
  <c r="E760" i="9" s="1"/>
  <c r="E809" i="9" s="1"/>
  <c r="E858" i="9" s="1"/>
  <c r="E907" i="9" s="1"/>
  <c r="E956" i="9" s="1"/>
  <c r="E1005" i="9" s="1"/>
  <c r="E1054" i="9" s="1"/>
  <c r="E1103" i="9" s="1"/>
  <c r="E1152" i="9" s="1"/>
  <c r="E1201" i="9" s="1"/>
  <c r="E1250" i="9" s="1"/>
  <c r="E1299" i="9" s="1"/>
  <c r="E75" i="9"/>
  <c r="E124" i="9" s="1"/>
  <c r="E173" i="9" s="1"/>
  <c r="E222" i="9" s="1"/>
  <c r="E271" i="9" s="1"/>
  <c r="E320" i="9" s="1"/>
  <c r="E369" i="9" s="1"/>
  <c r="E418" i="9" s="1"/>
  <c r="E467" i="9" s="1"/>
  <c r="E516" i="9" s="1"/>
  <c r="E565" i="9" s="1"/>
  <c r="E614" i="9" s="1"/>
  <c r="E663" i="9" s="1"/>
  <c r="E712" i="9" s="1"/>
  <c r="E761" i="9" s="1"/>
  <c r="E810" i="9" s="1"/>
  <c r="E859" i="9" s="1"/>
  <c r="E908" i="9" s="1"/>
  <c r="E957" i="9" s="1"/>
  <c r="E1006" i="9" s="1"/>
  <c r="E1055" i="9" s="1"/>
  <c r="E1104" i="9" s="1"/>
  <c r="E1153" i="9" s="1"/>
  <c r="E1202" i="9" s="1"/>
  <c r="E1251" i="9" s="1"/>
  <c r="E1300" i="9" s="1"/>
  <c r="E67" i="9"/>
  <c r="E116" i="9"/>
  <c r="E165" i="9" s="1"/>
  <c r="E214" i="9" s="1"/>
  <c r="E263" i="9" s="1"/>
  <c r="E312" i="9" s="1"/>
  <c r="E361" i="9" s="1"/>
  <c r="E410" i="9" s="1"/>
  <c r="E459" i="9" s="1"/>
  <c r="E508" i="9" s="1"/>
  <c r="E557" i="9" s="1"/>
  <c r="E606" i="9" s="1"/>
  <c r="E655" i="9" s="1"/>
  <c r="E704" i="9" s="1"/>
  <c r="E753" i="9" s="1"/>
  <c r="E802" i="9" s="1"/>
  <c r="E851" i="9" s="1"/>
  <c r="E900" i="9" s="1"/>
  <c r="E949" i="9" s="1"/>
  <c r="E998" i="9" s="1"/>
  <c r="E1047" i="9" s="1"/>
  <c r="E1096" i="9" s="1"/>
  <c r="E1145" i="9" s="1"/>
  <c r="E1194" i="9" s="1"/>
  <c r="E1243" i="9" s="1"/>
  <c r="E1292" i="9" s="1"/>
  <c r="E237" i="31"/>
  <c r="F237" i="31"/>
  <c r="F19" i="9" s="1"/>
  <c r="G19" i="9" s="1"/>
  <c r="G68" i="9" s="1"/>
  <c r="G117" i="9" s="1"/>
  <c r="G166" i="9" s="1"/>
  <c r="G215" i="9" s="1"/>
  <c r="G264" i="9" s="1"/>
  <c r="G313" i="9" s="1"/>
  <c r="G362" i="9" s="1"/>
  <c r="G411" i="9" s="1"/>
  <c r="G460" i="9" s="1"/>
  <c r="G509" i="9" s="1"/>
  <c r="G558" i="9" s="1"/>
  <c r="G607" i="9" s="1"/>
  <c r="G656" i="9" s="1"/>
  <c r="G705" i="9" s="1"/>
  <c r="G754" i="9" s="1"/>
  <c r="G803" i="9" s="1"/>
  <c r="G852" i="9" s="1"/>
  <c r="G901" i="9" s="1"/>
  <c r="G950" i="9" s="1"/>
  <c r="G999" i="9" s="1"/>
  <c r="G1048" i="9" s="1"/>
  <c r="G1097" i="9" s="1"/>
  <c r="G1146" i="9" s="1"/>
  <c r="G1195" i="9" s="1"/>
  <c r="G1244" i="9" s="1"/>
  <c r="G1293" i="9" s="1"/>
  <c r="D19" i="9"/>
  <c r="D68" i="9" s="1"/>
  <c r="D117" i="9" s="1"/>
  <c r="D166" i="9" s="1"/>
  <c r="D215" i="9" s="1"/>
  <c r="D264" i="9" s="1"/>
  <c r="D313" i="9" s="1"/>
  <c r="D362" i="9" s="1"/>
  <c r="D411" i="9" s="1"/>
  <c r="D460" i="9" s="1"/>
  <c r="D509" i="9" s="1"/>
  <c r="D558" i="9" s="1"/>
  <c r="D607" i="9" s="1"/>
  <c r="D656" i="9" s="1"/>
  <c r="D705" i="9" s="1"/>
  <c r="D754" i="9" s="1"/>
  <c r="D803" i="9" s="1"/>
  <c r="D852" i="9" s="1"/>
  <c r="D901" i="9" s="1"/>
  <c r="D950" i="9" s="1"/>
  <c r="D999" i="9" s="1"/>
  <c r="D1048" i="9" s="1"/>
  <c r="D1097" i="9" s="1"/>
  <c r="D1146" i="9" s="1"/>
  <c r="D1195" i="9" s="1"/>
  <c r="D1244" i="9" s="1"/>
  <c r="D1293" i="9" s="1"/>
  <c r="D20" i="9"/>
  <c r="D69" i="9" s="1"/>
  <c r="D118" i="9" s="1"/>
  <c r="D167" i="9" s="1"/>
  <c r="D216" i="9" s="1"/>
  <c r="D265" i="9" s="1"/>
  <c r="D314" i="9" s="1"/>
  <c r="D363" i="9" s="1"/>
  <c r="D412" i="9" s="1"/>
  <c r="D461" i="9" s="1"/>
  <c r="D510" i="9" s="1"/>
  <c r="D559" i="9" s="1"/>
  <c r="D608" i="9" s="1"/>
  <c r="D657" i="9" s="1"/>
  <c r="D706" i="9" s="1"/>
  <c r="D755" i="9" s="1"/>
  <c r="D804" i="9" s="1"/>
  <c r="D853" i="9" s="1"/>
  <c r="D902" i="9" s="1"/>
  <c r="D951" i="9" s="1"/>
  <c r="D1000" i="9" s="1"/>
  <c r="D1049" i="9" s="1"/>
  <c r="D1098" i="9" s="1"/>
  <c r="D1147" i="9" s="1"/>
  <c r="D1196" i="9" s="1"/>
  <c r="D1245" i="9" s="1"/>
  <c r="D1294" i="9" s="1"/>
  <c r="D21" i="9"/>
  <c r="D70" i="9" s="1"/>
  <c r="D119" i="9" s="1"/>
  <c r="D168" i="9" s="1"/>
  <c r="D217" i="9" s="1"/>
  <c r="D266" i="9" s="1"/>
  <c r="D315" i="9" s="1"/>
  <c r="D364" i="9" s="1"/>
  <c r="D413" i="9" s="1"/>
  <c r="D462" i="9" s="1"/>
  <c r="D511" i="9" s="1"/>
  <c r="D560" i="9" s="1"/>
  <c r="D609" i="9" s="1"/>
  <c r="D658" i="9" s="1"/>
  <c r="D707" i="9" s="1"/>
  <c r="D756" i="9" s="1"/>
  <c r="D805" i="9" s="1"/>
  <c r="D854" i="9" s="1"/>
  <c r="D903" i="9" s="1"/>
  <c r="D952" i="9" s="1"/>
  <c r="D1001" i="9" s="1"/>
  <c r="D1050" i="9" s="1"/>
  <c r="D1099" i="9" s="1"/>
  <c r="D1148" i="9" s="1"/>
  <c r="D1197" i="9" s="1"/>
  <c r="D1246" i="9" s="1"/>
  <c r="D1295" i="9" s="1"/>
  <c r="D22" i="9"/>
  <c r="D71" i="9" s="1"/>
  <c r="D120" i="9" s="1"/>
  <c r="D169" i="9" s="1"/>
  <c r="D218" i="9" s="1"/>
  <c r="D267" i="9" s="1"/>
  <c r="D316" i="9" s="1"/>
  <c r="D365" i="9" s="1"/>
  <c r="D414" i="9" s="1"/>
  <c r="D463" i="9" s="1"/>
  <c r="D512" i="9" s="1"/>
  <c r="D561" i="9" s="1"/>
  <c r="D610" i="9" s="1"/>
  <c r="D659" i="9" s="1"/>
  <c r="D708" i="9" s="1"/>
  <c r="D757" i="9" s="1"/>
  <c r="D806" i="9" s="1"/>
  <c r="D855" i="9" s="1"/>
  <c r="D904" i="9" s="1"/>
  <c r="D953" i="9" s="1"/>
  <c r="D1002" i="9" s="1"/>
  <c r="D1051" i="9" s="1"/>
  <c r="D1100" i="9" s="1"/>
  <c r="D1149" i="9" s="1"/>
  <c r="D1198" i="9" s="1"/>
  <c r="D1247" i="9" s="1"/>
  <c r="D1296" i="9" s="1"/>
  <c r="D23" i="9"/>
  <c r="D72" i="9"/>
  <c r="D121" i="9" s="1"/>
  <c r="D170" i="9" s="1"/>
  <c r="D219" i="9" s="1"/>
  <c r="D268" i="9" s="1"/>
  <c r="D317" i="9" s="1"/>
  <c r="D366" i="9" s="1"/>
  <c r="D415" i="9" s="1"/>
  <c r="D464" i="9" s="1"/>
  <c r="D513" i="9" s="1"/>
  <c r="D562" i="9" s="1"/>
  <c r="D611" i="9" s="1"/>
  <c r="D660" i="9" s="1"/>
  <c r="D709" i="9" s="1"/>
  <c r="D758" i="9" s="1"/>
  <c r="D807" i="9" s="1"/>
  <c r="D856" i="9" s="1"/>
  <c r="D905" i="9" s="1"/>
  <c r="D954" i="9" s="1"/>
  <c r="D1003" i="9" s="1"/>
  <c r="D1052" i="9" s="1"/>
  <c r="D1101" i="9" s="1"/>
  <c r="D1150" i="9" s="1"/>
  <c r="D1199" i="9" s="1"/>
  <c r="D1248" i="9" s="1"/>
  <c r="D1297" i="9" s="1"/>
  <c r="D24" i="9"/>
  <c r="D73" i="9" s="1"/>
  <c r="D122" i="9" s="1"/>
  <c r="D171" i="9" s="1"/>
  <c r="D220" i="9" s="1"/>
  <c r="D269" i="9" s="1"/>
  <c r="D318" i="9" s="1"/>
  <c r="D367" i="9" s="1"/>
  <c r="D416" i="9" s="1"/>
  <c r="D465" i="9" s="1"/>
  <c r="D514" i="9" s="1"/>
  <c r="D563" i="9" s="1"/>
  <c r="D612" i="9" s="1"/>
  <c r="D661" i="9" s="1"/>
  <c r="D710" i="9" s="1"/>
  <c r="D759" i="9" s="1"/>
  <c r="D808" i="9" s="1"/>
  <c r="D857" i="9" s="1"/>
  <c r="D906" i="9" s="1"/>
  <c r="D955" i="9" s="1"/>
  <c r="D1004" i="9" s="1"/>
  <c r="D1053" i="9" s="1"/>
  <c r="D1102" i="9" s="1"/>
  <c r="D1151" i="9" s="1"/>
  <c r="D1200" i="9" s="1"/>
  <c r="D1249" i="9" s="1"/>
  <c r="D1298" i="9" s="1"/>
  <c r="D25" i="9"/>
  <c r="D74" i="9" s="1"/>
  <c r="D123" i="9" s="1"/>
  <c r="D172" i="9" s="1"/>
  <c r="D221" i="9" s="1"/>
  <c r="D270" i="9" s="1"/>
  <c r="D319" i="9" s="1"/>
  <c r="D368" i="9" s="1"/>
  <c r="D417" i="9" s="1"/>
  <c r="D466" i="9" s="1"/>
  <c r="D515" i="9" s="1"/>
  <c r="D564" i="9" s="1"/>
  <c r="D613" i="9" s="1"/>
  <c r="D662" i="9" s="1"/>
  <c r="D711" i="9" s="1"/>
  <c r="D760" i="9" s="1"/>
  <c r="D809" i="9" s="1"/>
  <c r="D858" i="9" s="1"/>
  <c r="D907" i="9" s="1"/>
  <c r="D956" i="9" s="1"/>
  <c r="D1005" i="9" s="1"/>
  <c r="D1054" i="9" s="1"/>
  <c r="D1103" i="9" s="1"/>
  <c r="D1152" i="9" s="1"/>
  <c r="D1201" i="9" s="1"/>
  <c r="D1250" i="9" s="1"/>
  <c r="D1299" i="9" s="1"/>
  <c r="D26" i="9"/>
  <c r="D75" i="9" s="1"/>
  <c r="D124" i="9" s="1"/>
  <c r="D173" i="9" s="1"/>
  <c r="D222" i="9" s="1"/>
  <c r="D271" i="9" s="1"/>
  <c r="D320" i="9" s="1"/>
  <c r="D369" i="9" s="1"/>
  <c r="D418" i="9" s="1"/>
  <c r="D467" i="9" s="1"/>
  <c r="D516" i="9" s="1"/>
  <c r="D565" i="9" s="1"/>
  <c r="D614" i="9" s="1"/>
  <c r="D663" i="9" s="1"/>
  <c r="D712" i="9" s="1"/>
  <c r="D761" i="9" s="1"/>
  <c r="D810" i="9" s="1"/>
  <c r="D859" i="9" s="1"/>
  <c r="D908" i="9" s="1"/>
  <c r="D957" i="9" s="1"/>
  <c r="D1006" i="9" s="1"/>
  <c r="D1055" i="9" s="1"/>
  <c r="D1104" i="9" s="1"/>
  <c r="D1153" i="9" s="1"/>
  <c r="D1202" i="9" s="1"/>
  <c r="D1251" i="9" s="1"/>
  <c r="D1300" i="9" s="1"/>
  <c r="D18" i="9"/>
  <c r="D67" i="9"/>
  <c r="D116" i="9" s="1"/>
  <c r="D165" i="9" s="1"/>
  <c r="D214" i="9" s="1"/>
  <c r="D263" i="9" s="1"/>
  <c r="D312" i="9" s="1"/>
  <c r="D361" i="9" s="1"/>
  <c r="D410" i="9" s="1"/>
  <c r="D459" i="9" s="1"/>
  <c r="D508" i="9" s="1"/>
  <c r="D557" i="9" s="1"/>
  <c r="D606" i="9" s="1"/>
  <c r="D655" i="9" s="1"/>
  <c r="D704" i="9" s="1"/>
  <c r="D753" i="9" s="1"/>
  <c r="D802" i="9" s="1"/>
  <c r="D851" i="9" s="1"/>
  <c r="D900" i="9" s="1"/>
  <c r="D949" i="9" s="1"/>
  <c r="D998" i="9" s="1"/>
  <c r="D1047" i="9" s="1"/>
  <c r="D1096" i="9" s="1"/>
  <c r="D1145" i="9" s="1"/>
  <c r="D1194" i="9" s="1"/>
  <c r="D1243" i="9" s="1"/>
  <c r="D1292" i="9" s="1"/>
  <c r="C19" i="9"/>
  <c r="C68" i="9" s="1"/>
  <c r="C117" i="9" s="1"/>
  <c r="C166" i="9" s="1"/>
  <c r="C215" i="9" s="1"/>
  <c r="C264" i="9" s="1"/>
  <c r="C313" i="9" s="1"/>
  <c r="C362" i="9" s="1"/>
  <c r="C411" i="9" s="1"/>
  <c r="C460" i="9" s="1"/>
  <c r="C509" i="9" s="1"/>
  <c r="C558" i="9" s="1"/>
  <c r="C607" i="9" s="1"/>
  <c r="C656" i="9" s="1"/>
  <c r="C705" i="9" s="1"/>
  <c r="C754" i="9" s="1"/>
  <c r="C803" i="9" s="1"/>
  <c r="C852" i="9" s="1"/>
  <c r="C901" i="9" s="1"/>
  <c r="C950" i="9" s="1"/>
  <c r="C999" i="9" s="1"/>
  <c r="C1048" i="9" s="1"/>
  <c r="C1097" i="9" s="1"/>
  <c r="C1146" i="9" s="1"/>
  <c r="C1195" i="9" s="1"/>
  <c r="C1244" i="9" s="1"/>
  <c r="C1293" i="9" s="1"/>
  <c r="C20" i="9"/>
  <c r="C69" i="9" s="1"/>
  <c r="C118" i="9" s="1"/>
  <c r="C167" i="9" s="1"/>
  <c r="C216" i="9" s="1"/>
  <c r="C265" i="9" s="1"/>
  <c r="C314" i="9" s="1"/>
  <c r="C363" i="9" s="1"/>
  <c r="C412" i="9" s="1"/>
  <c r="C461" i="9" s="1"/>
  <c r="C510" i="9" s="1"/>
  <c r="C559" i="9" s="1"/>
  <c r="C608" i="9" s="1"/>
  <c r="C657" i="9" s="1"/>
  <c r="C706" i="9" s="1"/>
  <c r="C755" i="9" s="1"/>
  <c r="C804" i="9" s="1"/>
  <c r="C853" i="9" s="1"/>
  <c r="C902" i="9" s="1"/>
  <c r="C951" i="9" s="1"/>
  <c r="C1000" i="9" s="1"/>
  <c r="C1049" i="9" s="1"/>
  <c r="C1098" i="9" s="1"/>
  <c r="C1147" i="9" s="1"/>
  <c r="C1196" i="9" s="1"/>
  <c r="C1245" i="9" s="1"/>
  <c r="C1294" i="9" s="1"/>
  <c r="C21" i="9"/>
  <c r="C70" i="9" s="1"/>
  <c r="C119" i="9" s="1"/>
  <c r="C168" i="9" s="1"/>
  <c r="C217" i="9" s="1"/>
  <c r="C266" i="9" s="1"/>
  <c r="C315" i="9" s="1"/>
  <c r="C364" i="9" s="1"/>
  <c r="C413" i="9" s="1"/>
  <c r="C462" i="9" s="1"/>
  <c r="C511" i="9" s="1"/>
  <c r="C560" i="9" s="1"/>
  <c r="C609" i="9" s="1"/>
  <c r="C658" i="9" s="1"/>
  <c r="C707" i="9" s="1"/>
  <c r="C756" i="9" s="1"/>
  <c r="C805" i="9" s="1"/>
  <c r="C854" i="9" s="1"/>
  <c r="C903" i="9" s="1"/>
  <c r="C952" i="9" s="1"/>
  <c r="C1001" i="9" s="1"/>
  <c r="C1050" i="9" s="1"/>
  <c r="C1099" i="9" s="1"/>
  <c r="C1148" i="9" s="1"/>
  <c r="C1197" i="9" s="1"/>
  <c r="C1246" i="9" s="1"/>
  <c r="C1295" i="9" s="1"/>
  <c r="C22" i="9"/>
  <c r="C71" i="9" s="1"/>
  <c r="C120" i="9" s="1"/>
  <c r="C169" i="9" s="1"/>
  <c r="C218" i="9" s="1"/>
  <c r="C267" i="9" s="1"/>
  <c r="C316" i="9" s="1"/>
  <c r="C365" i="9" s="1"/>
  <c r="C414" i="9" s="1"/>
  <c r="C463" i="9" s="1"/>
  <c r="C512" i="9" s="1"/>
  <c r="C561" i="9" s="1"/>
  <c r="C610" i="9" s="1"/>
  <c r="C659" i="9" s="1"/>
  <c r="C708" i="9" s="1"/>
  <c r="C757" i="9" s="1"/>
  <c r="C806" i="9" s="1"/>
  <c r="C855" i="9" s="1"/>
  <c r="C904" i="9" s="1"/>
  <c r="C953" i="9" s="1"/>
  <c r="C1002" i="9" s="1"/>
  <c r="C1051" i="9" s="1"/>
  <c r="C1100" i="9" s="1"/>
  <c r="C1149" i="9" s="1"/>
  <c r="C1198" i="9" s="1"/>
  <c r="C1247" i="9" s="1"/>
  <c r="C1296" i="9" s="1"/>
  <c r="C23" i="9"/>
  <c r="C72" i="9" s="1"/>
  <c r="C121" i="9" s="1"/>
  <c r="C170" i="9" s="1"/>
  <c r="C219" i="9" s="1"/>
  <c r="C268" i="9" s="1"/>
  <c r="C317" i="9" s="1"/>
  <c r="C366" i="9" s="1"/>
  <c r="C415" i="9" s="1"/>
  <c r="C464" i="9" s="1"/>
  <c r="C513" i="9" s="1"/>
  <c r="C562" i="9" s="1"/>
  <c r="C611" i="9" s="1"/>
  <c r="C660" i="9" s="1"/>
  <c r="C709" i="9" s="1"/>
  <c r="C758" i="9" s="1"/>
  <c r="C807" i="9" s="1"/>
  <c r="C856" i="9" s="1"/>
  <c r="C905" i="9" s="1"/>
  <c r="C954" i="9" s="1"/>
  <c r="C1003" i="9" s="1"/>
  <c r="C1052" i="9" s="1"/>
  <c r="C1101" i="9" s="1"/>
  <c r="C1150" i="9" s="1"/>
  <c r="C1199" i="9" s="1"/>
  <c r="C1248" i="9" s="1"/>
  <c r="C1297" i="9" s="1"/>
  <c r="C24" i="9"/>
  <c r="C73" i="9" s="1"/>
  <c r="C122" i="9" s="1"/>
  <c r="C171" i="9" s="1"/>
  <c r="C220" i="9" s="1"/>
  <c r="C269" i="9" s="1"/>
  <c r="C318" i="9" s="1"/>
  <c r="C367" i="9" s="1"/>
  <c r="C416" i="9" s="1"/>
  <c r="C465" i="9" s="1"/>
  <c r="C514" i="9" s="1"/>
  <c r="C563" i="9" s="1"/>
  <c r="C612" i="9" s="1"/>
  <c r="C661" i="9" s="1"/>
  <c r="C710" i="9" s="1"/>
  <c r="C759" i="9" s="1"/>
  <c r="C808" i="9" s="1"/>
  <c r="C857" i="9" s="1"/>
  <c r="C906" i="9" s="1"/>
  <c r="C955" i="9" s="1"/>
  <c r="C1004" i="9" s="1"/>
  <c r="C1053" i="9" s="1"/>
  <c r="C1102" i="9" s="1"/>
  <c r="C1151" i="9" s="1"/>
  <c r="C1200" i="9" s="1"/>
  <c r="C1249" i="9" s="1"/>
  <c r="C1298" i="9" s="1"/>
  <c r="C25" i="9"/>
  <c r="C74" i="9" s="1"/>
  <c r="C123" i="9" s="1"/>
  <c r="C172" i="9" s="1"/>
  <c r="C221" i="9" s="1"/>
  <c r="C270" i="9" s="1"/>
  <c r="C319" i="9" s="1"/>
  <c r="C368" i="9" s="1"/>
  <c r="C417" i="9" s="1"/>
  <c r="C466" i="9" s="1"/>
  <c r="C515" i="9" s="1"/>
  <c r="C564" i="9" s="1"/>
  <c r="C613" i="9" s="1"/>
  <c r="C662" i="9" s="1"/>
  <c r="C711" i="9" s="1"/>
  <c r="C760" i="9" s="1"/>
  <c r="C809" i="9" s="1"/>
  <c r="C858" i="9" s="1"/>
  <c r="C907" i="9" s="1"/>
  <c r="C956" i="9" s="1"/>
  <c r="C1005" i="9" s="1"/>
  <c r="C1054" i="9" s="1"/>
  <c r="C1103" i="9" s="1"/>
  <c r="C1152" i="9" s="1"/>
  <c r="C1201" i="9" s="1"/>
  <c r="C1250" i="9" s="1"/>
  <c r="C1299" i="9" s="1"/>
  <c r="C26" i="9"/>
  <c r="C75" i="9" s="1"/>
  <c r="C124" i="9"/>
  <c r="C173" i="9" s="1"/>
  <c r="C222" i="9" s="1"/>
  <c r="C271" i="9" s="1"/>
  <c r="C320" i="9" s="1"/>
  <c r="C369" i="9" s="1"/>
  <c r="C418" i="9" s="1"/>
  <c r="C467" i="9" s="1"/>
  <c r="C516" i="9" s="1"/>
  <c r="C565" i="9" s="1"/>
  <c r="C614" i="9" s="1"/>
  <c r="C663" i="9" s="1"/>
  <c r="C712" i="9" s="1"/>
  <c r="C761" i="9" s="1"/>
  <c r="C810" i="9" s="1"/>
  <c r="C859" i="9" s="1"/>
  <c r="C908" i="9" s="1"/>
  <c r="C957" i="9" s="1"/>
  <c r="C1006" i="9" s="1"/>
  <c r="C1055" i="9" s="1"/>
  <c r="C1104" i="9" s="1"/>
  <c r="C1153" i="9" s="1"/>
  <c r="C1202" i="9" s="1"/>
  <c r="C1251" i="9" s="1"/>
  <c r="C1300" i="9" s="1"/>
  <c r="C18" i="9"/>
  <c r="C67" i="9"/>
  <c r="C116" i="9" s="1"/>
  <c r="C165" i="9" s="1"/>
  <c r="C214" i="9" s="1"/>
  <c r="C263" i="9" s="1"/>
  <c r="C312" i="9" s="1"/>
  <c r="C361" i="9" s="1"/>
  <c r="C410" i="9" s="1"/>
  <c r="C459" i="9" s="1"/>
  <c r="C508" i="9" s="1"/>
  <c r="C557" i="9" s="1"/>
  <c r="C606" i="9" s="1"/>
  <c r="C655" i="9" s="1"/>
  <c r="C704" i="9" s="1"/>
  <c r="C753" i="9" s="1"/>
  <c r="C802" i="9" s="1"/>
  <c r="C851" i="9" s="1"/>
  <c r="C900" i="9" s="1"/>
  <c r="C949" i="9" s="1"/>
  <c r="C998" i="9" s="1"/>
  <c r="C1047" i="9" s="1"/>
  <c r="C1096" i="9" s="1"/>
  <c r="C1145" i="9" s="1"/>
  <c r="C1194" i="9" s="1"/>
  <c r="C1243" i="9" s="1"/>
  <c r="C1292" i="9" s="1"/>
  <c r="A237" i="31"/>
  <c r="A238" i="31"/>
  <c r="A239" i="31"/>
  <c r="A240" i="31" s="1"/>
  <c r="A241" i="31" s="1"/>
  <c r="A242" i="31" s="1"/>
  <c r="A243" i="31" s="1"/>
  <c r="A244" i="31" s="1"/>
  <c r="F241" i="31"/>
  <c r="F23" i="9"/>
  <c r="E244" i="31"/>
  <c r="F244" i="31" s="1"/>
  <c r="F252" i="31"/>
  <c r="F262" i="31" s="1"/>
  <c r="F239" i="31"/>
  <c r="F249" i="31" s="1"/>
  <c r="F24" i="13" s="1"/>
  <c r="F243" i="31"/>
  <c r="C1192" i="36"/>
  <c r="E1184" i="36"/>
  <c r="G1216" i="36"/>
  <c r="C1175" i="36"/>
  <c r="E1221" i="36"/>
  <c r="E1220" i="36"/>
  <c r="E1219" i="36"/>
  <c r="E1218" i="36"/>
  <c r="E1216" i="36"/>
  <c r="E1215" i="36"/>
  <c r="E1214" i="36"/>
  <c r="E1213" i="36"/>
  <c r="B1193" i="36"/>
  <c r="B1194" i="36" s="1"/>
  <c r="B1195" i="36" s="1"/>
  <c r="B1196" i="36" s="1"/>
  <c r="B1197" i="36" s="1"/>
  <c r="B1198" i="36" s="1"/>
  <c r="B1199" i="36" s="1"/>
  <c r="B1200" i="36" s="1"/>
  <c r="B1201" i="36" s="1"/>
  <c r="E1185" i="36"/>
  <c r="G1218" i="36"/>
  <c r="E1128" i="36"/>
  <c r="G1158" i="36" s="1"/>
  <c r="F233" i="31"/>
  <c r="E1136" i="36"/>
  <c r="G1136" i="36"/>
  <c r="C1136" i="36"/>
  <c r="C1119" i="36"/>
  <c r="E1165" i="36"/>
  <c r="E1164" i="36"/>
  <c r="E1163" i="36"/>
  <c r="E1162" i="36"/>
  <c r="E1160" i="36"/>
  <c r="E1159" i="36"/>
  <c r="E1158" i="36"/>
  <c r="E1157" i="36"/>
  <c r="B1137" i="36"/>
  <c r="B1138" i="36"/>
  <c r="B1139" i="36" s="1"/>
  <c r="B1140" i="36" s="1"/>
  <c r="B1141" i="36" s="1"/>
  <c r="B1142" i="36" s="1"/>
  <c r="B1143" i="36" s="1"/>
  <c r="B1144" i="36" s="1"/>
  <c r="B1145" i="36" s="1"/>
  <c r="E1129" i="36"/>
  <c r="G1165" i="36" s="1"/>
  <c r="E1072" i="36"/>
  <c r="G1102" i="36"/>
  <c r="C1080" i="36"/>
  <c r="C1063" i="36"/>
  <c r="C1024" i="36"/>
  <c r="E1016" i="36"/>
  <c r="G1045" i="36"/>
  <c r="C1007" i="36"/>
  <c r="C968" i="36"/>
  <c r="E960" i="36"/>
  <c r="C951" i="36"/>
  <c r="C912" i="36"/>
  <c r="E904" i="36"/>
  <c r="G936" i="36"/>
  <c r="C895" i="36"/>
  <c r="C856" i="36"/>
  <c r="E848" i="36"/>
  <c r="G878" i="36"/>
  <c r="C839" i="36"/>
  <c r="C800" i="36"/>
  <c r="C783" i="36"/>
  <c r="E1109" i="36"/>
  <c r="E1108" i="36"/>
  <c r="E1107" i="36"/>
  <c r="E1106" i="36"/>
  <c r="E1104" i="36"/>
  <c r="E1103" i="36"/>
  <c r="E1102" i="36"/>
  <c r="E1101" i="36"/>
  <c r="B1081" i="36"/>
  <c r="B1082" i="36"/>
  <c r="B1083" i="36" s="1"/>
  <c r="B1084" i="36" s="1"/>
  <c r="B1085" i="36" s="1"/>
  <c r="B1086" i="36" s="1"/>
  <c r="B1087" i="36" s="1"/>
  <c r="B1088" i="36" s="1"/>
  <c r="B1089" i="36" s="1"/>
  <c r="E1073" i="36"/>
  <c r="G1106" i="36" s="1"/>
  <c r="E1053" i="36"/>
  <c r="E1052" i="36"/>
  <c r="E1051" i="36"/>
  <c r="E1050" i="36"/>
  <c r="E1048" i="36"/>
  <c r="E1047" i="36"/>
  <c r="E1046" i="36"/>
  <c r="E1045" i="36"/>
  <c r="B1025" i="36"/>
  <c r="B1026" i="36"/>
  <c r="B1027" i="36"/>
  <c r="B1028" i="36" s="1"/>
  <c r="B1029" i="36" s="1"/>
  <c r="B1030" i="36" s="1"/>
  <c r="B1031" i="36" s="1"/>
  <c r="B1032" i="36" s="1"/>
  <c r="B1033" i="36" s="1"/>
  <c r="E1017" i="36"/>
  <c r="G1051" i="36" s="1"/>
  <c r="G1050" i="36"/>
  <c r="E997" i="36"/>
  <c r="E996" i="36"/>
  <c r="E995" i="36"/>
  <c r="E994" i="36"/>
  <c r="E992" i="36"/>
  <c r="E991" i="36"/>
  <c r="E990" i="36"/>
  <c r="E989" i="36"/>
  <c r="B969" i="36"/>
  <c r="B970" i="36" s="1"/>
  <c r="B971" i="36"/>
  <c r="B972" i="36" s="1"/>
  <c r="B973" i="36" s="1"/>
  <c r="B974" i="36" s="1"/>
  <c r="B975" i="36" s="1"/>
  <c r="B976" i="36" s="1"/>
  <c r="B977" i="36" s="1"/>
  <c r="E961" i="36"/>
  <c r="G994" i="36"/>
  <c r="G990" i="36"/>
  <c r="E941" i="36"/>
  <c r="E940" i="36"/>
  <c r="E939" i="36"/>
  <c r="E938" i="36"/>
  <c r="E936" i="36"/>
  <c r="E935" i="36"/>
  <c r="E934" i="36"/>
  <c r="E933" i="36"/>
  <c r="B913" i="36"/>
  <c r="B914" i="36" s="1"/>
  <c r="B915" i="36"/>
  <c r="B916" i="36" s="1"/>
  <c r="B917" i="36" s="1"/>
  <c r="B918" i="36" s="1"/>
  <c r="B919" i="36" s="1"/>
  <c r="B920" i="36" s="1"/>
  <c r="B921" i="36" s="1"/>
  <c r="E905" i="36"/>
  <c r="G938" i="36"/>
  <c r="E885" i="36"/>
  <c r="E884" i="36"/>
  <c r="E883" i="36"/>
  <c r="E882" i="36"/>
  <c r="E880" i="36"/>
  <c r="E879" i="36"/>
  <c r="E878" i="36"/>
  <c r="E877" i="36"/>
  <c r="B857" i="36"/>
  <c r="B858" i="36" s="1"/>
  <c r="B859" i="36" s="1"/>
  <c r="B860" i="36" s="1"/>
  <c r="B861" i="36" s="1"/>
  <c r="B862" i="36" s="1"/>
  <c r="B863" i="36" s="1"/>
  <c r="B864" i="36" s="1"/>
  <c r="B865" i="36" s="1"/>
  <c r="E849" i="36"/>
  <c r="G882" i="36" s="1"/>
  <c r="E829" i="36"/>
  <c r="E828" i="36"/>
  <c r="E827" i="36"/>
  <c r="E826" i="36"/>
  <c r="E824" i="36"/>
  <c r="E823" i="36"/>
  <c r="E822" i="36"/>
  <c r="E821" i="36"/>
  <c r="B801" i="36"/>
  <c r="B802" i="36" s="1"/>
  <c r="B803" i="36" s="1"/>
  <c r="B804" i="36" s="1"/>
  <c r="B805" i="36" s="1"/>
  <c r="B806" i="36" s="1"/>
  <c r="B807" i="36" s="1"/>
  <c r="B808" i="36" s="1"/>
  <c r="B809" i="36" s="1"/>
  <c r="E793" i="36"/>
  <c r="G826" i="36"/>
  <c r="E792" i="36"/>
  <c r="G822" i="36"/>
  <c r="C744" i="36"/>
  <c r="E736" i="36"/>
  <c r="C727" i="36"/>
  <c r="E773" i="36"/>
  <c r="E772" i="36"/>
  <c r="E771" i="36"/>
  <c r="E770" i="36"/>
  <c r="E768" i="36"/>
  <c r="E767" i="36"/>
  <c r="E766" i="36"/>
  <c r="E765" i="36"/>
  <c r="B745" i="36"/>
  <c r="B746" i="36" s="1"/>
  <c r="B747" i="36" s="1"/>
  <c r="B748" i="36" s="1"/>
  <c r="B749" i="36" s="1"/>
  <c r="B750" i="36" s="1"/>
  <c r="B751" i="36" s="1"/>
  <c r="B752" i="36" s="1"/>
  <c r="B753" i="36" s="1"/>
  <c r="E737" i="36"/>
  <c r="E680" i="36"/>
  <c r="G710" i="36" s="1"/>
  <c r="E515" i="36"/>
  <c r="G550" i="36" s="1"/>
  <c r="F689" i="36"/>
  <c r="F745" i="36"/>
  <c r="F801" i="36" s="1"/>
  <c r="F857" i="36" s="1"/>
  <c r="F913" i="36" s="1"/>
  <c r="F969" i="36" s="1"/>
  <c r="F1025" i="36" s="1"/>
  <c r="F1081" i="36" s="1"/>
  <c r="F1137" i="36" s="1"/>
  <c r="F1193" i="36" s="1"/>
  <c r="F1249" i="36" s="1"/>
  <c r="F1305" i="36" s="1"/>
  <c r="F690" i="36"/>
  <c r="F746" i="36" s="1"/>
  <c r="F802" i="36" s="1"/>
  <c r="F858" i="36" s="1"/>
  <c r="F914" i="36" s="1"/>
  <c r="F970" i="36" s="1"/>
  <c r="F1026" i="36" s="1"/>
  <c r="F1082" i="36" s="1"/>
  <c r="F1138" i="36" s="1"/>
  <c r="F1194" i="36" s="1"/>
  <c r="F1250" i="36" s="1"/>
  <c r="F1306" i="36" s="1"/>
  <c r="F691" i="36"/>
  <c r="F747" i="36"/>
  <c r="F803" i="36" s="1"/>
  <c r="F859" i="36" s="1"/>
  <c r="F915" i="36" s="1"/>
  <c r="F971" i="36" s="1"/>
  <c r="F1027" i="36" s="1"/>
  <c r="F1083" i="36" s="1"/>
  <c r="F1139" i="36" s="1"/>
  <c r="F1195" i="36" s="1"/>
  <c r="F1251" i="36" s="1"/>
  <c r="F1307" i="36" s="1"/>
  <c r="F692" i="36"/>
  <c r="F748" i="36" s="1"/>
  <c r="F804" i="36" s="1"/>
  <c r="F860" i="36" s="1"/>
  <c r="F916" i="36" s="1"/>
  <c r="F972" i="36" s="1"/>
  <c r="F1028" i="36" s="1"/>
  <c r="F1084" i="36" s="1"/>
  <c r="F1140" i="36" s="1"/>
  <c r="F1196" i="36" s="1"/>
  <c r="F1252" i="36" s="1"/>
  <c r="F1308" i="36" s="1"/>
  <c r="F693" i="36"/>
  <c r="F749" i="36"/>
  <c r="F805" i="36" s="1"/>
  <c r="F861" i="36" s="1"/>
  <c r="F917" i="36" s="1"/>
  <c r="F973" i="36" s="1"/>
  <c r="F1029" i="36" s="1"/>
  <c r="F1085" i="36" s="1"/>
  <c r="F1141" i="36" s="1"/>
  <c r="F1197" i="36" s="1"/>
  <c r="F1253" i="36" s="1"/>
  <c r="F1309" i="36" s="1"/>
  <c r="F694" i="36"/>
  <c r="F750" i="36" s="1"/>
  <c r="F806" i="36" s="1"/>
  <c r="F862" i="36" s="1"/>
  <c r="F918" i="36" s="1"/>
  <c r="F974" i="36" s="1"/>
  <c r="F1030" i="36" s="1"/>
  <c r="F1086" i="36" s="1"/>
  <c r="F1142" i="36" s="1"/>
  <c r="F1198" i="36" s="1"/>
  <c r="F1254" i="36" s="1"/>
  <c r="F1310" i="36" s="1"/>
  <c r="F695" i="36"/>
  <c r="F751" i="36"/>
  <c r="F807" i="36" s="1"/>
  <c r="F863" i="36" s="1"/>
  <c r="F919" i="36" s="1"/>
  <c r="F975" i="36" s="1"/>
  <c r="F1031" i="36" s="1"/>
  <c r="F1087" i="36" s="1"/>
  <c r="F1143" i="36" s="1"/>
  <c r="F1199" i="36" s="1"/>
  <c r="F1255" i="36" s="1"/>
  <c r="F1311" i="36" s="1"/>
  <c r="F696" i="36"/>
  <c r="F752" i="36" s="1"/>
  <c r="F808" i="36" s="1"/>
  <c r="F864" i="36" s="1"/>
  <c r="F920" i="36" s="1"/>
  <c r="F976" i="36" s="1"/>
  <c r="F1032" i="36" s="1"/>
  <c r="F1088" i="36" s="1"/>
  <c r="F1144" i="36" s="1"/>
  <c r="F1200" i="36" s="1"/>
  <c r="F1256" i="36" s="1"/>
  <c r="F1312" i="36" s="1"/>
  <c r="F697" i="36"/>
  <c r="F753" i="36"/>
  <c r="F809" i="36" s="1"/>
  <c r="F865" i="36" s="1"/>
  <c r="F921" i="36" s="1"/>
  <c r="F977" i="36" s="1"/>
  <c r="F1033" i="36" s="1"/>
  <c r="F1089" i="36" s="1"/>
  <c r="F1145" i="36" s="1"/>
  <c r="F1201" i="36" s="1"/>
  <c r="F1257" i="36" s="1"/>
  <c r="F1313" i="36" s="1"/>
  <c r="C688" i="36"/>
  <c r="C671" i="36"/>
  <c r="E717" i="36"/>
  <c r="E716" i="36"/>
  <c r="E715" i="36"/>
  <c r="E714" i="36"/>
  <c r="E712" i="36"/>
  <c r="E711" i="36"/>
  <c r="E710" i="36"/>
  <c r="E709" i="36"/>
  <c r="B689" i="36"/>
  <c r="B690" i="36" s="1"/>
  <c r="B691" i="36" s="1"/>
  <c r="B692" i="36" s="1"/>
  <c r="B693" i="36" s="1"/>
  <c r="B694" i="36" s="1"/>
  <c r="B695" i="36" s="1"/>
  <c r="B696" i="36" s="1"/>
  <c r="B697" i="36" s="1"/>
  <c r="E681" i="36"/>
  <c r="G714" i="36"/>
  <c r="C632" i="36"/>
  <c r="C615" i="36"/>
  <c r="C577" i="36"/>
  <c r="C560" i="36"/>
  <c r="E661" i="36"/>
  <c r="E660" i="36"/>
  <c r="E659" i="36"/>
  <c r="E658" i="36"/>
  <c r="E656" i="36"/>
  <c r="E655" i="36"/>
  <c r="E654" i="36"/>
  <c r="E653" i="36"/>
  <c r="B633" i="36"/>
  <c r="B634" i="36"/>
  <c r="B635" i="36" s="1"/>
  <c r="B636" i="36" s="1"/>
  <c r="B637" i="36" s="1"/>
  <c r="B638" i="36" s="1"/>
  <c r="B639" i="36" s="1"/>
  <c r="B640" i="36" s="1"/>
  <c r="B641" i="36" s="1"/>
  <c r="E625" i="36"/>
  <c r="G658" i="36" s="1"/>
  <c r="E624" i="36"/>
  <c r="G654" i="36"/>
  <c r="E570" i="36"/>
  <c r="G606" i="36" s="1"/>
  <c r="C579" i="36"/>
  <c r="C634" i="36" s="1"/>
  <c r="C690" i="36" s="1"/>
  <c r="C746" i="36" s="1"/>
  <c r="C802" i="36" s="1"/>
  <c r="C858" i="36" s="1"/>
  <c r="C914" i="36" s="1"/>
  <c r="C970" i="36" s="1"/>
  <c r="C1026" i="36" s="1"/>
  <c r="C1082" i="36" s="1"/>
  <c r="C1138" i="36" s="1"/>
  <c r="C1194" i="36" s="1"/>
  <c r="C1250" i="36" s="1"/>
  <c r="C1306" i="36" s="1"/>
  <c r="D579" i="36"/>
  <c r="D634" i="36" s="1"/>
  <c r="D690" i="36"/>
  <c r="D746" i="36" s="1"/>
  <c r="D802" i="36" s="1"/>
  <c r="D858" i="36" s="1"/>
  <c r="D914" i="36" s="1"/>
  <c r="D970" i="36" s="1"/>
  <c r="D1026" i="36" s="1"/>
  <c r="D1082" i="36" s="1"/>
  <c r="D1138" i="36" s="1"/>
  <c r="D1194" i="36" s="1"/>
  <c r="D1250" i="36" s="1"/>
  <c r="D1306" i="36" s="1"/>
  <c r="C580" i="36"/>
  <c r="C635" i="36"/>
  <c r="C691" i="36" s="1"/>
  <c r="C747" i="36" s="1"/>
  <c r="C803" i="36" s="1"/>
  <c r="C859" i="36" s="1"/>
  <c r="C915" i="36" s="1"/>
  <c r="C971" i="36" s="1"/>
  <c r="C1027" i="36" s="1"/>
  <c r="C1083" i="36" s="1"/>
  <c r="C1139" i="36" s="1"/>
  <c r="C1195" i="36" s="1"/>
  <c r="C1251" i="36" s="1"/>
  <c r="C1307" i="36" s="1"/>
  <c r="D580" i="36"/>
  <c r="D635" i="36" s="1"/>
  <c r="D691" i="36" s="1"/>
  <c r="D747" i="36" s="1"/>
  <c r="D803" i="36" s="1"/>
  <c r="D859" i="36" s="1"/>
  <c r="D915" i="36" s="1"/>
  <c r="D971" i="36" s="1"/>
  <c r="D1027" i="36" s="1"/>
  <c r="D1083" i="36" s="1"/>
  <c r="D1139" i="36" s="1"/>
  <c r="D1195" i="36" s="1"/>
  <c r="D1251" i="36" s="1"/>
  <c r="D1307" i="36" s="1"/>
  <c r="C581" i="36"/>
  <c r="C636" i="36" s="1"/>
  <c r="C692" i="36" s="1"/>
  <c r="C748" i="36" s="1"/>
  <c r="C804" i="36" s="1"/>
  <c r="C860" i="36" s="1"/>
  <c r="C916" i="36" s="1"/>
  <c r="C972" i="36" s="1"/>
  <c r="C1028" i="36" s="1"/>
  <c r="C1084" i="36" s="1"/>
  <c r="C1140" i="36" s="1"/>
  <c r="C1196" i="36" s="1"/>
  <c r="C1252" i="36" s="1"/>
  <c r="C1308" i="36" s="1"/>
  <c r="D581" i="36"/>
  <c r="D636" i="36" s="1"/>
  <c r="D692" i="36"/>
  <c r="D748" i="36" s="1"/>
  <c r="D804" i="36" s="1"/>
  <c r="D860" i="36" s="1"/>
  <c r="D916" i="36" s="1"/>
  <c r="D972" i="36" s="1"/>
  <c r="D1028" i="36" s="1"/>
  <c r="D1084" i="36" s="1"/>
  <c r="D1140" i="36" s="1"/>
  <c r="D1196" i="36" s="1"/>
  <c r="D1252" i="36" s="1"/>
  <c r="D1308" i="36" s="1"/>
  <c r="C582" i="36"/>
  <c r="C637" i="36"/>
  <c r="C693" i="36" s="1"/>
  <c r="C749" i="36" s="1"/>
  <c r="C805" i="36" s="1"/>
  <c r="C861" i="36" s="1"/>
  <c r="C917" i="36" s="1"/>
  <c r="C973" i="36" s="1"/>
  <c r="C1029" i="36" s="1"/>
  <c r="C1085" i="36" s="1"/>
  <c r="C1141" i="36" s="1"/>
  <c r="C1197" i="36" s="1"/>
  <c r="C1253" i="36" s="1"/>
  <c r="C1309" i="36" s="1"/>
  <c r="D582" i="36"/>
  <c r="D637" i="36" s="1"/>
  <c r="D693" i="36" s="1"/>
  <c r="D749" i="36" s="1"/>
  <c r="D805" i="36" s="1"/>
  <c r="D861" i="36" s="1"/>
  <c r="D917" i="36" s="1"/>
  <c r="D973" i="36" s="1"/>
  <c r="D1029" i="36" s="1"/>
  <c r="D1085" i="36" s="1"/>
  <c r="D1141" i="36" s="1"/>
  <c r="D1197" i="36" s="1"/>
  <c r="D1253" i="36" s="1"/>
  <c r="D1309" i="36" s="1"/>
  <c r="C583" i="36"/>
  <c r="C638" i="36" s="1"/>
  <c r="C694" i="36" s="1"/>
  <c r="C750" i="36" s="1"/>
  <c r="C806" i="36" s="1"/>
  <c r="C862" i="36" s="1"/>
  <c r="C918" i="36" s="1"/>
  <c r="C974" i="36" s="1"/>
  <c r="C1030" i="36" s="1"/>
  <c r="C1086" i="36" s="1"/>
  <c r="C1142" i="36" s="1"/>
  <c r="C1198" i="36" s="1"/>
  <c r="C1254" i="36" s="1"/>
  <c r="C1310" i="36" s="1"/>
  <c r="D583" i="36"/>
  <c r="D638" i="36" s="1"/>
  <c r="D694" i="36"/>
  <c r="D750" i="36" s="1"/>
  <c r="D806" i="36" s="1"/>
  <c r="D862" i="36" s="1"/>
  <c r="D918" i="36" s="1"/>
  <c r="D974" i="36" s="1"/>
  <c r="D1030" i="36" s="1"/>
  <c r="D1086" i="36" s="1"/>
  <c r="D1142" i="36" s="1"/>
  <c r="D1198" i="36" s="1"/>
  <c r="D1254" i="36" s="1"/>
  <c r="D1310" i="36" s="1"/>
  <c r="C584" i="36"/>
  <c r="C639" i="36"/>
  <c r="C695" i="36" s="1"/>
  <c r="C751" i="36" s="1"/>
  <c r="C807" i="36" s="1"/>
  <c r="C863" i="36" s="1"/>
  <c r="C919" i="36" s="1"/>
  <c r="C975" i="36" s="1"/>
  <c r="C1031" i="36" s="1"/>
  <c r="C1087" i="36" s="1"/>
  <c r="C1143" i="36" s="1"/>
  <c r="C1199" i="36" s="1"/>
  <c r="C1255" i="36" s="1"/>
  <c r="C1311" i="36" s="1"/>
  <c r="D584" i="36"/>
  <c r="D639" i="36" s="1"/>
  <c r="D695" i="36" s="1"/>
  <c r="D751" i="36" s="1"/>
  <c r="D807" i="36" s="1"/>
  <c r="D863" i="36" s="1"/>
  <c r="D919" i="36" s="1"/>
  <c r="D975" i="36" s="1"/>
  <c r="D1031" i="36" s="1"/>
  <c r="D1087" i="36" s="1"/>
  <c r="D1143" i="36" s="1"/>
  <c r="D1199" i="36" s="1"/>
  <c r="D1255" i="36" s="1"/>
  <c r="D1311" i="36" s="1"/>
  <c r="C585" i="36"/>
  <c r="C640" i="36" s="1"/>
  <c r="C696" i="36" s="1"/>
  <c r="C752" i="36" s="1"/>
  <c r="C808" i="36" s="1"/>
  <c r="C864" i="36" s="1"/>
  <c r="C920" i="36" s="1"/>
  <c r="C976" i="36" s="1"/>
  <c r="C1032" i="36" s="1"/>
  <c r="C1088" i="36" s="1"/>
  <c r="C1144" i="36" s="1"/>
  <c r="C1200" i="36" s="1"/>
  <c r="C1256" i="36" s="1"/>
  <c r="C1312" i="36" s="1"/>
  <c r="D585" i="36"/>
  <c r="D640" i="36" s="1"/>
  <c r="D696" i="36"/>
  <c r="D752" i="36" s="1"/>
  <c r="D808" i="36" s="1"/>
  <c r="D864" i="36" s="1"/>
  <c r="D920" i="36" s="1"/>
  <c r="D976" i="36" s="1"/>
  <c r="D1032" i="36" s="1"/>
  <c r="D1088" i="36" s="1"/>
  <c r="D1144" i="36" s="1"/>
  <c r="D1200" i="36" s="1"/>
  <c r="D1256" i="36" s="1"/>
  <c r="D1312" i="36" s="1"/>
  <c r="C586" i="36"/>
  <c r="C641" i="36"/>
  <c r="C697" i="36" s="1"/>
  <c r="C753" i="36" s="1"/>
  <c r="C809" i="36" s="1"/>
  <c r="C865" i="36" s="1"/>
  <c r="C921" i="36" s="1"/>
  <c r="C977" i="36" s="1"/>
  <c r="C1033" i="36" s="1"/>
  <c r="C1089" i="36" s="1"/>
  <c r="C1145" i="36" s="1"/>
  <c r="C1201" i="36" s="1"/>
  <c r="C1257" i="36" s="1"/>
  <c r="C1313" i="36" s="1"/>
  <c r="D586" i="36"/>
  <c r="D641" i="36" s="1"/>
  <c r="D697" i="36" s="1"/>
  <c r="D753" i="36" s="1"/>
  <c r="D809" i="36" s="1"/>
  <c r="D865" i="36" s="1"/>
  <c r="D921" i="36" s="1"/>
  <c r="D977" i="36" s="1"/>
  <c r="D1033" i="36" s="1"/>
  <c r="D1089" i="36" s="1"/>
  <c r="D1145" i="36" s="1"/>
  <c r="D1201" i="36" s="1"/>
  <c r="D1257" i="36" s="1"/>
  <c r="D1313" i="36" s="1"/>
  <c r="D578" i="36"/>
  <c r="D633" i="36" s="1"/>
  <c r="D689" i="36" s="1"/>
  <c r="D745" i="36" s="1"/>
  <c r="D801" i="36" s="1"/>
  <c r="D857" i="36" s="1"/>
  <c r="D913" i="36" s="1"/>
  <c r="D969" i="36" s="1"/>
  <c r="D1025" i="36" s="1"/>
  <c r="D1081" i="36" s="1"/>
  <c r="D1137" i="36" s="1"/>
  <c r="D1193" i="36" s="1"/>
  <c r="D1249" i="36" s="1"/>
  <c r="D1305" i="36" s="1"/>
  <c r="E569" i="36"/>
  <c r="G599" i="36" s="1"/>
  <c r="E606" i="36"/>
  <c r="E605" i="36"/>
  <c r="E604" i="36"/>
  <c r="E603" i="36"/>
  <c r="E601" i="36"/>
  <c r="E600" i="36"/>
  <c r="E599" i="36"/>
  <c r="E598" i="36"/>
  <c r="B578" i="36"/>
  <c r="B579" i="36" s="1"/>
  <c r="B580" i="36" s="1"/>
  <c r="B581" i="36" s="1"/>
  <c r="B582" i="36" s="1"/>
  <c r="B583" i="36"/>
  <c r="B584" i="36" s="1"/>
  <c r="B585" i="36" s="1"/>
  <c r="B586" i="36" s="1"/>
  <c r="C523" i="36"/>
  <c r="C578" i="36"/>
  <c r="C633" i="36" s="1"/>
  <c r="C689" i="36" s="1"/>
  <c r="C745" i="36" s="1"/>
  <c r="C801" i="36" s="1"/>
  <c r="C857" i="36" s="1"/>
  <c r="C913" i="36" s="1"/>
  <c r="C969" i="36" s="1"/>
  <c r="C1025" i="36" s="1"/>
  <c r="C1081" i="36" s="1"/>
  <c r="C1137" i="36" s="1"/>
  <c r="C1193" i="36" s="1"/>
  <c r="C1249" i="36" s="1"/>
  <c r="C1305" i="36" s="1"/>
  <c r="F235" i="31"/>
  <c r="E235" i="31"/>
  <c r="E523" i="36"/>
  <c r="E514" i="36"/>
  <c r="G546" i="36"/>
  <c r="B523" i="36"/>
  <c r="B524" i="36"/>
  <c r="B525" i="36" s="1"/>
  <c r="B526" i="36" s="1"/>
  <c r="B527" i="36" s="1"/>
  <c r="B528" i="36" s="1"/>
  <c r="B529" i="36" s="1"/>
  <c r="B530" i="36"/>
  <c r="B531" i="36" s="1"/>
  <c r="C70" i="30"/>
  <c r="E530" i="36"/>
  <c r="G530" i="36"/>
  <c r="E531" i="36"/>
  <c r="G531" i="36"/>
  <c r="E529" i="36"/>
  <c r="G529" i="36"/>
  <c r="E528" i="36"/>
  <c r="E526" i="36"/>
  <c r="G526" i="36" s="1"/>
  <c r="E525" i="36"/>
  <c r="G525" i="36"/>
  <c r="E524" i="36"/>
  <c r="G524" i="36" s="1"/>
  <c r="C537" i="36"/>
  <c r="C592" i="36" s="1"/>
  <c r="C647" i="36" s="1"/>
  <c r="C703" i="36"/>
  <c r="C759" i="36" s="1"/>
  <c r="C815" i="36" s="1"/>
  <c r="C871" i="36" s="1"/>
  <c r="C927" i="36" s="1"/>
  <c r="C983" i="36" s="1"/>
  <c r="C1039" i="36" s="1"/>
  <c r="C1095" i="36" s="1"/>
  <c r="C1151" i="36" s="1"/>
  <c r="C1207" i="36" s="1"/>
  <c r="C1263" i="36" s="1"/>
  <c r="C1319" i="36" s="1"/>
  <c r="C522" i="36"/>
  <c r="C505" i="36"/>
  <c r="E551" i="36"/>
  <c r="E550" i="36"/>
  <c r="E549" i="36"/>
  <c r="E548" i="36"/>
  <c r="E546" i="36"/>
  <c r="G545" i="36"/>
  <c r="E545" i="36"/>
  <c r="E544" i="36"/>
  <c r="E543" i="36"/>
  <c r="C67" i="30"/>
  <c r="N18" i="36"/>
  <c r="N19" i="36" s="1"/>
  <c r="N20" i="36" s="1"/>
  <c r="N21" i="36"/>
  <c r="N22" i="36" s="1"/>
  <c r="N23" i="36" s="1"/>
  <c r="N24" i="36" s="1"/>
  <c r="N25" i="36" s="1"/>
  <c r="N26" i="36" s="1"/>
  <c r="N27" i="36" s="1"/>
  <c r="N28" i="36" s="1"/>
  <c r="N29" i="36" s="1"/>
  <c r="N30" i="36" s="1"/>
  <c r="N31" i="36" s="1"/>
  <c r="F234" i="31"/>
  <c r="E1192" i="36" s="1"/>
  <c r="G1192" i="36"/>
  <c r="E234" i="31"/>
  <c r="F232" i="31"/>
  <c r="E232" i="31"/>
  <c r="F231" i="31"/>
  <c r="O26" i="36" s="1"/>
  <c r="E231" i="31"/>
  <c r="F230" i="31"/>
  <c r="O25" i="36" s="1"/>
  <c r="E230" i="31"/>
  <c r="F229" i="31"/>
  <c r="E912" i="36"/>
  <c r="G912" i="36" s="1"/>
  <c r="E229" i="31"/>
  <c r="F228" i="31"/>
  <c r="E856" i="36"/>
  <c r="G856" i="36" s="1"/>
  <c r="E228" i="31"/>
  <c r="F227" i="31"/>
  <c r="E800" i="36"/>
  <c r="G800" i="36" s="1"/>
  <c r="F226" i="31"/>
  <c r="O21" i="36"/>
  <c r="E226" i="31"/>
  <c r="E233" i="31"/>
  <c r="F224" i="31"/>
  <c r="O19" i="36"/>
  <c r="E224" i="31"/>
  <c r="F225" i="31"/>
  <c r="E688" i="36" s="1"/>
  <c r="G688" i="36"/>
  <c r="E225" i="31"/>
  <c r="F223" i="31"/>
  <c r="E223" i="31"/>
  <c r="F222" i="31"/>
  <c r="E522" i="36" s="1"/>
  <c r="G522" i="36" s="1"/>
  <c r="E222" i="31"/>
  <c r="Z70" i="11"/>
  <c r="Z71" i="11"/>
  <c r="Z72" i="11"/>
  <c r="Z73" i="11"/>
  <c r="Z74" i="11"/>
  <c r="Z75" i="11"/>
  <c r="Z76" i="11"/>
  <c r="Z77" i="11"/>
  <c r="Z78" i="11"/>
  <c r="Z79" i="11"/>
  <c r="Z80" i="11"/>
  <c r="Z81" i="11"/>
  <c r="Z82" i="11"/>
  <c r="Z83" i="11"/>
  <c r="Z84" i="11"/>
  <c r="Z85" i="11"/>
  <c r="Z86" i="11"/>
  <c r="Z87" i="11"/>
  <c r="Z88" i="11"/>
  <c r="Z89" i="11"/>
  <c r="Z90" i="11"/>
  <c r="Z69" i="11"/>
  <c r="C79" i="11"/>
  <c r="D92" i="29"/>
  <c r="C80" i="11"/>
  <c r="D93" i="29" s="1"/>
  <c r="C81" i="11"/>
  <c r="D94" i="29"/>
  <c r="C82" i="11"/>
  <c r="D95" i="29"/>
  <c r="C83" i="11"/>
  <c r="D96" i="29"/>
  <c r="C84" i="11"/>
  <c r="D97" i="29" s="1"/>
  <c r="C85" i="11"/>
  <c r="D98" i="29"/>
  <c r="C86" i="11"/>
  <c r="D99" i="29"/>
  <c r="C87" i="11"/>
  <c r="D100" i="29"/>
  <c r="C88" i="11"/>
  <c r="D101" i="29" s="1"/>
  <c r="C89" i="11"/>
  <c r="D102" i="29"/>
  <c r="C90" i="11"/>
  <c r="D103" i="29" s="1"/>
  <c r="C78" i="11"/>
  <c r="D91" i="29"/>
  <c r="E1370" i="13"/>
  <c r="D347" i="13"/>
  <c r="D404" i="13" s="1"/>
  <c r="D461" i="13" s="1"/>
  <c r="D518" i="13" s="1"/>
  <c r="D575" i="13" s="1"/>
  <c r="D632" i="13" s="1"/>
  <c r="D689" i="13" s="1"/>
  <c r="D746" i="13" s="1"/>
  <c r="D803" i="13" s="1"/>
  <c r="D860" i="13" s="1"/>
  <c r="D917" i="13" s="1"/>
  <c r="D974" i="13" s="1"/>
  <c r="D1031" i="13" s="1"/>
  <c r="D1088" i="13" s="1"/>
  <c r="D1145" i="13" s="1"/>
  <c r="D1202" i="13" s="1"/>
  <c r="D1259" i="13" s="1"/>
  <c r="D1316" i="13" s="1"/>
  <c r="D310" i="31"/>
  <c r="D1868" i="13"/>
  <c r="D1921" i="13" s="1"/>
  <c r="E291" i="31"/>
  <c r="E310" i="31"/>
  <c r="G1421" i="13"/>
  <c r="F1531" i="13"/>
  <c r="F2024" i="13" s="1"/>
  <c r="F2296" i="13" s="1"/>
  <c r="G2296" i="13" s="1"/>
  <c r="C1425" i="13"/>
  <c r="C1535" i="13" s="1"/>
  <c r="C2028" i="13"/>
  <c r="C1423" i="13"/>
  <c r="C1533" i="13" s="1"/>
  <c r="C2026" i="13" s="1"/>
  <c r="C1478" i="13"/>
  <c r="C1587" i="13" s="1"/>
  <c r="C1640" i="13" s="1"/>
  <c r="C1694" i="13" s="1"/>
  <c r="C1748" i="13" s="1"/>
  <c r="C1802" i="13" s="1"/>
  <c r="D1423" i="13"/>
  <c r="D1533" i="13" s="1"/>
  <c r="D2026" i="13" s="1"/>
  <c r="D1478" i="13"/>
  <c r="D1972" i="13"/>
  <c r="D2243" i="13" s="1"/>
  <c r="C1481" i="13"/>
  <c r="C1590" i="13" s="1"/>
  <c r="C1643" i="13" s="1"/>
  <c r="C1697" i="13" s="1"/>
  <c r="C1751" i="13" s="1"/>
  <c r="C1805" i="13" s="1"/>
  <c r="C287" i="13"/>
  <c r="C293" i="13"/>
  <c r="C402" i="13"/>
  <c r="C459" i="13" s="1"/>
  <c r="C516" i="13" s="1"/>
  <c r="C573" i="13" s="1"/>
  <c r="C630" i="13" s="1"/>
  <c r="C687" i="13" s="1"/>
  <c r="C744" i="13" s="1"/>
  <c r="C801" i="13" s="1"/>
  <c r="C858" i="13" s="1"/>
  <c r="C915" i="13" s="1"/>
  <c r="C972" i="13" s="1"/>
  <c r="C1029" i="13" s="1"/>
  <c r="C1086" i="13" s="1"/>
  <c r="C1143" i="13" s="1"/>
  <c r="C1200" i="13" s="1"/>
  <c r="C1257" i="13" s="1"/>
  <c r="C1314" i="13" s="1"/>
  <c r="C289" i="13"/>
  <c r="C290" i="13"/>
  <c r="F245" i="31"/>
  <c r="F20" i="13"/>
  <c r="G20" i="13"/>
  <c r="D262" i="31"/>
  <c r="D1373" i="13" s="1"/>
  <c r="D1429" i="13"/>
  <c r="D1539" i="13" s="1"/>
  <c r="D2032" i="13" s="1"/>
  <c r="E273" i="31"/>
  <c r="E293" i="31"/>
  <c r="E312" i="31" s="1"/>
  <c r="E245" i="31"/>
  <c r="E255" i="31" s="1"/>
  <c r="E265" i="31" s="1"/>
  <c r="E285" i="31" s="1"/>
  <c r="E304" i="31" s="1"/>
  <c r="F211" i="31"/>
  <c r="F26" i="13"/>
  <c r="F79" i="13" s="1"/>
  <c r="G26" i="13"/>
  <c r="D255" i="31"/>
  <c r="D265" i="31" s="1"/>
  <c r="D285" i="31"/>
  <c r="D259" i="31"/>
  <c r="D269" i="31"/>
  <c r="D289" i="31" s="1"/>
  <c r="D308" i="31" s="1"/>
  <c r="D1866" i="13" s="1"/>
  <c r="D1919" i="13" s="1"/>
  <c r="D267" i="31"/>
  <c r="D287" i="31"/>
  <c r="D306" i="31" s="1"/>
  <c r="E246" i="31"/>
  <c r="E256" i="31" s="1"/>
  <c r="E266" i="31" s="1"/>
  <c r="E286" i="31" s="1"/>
  <c r="E305" i="31" s="1"/>
  <c r="E252" i="31"/>
  <c r="E262" i="31" s="1"/>
  <c r="E272" i="31" s="1"/>
  <c r="E292" i="31" s="1"/>
  <c r="E311" i="31" s="1"/>
  <c r="D1372" i="13"/>
  <c r="G2471" i="13"/>
  <c r="F246" i="31"/>
  <c r="F256" i="31"/>
  <c r="F266" i="31"/>
  <c r="F286" i="31" s="1"/>
  <c r="F305" i="31" s="1"/>
  <c r="F1863" i="13" s="1"/>
  <c r="D21" i="13"/>
  <c r="D74" i="13"/>
  <c r="D127" i="13" s="1"/>
  <c r="D180" i="13" s="1"/>
  <c r="D234" i="13" s="1"/>
  <c r="F1373" i="13"/>
  <c r="F1484" i="13" s="1"/>
  <c r="F272" i="31"/>
  <c r="F292" i="31" s="1"/>
  <c r="F25" i="13"/>
  <c r="F78" i="13" s="1"/>
  <c r="D266" i="31"/>
  <c r="D286" i="31"/>
  <c r="D342" i="13" s="1"/>
  <c r="F1372" i="13"/>
  <c r="F1428" i="13"/>
  <c r="F1538" i="13"/>
  <c r="F2031" i="13" s="1"/>
  <c r="F2084" i="13" s="1"/>
  <c r="F2138" i="13" s="1"/>
  <c r="F2193" i="13" s="1"/>
  <c r="F1368" i="13"/>
  <c r="F1424" i="13" s="1"/>
  <c r="F27" i="13"/>
  <c r="G27" i="13" s="1"/>
  <c r="F259" i="31"/>
  <c r="F68" i="9"/>
  <c r="F117" i="9"/>
  <c r="F166" i="9"/>
  <c r="F215" i="9" s="1"/>
  <c r="F264" i="9" s="1"/>
  <c r="F313" i="9" s="1"/>
  <c r="F362" i="9" s="1"/>
  <c r="F411" i="9" s="1"/>
  <c r="F460" i="9" s="1"/>
  <c r="F509" i="9" s="1"/>
  <c r="F558" i="9" s="1"/>
  <c r="F607" i="9" s="1"/>
  <c r="F656" i="9" s="1"/>
  <c r="F705" i="9" s="1"/>
  <c r="F754" i="9" s="1"/>
  <c r="F803" i="9" s="1"/>
  <c r="F852" i="9" s="1"/>
  <c r="F901" i="9" s="1"/>
  <c r="F950" i="9" s="1"/>
  <c r="F999" i="9" s="1"/>
  <c r="F1048" i="9" s="1"/>
  <c r="F1097" i="9" s="1"/>
  <c r="F1146" i="9" s="1"/>
  <c r="F1195" i="9" s="1"/>
  <c r="F1244" i="9" s="1"/>
  <c r="F1293" i="9" s="1"/>
  <c r="E744" i="36"/>
  <c r="G744" i="36" s="1"/>
  <c r="O24" i="36"/>
  <c r="O20" i="36"/>
  <c r="E968" i="36"/>
  <c r="G968" i="36" s="1"/>
  <c r="E632" i="36"/>
  <c r="G632" i="36" s="1"/>
  <c r="O22" i="36"/>
  <c r="O23" i="36"/>
  <c r="G1221" i="36"/>
  <c r="G1220" i="36"/>
  <c r="G1219" i="36"/>
  <c r="O28" i="36"/>
  <c r="G1157" i="36"/>
  <c r="G1160" i="36"/>
  <c r="G1164" i="36"/>
  <c r="G1159" i="36"/>
  <c r="G1151" i="36"/>
  <c r="G1101" i="36"/>
  <c r="G1109" i="36"/>
  <c r="G1104" i="36"/>
  <c r="G1108" i="36"/>
  <c r="G1103" i="36"/>
  <c r="G1107" i="36"/>
  <c r="G1053" i="36"/>
  <c r="G1048" i="36"/>
  <c r="G1052" i="36"/>
  <c r="G989" i="36"/>
  <c r="G997" i="36"/>
  <c r="G992" i="36"/>
  <c r="G996" i="36"/>
  <c r="G991" i="36"/>
  <c r="G995" i="36"/>
  <c r="G983" i="36"/>
  <c r="G941" i="36"/>
  <c r="G940" i="36"/>
  <c r="G935" i="36"/>
  <c r="G939" i="36"/>
  <c r="G884" i="36"/>
  <c r="G883" i="36"/>
  <c r="G821" i="36"/>
  <c r="G824" i="36"/>
  <c r="G823" i="36"/>
  <c r="G827" i="36"/>
  <c r="G815" i="36"/>
  <c r="G773" i="36"/>
  <c r="G772" i="36"/>
  <c r="G771" i="36"/>
  <c r="G717" i="36"/>
  <c r="G716" i="36"/>
  <c r="G715" i="36"/>
  <c r="G653" i="36"/>
  <c r="G661" i="36"/>
  <c r="G656" i="36"/>
  <c r="G660" i="36"/>
  <c r="E579" i="36"/>
  <c r="E634" i="36"/>
  <c r="E690" i="36" s="1"/>
  <c r="G655" i="36"/>
  <c r="G659" i="36"/>
  <c r="G647" i="36"/>
  <c r="G544" i="36"/>
  <c r="D37" i="29"/>
  <c r="D38" i="29"/>
  <c r="D36" i="29"/>
  <c r="D25" i="29"/>
  <c r="D22" i="29"/>
  <c r="D19" i="29"/>
  <c r="C157" i="37"/>
  <c r="F10" i="37" s="1"/>
  <c r="E212" i="31"/>
  <c r="E244" i="36" s="1"/>
  <c r="G244" i="36" s="1"/>
  <c r="E204" i="31"/>
  <c r="E196" i="31"/>
  <c r="E245" i="36" s="1"/>
  <c r="F219" i="31"/>
  <c r="F210" i="31"/>
  <c r="F203" i="31"/>
  <c r="F202" i="31"/>
  <c r="F198" i="31"/>
  <c r="E476" i="36"/>
  <c r="G476" i="36"/>
  <c r="E475" i="36"/>
  <c r="G475" i="36"/>
  <c r="E474" i="36"/>
  <c r="G474" i="36"/>
  <c r="E473" i="36"/>
  <c r="G473" i="36"/>
  <c r="E472" i="36"/>
  <c r="G472" i="36"/>
  <c r="E471" i="36"/>
  <c r="G471" i="36"/>
  <c r="E470" i="36"/>
  <c r="G470" i="36"/>
  <c r="E469" i="36"/>
  <c r="G469" i="36"/>
  <c r="E467" i="36"/>
  <c r="G467" i="36"/>
  <c r="E466" i="36"/>
  <c r="G466" i="36"/>
  <c r="E465" i="36"/>
  <c r="G465" i="36"/>
  <c r="E464" i="36"/>
  <c r="G464" i="36"/>
  <c r="E463" i="36"/>
  <c r="G463" i="36"/>
  <c r="E417" i="36"/>
  <c r="G417" i="36"/>
  <c r="E416" i="36"/>
  <c r="G416" i="36"/>
  <c r="E415" i="36"/>
  <c r="E414" i="36"/>
  <c r="E413" i="36"/>
  <c r="G413" i="36"/>
  <c r="E412" i="36"/>
  <c r="G412" i="36"/>
  <c r="E411" i="36"/>
  <c r="G411" i="36"/>
  <c r="E409" i="36"/>
  <c r="G409" i="36"/>
  <c r="E408" i="36"/>
  <c r="G408" i="36"/>
  <c r="E362" i="36"/>
  <c r="G362" i="36"/>
  <c r="E361" i="36"/>
  <c r="E360" i="36"/>
  <c r="E359" i="36"/>
  <c r="G359" i="36"/>
  <c r="E358" i="36"/>
  <c r="G358" i="36"/>
  <c r="E356" i="36"/>
  <c r="G356" i="36"/>
  <c r="E355" i="36"/>
  <c r="G355" i="36"/>
  <c r="E354" i="36"/>
  <c r="G354" i="36"/>
  <c r="E251" i="36"/>
  <c r="G251" i="36"/>
  <c r="E250" i="36"/>
  <c r="G250" i="36"/>
  <c r="E248" i="36"/>
  <c r="E247" i="36"/>
  <c r="G247" i="36" s="1"/>
  <c r="E246" i="36"/>
  <c r="G246" i="36" s="1"/>
  <c r="E243" i="36"/>
  <c r="G243" i="36"/>
  <c r="E242" i="36"/>
  <c r="G242" i="36" s="1"/>
  <c r="E196" i="36"/>
  <c r="G196" i="36" s="1"/>
  <c r="E195" i="36"/>
  <c r="G195" i="36" s="1"/>
  <c r="E194" i="36"/>
  <c r="G194" i="36"/>
  <c r="E193" i="36"/>
  <c r="G193" i="36" s="1"/>
  <c r="E192" i="36"/>
  <c r="G192" i="36" s="1"/>
  <c r="E191" i="36"/>
  <c r="G191" i="36" s="1"/>
  <c r="E190" i="36"/>
  <c r="G190" i="36"/>
  <c r="E188" i="36"/>
  <c r="G188" i="36" s="1"/>
  <c r="E187" i="36"/>
  <c r="G187" i="36" s="1"/>
  <c r="E186" i="36"/>
  <c r="G186" i="36" s="1"/>
  <c r="E185" i="36"/>
  <c r="G185" i="36"/>
  <c r="E184" i="36"/>
  <c r="G184" i="36" s="1"/>
  <c r="E138" i="36"/>
  <c r="G138" i="36" s="1"/>
  <c r="E137" i="36"/>
  <c r="G137" i="36" s="1"/>
  <c r="E136" i="36"/>
  <c r="G136" i="36"/>
  <c r="E135" i="36"/>
  <c r="G135" i="36" s="1"/>
  <c r="E134" i="36"/>
  <c r="G134" i="36" s="1"/>
  <c r="E132" i="36"/>
  <c r="G132" i="36" s="1"/>
  <c r="E131" i="36"/>
  <c r="G131" i="36"/>
  <c r="E130" i="36"/>
  <c r="G130" i="36" s="1"/>
  <c r="E84" i="36"/>
  <c r="G84" i="36" s="1"/>
  <c r="E83" i="36"/>
  <c r="G83" i="36" s="1"/>
  <c r="E82" i="36"/>
  <c r="G82" i="36"/>
  <c r="E81" i="36"/>
  <c r="G81" i="36" s="1"/>
  <c r="E79" i="36"/>
  <c r="G79" i="36" s="1"/>
  <c r="E78" i="36"/>
  <c r="G78" i="36" s="1"/>
  <c r="E77" i="36"/>
  <c r="G77" i="36"/>
  <c r="E28" i="36"/>
  <c r="G28" i="36" s="1"/>
  <c r="E27" i="36"/>
  <c r="G27" i="36" s="1"/>
  <c r="E26" i="36"/>
  <c r="G26" i="36" s="1"/>
  <c r="E25" i="36"/>
  <c r="G25" i="36"/>
  <c r="E23" i="36"/>
  <c r="G23" i="36" s="1"/>
  <c r="E76" i="36"/>
  <c r="G76" i="36" s="1"/>
  <c r="E75" i="36"/>
  <c r="G75" i="36" s="1"/>
  <c r="E22" i="36"/>
  <c r="G22" i="36"/>
  <c r="E21" i="36"/>
  <c r="G21" i="36" s="1"/>
  <c r="B464" i="36"/>
  <c r="B465" i="36" s="1"/>
  <c r="B466" i="36" s="1"/>
  <c r="B467" i="36" s="1"/>
  <c r="B468" i="36" s="1"/>
  <c r="B469" i="36" s="1"/>
  <c r="B470" i="36" s="1"/>
  <c r="B471" i="36" s="1"/>
  <c r="B472" i="36" s="1"/>
  <c r="B473" i="36" s="1"/>
  <c r="B474" i="36" s="1"/>
  <c r="B475" i="36" s="1"/>
  <c r="B476" i="36" s="1"/>
  <c r="B409" i="36"/>
  <c r="B410" i="36" s="1"/>
  <c r="B411" i="36" s="1"/>
  <c r="B412" i="36" s="1"/>
  <c r="B413" i="36" s="1"/>
  <c r="B414" i="36" s="1"/>
  <c r="B415" i="36" s="1"/>
  <c r="B416" i="36" s="1"/>
  <c r="B417" i="36" s="1"/>
  <c r="C391" i="36"/>
  <c r="C76" i="11" s="1"/>
  <c r="D89" i="29"/>
  <c r="G437" i="36"/>
  <c r="E437" i="36"/>
  <c r="G436" i="36"/>
  <c r="E436" i="36"/>
  <c r="G435" i="36"/>
  <c r="E435" i="36"/>
  <c r="G434" i="36"/>
  <c r="E434" i="36"/>
  <c r="G432" i="36"/>
  <c r="E432" i="36"/>
  <c r="G431" i="36"/>
  <c r="E431" i="36"/>
  <c r="G430" i="36"/>
  <c r="E430" i="36"/>
  <c r="G429" i="36"/>
  <c r="E429" i="36"/>
  <c r="G423" i="36"/>
  <c r="C337" i="36"/>
  <c r="C75" i="11" s="1"/>
  <c r="D88" i="29" s="1"/>
  <c r="G382" i="36"/>
  <c r="E382" i="36"/>
  <c r="G381" i="36"/>
  <c r="E381" i="36"/>
  <c r="G380" i="36"/>
  <c r="E380" i="36"/>
  <c r="G379" i="36"/>
  <c r="E379" i="36"/>
  <c r="G377" i="36"/>
  <c r="E377" i="36"/>
  <c r="G376" i="36"/>
  <c r="E376" i="36"/>
  <c r="G375" i="36"/>
  <c r="E375" i="36"/>
  <c r="G374" i="36"/>
  <c r="E374" i="36"/>
  <c r="G368" i="36"/>
  <c r="B355" i="36"/>
  <c r="B356" i="36" s="1"/>
  <c r="B357" i="36"/>
  <c r="B358" i="36" s="1"/>
  <c r="B359" i="36" s="1"/>
  <c r="B360" i="36" s="1"/>
  <c r="B361" i="36" s="1"/>
  <c r="B362" i="36" s="1"/>
  <c r="C281" i="36"/>
  <c r="C74" i="11" s="1"/>
  <c r="D87" i="29"/>
  <c r="G327" i="36"/>
  <c r="E327" i="36"/>
  <c r="G326" i="36"/>
  <c r="E326" i="36"/>
  <c r="G325" i="36"/>
  <c r="E325" i="36"/>
  <c r="G324" i="36"/>
  <c r="E324" i="36"/>
  <c r="G322" i="36"/>
  <c r="E322" i="36"/>
  <c r="G321" i="36"/>
  <c r="E321" i="36"/>
  <c r="G320" i="36"/>
  <c r="E320" i="36"/>
  <c r="G319" i="36"/>
  <c r="E319" i="36"/>
  <c r="G313" i="36"/>
  <c r="B299" i="36"/>
  <c r="B300" i="36" s="1"/>
  <c r="B301" i="36" s="1"/>
  <c r="B302" i="36" s="1"/>
  <c r="B303" i="36" s="1"/>
  <c r="B304" i="36" s="1"/>
  <c r="B305" i="36" s="1"/>
  <c r="B306" i="36" s="1"/>
  <c r="B307" i="36" s="1"/>
  <c r="B243" i="36"/>
  <c r="B244" i="36"/>
  <c r="B245" i="36" s="1"/>
  <c r="B246" i="36" s="1"/>
  <c r="B247" i="36" s="1"/>
  <c r="B248" i="36" s="1"/>
  <c r="B249" i="36" s="1"/>
  <c r="B250" i="36" s="1"/>
  <c r="B251" i="36" s="1"/>
  <c r="C225" i="36"/>
  <c r="C73" i="11" s="1"/>
  <c r="D86" i="29" s="1"/>
  <c r="G271" i="36"/>
  <c r="E271" i="36"/>
  <c r="G270" i="36"/>
  <c r="E270" i="36"/>
  <c r="G269" i="36"/>
  <c r="E269" i="36"/>
  <c r="G268" i="36"/>
  <c r="E268" i="36"/>
  <c r="G266" i="36"/>
  <c r="E266" i="36"/>
  <c r="G265" i="36"/>
  <c r="E265" i="36"/>
  <c r="G264" i="36"/>
  <c r="E264" i="36"/>
  <c r="G263" i="36"/>
  <c r="E263" i="36"/>
  <c r="G257" i="36"/>
  <c r="B185" i="36"/>
  <c r="B186" i="36" s="1"/>
  <c r="B187" i="36" s="1"/>
  <c r="B188" i="36" s="1"/>
  <c r="B189" i="36" s="1"/>
  <c r="B190" i="36" s="1"/>
  <c r="B191" i="36" s="1"/>
  <c r="B192" i="36" s="1"/>
  <c r="B193" i="36" s="1"/>
  <c r="B194" i="36" s="1"/>
  <c r="B195" i="36" s="1"/>
  <c r="B196" i="36" s="1"/>
  <c r="C167" i="36"/>
  <c r="C72" i="11"/>
  <c r="D85" i="29" s="1"/>
  <c r="G216" i="36"/>
  <c r="E216" i="36"/>
  <c r="G215" i="36"/>
  <c r="E215" i="36"/>
  <c r="G214" i="36"/>
  <c r="E214" i="36"/>
  <c r="G213" i="36"/>
  <c r="E213" i="36"/>
  <c r="G211" i="36"/>
  <c r="E211" i="36"/>
  <c r="G210" i="36"/>
  <c r="E210" i="36"/>
  <c r="G209" i="36"/>
  <c r="E209" i="36"/>
  <c r="G208" i="36"/>
  <c r="E208" i="36"/>
  <c r="G202" i="36"/>
  <c r="C113" i="36"/>
  <c r="C71" i="11"/>
  <c r="D84" i="29" s="1"/>
  <c r="C58" i="36"/>
  <c r="C70" i="11"/>
  <c r="D83" i="29"/>
  <c r="G158" i="36"/>
  <c r="E158" i="36"/>
  <c r="G157" i="36"/>
  <c r="E157" i="36"/>
  <c r="G156" i="36"/>
  <c r="E156" i="36"/>
  <c r="G155" i="36"/>
  <c r="E155" i="36"/>
  <c r="G153" i="36"/>
  <c r="E153" i="36"/>
  <c r="G152" i="36"/>
  <c r="E152" i="36"/>
  <c r="G151" i="36"/>
  <c r="E151" i="36"/>
  <c r="G150" i="36"/>
  <c r="E150" i="36"/>
  <c r="G144" i="36"/>
  <c r="B131" i="36"/>
  <c r="B132" i="36"/>
  <c r="B133" i="36"/>
  <c r="B134" i="36" s="1"/>
  <c r="B135" i="36" s="1"/>
  <c r="B136" i="36" s="1"/>
  <c r="B137" i="36" s="1"/>
  <c r="B138" i="36" s="1"/>
  <c r="G104" i="36"/>
  <c r="E104" i="36"/>
  <c r="G103" i="36"/>
  <c r="E103" i="36"/>
  <c r="G102" i="36"/>
  <c r="E102" i="36"/>
  <c r="G101" i="36"/>
  <c r="E101" i="36"/>
  <c r="G99" i="36"/>
  <c r="E99" i="36"/>
  <c r="G98" i="36"/>
  <c r="E98" i="36"/>
  <c r="G97" i="36"/>
  <c r="E97" i="36"/>
  <c r="G96" i="36"/>
  <c r="E96" i="36"/>
  <c r="G90" i="36"/>
  <c r="B76" i="36"/>
  <c r="B77" i="36" s="1"/>
  <c r="B78" i="36" s="1"/>
  <c r="B79" i="36" s="1"/>
  <c r="B80" i="36" s="1"/>
  <c r="B81" i="36" s="1"/>
  <c r="B82" i="36" s="1"/>
  <c r="B83" i="36" s="1"/>
  <c r="B84" i="36" s="1"/>
  <c r="C446" i="36"/>
  <c r="C77" i="11"/>
  <c r="D90" i="29" s="1"/>
  <c r="G496" i="36"/>
  <c r="E496" i="36"/>
  <c r="G495" i="36"/>
  <c r="E495" i="36"/>
  <c r="G494" i="36"/>
  <c r="E494" i="36"/>
  <c r="G493" i="36"/>
  <c r="E493" i="36"/>
  <c r="G491" i="36"/>
  <c r="E491" i="36"/>
  <c r="G490" i="36"/>
  <c r="E490" i="36"/>
  <c r="G489" i="36"/>
  <c r="E489" i="36"/>
  <c r="G488" i="36"/>
  <c r="E488" i="36"/>
  <c r="G482" i="36"/>
  <c r="C9" i="36"/>
  <c r="C13" i="36" s="1"/>
  <c r="C10" i="36"/>
  <c r="C44" i="36"/>
  <c r="C4" i="36"/>
  <c r="C69" i="11" s="1"/>
  <c r="D82" i="29" s="1"/>
  <c r="G48" i="36"/>
  <c r="E48" i="36"/>
  <c r="G47" i="36"/>
  <c r="E47" i="36"/>
  <c r="G46" i="36"/>
  <c r="E46" i="36"/>
  <c r="G45" i="36"/>
  <c r="E45" i="36"/>
  <c r="G43" i="36"/>
  <c r="E43" i="36"/>
  <c r="G42" i="36"/>
  <c r="E42" i="36"/>
  <c r="G41" i="36"/>
  <c r="E41" i="36"/>
  <c r="G40" i="36"/>
  <c r="E40" i="36"/>
  <c r="G34" i="36"/>
  <c r="B22" i="36"/>
  <c r="B23" i="36"/>
  <c r="B24" i="36" s="1"/>
  <c r="B25" i="36" s="1"/>
  <c r="B26" i="36" s="1"/>
  <c r="B27" i="36" s="1"/>
  <c r="B28" i="36" s="1"/>
  <c r="AB33" i="11"/>
  <c r="AB32" i="11"/>
  <c r="AB31" i="11"/>
  <c r="N7" i="21"/>
  <c r="N6" i="21"/>
  <c r="N5" i="21"/>
  <c r="N4" i="21"/>
  <c r="D209" i="29"/>
  <c r="D210" i="29"/>
  <c r="D211" i="29"/>
  <c r="D212" i="29"/>
  <c r="D213" i="29"/>
  <c r="D214" i="29"/>
  <c r="D208" i="29"/>
  <c r="D305" i="31"/>
  <c r="D1863" i="13" s="1"/>
  <c r="D1916" i="13" s="1"/>
  <c r="D343" i="13"/>
  <c r="D287" i="13" s="1"/>
  <c r="D1864" i="13"/>
  <c r="D1917" i="13" s="1"/>
  <c r="G1531" i="13"/>
  <c r="G2024" i="13"/>
  <c r="D1484" i="13"/>
  <c r="F80" i="13"/>
  <c r="F133" i="13" s="1"/>
  <c r="F186" i="13" s="1"/>
  <c r="D1366" i="13"/>
  <c r="F132" i="13"/>
  <c r="F185" i="13" s="1"/>
  <c r="D272" i="31"/>
  <c r="D292" i="31" s="1"/>
  <c r="F255" i="31"/>
  <c r="F265" i="31" s="1"/>
  <c r="F285" i="31" s="1"/>
  <c r="F21" i="13"/>
  <c r="G25" i="13"/>
  <c r="F1370" i="13"/>
  <c r="F1481" i="13"/>
  <c r="F269" i="31"/>
  <c r="F289" i="31"/>
  <c r="F22" i="9"/>
  <c r="F204" i="31"/>
  <c r="E527" i="36"/>
  <c r="E582" i="36"/>
  <c r="E189" i="36"/>
  <c r="G189" i="36"/>
  <c r="E24" i="36"/>
  <c r="G24" i="36"/>
  <c r="E80" i="36"/>
  <c r="G80" i="36"/>
  <c r="E133" i="36"/>
  <c r="G133" i="36"/>
  <c r="E357" i="36"/>
  <c r="G357" i="36"/>
  <c r="E410" i="36"/>
  <c r="E249" i="36"/>
  <c r="G249" i="36" s="1"/>
  <c r="E468" i="36"/>
  <c r="G468" i="36" s="1"/>
  <c r="D1449" i="14"/>
  <c r="D1506" i="14" s="1"/>
  <c r="D1561" i="14" s="1"/>
  <c r="C1449" i="14"/>
  <c r="C1506" i="14"/>
  <c r="C1561" i="14" s="1"/>
  <c r="Z375" i="11"/>
  <c r="Z376" i="11"/>
  <c r="Z377" i="11"/>
  <c r="Z378" i="11"/>
  <c r="Z379" i="11"/>
  <c r="Z380" i="11"/>
  <c r="Z381" i="11"/>
  <c r="Z382" i="11"/>
  <c r="Z383" i="11"/>
  <c r="Z384" i="11"/>
  <c r="Z385" i="11"/>
  <c r="Z374" i="11"/>
  <c r="Z302" i="11"/>
  <c r="Z303" i="11"/>
  <c r="Z304" i="11"/>
  <c r="Z305" i="11"/>
  <c r="Z306" i="11"/>
  <c r="Z307" i="11"/>
  <c r="Z308" i="11"/>
  <c r="Z309" i="11"/>
  <c r="Z310" i="11"/>
  <c r="Z311" i="11"/>
  <c r="Z301" i="11"/>
  <c r="Z293" i="11"/>
  <c r="Z294" i="11"/>
  <c r="Z295" i="11"/>
  <c r="Z292" i="11"/>
  <c r="Z290" i="11"/>
  <c r="Z291" i="11"/>
  <c r="Z289" i="11"/>
  <c r="B1764" i="16"/>
  <c r="F194" i="31"/>
  <c r="E1768" i="16"/>
  <c r="E1769" i="16"/>
  <c r="F1769" i="16"/>
  <c r="F193" i="31"/>
  <c r="E1767" i="16"/>
  <c r="F1767" i="16" s="1"/>
  <c r="F192" i="31"/>
  <c r="E1766" i="16" s="1"/>
  <c r="F191" i="31"/>
  <c r="E1765" i="16" s="1"/>
  <c r="F1765" i="16" s="1"/>
  <c r="F190" i="31"/>
  <c r="E1764" i="16"/>
  <c r="F1764" i="16" s="1"/>
  <c r="F189" i="31"/>
  <c r="E1763" i="16" s="1"/>
  <c r="F188" i="31"/>
  <c r="E1762" i="16" s="1"/>
  <c r="F1762" i="16" s="1"/>
  <c r="F184" i="31"/>
  <c r="F185" i="31"/>
  <c r="F186" i="31"/>
  <c r="F187" i="31"/>
  <c r="F183" i="31"/>
  <c r="F63" i="17"/>
  <c r="F104" i="31"/>
  <c r="F10" i="17"/>
  <c r="F64" i="17" s="1"/>
  <c r="D10" i="17"/>
  <c r="D64" i="17" s="1"/>
  <c r="F9" i="17"/>
  <c r="D190" i="29"/>
  <c r="D191" i="29"/>
  <c r="D192" i="29"/>
  <c r="D193" i="29"/>
  <c r="D194" i="29"/>
  <c r="D195" i="29"/>
  <c r="D196" i="29"/>
  <c r="D189" i="29"/>
  <c r="F24" i="9"/>
  <c r="G24" i="9" s="1"/>
  <c r="G73" i="9" s="1"/>
  <c r="F1790" i="16"/>
  <c r="D1790" i="16"/>
  <c r="F1789" i="16"/>
  <c r="D1789" i="16"/>
  <c r="F1788" i="16"/>
  <c r="D1788" i="16"/>
  <c r="F1787" i="16"/>
  <c r="D1787" i="16"/>
  <c r="F1785" i="16"/>
  <c r="D1785" i="16"/>
  <c r="F1784" i="16"/>
  <c r="D1784" i="16"/>
  <c r="F1783" i="16"/>
  <c r="D1783" i="16"/>
  <c r="F1782" i="16"/>
  <c r="D1782" i="16"/>
  <c r="F1776" i="16"/>
  <c r="D1776" i="16"/>
  <c r="F1775" i="16"/>
  <c r="D1775" i="16"/>
  <c r="F117" i="17"/>
  <c r="D117" i="17"/>
  <c r="E117" i="17" s="1"/>
  <c r="F116" i="17"/>
  <c r="C116" i="17"/>
  <c r="C120" i="17"/>
  <c r="G567" i="13"/>
  <c r="E1782" i="16"/>
  <c r="C34" i="12"/>
  <c r="C89" i="12"/>
  <c r="C144" i="12" s="1"/>
  <c r="C199" i="12" s="1"/>
  <c r="C254" i="12" s="1"/>
  <c r="C309" i="12" s="1"/>
  <c r="C364" i="12" s="1"/>
  <c r="C419" i="12" s="1"/>
  <c r="C474" i="12" s="1"/>
  <c r="C529" i="12" s="1"/>
  <c r="C584" i="12" s="1"/>
  <c r="C639" i="12" s="1"/>
  <c r="C694" i="12" s="1"/>
  <c r="C749" i="12" s="1"/>
  <c r="C804" i="12" s="1"/>
  <c r="C859" i="12" s="1"/>
  <c r="C914" i="12" s="1"/>
  <c r="C969" i="12" s="1"/>
  <c r="C1024" i="12" s="1"/>
  <c r="C1079" i="12" s="1"/>
  <c r="C1134" i="12" s="1"/>
  <c r="C1189" i="12" s="1"/>
  <c r="C1244" i="12" s="1"/>
  <c r="C1299" i="12" s="1"/>
  <c r="C1354" i="12" s="1"/>
  <c r="C1409" i="12" s="1"/>
  <c r="C1464" i="12" s="1"/>
  <c r="C1519" i="12" s="1"/>
  <c r="C1574" i="12" s="1"/>
  <c r="C1629" i="12" s="1"/>
  <c r="C1684" i="12" s="1"/>
  <c r="C1739" i="12" s="1"/>
  <c r="C1794" i="12" s="1"/>
  <c r="C1849" i="12" s="1"/>
  <c r="C1904" i="12" s="1"/>
  <c r="C1959" i="12" s="1"/>
  <c r="C2014" i="12" s="1"/>
  <c r="C2069" i="12" s="1"/>
  <c r="C2124" i="12" s="1"/>
  <c r="C2179" i="12" s="1"/>
  <c r="C2234" i="12" s="1"/>
  <c r="C63" i="30"/>
  <c r="C62" i="30" s="1"/>
  <c r="C33" i="39" s="1"/>
  <c r="C66" i="30"/>
  <c r="C64" i="30"/>
  <c r="D34" i="12" s="1"/>
  <c r="D89" i="12" s="1"/>
  <c r="D144" i="12" s="1"/>
  <c r="Z97" i="11"/>
  <c r="Z98" i="11"/>
  <c r="Z99" i="11"/>
  <c r="Z100" i="11"/>
  <c r="Z101" i="11"/>
  <c r="Z102" i="11"/>
  <c r="Z103" i="11"/>
  <c r="Z104" i="11"/>
  <c r="Z105" i="11"/>
  <c r="Z106" i="11"/>
  <c r="Z107" i="11"/>
  <c r="Z108" i="11"/>
  <c r="Z109" i="11"/>
  <c r="Z110" i="11"/>
  <c r="Z111" i="11"/>
  <c r="Z112" i="11"/>
  <c r="Z113" i="11"/>
  <c r="Z114" i="11"/>
  <c r="Z115" i="11"/>
  <c r="Z116" i="11"/>
  <c r="Z117" i="11"/>
  <c r="Z118" i="11"/>
  <c r="Z119" i="11"/>
  <c r="Z120" i="11"/>
  <c r="Z121" i="11"/>
  <c r="Z122" i="11"/>
  <c r="Z96" i="11"/>
  <c r="M10" i="34"/>
  <c r="Z68" i="11" s="1"/>
  <c r="M9" i="34"/>
  <c r="Z67" i="11"/>
  <c r="M8" i="34"/>
  <c r="Z66" i="11"/>
  <c r="Z42" i="11"/>
  <c r="Z43" i="11"/>
  <c r="Z44" i="11"/>
  <c r="Z45" i="11"/>
  <c r="Z46" i="11"/>
  <c r="Z47" i="11"/>
  <c r="Z48" i="11"/>
  <c r="Z49" i="11"/>
  <c r="Z50" i="11"/>
  <c r="Z51" i="11"/>
  <c r="Z52" i="11"/>
  <c r="Z53" i="11"/>
  <c r="Z54" i="11"/>
  <c r="Z55" i="11"/>
  <c r="Z56" i="11"/>
  <c r="Z57" i="11"/>
  <c r="Z58" i="11"/>
  <c r="Z59" i="11"/>
  <c r="Z60" i="11"/>
  <c r="Z61" i="11"/>
  <c r="Z62" i="11"/>
  <c r="Z63" i="11"/>
  <c r="Z64" i="11"/>
  <c r="Z65" i="11"/>
  <c r="Z39" i="11"/>
  <c r="Z40" i="11"/>
  <c r="Z41" i="11"/>
  <c r="AB29" i="11"/>
  <c r="AB30" i="11"/>
  <c r="Z38" i="11"/>
  <c r="Z37" i="11"/>
  <c r="Z127" i="11"/>
  <c r="Z128" i="11"/>
  <c r="Z129" i="11"/>
  <c r="Z130" i="11"/>
  <c r="Z131" i="11"/>
  <c r="Z132" i="11"/>
  <c r="Z133" i="11"/>
  <c r="Z134" i="11"/>
  <c r="Z135" i="11"/>
  <c r="Z136" i="11"/>
  <c r="Z137" i="11"/>
  <c r="Z138" i="11"/>
  <c r="Z139" i="11"/>
  <c r="Z140" i="11"/>
  <c r="Z141" i="11"/>
  <c r="Z142" i="11"/>
  <c r="Z143" i="11"/>
  <c r="Z144" i="11"/>
  <c r="Z145" i="11"/>
  <c r="Z146" i="11"/>
  <c r="Z147" i="11"/>
  <c r="Z148" i="11"/>
  <c r="Z149" i="11"/>
  <c r="Z150" i="11"/>
  <c r="Z151" i="11"/>
  <c r="Z152" i="11"/>
  <c r="Z153" i="11"/>
  <c r="Z154" i="11"/>
  <c r="Z155" i="11"/>
  <c r="Z156" i="11"/>
  <c r="Z157" i="11"/>
  <c r="Z158" i="11"/>
  <c r="Z159" i="11"/>
  <c r="Z126" i="11"/>
  <c r="M43" i="12"/>
  <c r="Z166" i="11"/>
  <c r="M42" i="12"/>
  <c r="Z165" i="11"/>
  <c r="M41" i="12"/>
  <c r="Z164" i="11"/>
  <c r="M40" i="12"/>
  <c r="Z163" i="11" s="1"/>
  <c r="M39" i="12"/>
  <c r="Z162" i="11" s="1"/>
  <c r="M38" i="12"/>
  <c r="Z161" i="11" s="1"/>
  <c r="M37" i="12"/>
  <c r="Z160" i="11" s="1"/>
  <c r="C24" i="12"/>
  <c r="C79" i="12" s="1"/>
  <c r="C134" i="12" s="1"/>
  <c r="C189" i="12" s="1"/>
  <c r="C244" i="12" s="1"/>
  <c r="C299" i="12" s="1"/>
  <c r="C354" i="12" s="1"/>
  <c r="C409" i="12" s="1"/>
  <c r="C464" i="12" s="1"/>
  <c r="C519" i="12" s="1"/>
  <c r="C574" i="12" s="1"/>
  <c r="C629" i="12" s="1"/>
  <c r="C684" i="12" s="1"/>
  <c r="C739" i="12" s="1"/>
  <c r="C794" i="12" s="1"/>
  <c r="C849" i="12" s="1"/>
  <c r="C904" i="12" s="1"/>
  <c r="C959" i="12" s="1"/>
  <c r="C1014" i="12" s="1"/>
  <c r="C1069" i="12" s="1"/>
  <c r="C1124" i="12" s="1"/>
  <c r="C1179" i="12" s="1"/>
  <c r="C1234" i="12" s="1"/>
  <c r="C1289" i="12" s="1"/>
  <c r="C1344" i="12" s="1"/>
  <c r="C1399" i="12" s="1"/>
  <c r="C1454" i="12" s="1"/>
  <c r="C1509" i="12" s="1"/>
  <c r="C1564" i="12" s="1"/>
  <c r="C1619" i="12" s="1"/>
  <c r="C1674" i="12" s="1"/>
  <c r="C1729" i="12" s="1"/>
  <c r="C1784" i="12" s="1"/>
  <c r="C1839" i="12" s="1"/>
  <c r="C1894" i="12" s="1"/>
  <c r="C1949" i="12" s="1"/>
  <c r="C2004" i="12" s="1"/>
  <c r="C2059" i="12" s="1"/>
  <c r="C2114" i="12" s="1"/>
  <c r="C2169" i="12" s="1"/>
  <c r="C2224" i="12" s="1"/>
  <c r="E28" i="23"/>
  <c r="F28" i="23"/>
  <c r="F137" i="31"/>
  <c r="C2076" i="12"/>
  <c r="C2131" i="12" s="1"/>
  <c r="G2098" i="12"/>
  <c r="G2153" i="12" s="1"/>
  <c r="G2208" i="12" s="1"/>
  <c r="G2099" i="12"/>
  <c r="G2154" i="12"/>
  <c r="G2209" i="12" s="1"/>
  <c r="E1959" i="12"/>
  <c r="G1959" i="12"/>
  <c r="C2021" i="12"/>
  <c r="C2026" i="12" s="1"/>
  <c r="C2022" i="12"/>
  <c r="C2027" i="12" s="1"/>
  <c r="C2023" i="12"/>
  <c r="C2028" i="12" s="1"/>
  <c r="C2020" i="12"/>
  <c r="C2075" i="12" s="1"/>
  <c r="C75" i="12"/>
  <c r="C130" i="12" s="1"/>
  <c r="C185" i="12" s="1"/>
  <c r="C240" i="12" s="1"/>
  <c r="C295" i="12"/>
  <c r="C350" i="12" s="1"/>
  <c r="C405" i="12" s="1"/>
  <c r="C460" i="12" s="1"/>
  <c r="C515" i="12" s="1"/>
  <c r="C570" i="12" s="1"/>
  <c r="C625" i="12" s="1"/>
  <c r="C680" i="12" s="1"/>
  <c r="C735" i="12" s="1"/>
  <c r="C790" i="12" s="1"/>
  <c r="C845" i="12" s="1"/>
  <c r="C900" i="12" s="1"/>
  <c r="C955" i="12" s="1"/>
  <c r="C1010" i="12" s="1"/>
  <c r="C1065" i="12" s="1"/>
  <c r="C1120" i="12" s="1"/>
  <c r="C1175" i="12" s="1"/>
  <c r="C1230" i="12" s="1"/>
  <c r="C1285" i="12" s="1"/>
  <c r="C1340" i="12" s="1"/>
  <c r="C1395" i="12" s="1"/>
  <c r="C1450" i="12" s="1"/>
  <c r="C1505" i="12" s="1"/>
  <c r="C1560" i="12" s="1"/>
  <c r="C1615" i="12" s="1"/>
  <c r="C1670" i="12" s="1"/>
  <c r="C1725" i="12" s="1"/>
  <c r="C1780" i="12" s="1"/>
  <c r="C1835" i="12" s="1"/>
  <c r="C1890" i="12" s="1"/>
  <c r="C1945" i="12" s="1"/>
  <c r="C2000" i="12" s="1"/>
  <c r="C2055" i="12" s="1"/>
  <c r="C2110" i="12" s="1"/>
  <c r="C2165" i="12" s="1"/>
  <c r="C2220" i="12" s="1"/>
  <c r="D75" i="12"/>
  <c r="D130" i="12" s="1"/>
  <c r="D185" i="12" s="1"/>
  <c r="D240" i="12" s="1"/>
  <c r="D295" i="12" s="1"/>
  <c r="D350" i="12" s="1"/>
  <c r="D405" i="12" s="1"/>
  <c r="D460" i="12" s="1"/>
  <c r="D515" i="12" s="1"/>
  <c r="D570" i="12" s="1"/>
  <c r="D625" i="12" s="1"/>
  <c r="D680" i="12" s="1"/>
  <c r="D735" i="12" s="1"/>
  <c r="D790" i="12" s="1"/>
  <c r="D845" i="12" s="1"/>
  <c r="D900" i="12" s="1"/>
  <c r="D955" i="12" s="1"/>
  <c r="D1010" i="12" s="1"/>
  <c r="D1065" i="12" s="1"/>
  <c r="D1120" i="12" s="1"/>
  <c r="D1175" i="12" s="1"/>
  <c r="D1230" i="12" s="1"/>
  <c r="D1285" i="12" s="1"/>
  <c r="D1340" i="12" s="1"/>
  <c r="D1395" i="12" s="1"/>
  <c r="D1450" i="12" s="1"/>
  <c r="D1505" i="12" s="1"/>
  <c r="D1560" i="12" s="1"/>
  <c r="D1615" i="12" s="1"/>
  <c r="D1670" i="12" s="1"/>
  <c r="D1725" i="12" s="1"/>
  <c r="D1780" i="12" s="1"/>
  <c r="D1835" i="12" s="1"/>
  <c r="D1890" i="12" s="1"/>
  <c r="D1945" i="12" s="1"/>
  <c r="D2000" i="12" s="1"/>
  <c r="D2055" i="12" s="1"/>
  <c r="D2110" i="12" s="1"/>
  <c r="D2165" i="12" s="1"/>
  <c r="D2220" i="12" s="1"/>
  <c r="E75" i="12"/>
  <c r="E130" i="12" s="1"/>
  <c r="E185" i="12" s="1"/>
  <c r="E240" i="12" s="1"/>
  <c r="E295" i="12" s="1"/>
  <c r="E350" i="12" s="1"/>
  <c r="E405" i="12" s="1"/>
  <c r="E460" i="12" s="1"/>
  <c r="E515" i="12" s="1"/>
  <c r="E570" i="12" s="1"/>
  <c r="E625" i="12" s="1"/>
  <c r="E680" i="12" s="1"/>
  <c r="E735" i="12" s="1"/>
  <c r="E790" i="12" s="1"/>
  <c r="E845" i="12" s="1"/>
  <c r="E900" i="12" s="1"/>
  <c r="E955" i="12" s="1"/>
  <c r="E1010" i="12" s="1"/>
  <c r="E1065" i="12" s="1"/>
  <c r="E1120" i="12" s="1"/>
  <c r="E1175" i="12" s="1"/>
  <c r="E1230" i="12" s="1"/>
  <c r="E1285" i="12" s="1"/>
  <c r="E1340" i="12" s="1"/>
  <c r="E1395" i="12" s="1"/>
  <c r="E1450" i="12" s="1"/>
  <c r="E1505" i="12" s="1"/>
  <c r="E1560" i="12" s="1"/>
  <c r="E1615" i="12" s="1"/>
  <c r="E1670" i="12" s="1"/>
  <c r="E1725" i="12" s="1"/>
  <c r="E1780" i="12" s="1"/>
  <c r="E1835" i="12" s="1"/>
  <c r="E1890" i="12" s="1"/>
  <c r="E1945" i="12" s="1"/>
  <c r="E2000" i="12" s="1"/>
  <c r="E2055" i="12" s="1"/>
  <c r="E2110" i="12" s="1"/>
  <c r="E2165" i="12" s="1"/>
  <c r="E2220" i="12" s="1"/>
  <c r="C76" i="12"/>
  <c r="C131" i="12" s="1"/>
  <c r="C186" i="12" s="1"/>
  <c r="C241" i="12" s="1"/>
  <c r="C296" i="12" s="1"/>
  <c r="C351" i="12" s="1"/>
  <c r="C406" i="12" s="1"/>
  <c r="C461" i="12" s="1"/>
  <c r="C516" i="12" s="1"/>
  <c r="C571" i="12" s="1"/>
  <c r="C626" i="12" s="1"/>
  <c r="C681" i="12" s="1"/>
  <c r="C736" i="12" s="1"/>
  <c r="C791" i="12" s="1"/>
  <c r="C846" i="12" s="1"/>
  <c r="C901" i="12" s="1"/>
  <c r="C956" i="12" s="1"/>
  <c r="C1011" i="12" s="1"/>
  <c r="C1066" i="12" s="1"/>
  <c r="C1121" i="12" s="1"/>
  <c r="C1176" i="12" s="1"/>
  <c r="C1231" i="12" s="1"/>
  <c r="C1286" i="12" s="1"/>
  <c r="C1341" i="12" s="1"/>
  <c r="C1396" i="12" s="1"/>
  <c r="C1451" i="12" s="1"/>
  <c r="C1506" i="12" s="1"/>
  <c r="C1561" i="12" s="1"/>
  <c r="C1616" i="12" s="1"/>
  <c r="C1671" i="12" s="1"/>
  <c r="C1726" i="12" s="1"/>
  <c r="C1781" i="12" s="1"/>
  <c r="C1836" i="12" s="1"/>
  <c r="C1891" i="12" s="1"/>
  <c r="C1946" i="12" s="1"/>
  <c r="C2001" i="12" s="1"/>
  <c r="C2056" i="12" s="1"/>
  <c r="C2111" i="12" s="1"/>
  <c r="C2166" i="12" s="1"/>
  <c r="C2221" i="12" s="1"/>
  <c r="D76" i="12"/>
  <c r="D131" i="12" s="1"/>
  <c r="D186" i="12"/>
  <c r="D241" i="12" s="1"/>
  <c r="D296" i="12" s="1"/>
  <c r="D351" i="12" s="1"/>
  <c r="D406" i="12" s="1"/>
  <c r="D461" i="12" s="1"/>
  <c r="D516" i="12" s="1"/>
  <c r="D571" i="12" s="1"/>
  <c r="D626" i="12" s="1"/>
  <c r="D681" i="12" s="1"/>
  <c r="D736" i="12" s="1"/>
  <c r="D791" i="12" s="1"/>
  <c r="D846" i="12" s="1"/>
  <c r="D901" i="12" s="1"/>
  <c r="D956" i="12" s="1"/>
  <c r="D1011" i="12" s="1"/>
  <c r="D1066" i="12" s="1"/>
  <c r="D1121" i="12" s="1"/>
  <c r="D1176" i="12" s="1"/>
  <c r="D1231" i="12" s="1"/>
  <c r="D1286" i="12" s="1"/>
  <c r="D1341" i="12" s="1"/>
  <c r="D1396" i="12" s="1"/>
  <c r="D1451" i="12" s="1"/>
  <c r="D1506" i="12" s="1"/>
  <c r="D1561" i="12" s="1"/>
  <c r="D1616" i="12" s="1"/>
  <c r="D1671" i="12" s="1"/>
  <c r="D1726" i="12" s="1"/>
  <c r="D1781" i="12" s="1"/>
  <c r="D1836" i="12" s="1"/>
  <c r="D1891" i="12" s="1"/>
  <c r="D1946" i="12" s="1"/>
  <c r="D2001" i="12" s="1"/>
  <c r="D2056" i="12" s="1"/>
  <c r="D2111" i="12" s="1"/>
  <c r="D2166" i="12" s="1"/>
  <c r="D2221" i="12" s="1"/>
  <c r="E76" i="12"/>
  <c r="E131" i="12" s="1"/>
  <c r="E186" i="12"/>
  <c r="E241" i="12" s="1"/>
  <c r="E296" i="12" s="1"/>
  <c r="E351" i="12" s="1"/>
  <c r="E406" i="12" s="1"/>
  <c r="E461" i="12" s="1"/>
  <c r="E516" i="12" s="1"/>
  <c r="E571" i="12" s="1"/>
  <c r="E626" i="12" s="1"/>
  <c r="E681" i="12" s="1"/>
  <c r="E736" i="12" s="1"/>
  <c r="E791" i="12" s="1"/>
  <c r="E846" i="12" s="1"/>
  <c r="E901" i="12" s="1"/>
  <c r="E956" i="12" s="1"/>
  <c r="E1011" i="12" s="1"/>
  <c r="E1066" i="12" s="1"/>
  <c r="E1121" i="12" s="1"/>
  <c r="E1176" i="12" s="1"/>
  <c r="E1231" i="12" s="1"/>
  <c r="E1286" i="12" s="1"/>
  <c r="E1341" i="12" s="1"/>
  <c r="E1396" i="12" s="1"/>
  <c r="E1451" i="12" s="1"/>
  <c r="E1506" i="12" s="1"/>
  <c r="E1561" i="12" s="1"/>
  <c r="E1616" i="12" s="1"/>
  <c r="E1671" i="12" s="1"/>
  <c r="E1726" i="12" s="1"/>
  <c r="E1781" i="12" s="1"/>
  <c r="E1836" i="12" s="1"/>
  <c r="E1891" i="12" s="1"/>
  <c r="E1946" i="12" s="1"/>
  <c r="E2001" i="12" s="1"/>
  <c r="E2056" i="12" s="1"/>
  <c r="E2111" i="12" s="1"/>
  <c r="E2166" i="12" s="1"/>
  <c r="E2221" i="12" s="1"/>
  <c r="C77" i="12"/>
  <c r="C132" i="12" s="1"/>
  <c r="C187" i="12"/>
  <c r="C242" i="12" s="1"/>
  <c r="C297" i="12" s="1"/>
  <c r="C352" i="12" s="1"/>
  <c r="C407" i="12" s="1"/>
  <c r="C462" i="12" s="1"/>
  <c r="C517" i="12" s="1"/>
  <c r="C572" i="12" s="1"/>
  <c r="C627" i="12" s="1"/>
  <c r="C682" i="12" s="1"/>
  <c r="C737" i="12" s="1"/>
  <c r="C792" i="12" s="1"/>
  <c r="C847" i="12" s="1"/>
  <c r="C902" i="12" s="1"/>
  <c r="C957" i="12" s="1"/>
  <c r="C1012" i="12" s="1"/>
  <c r="C1067" i="12" s="1"/>
  <c r="C1122" i="12" s="1"/>
  <c r="C1177" i="12" s="1"/>
  <c r="C1232" i="12" s="1"/>
  <c r="C1287" i="12" s="1"/>
  <c r="C1342" i="12" s="1"/>
  <c r="C1397" i="12" s="1"/>
  <c r="C1452" i="12" s="1"/>
  <c r="C1507" i="12" s="1"/>
  <c r="C1562" i="12" s="1"/>
  <c r="C1617" i="12" s="1"/>
  <c r="C1672" i="12" s="1"/>
  <c r="C1727" i="12" s="1"/>
  <c r="C1782" i="12" s="1"/>
  <c r="C1837" i="12" s="1"/>
  <c r="C1892" i="12" s="1"/>
  <c r="C1947" i="12" s="1"/>
  <c r="C2002" i="12" s="1"/>
  <c r="C2057" i="12" s="1"/>
  <c r="C2112" i="12" s="1"/>
  <c r="C2167" i="12" s="1"/>
  <c r="C2222" i="12" s="1"/>
  <c r="D77" i="12"/>
  <c r="D132" i="12" s="1"/>
  <c r="D187" i="12"/>
  <c r="D242" i="12" s="1"/>
  <c r="D297" i="12" s="1"/>
  <c r="D352" i="12" s="1"/>
  <c r="D407" i="12" s="1"/>
  <c r="D462" i="12" s="1"/>
  <c r="D517" i="12" s="1"/>
  <c r="D572" i="12" s="1"/>
  <c r="D627" i="12" s="1"/>
  <c r="D682" i="12" s="1"/>
  <c r="D737" i="12" s="1"/>
  <c r="D792" i="12" s="1"/>
  <c r="D847" i="12" s="1"/>
  <c r="D902" i="12" s="1"/>
  <c r="D957" i="12" s="1"/>
  <c r="D1012" i="12" s="1"/>
  <c r="D1067" i="12" s="1"/>
  <c r="D1122" i="12" s="1"/>
  <c r="D1177" i="12" s="1"/>
  <c r="D1232" i="12" s="1"/>
  <c r="D1287" i="12" s="1"/>
  <c r="D1342" i="12" s="1"/>
  <c r="D1397" i="12" s="1"/>
  <c r="D1452" i="12" s="1"/>
  <c r="D1507" i="12" s="1"/>
  <c r="D1562" i="12" s="1"/>
  <c r="D1617" i="12" s="1"/>
  <c r="D1672" i="12" s="1"/>
  <c r="D1727" i="12" s="1"/>
  <c r="D1782" i="12" s="1"/>
  <c r="D1837" i="12" s="1"/>
  <c r="D1892" i="12" s="1"/>
  <c r="D1947" i="12" s="1"/>
  <c r="D2002" i="12" s="1"/>
  <c r="D2057" i="12" s="1"/>
  <c r="D2112" i="12" s="1"/>
  <c r="D2167" i="12" s="1"/>
  <c r="D2222" i="12" s="1"/>
  <c r="E77" i="12"/>
  <c r="E132" i="12" s="1"/>
  <c r="E187" i="12"/>
  <c r="E242" i="12" s="1"/>
  <c r="E297" i="12" s="1"/>
  <c r="E352" i="12" s="1"/>
  <c r="E407" i="12" s="1"/>
  <c r="E462" i="12" s="1"/>
  <c r="E517" i="12" s="1"/>
  <c r="E572" i="12" s="1"/>
  <c r="E627" i="12" s="1"/>
  <c r="E682" i="12" s="1"/>
  <c r="E737" i="12" s="1"/>
  <c r="E792" i="12" s="1"/>
  <c r="E847" i="12" s="1"/>
  <c r="E902" i="12" s="1"/>
  <c r="E957" i="12" s="1"/>
  <c r="E1012" i="12" s="1"/>
  <c r="E1067" i="12" s="1"/>
  <c r="E1122" i="12" s="1"/>
  <c r="E1177" i="12" s="1"/>
  <c r="E1232" i="12" s="1"/>
  <c r="E1287" i="12" s="1"/>
  <c r="E1342" i="12" s="1"/>
  <c r="E1397" i="12" s="1"/>
  <c r="E1452" i="12" s="1"/>
  <c r="E1507" i="12" s="1"/>
  <c r="E1562" i="12" s="1"/>
  <c r="E1617" i="12" s="1"/>
  <c r="E1672" i="12" s="1"/>
  <c r="E1727" i="12" s="1"/>
  <c r="E1782" i="12" s="1"/>
  <c r="E1837" i="12" s="1"/>
  <c r="E1892" i="12" s="1"/>
  <c r="E1947" i="12" s="1"/>
  <c r="E2002" i="12" s="1"/>
  <c r="E2057" i="12" s="1"/>
  <c r="E2112" i="12" s="1"/>
  <c r="E2167" i="12" s="1"/>
  <c r="E2222" i="12" s="1"/>
  <c r="D78" i="12"/>
  <c r="D133" i="12"/>
  <c r="D188" i="12" s="1"/>
  <c r="D243" i="12" s="1"/>
  <c r="D298" i="12" s="1"/>
  <c r="D353" i="12" s="1"/>
  <c r="D408" i="12" s="1"/>
  <c r="D463" i="12" s="1"/>
  <c r="D518" i="12" s="1"/>
  <c r="D573" i="12" s="1"/>
  <c r="D628" i="12" s="1"/>
  <c r="D683" i="12" s="1"/>
  <c r="D738" i="12" s="1"/>
  <c r="D793" i="12" s="1"/>
  <c r="D848" i="12" s="1"/>
  <c r="D903" i="12" s="1"/>
  <c r="D958" i="12" s="1"/>
  <c r="D1013" i="12" s="1"/>
  <c r="D1068" i="12" s="1"/>
  <c r="D1123" i="12" s="1"/>
  <c r="D1178" i="12" s="1"/>
  <c r="D1233" i="12" s="1"/>
  <c r="D1288" i="12" s="1"/>
  <c r="D1343" i="12" s="1"/>
  <c r="D1398" i="12" s="1"/>
  <c r="D1453" i="12" s="1"/>
  <c r="D1508" i="12" s="1"/>
  <c r="D1563" i="12" s="1"/>
  <c r="D1618" i="12" s="1"/>
  <c r="D1673" i="12" s="1"/>
  <c r="D1728" i="12" s="1"/>
  <c r="D1783" i="12" s="1"/>
  <c r="D1838" i="12" s="1"/>
  <c r="D1893" i="12" s="1"/>
  <c r="D1948" i="12" s="1"/>
  <c r="D2003" i="12" s="1"/>
  <c r="D2058" i="12" s="1"/>
  <c r="D2113" i="12" s="1"/>
  <c r="D2168" i="12" s="1"/>
  <c r="D2223" i="12" s="1"/>
  <c r="E78" i="12"/>
  <c r="E133" i="12"/>
  <c r="E188" i="12" s="1"/>
  <c r="E243" i="12" s="1"/>
  <c r="E298" i="12" s="1"/>
  <c r="E353" i="12" s="1"/>
  <c r="E408" i="12" s="1"/>
  <c r="E463" i="12" s="1"/>
  <c r="E518" i="12" s="1"/>
  <c r="E573" i="12" s="1"/>
  <c r="E628" i="12" s="1"/>
  <c r="E683" i="12" s="1"/>
  <c r="E738" i="12" s="1"/>
  <c r="E793" i="12" s="1"/>
  <c r="E848" i="12" s="1"/>
  <c r="E903" i="12" s="1"/>
  <c r="E958" i="12" s="1"/>
  <c r="E1013" i="12" s="1"/>
  <c r="E1068" i="12" s="1"/>
  <c r="E1123" i="12" s="1"/>
  <c r="E1178" i="12" s="1"/>
  <c r="E1233" i="12" s="1"/>
  <c r="E1288" i="12" s="1"/>
  <c r="E1343" i="12" s="1"/>
  <c r="E1398" i="12" s="1"/>
  <c r="E1453" i="12" s="1"/>
  <c r="E1508" i="12" s="1"/>
  <c r="E1563" i="12" s="1"/>
  <c r="E1618" i="12" s="1"/>
  <c r="E1673" i="12" s="1"/>
  <c r="E1728" i="12" s="1"/>
  <c r="E1783" i="12" s="1"/>
  <c r="E1838" i="12" s="1"/>
  <c r="E1893" i="12" s="1"/>
  <c r="E1948" i="12" s="1"/>
  <c r="E2003" i="12" s="1"/>
  <c r="E2058" i="12" s="1"/>
  <c r="E2113" i="12" s="1"/>
  <c r="E2168" i="12" s="1"/>
  <c r="E2223" i="12" s="1"/>
  <c r="D79" i="12"/>
  <c r="D134" i="12"/>
  <c r="D189" i="12" s="1"/>
  <c r="D244" i="12" s="1"/>
  <c r="D299" i="12" s="1"/>
  <c r="D354" i="12" s="1"/>
  <c r="D409" i="12" s="1"/>
  <c r="D464" i="12" s="1"/>
  <c r="D519" i="12" s="1"/>
  <c r="D574" i="12" s="1"/>
  <c r="D629" i="12" s="1"/>
  <c r="D684" i="12" s="1"/>
  <c r="D739" i="12" s="1"/>
  <c r="D794" i="12" s="1"/>
  <c r="D849" i="12" s="1"/>
  <c r="D904" i="12" s="1"/>
  <c r="D959" i="12" s="1"/>
  <c r="D1014" i="12" s="1"/>
  <c r="D1069" i="12" s="1"/>
  <c r="D1124" i="12" s="1"/>
  <c r="D1179" i="12" s="1"/>
  <c r="D1234" i="12" s="1"/>
  <c r="D1289" i="12" s="1"/>
  <c r="D1344" i="12" s="1"/>
  <c r="D1399" i="12" s="1"/>
  <c r="D1454" i="12" s="1"/>
  <c r="D1509" i="12" s="1"/>
  <c r="D1564" i="12" s="1"/>
  <c r="D1619" i="12" s="1"/>
  <c r="D1674" i="12" s="1"/>
  <c r="D1729" i="12" s="1"/>
  <c r="D1784" i="12" s="1"/>
  <c r="D1839" i="12" s="1"/>
  <c r="D1894" i="12" s="1"/>
  <c r="D1949" i="12" s="1"/>
  <c r="D2004" i="12" s="1"/>
  <c r="D2059" i="12" s="1"/>
  <c r="D2114" i="12" s="1"/>
  <c r="D2169" i="12" s="1"/>
  <c r="D2224" i="12" s="1"/>
  <c r="E79" i="12"/>
  <c r="E134" i="12"/>
  <c r="E189" i="12" s="1"/>
  <c r="E244" i="12" s="1"/>
  <c r="E299" i="12" s="1"/>
  <c r="E354" i="12" s="1"/>
  <c r="E409" i="12" s="1"/>
  <c r="E464" i="12" s="1"/>
  <c r="E519" i="12" s="1"/>
  <c r="E574" i="12" s="1"/>
  <c r="E629" i="12" s="1"/>
  <c r="E684" i="12" s="1"/>
  <c r="E739" i="12" s="1"/>
  <c r="E794" i="12" s="1"/>
  <c r="E849" i="12" s="1"/>
  <c r="E904" i="12" s="1"/>
  <c r="E959" i="12" s="1"/>
  <c r="E1014" i="12" s="1"/>
  <c r="E1069" i="12" s="1"/>
  <c r="E1124" i="12" s="1"/>
  <c r="E1179" i="12" s="1"/>
  <c r="E1234" i="12" s="1"/>
  <c r="E1289" i="12" s="1"/>
  <c r="E1344" i="12" s="1"/>
  <c r="E1399" i="12" s="1"/>
  <c r="E1454" i="12" s="1"/>
  <c r="E1509" i="12" s="1"/>
  <c r="E1564" i="12" s="1"/>
  <c r="E1619" i="12" s="1"/>
  <c r="E1674" i="12" s="1"/>
  <c r="E1729" i="12" s="1"/>
  <c r="E1784" i="12" s="1"/>
  <c r="E1839" i="12" s="1"/>
  <c r="E1894" i="12" s="1"/>
  <c r="E1949" i="12" s="1"/>
  <c r="E2004" i="12" s="1"/>
  <c r="E2059" i="12" s="1"/>
  <c r="E2114" i="12" s="1"/>
  <c r="E2169" i="12" s="1"/>
  <c r="E2224" i="12" s="1"/>
  <c r="C80" i="12"/>
  <c r="C135" i="12"/>
  <c r="C190" i="12" s="1"/>
  <c r="C245" i="12" s="1"/>
  <c r="C300" i="12" s="1"/>
  <c r="C355" i="12" s="1"/>
  <c r="C410" i="12" s="1"/>
  <c r="C465" i="12" s="1"/>
  <c r="C520" i="12" s="1"/>
  <c r="C575" i="12" s="1"/>
  <c r="C630" i="12" s="1"/>
  <c r="C685" i="12" s="1"/>
  <c r="C740" i="12" s="1"/>
  <c r="C795" i="12" s="1"/>
  <c r="C850" i="12" s="1"/>
  <c r="C905" i="12" s="1"/>
  <c r="C960" i="12" s="1"/>
  <c r="C1015" i="12" s="1"/>
  <c r="C1070" i="12" s="1"/>
  <c r="C1125" i="12" s="1"/>
  <c r="C1180" i="12" s="1"/>
  <c r="C1235" i="12" s="1"/>
  <c r="C1290" i="12" s="1"/>
  <c r="C1345" i="12" s="1"/>
  <c r="C1400" i="12" s="1"/>
  <c r="C1455" i="12" s="1"/>
  <c r="C1510" i="12" s="1"/>
  <c r="C1565" i="12" s="1"/>
  <c r="C1620" i="12" s="1"/>
  <c r="C1675" i="12" s="1"/>
  <c r="C1730" i="12" s="1"/>
  <c r="C1785" i="12" s="1"/>
  <c r="C1840" i="12" s="1"/>
  <c r="C1895" i="12" s="1"/>
  <c r="C1950" i="12" s="1"/>
  <c r="C2005" i="12" s="1"/>
  <c r="C2060" i="12" s="1"/>
  <c r="C2115" i="12" s="1"/>
  <c r="C2170" i="12" s="1"/>
  <c r="C2225" i="12" s="1"/>
  <c r="D80" i="12"/>
  <c r="D135" i="12"/>
  <c r="D190" i="12" s="1"/>
  <c r="D245" i="12" s="1"/>
  <c r="D300" i="12" s="1"/>
  <c r="D355" i="12" s="1"/>
  <c r="D410" i="12" s="1"/>
  <c r="D465" i="12" s="1"/>
  <c r="D520" i="12" s="1"/>
  <c r="D575" i="12" s="1"/>
  <c r="D630" i="12" s="1"/>
  <c r="D685" i="12" s="1"/>
  <c r="D740" i="12" s="1"/>
  <c r="D795" i="12" s="1"/>
  <c r="D850" i="12" s="1"/>
  <c r="D905" i="12" s="1"/>
  <c r="D960" i="12" s="1"/>
  <c r="D1015" i="12" s="1"/>
  <c r="D1070" i="12" s="1"/>
  <c r="D1125" i="12" s="1"/>
  <c r="D1180" i="12" s="1"/>
  <c r="D1235" i="12" s="1"/>
  <c r="D1290" i="12" s="1"/>
  <c r="D1345" i="12" s="1"/>
  <c r="D1400" i="12" s="1"/>
  <c r="D1455" i="12" s="1"/>
  <c r="D1510" i="12" s="1"/>
  <c r="D1565" i="12" s="1"/>
  <c r="D1620" i="12" s="1"/>
  <c r="D1675" i="12" s="1"/>
  <c r="D1730" i="12" s="1"/>
  <c r="D1785" i="12" s="1"/>
  <c r="D1840" i="12" s="1"/>
  <c r="D1895" i="12" s="1"/>
  <c r="D1950" i="12" s="1"/>
  <c r="D2005" i="12" s="1"/>
  <c r="D2060" i="12" s="1"/>
  <c r="D2115" i="12" s="1"/>
  <c r="D2170" i="12" s="1"/>
  <c r="D2225" i="12" s="1"/>
  <c r="E80" i="12"/>
  <c r="E135" i="12"/>
  <c r="E190" i="12" s="1"/>
  <c r="E245" i="12" s="1"/>
  <c r="E300" i="12" s="1"/>
  <c r="E355" i="12" s="1"/>
  <c r="E410" i="12" s="1"/>
  <c r="E465" i="12" s="1"/>
  <c r="E520" i="12" s="1"/>
  <c r="E575" i="12" s="1"/>
  <c r="E630" i="12" s="1"/>
  <c r="E685" i="12" s="1"/>
  <c r="E740" i="12" s="1"/>
  <c r="E795" i="12" s="1"/>
  <c r="E850" i="12" s="1"/>
  <c r="E905" i="12" s="1"/>
  <c r="E960" i="12" s="1"/>
  <c r="E1015" i="12" s="1"/>
  <c r="E1070" i="12" s="1"/>
  <c r="E1125" i="12" s="1"/>
  <c r="E1180" i="12" s="1"/>
  <c r="E1235" i="12" s="1"/>
  <c r="E1290" i="12" s="1"/>
  <c r="E1345" i="12" s="1"/>
  <c r="E1400" i="12" s="1"/>
  <c r="E1455" i="12" s="1"/>
  <c r="E1510" i="12" s="1"/>
  <c r="E1565" i="12" s="1"/>
  <c r="E1620" i="12" s="1"/>
  <c r="E1675" i="12" s="1"/>
  <c r="E1730" i="12" s="1"/>
  <c r="E1785" i="12" s="1"/>
  <c r="E1840" i="12" s="1"/>
  <c r="E1895" i="12" s="1"/>
  <c r="E1950" i="12" s="1"/>
  <c r="E2005" i="12" s="1"/>
  <c r="E2060" i="12" s="1"/>
  <c r="E2115" i="12" s="1"/>
  <c r="E2170" i="12" s="1"/>
  <c r="E2225" i="12" s="1"/>
  <c r="C81" i="12"/>
  <c r="C136" i="12"/>
  <c r="C191" i="12" s="1"/>
  <c r="C246" i="12" s="1"/>
  <c r="C301" i="12" s="1"/>
  <c r="C356" i="12" s="1"/>
  <c r="C411" i="12" s="1"/>
  <c r="C466" i="12" s="1"/>
  <c r="C521" i="12" s="1"/>
  <c r="C576" i="12" s="1"/>
  <c r="C631" i="12" s="1"/>
  <c r="C686" i="12" s="1"/>
  <c r="C741" i="12" s="1"/>
  <c r="C796" i="12" s="1"/>
  <c r="C851" i="12" s="1"/>
  <c r="C906" i="12" s="1"/>
  <c r="C961" i="12" s="1"/>
  <c r="C1016" i="12" s="1"/>
  <c r="C1071" i="12" s="1"/>
  <c r="C1126" i="12" s="1"/>
  <c r="C1181" i="12" s="1"/>
  <c r="C1236" i="12" s="1"/>
  <c r="C1291" i="12" s="1"/>
  <c r="C1346" i="12" s="1"/>
  <c r="C1401" i="12" s="1"/>
  <c r="C1456" i="12" s="1"/>
  <c r="C1511" i="12" s="1"/>
  <c r="C1566" i="12" s="1"/>
  <c r="C1621" i="12" s="1"/>
  <c r="C1676" i="12" s="1"/>
  <c r="C1731" i="12" s="1"/>
  <c r="C1786" i="12" s="1"/>
  <c r="C1841" i="12" s="1"/>
  <c r="C1896" i="12" s="1"/>
  <c r="C1951" i="12" s="1"/>
  <c r="C2006" i="12" s="1"/>
  <c r="C2061" i="12" s="1"/>
  <c r="C2116" i="12" s="1"/>
  <c r="C2171" i="12" s="1"/>
  <c r="C2226" i="12" s="1"/>
  <c r="D81" i="12"/>
  <c r="D136" i="12"/>
  <c r="D191" i="12" s="1"/>
  <c r="D246" i="12" s="1"/>
  <c r="D301" i="12" s="1"/>
  <c r="D356" i="12" s="1"/>
  <c r="D411" i="12" s="1"/>
  <c r="D466" i="12" s="1"/>
  <c r="D521" i="12" s="1"/>
  <c r="D576" i="12" s="1"/>
  <c r="D631" i="12" s="1"/>
  <c r="D686" i="12" s="1"/>
  <c r="D741" i="12" s="1"/>
  <c r="D796" i="12" s="1"/>
  <c r="D851" i="12" s="1"/>
  <c r="D906" i="12" s="1"/>
  <c r="D961" i="12" s="1"/>
  <c r="D1016" i="12" s="1"/>
  <c r="D1071" i="12" s="1"/>
  <c r="D1126" i="12" s="1"/>
  <c r="D1181" i="12" s="1"/>
  <c r="D1236" i="12" s="1"/>
  <c r="D1291" i="12" s="1"/>
  <c r="D1346" i="12" s="1"/>
  <c r="D1401" i="12" s="1"/>
  <c r="D1456" i="12" s="1"/>
  <c r="D1511" i="12" s="1"/>
  <c r="D1566" i="12" s="1"/>
  <c r="D1621" i="12" s="1"/>
  <c r="D1676" i="12" s="1"/>
  <c r="D1731" i="12" s="1"/>
  <c r="D1786" i="12" s="1"/>
  <c r="D1841" i="12" s="1"/>
  <c r="D1896" i="12" s="1"/>
  <c r="D1951" i="12" s="1"/>
  <c r="D2006" i="12" s="1"/>
  <c r="D2061" i="12" s="1"/>
  <c r="D2116" i="12" s="1"/>
  <c r="D2171" i="12" s="1"/>
  <c r="D2226" i="12" s="1"/>
  <c r="E81" i="12"/>
  <c r="E136" i="12"/>
  <c r="E191" i="12" s="1"/>
  <c r="E246" i="12" s="1"/>
  <c r="E301" i="12" s="1"/>
  <c r="E356" i="12" s="1"/>
  <c r="E411" i="12" s="1"/>
  <c r="E466" i="12" s="1"/>
  <c r="E521" i="12" s="1"/>
  <c r="E576" i="12" s="1"/>
  <c r="E631" i="12" s="1"/>
  <c r="E686" i="12" s="1"/>
  <c r="E741" i="12" s="1"/>
  <c r="E796" i="12" s="1"/>
  <c r="E851" i="12" s="1"/>
  <c r="E906" i="12" s="1"/>
  <c r="E961" i="12" s="1"/>
  <c r="E1016" i="12" s="1"/>
  <c r="E1071" i="12" s="1"/>
  <c r="E1126" i="12" s="1"/>
  <c r="E1181" i="12" s="1"/>
  <c r="E1236" i="12" s="1"/>
  <c r="E1291" i="12" s="1"/>
  <c r="E1346" i="12" s="1"/>
  <c r="E1401" i="12" s="1"/>
  <c r="E1456" i="12" s="1"/>
  <c r="E1511" i="12" s="1"/>
  <c r="E1566" i="12" s="1"/>
  <c r="E1621" i="12" s="1"/>
  <c r="E1676" i="12" s="1"/>
  <c r="E1731" i="12" s="1"/>
  <c r="E1786" i="12" s="1"/>
  <c r="E1841" i="12" s="1"/>
  <c r="E1896" i="12" s="1"/>
  <c r="E1951" i="12" s="1"/>
  <c r="E2006" i="12" s="1"/>
  <c r="E2061" i="12" s="1"/>
  <c r="E2116" i="12" s="1"/>
  <c r="E2171" i="12" s="1"/>
  <c r="E2226" i="12" s="1"/>
  <c r="C82" i="12"/>
  <c r="C137" i="12"/>
  <c r="C192" i="12" s="1"/>
  <c r="C247" i="12" s="1"/>
  <c r="C302" i="12" s="1"/>
  <c r="C357" i="12" s="1"/>
  <c r="C412" i="12" s="1"/>
  <c r="C467" i="12" s="1"/>
  <c r="C522" i="12" s="1"/>
  <c r="C577" i="12"/>
  <c r="C632" i="12" s="1"/>
  <c r="C687" i="12" s="1"/>
  <c r="C742" i="12" s="1"/>
  <c r="C797" i="12" s="1"/>
  <c r="C852" i="12" s="1"/>
  <c r="C907" i="12" s="1"/>
  <c r="C962" i="12" s="1"/>
  <c r="C1017" i="12" s="1"/>
  <c r="C1072" i="12" s="1"/>
  <c r="C1127" i="12" s="1"/>
  <c r="C1182" i="12" s="1"/>
  <c r="C1237" i="12" s="1"/>
  <c r="C1292" i="12" s="1"/>
  <c r="C1347" i="12" s="1"/>
  <c r="C1402" i="12" s="1"/>
  <c r="C1457" i="12" s="1"/>
  <c r="C1512" i="12" s="1"/>
  <c r="C1567" i="12" s="1"/>
  <c r="C1622" i="12" s="1"/>
  <c r="C1677" i="12" s="1"/>
  <c r="C1732" i="12" s="1"/>
  <c r="C1787" i="12" s="1"/>
  <c r="C1842" i="12" s="1"/>
  <c r="C1897" i="12" s="1"/>
  <c r="C1952" i="12" s="1"/>
  <c r="C2007" i="12" s="1"/>
  <c r="C2062" i="12" s="1"/>
  <c r="C2117" i="12" s="1"/>
  <c r="C2172" i="12" s="1"/>
  <c r="C2227" i="12" s="1"/>
  <c r="D82" i="12"/>
  <c r="D137" i="12"/>
  <c r="D192" i="12" s="1"/>
  <c r="D247" i="12" s="1"/>
  <c r="D302" i="12" s="1"/>
  <c r="D357" i="12" s="1"/>
  <c r="D412" i="12" s="1"/>
  <c r="D467" i="12" s="1"/>
  <c r="D522" i="12" s="1"/>
  <c r="D577" i="12"/>
  <c r="D632" i="12" s="1"/>
  <c r="D687" i="12" s="1"/>
  <c r="D742" i="12" s="1"/>
  <c r="D797" i="12" s="1"/>
  <c r="D852" i="12" s="1"/>
  <c r="D907" i="12" s="1"/>
  <c r="D962" i="12" s="1"/>
  <c r="D1017" i="12" s="1"/>
  <c r="D1072" i="12" s="1"/>
  <c r="D1127" i="12" s="1"/>
  <c r="D1182" i="12" s="1"/>
  <c r="D1237" i="12" s="1"/>
  <c r="D1292" i="12" s="1"/>
  <c r="D1347" i="12" s="1"/>
  <c r="D1402" i="12" s="1"/>
  <c r="D1457" i="12" s="1"/>
  <c r="D1512" i="12" s="1"/>
  <c r="D1567" i="12" s="1"/>
  <c r="D1622" i="12" s="1"/>
  <c r="D1677" i="12" s="1"/>
  <c r="D1732" i="12" s="1"/>
  <c r="D1787" i="12" s="1"/>
  <c r="D1842" i="12" s="1"/>
  <c r="D1897" i="12" s="1"/>
  <c r="D1952" i="12" s="1"/>
  <c r="D2007" i="12" s="1"/>
  <c r="D2062" i="12" s="1"/>
  <c r="D2117" i="12" s="1"/>
  <c r="D2172" i="12" s="1"/>
  <c r="D2227" i="12" s="1"/>
  <c r="E82" i="12"/>
  <c r="E137" i="12"/>
  <c r="E192" i="12" s="1"/>
  <c r="E247" i="12" s="1"/>
  <c r="E302" i="12" s="1"/>
  <c r="E357" i="12" s="1"/>
  <c r="E412" i="12" s="1"/>
  <c r="E467" i="12" s="1"/>
  <c r="E522" i="12" s="1"/>
  <c r="E577" i="12"/>
  <c r="E632" i="12" s="1"/>
  <c r="E687" i="12" s="1"/>
  <c r="E742" i="12" s="1"/>
  <c r="E797" i="12" s="1"/>
  <c r="E852" i="12" s="1"/>
  <c r="E907" i="12" s="1"/>
  <c r="E962" i="12" s="1"/>
  <c r="E1017" i="12" s="1"/>
  <c r="E1072" i="12" s="1"/>
  <c r="E1127" i="12" s="1"/>
  <c r="E1182" i="12" s="1"/>
  <c r="E1237" i="12" s="1"/>
  <c r="E1292" i="12" s="1"/>
  <c r="E1347" i="12" s="1"/>
  <c r="E1402" i="12" s="1"/>
  <c r="E1457" i="12" s="1"/>
  <c r="E1512" i="12" s="1"/>
  <c r="E1567" i="12" s="1"/>
  <c r="E1622" i="12" s="1"/>
  <c r="E1677" i="12" s="1"/>
  <c r="E1732" i="12" s="1"/>
  <c r="E1787" i="12" s="1"/>
  <c r="E1842" i="12" s="1"/>
  <c r="E1897" i="12" s="1"/>
  <c r="E1952" i="12" s="1"/>
  <c r="E2007" i="12" s="1"/>
  <c r="E2062" i="12" s="1"/>
  <c r="E2117" i="12" s="1"/>
  <c r="E2172" i="12" s="1"/>
  <c r="E2227" i="12" s="1"/>
  <c r="C83" i="12"/>
  <c r="C138" i="12"/>
  <c r="C193" i="12" s="1"/>
  <c r="C248" i="12" s="1"/>
  <c r="C303" i="12" s="1"/>
  <c r="C358" i="12" s="1"/>
  <c r="C413" i="12" s="1"/>
  <c r="C468" i="12" s="1"/>
  <c r="C523" i="12" s="1"/>
  <c r="C578" i="12"/>
  <c r="C633" i="12" s="1"/>
  <c r="C688" i="12" s="1"/>
  <c r="C743" i="12" s="1"/>
  <c r="C798" i="12" s="1"/>
  <c r="C853" i="12" s="1"/>
  <c r="C908" i="12" s="1"/>
  <c r="C963" i="12" s="1"/>
  <c r="C1018" i="12" s="1"/>
  <c r="C1073" i="12" s="1"/>
  <c r="C1128" i="12" s="1"/>
  <c r="C1183" i="12" s="1"/>
  <c r="C1238" i="12" s="1"/>
  <c r="C1293" i="12" s="1"/>
  <c r="C1348" i="12" s="1"/>
  <c r="C1403" i="12" s="1"/>
  <c r="C1458" i="12" s="1"/>
  <c r="C1513" i="12" s="1"/>
  <c r="C1568" i="12" s="1"/>
  <c r="C1623" i="12" s="1"/>
  <c r="C1678" i="12" s="1"/>
  <c r="C1733" i="12" s="1"/>
  <c r="C1788" i="12" s="1"/>
  <c r="C1843" i="12" s="1"/>
  <c r="C1898" i="12" s="1"/>
  <c r="C1953" i="12" s="1"/>
  <c r="C2008" i="12" s="1"/>
  <c r="C2063" i="12" s="1"/>
  <c r="C2118" i="12" s="1"/>
  <c r="C2173" i="12" s="1"/>
  <c r="C2228" i="12" s="1"/>
  <c r="D83" i="12"/>
  <c r="D138" i="12"/>
  <c r="D193" i="12" s="1"/>
  <c r="D248" i="12" s="1"/>
  <c r="D303" i="12" s="1"/>
  <c r="D358" i="12"/>
  <c r="D413" i="12" s="1"/>
  <c r="D468" i="12" s="1"/>
  <c r="D523" i="12" s="1"/>
  <c r="D578" i="12" s="1"/>
  <c r="D633" i="12" s="1"/>
  <c r="D688" i="12" s="1"/>
  <c r="D743" i="12" s="1"/>
  <c r="D798" i="12" s="1"/>
  <c r="D853" i="12" s="1"/>
  <c r="D908" i="12" s="1"/>
  <c r="D963" i="12" s="1"/>
  <c r="D1018" i="12" s="1"/>
  <c r="D1073" i="12" s="1"/>
  <c r="D1128" i="12" s="1"/>
  <c r="D1183" i="12" s="1"/>
  <c r="D1238" i="12" s="1"/>
  <c r="D1293" i="12" s="1"/>
  <c r="D1348" i="12" s="1"/>
  <c r="D1403" i="12" s="1"/>
  <c r="D1458" i="12" s="1"/>
  <c r="D1513" i="12" s="1"/>
  <c r="D1568" i="12" s="1"/>
  <c r="D1623" i="12" s="1"/>
  <c r="D1678" i="12" s="1"/>
  <c r="D1733" i="12" s="1"/>
  <c r="D1788" i="12" s="1"/>
  <c r="D1843" i="12" s="1"/>
  <c r="D1898" i="12" s="1"/>
  <c r="D1953" i="12" s="1"/>
  <c r="D2008" i="12" s="1"/>
  <c r="D2063" i="12" s="1"/>
  <c r="D2118" i="12" s="1"/>
  <c r="D2173" i="12" s="1"/>
  <c r="D2228" i="12" s="1"/>
  <c r="E83" i="12"/>
  <c r="E138" i="12"/>
  <c r="E193" i="12" s="1"/>
  <c r="E248" i="12" s="1"/>
  <c r="E303" i="12" s="1"/>
  <c r="E358" i="12" s="1"/>
  <c r="E413" i="12" s="1"/>
  <c r="E468" i="12" s="1"/>
  <c r="E523" i="12" s="1"/>
  <c r="E578" i="12" s="1"/>
  <c r="E633" i="12" s="1"/>
  <c r="E688" i="12" s="1"/>
  <c r="E743" i="12" s="1"/>
  <c r="E798" i="12" s="1"/>
  <c r="E853" i="12" s="1"/>
  <c r="E908" i="12" s="1"/>
  <c r="E963" i="12" s="1"/>
  <c r="E1018" i="12" s="1"/>
  <c r="E1073" i="12" s="1"/>
  <c r="E1128" i="12" s="1"/>
  <c r="E1183" i="12" s="1"/>
  <c r="E1238" i="12" s="1"/>
  <c r="E1293" i="12" s="1"/>
  <c r="E1348" i="12" s="1"/>
  <c r="E1403" i="12" s="1"/>
  <c r="E1458" i="12" s="1"/>
  <c r="E1513" i="12" s="1"/>
  <c r="E1568" i="12" s="1"/>
  <c r="E1623" i="12" s="1"/>
  <c r="E1678" i="12" s="1"/>
  <c r="E1733" i="12" s="1"/>
  <c r="E1788" i="12" s="1"/>
  <c r="E1843" i="12" s="1"/>
  <c r="E1898" i="12" s="1"/>
  <c r="E1953" i="12" s="1"/>
  <c r="E2008" i="12" s="1"/>
  <c r="E2063" i="12" s="1"/>
  <c r="E2118" i="12" s="1"/>
  <c r="E2173" i="12" s="1"/>
  <c r="E2228" i="12" s="1"/>
  <c r="D74" i="12"/>
  <c r="D129" i="12"/>
  <c r="D184" i="12" s="1"/>
  <c r="D239" i="12" s="1"/>
  <c r="D294" i="12" s="1"/>
  <c r="D349" i="12"/>
  <c r="D404" i="12" s="1"/>
  <c r="D459" i="12" s="1"/>
  <c r="D514" i="12" s="1"/>
  <c r="D569" i="12" s="1"/>
  <c r="D624" i="12" s="1"/>
  <c r="D679" i="12" s="1"/>
  <c r="D734" i="12" s="1"/>
  <c r="D789" i="12" s="1"/>
  <c r="D844" i="12" s="1"/>
  <c r="D899" i="12" s="1"/>
  <c r="D954" i="12" s="1"/>
  <c r="D1009" i="12" s="1"/>
  <c r="D1064" i="12" s="1"/>
  <c r="D1119" i="12" s="1"/>
  <c r="D1174" i="12" s="1"/>
  <c r="D1229" i="12" s="1"/>
  <c r="D1284" i="12" s="1"/>
  <c r="D1339" i="12" s="1"/>
  <c r="D1394" i="12" s="1"/>
  <c r="D1449" i="12" s="1"/>
  <c r="D1504" i="12" s="1"/>
  <c r="D1559" i="12" s="1"/>
  <c r="D1614" i="12" s="1"/>
  <c r="D1669" i="12" s="1"/>
  <c r="D1724" i="12" s="1"/>
  <c r="D1779" i="12" s="1"/>
  <c r="D1834" i="12" s="1"/>
  <c r="D1889" i="12" s="1"/>
  <c r="D1944" i="12" s="1"/>
  <c r="D1999" i="12" s="1"/>
  <c r="D2054" i="12" s="1"/>
  <c r="D2109" i="12" s="1"/>
  <c r="D2164" i="12" s="1"/>
  <c r="D2219" i="12" s="1"/>
  <c r="E74" i="12"/>
  <c r="E129" i="12"/>
  <c r="E184" i="12" s="1"/>
  <c r="E239" i="12" s="1"/>
  <c r="E294" i="12" s="1"/>
  <c r="E349" i="12" s="1"/>
  <c r="E404" i="12" s="1"/>
  <c r="E459" i="12" s="1"/>
  <c r="E514" i="12" s="1"/>
  <c r="E569" i="12" s="1"/>
  <c r="E624" i="12" s="1"/>
  <c r="E679" i="12" s="1"/>
  <c r="E734" i="12" s="1"/>
  <c r="E789" i="12" s="1"/>
  <c r="E844" i="12" s="1"/>
  <c r="E899" i="12" s="1"/>
  <c r="E954" i="12" s="1"/>
  <c r="E1009" i="12" s="1"/>
  <c r="E1064" i="12" s="1"/>
  <c r="E1119" i="12" s="1"/>
  <c r="E1174" i="12" s="1"/>
  <c r="E1229" i="12" s="1"/>
  <c r="E1284" i="12" s="1"/>
  <c r="E1339" i="12" s="1"/>
  <c r="E1394" i="12" s="1"/>
  <c r="E1449" i="12" s="1"/>
  <c r="E1504" i="12" s="1"/>
  <c r="E1559" i="12" s="1"/>
  <c r="E1614" i="12" s="1"/>
  <c r="E1669" i="12" s="1"/>
  <c r="E1724" i="12" s="1"/>
  <c r="E1779" i="12" s="1"/>
  <c r="E1834" i="12" s="1"/>
  <c r="E1889" i="12" s="1"/>
  <c r="E1944" i="12" s="1"/>
  <c r="E1999" i="12" s="1"/>
  <c r="E2054" i="12" s="1"/>
  <c r="E2109" i="12" s="1"/>
  <c r="E2164" i="12" s="1"/>
  <c r="E2219" i="12" s="1"/>
  <c r="C74" i="12"/>
  <c r="C129" i="12"/>
  <c r="C184" i="12" s="1"/>
  <c r="C239" i="12" s="1"/>
  <c r="C294" i="12" s="1"/>
  <c r="C349" i="12" s="1"/>
  <c r="C404" i="12" s="1"/>
  <c r="C459" i="12" s="1"/>
  <c r="C514" i="12" s="1"/>
  <c r="C569" i="12" s="1"/>
  <c r="C624" i="12" s="1"/>
  <c r="C679" i="12" s="1"/>
  <c r="C734" i="12" s="1"/>
  <c r="C789" i="12" s="1"/>
  <c r="C844" i="12" s="1"/>
  <c r="C899" i="12" s="1"/>
  <c r="C954" i="12" s="1"/>
  <c r="C1009" i="12" s="1"/>
  <c r="C1064" i="12" s="1"/>
  <c r="C1119" i="12" s="1"/>
  <c r="C1174" i="12" s="1"/>
  <c r="C1229" i="12" s="1"/>
  <c r="C1284" i="12" s="1"/>
  <c r="C1339" i="12" s="1"/>
  <c r="C1394" i="12" s="1"/>
  <c r="C1449" i="12" s="1"/>
  <c r="C1504" i="12" s="1"/>
  <c r="C1559" i="12" s="1"/>
  <c r="C1614" i="12" s="1"/>
  <c r="C1669" i="12" s="1"/>
  <c r="C1724" i="12" s="1"/>
  <c r="C1779" i="12" s="1"/>
  <c r="C1834" i="12" s="1"/>
  <c r="C1889" i="12" s="1"/>
  <c r="C1944" i="12" s="1"/>
  <c r="C1999" i="12" s="1"/>
  <c r="C2054" i="12" s="1"/>
  <c r="C2109" i="12" s="1"/>
  <c r="C2164" i="12" s="1"/>
  <c r="C2219" i="12" s="1"/>
  <c r="G2248" i="12"/>
  <c r="E2248" i="12"/>
  <c r="G2247" i="12"/>
  <c r="E2247" i="12"/>
  <c r="G2246" i="12"/>
  <c r="E2246" i="12"/>
  <c r="G2245" i="12"/>
  <c r="E2245" i="12"/>
  <c r="G2243" i="12"/>
  <c r="E2243" i="12"/>
  <c r="G2242" i="12"/>
  <c r="E2242" i="12"/>
  <c r="G2241" i="12"/>
  <c r="E2241" i="12"/>
  <c r="G2240" i="12"/>
  <c r="E2240" i="12"/>
  <c r="G2234" i="12"/>
  <c r="E2234" i="12"/>
  <c r="G2193" i="12"/>
  <c r="E2193" i="12"/>
  <c r="G2192" i="12"/>
  <c r="E2192" i="12"/>
  <c r="G2191" i="12"/>
  <c r="E2191" i="12"/>
  <c r="G2190" i="12"/>
  <c r="E2190" i="12"/>
  <c r="G2188" i="12"/>
  <c r="E2188" i="12"/>
  <c r="G2187" i="12"/>
  <c r="E2187" i="12"/>
  <c r="G2186" i="12"/>
  <c r="E2186" i="12"/>
  <c r="G2185" i="12"/>
  <c r="E2185" i="12"/>
  <c r="G2179" i="12"/>
  <c r="E2179" i="12"/>
  <c r="G2138" i="12"/>
  <c r="E2138" i="12"/>
  <c r="G2137" i="12"/>
  <c r="E2137" i="12"/>
  <c r="G2136" i="12"/>
  <c r="E2136" i="12"/>
  <c r="G2135" i="12"/>
  <c r="E2135" i="12"/>
  <c r="G2133" i="12"/>
  <c r="E2133" i="12"/>
  <c r="G2132" i="12"/>
  <c r="E2132" i="12"/>
  <c r="G2131" i="12"/>
  <c r="E2131" i="12"/>
  <c r="G2130" i="12"/>
  <c r="E2130" i="12"/>
  <c r="G2124" i="12"/>
  <c r="E2124" i="12"/>
  <c r="G2083" i="12"/>
  <c r="E2083" i="12"/>
  <c r="G2082" i="12"/>
  <c r="E2082" i="12"/>
  <c r="G2081" i="12"/>
  <c r="E2081" i="12"/>
  <c r="G2080" i="12"/>
  <c r="E2080" i="12"/>
  <c r="G2078" i="12"/>
  <c r="E2078" i="12"/>
  <c r="G2077" i="12"/>
  <c r="E2077" i="12"/>
  <c r="G2076" i="12"/>
  <c r="E2076" i="12"/>
  <c r="G2075" i="12"/>
  <c r="E2075" i="12"/>
  <c r="G2069" i="12"/>
  <c r="E2069" i="12"/>
  <c r="G2028" i="12"/>
  <c r="E2028" i="12"/>
  <c r="G2027" i="12"/>
  <c r="E2027" i="12"/>
  <c r="G2026" i="12"/>
  <c r="E2026" i="12"/>
  <c r="G2025" i="12"/>
  <c r="E2025" i="12"/>
  <c r="G2023" i="12"/>
  <c r="E2023" i="12"/>
  <c r="G2022" i="12"/>
  <c r="E2022" i="12"/>
  <c r="G2021" i="12"/>
  <c r="E2021" i="12"/>
  <c r="G2020" i="12"/>
  <c r="E2020" i="12"/>
  <c r="G2014" i="12"/>
  <c r="E2014" i="12"/>
  <c r="G1973" i="12"/>
  <c r="E1973" i="12"/>
  <c r="G1972" i="12"/>
  <c r="E1972" i="12"/>
  <c r="G1971" i="12"/>
  <c r="E1971" i="12"/>
  <c r="G1970" i="12"/>
  <c r="E1970" i="12"/>
  <c r="G1968" i="12"/>
  <c r="E1968" i="12"/>
  <c r="G1967" i="12"/>
  <c r="E1967" i="12"/>
  <c r="G1966" i="12"/>
  <c r="E1966" i="12"/>
  <c r="G1965" i="12"/>
  <c r="E1965" i="12"/>
  <c r="G1918" i="12"/>
  <c r="E1918" i="12"/>
  <c r="G1917" i="12"/>
  <c r="E1917" i="12"/>
  <c r="G1916" i="12"/>
  <c r="E1916" i="12"/>
  <c r="G1915" i="12"/>
  <c r="E1915" i="12"/>
  <c r="G1913" i="12"/>
  <c r="E1913" i="12"/>
  <c r="G1912" i="12"/>
  <c r="E1912" i="12"/>
  <c r="G1911" i="12"/>
  <c r="E1911" i="12"/>
  <c r="G1910" i="12"/>
  <c r="E1910" i="12"/>
  <c r="E1904" i="12"/>
  <c r="E27" i="23"/>
  <c r="F27" i="23" s="1"/>
  <c r="C46" i="30"/>
  <c r="C44" i="30" s="1"/>
  <c r="F738" i="13"/>
  <c r="G738" i="13"/>
  <c r="F19" i="31"/>
  <c r="F20" i="31"/>
  <c r="F18" i="31"/>
  <c r="F138" i="31"/>
  <c r="F12" i="31"/>
  <c r="F10" i="31"/>
  <c r="F178" i="31"/>
  <c r="E21" i="28"/>
  <c r="F21" i="28" s="1"/>
  <c r="F168" i="31"/>
  <c r="F152" i="31"/>
  <c r="F134" i="31"/>
  <c r="E24" i="23"/>
  <c r="F24" i="23" s="1"/>
  <c r="F126" i="31"/>
  <c r="F115" i="31"/>
  <c r="F109" i="31"/>
  <c r="F99" i="31"/>
  <c r="F130" i="17"/>
  <c r="G130" i="17" s="1"/>
  <c r="F91" i="31"/>
  <c r="F82" i="31"/>
  <c r="F39" i="31"/>
  <c r="E1216" i="14"/>
  <c r="G1216" i="14" s="1"/>
  <c r="F181" i="31"/>
  <c r="E2025" i="39" s="1"/>
  <c r="F2025" i="39"/>
  <c r="F177" i="31"/>
  <c r="F167" i="31"/>
  <c r="F151" i="31"/>
  <c r="F133" i="31"/>
  <c r="F125" i="31"/>
  <c r="F108" i="31"/>
  <c r="F98" i="31"/>
  <c r="F90" i="31"/>
  <c r="F81" i="31"/>
  <c r="F37" i="31"/>
  <c r="F8" i="31"/>
  <c r="F174" i="31"/>
  <c r="E25" i="28" s="1"/>
  <c r="F25" i="28" s="1"/>
  <c r="F158" i="31"/>
  <c r="F148" i="31"/>
  <c r="E26" i="20" s="1"/>
  <c r="F26" i="20" s="1"/>
  <c r="F130" i="31"/>
  <c r="F122" i="31"/>
  <c r="E25" i="10"/>
  <c r="F25" i="10" s="1"/>
  <c r="F106" i="31"/>
  <c r="F95" i="31"/>
  <c r="F86" i="31"/>
  <c r="F78" i="31"/>
  <c r="F21" i="31"/>
  <c r="F9" i="31"/>
  <c r="F590" i="15"/>
  <c r="G590" i="15" s="1"/>
  <c r="G13" i="31"/>
  <c r="G180" i="31"/>
  <c r="G173" i="31"/>
  <c r="G154" i="31"/>
  <c r="G141" i="31"/>
  <c r="G128" i="31"/>
  <c r="G120" i="31"/>
  <c r="G112" i="31"/>
  <c r="G103" i="31"/>
  <c r="G94" i="31"/>
  <c r="G85" i="31"/>
  <c r="G66" i="31"/>
  <c r="G65" i="31"/>
  <c r="F5" i="31"/>
  <c r="C1930" i="13"/>
  <c r="C1985" i="13" s="1"/>
  <c r="C2039" i="13" s="1"/>
  <c r="D359" i="18"/>
  <c r="P29" i="11" s="1"/>
  <c r="D347" i="18"/>
  <c r="P27" i="11" s="1"/>
  <c r="P28" i="11"/>
  <c r="G647" i="15"/>
  <c r="G664" i="15"/>
  <c r="E664" i="15"/>
  <c r="G663" i="15"/>
  <c r="E663" i="15"/>
  <c r="G662" i="15"/>
  <c r="E662" i="15"/>
  <c r="G661" i="15"/>
  <c r="E661" i="15"/>
  <c r="C660" i="15"/>
  <c r="G655" i="15"/>
  <c r="E655" i="15"/>
  <c r="E649" i="15"/>
  <c r="C634" i="15"/>
  <c r="F966" i="13"/>
  <c r="G966" i="13"/>
  <c r="C22" i="30"/>
  <c r="F4" i="32"/>
  <c r="E5" i="32"/>
  <c r="C116" i="10"/>
  <c r="D116" i="10" s="1"/>
  <c r="D28" i="1"/>
  <c r="D8" i="12"/>
  <c r="E8" i="12"/>
  <c r="D21" i="1"/>
  <c r="D16" i="1"/>
  <c r="C328" i="10"/>
  <c r="D328" i="10"/>
  <c r="D12" i="1"/>
  <c r="D9" i="17"/>
  <c r="C9" i="10"/>
  <c r="D9" i="10"/>
  <c r="D9" i="13"/>
  <c r="E9" i="13" s="1"/>
  <c r="F9" i="13"/>
  <c r="G9" i="13"/>
  <c r="G62" i="13" s="1"/>
  <c r="G115" i="13"/>
  <c r="G168" i="13" s="1"/>
  <c r="G222" i="13" s="1"/>
  <c r="D10" i="13"/>
  <c r="E10" i="13" s="1"/>
  <c r="F10" i="13"/>
  <c r="G10" i="13"/>
  <c r="G63" i="13" s="1"/>
  <c r="G116" i="13"/>
  <c r="G169" i="13" s="1"/>
  <c r="G223" i="13" s="1"/>
  <c r="G275" i="13" s="1"/>
  <c r="G1355" i="13" s="1"/>
  <c r="G1365" i="13"/>
  <c r="F1924" i="13"/>
  <c r="G1924" i="13" s="1"/>
  <c r="F2351" i="13"/>
  <c r="G2351" i="13" s="1"/>
  <c r="F2352" i="13"/>
  <c r="G2352" i="13"/>
  <c r="M420" i="29"/>
  <c r="C9" i="24"/>
  <c r="D9" i="24"/>
  <c r="E9" i="24"/>
  <c r="C10" i="24"/>
  <c r="D10" i="24" s="1"/>
  <c r="E10" i="24"/>
  <c r="E20" i="24"/>
  <c r="F20" i="24"/>
  <c r="E21" i="24"/>
  <c r="F21" i="24"/>
  <c r="E22" i="24"/>
  <c r="F22" i="24"/>
  <c r="E23" i="24"/>
  <c r="F23" i="24"/>
  <c r="E24" i="24"/>
  <c r="F24" i="24"/>
  <c r="C30" i="24"/>
  <c r="E30" i="24"/>
  <c r="G30" i="24" s="1"/>
  <c r="C31" i="24"/>
  <c r="E31" i="24" s="1"/>
  <c r="G31" i="24"/>
  <c r="M409" i="29"/>
  <c r="C9" i="19"/>
  <c r="D9" i="19" s="1"/>
  <c r="E9" i="19"/>
  <c r="F9" i="19" s="1"/>
  <c r="E9" i="20"/>
  <c r="F9" i="20" s="1"/>
  <c r="C10" i="20"/>
  <c r="D10" i="20"/>
  <c r="E10" i="20"/>
  <c r="F10" i="20" s="1"/>
  <c r="E21" i="20"/>
  <c r="F21" i="20" s="1"/>
  <c r="E24" i="20"/>
  <c r="F24" i="20" s="1"/>
  <c r="E25" i="20"/>
  <c r="F25" i="20"/>
  <c r="E27" i="20"/>
  <c r="F27" i="20" s="1"/>
  <c r="E9" i="23"/>
  <c r="F9" i="23" s="1"/>
  <c r="C10" i="23"/>
  <c r="D10" i="23" s="1"/>
  <c r="E10" i="23"/>
  <c r="F10" i="23"/>
  <c r="C11" i="23"/>
  <c r="D11" i="23" s="1"/>
  <c r="E11" i="23"/>
  <c r="F11" i="23" s="1"/>
  <c r="C12" i="23"/>
  <c r="D12" i="23" s="1"/>
  <c r="E12" i="23"/>
  <c r="F12" i="23"/>
  <c r="E25" i="23"/>
  <c r="F25" i="23" s="1"/>
  <c r="E26" i="23"/>
  <c r="F26" i="23" s="1"/>
  <c r="E29" i="23"/>
  <c r="F29" i="23" s="1"/>
  <c r="E33" i="23"/>
  <c r="F33" i="23"/>
  <c r="E34" i="23"/>
  <c r="F34" i="23" s="1"/>
  <c r="E35" i="23"/>
  <c r="F35" i="23" s="1"/>
  <c r="E36" i="23"/>
  <c r="F36" i="23" s="1"/>
  <c r="E37" i="23"/>
  <c r="F37" i="23"/>
  <c r="E38" i="23"/>
  <c r="F38" i="23"/>
  <c r="E39" i="23"/>
  <c r="F39" i="23"/>
  <c r="E40" i="23"/>
  <c r="F40" i="23"/>
  <c r="E41" i="23"/>
  <c r="F41" i="23"/>
  <c r="E42" i="23"/>
  <c r="F42" i="23"/>
  <c r="D63" i="10"/>
  <c r="E63" i="10"/>
  <c r="F63" i="10" s="1"/>
  <c r="E73" i="10"/>
  <c r="F73" i="10" s="1"/>
  <c r="E76" i="10"/>
  <c r="F76" i="10" s="1"/>
  <c r="E77" i="10"/>
  <c r="F77" i="10" s="1"/>
  <c r="E79" i="10"/>
  <c r="F79" i="10" s="1"/>
  <c r="C115" i="10"/>
  <c r="D115" i="10" s="1"/>
  <c r="E115" i="10"/>
  <c r="F115" i="10" s="1"/>
  <c r="E116" i="10"/>
  <c r="F116" i="10" s="1"/>
  <c r="E126" i="10"/>
  <c r="F126" i="10" s="1"/>
  <c r="E129" i="10"/>
  <c r="F129" i="10" s="1"/>
  <c r="E130" i="10"/>
  <c r="F130" i="10" s="1"/>
  <c r="E132" i="10"/>
  <c r="F132" i="10" s="1"/>
  <c r="C168" i="10"/>
  <c r="D168" i="10" s="1"/>
  <c r="E168" i="10"/>
  <c r="F168" i="10" s="1"/>
  <c r="E179" i="10"/>
  <c r="F179" i="10" s="1"/>
  <c r="E182" i="10"/>
  <c r="F182" i="10" s="1"/>
  <c r="E183" i="10"/>
  <c r="F183" i="10" s="1"/>
  <c r="E185" i="10"/>
  <c r="F185" i="10" s="1"/>
  <c r="C221" i="10"/>
  <c r="D221" i="10" s="1"/>
  <c r="E221" i="10"/>
  <c r="F221" i="10" s="1"/>
  <c r="C222" i="10"/>
  <c r="D222" i="10" s="1"/>
  <c r="E222" i="10"/>
  <c r="F222" i="10" s="1"/>
  <c r="E232" i="10"/>
  <c r="F232" i="10" s="1"/>
  <c r="E235" i="10"/>
  <c r="F235" i="10" s="1"/>
  <c r="E236" i="10"/>
  <c r="F236" i="10" s="1"/>
  <c r="E238" i="10"/>
  <c r="F238" i="10" s="1"/>
  <c r="E274" i="10"/>
  <c r="F274" i="10" s="1"/>
  <c r="C275" i="10"/>
  <c r="D275" i="10" s="1"/>
  <c r="E275" i="10"/>
  <c r="F275" i="10" s="1"/>
  <c r="E285" i="10"/>
  <c r="F285" i="10" s="1"/>
  <c r="E288" i="10"/>
  <c r="F288" i="10" s="1"/>
  <c r="E289" i="10"/>
  <c r="F289" i="10" s="1"/>
  <c r="E291" i="10"/>
  <c r="F291" i="10" s="1"/>
  <c r="E328" i="10"/>
  <c r="F328" i="10" s="1"/>
  <c r="C329" i="10"/>
  <c r="D329" i="10" s="1"/>
  <c r="E329" i="10"/>
  <c r="F329" i="10" s="1"/>
  <c r="E339" i="10"/>
  <c r="F339" i="10" s="1"/>
  <c r="E342" i="10"/>
  <c r="F342" i="10" s="1"/>
  <c r="E343" i="10"/>
  <c r="F343" i="10" s="1"/>
  <c r="E345" i="10"/>
  <c r="F345" i="10" s="1"/>
  <c r="C381" i="10"/>
  <c r="D381" i="10" s="1"/>
  <c r="E381" i="10"/>
  <c r="F381" i="10" s="1"/>
  <c r="C382" i="10"/>
  <c r="D382" i="10" s="1"/>
  <c r="E382" i="10"/>
  <c r="F382" i="10" s="1"/>
  <c r="E392" i="10"/>
  <c r="F392" i="10" s="1"/>
  <c r="E395" i="10"/>
  <c r="F395" i="10" s="1"/>
  <c r="E396" i="10"/>
  <c r="F396" i="10" s="1"/>
  <c r="E398" i="10"/>
  <c r="F398" i="10" s="1"/>
  <c r="C434" i="10"/>
  <c r="D434" i="10" s="1"/>
  <c r="E434" i="10"/>
  <c r="F434" i="10" s="1"/>
  <c r="C435" i="10"/>
  <c r="D435" i="10" s="1"/>
  <c r="E435" i="10"/>
  <c r="F435" i="10" s="1"/>
  <c r="E445" i="10"/>
  <c r="F445" i="10" s="1"/>
  <c r="E448" i="10"/>
  <c r="F448" i="10" s="1"/>
  <c r="E449" i="10"/>
  <c r="F449" i="10" s="1"/>
  <c r="E451" i="10"/>
  <c r="F451" i="10" s="1"/>
  <c r="C487" i="10"/>
  <c r="D487" i="10" s="1"/>
  <c r="E487" i="10"/>
  <c r="F487" i="10" s="1"/>
  <c r="C488" i="10"/>
  <c r="D488" i="10" s="1"/>
  <c r="E488" i="10"/>
  <c r="F488" i="10" s="1"/>
  <c r="E498" i="10"/>
  <c r="F498" i="10" s="1"/>
  <c r="E501" i="10"/>
  <c r="F501" i="10" s="1"/>
  <c r="E502" i="10"/>
  <c r="F502" i="10" s="1"/>
  <c r="E504" i="10"/>
  <c r="F504" i="10" s="1"/>
  <c r="C540" i="10"/>
  <c r="D540" i="10" s="1"/>
  <c r="E540" i="10"/>
  <c r="F540" i="10" s="1"/>
  <c r="C541" i="10"/>
  <c r="D541" i="10" s="1"/>
  <c r="E541" i="10"/>
  <c r="F541" i="10" s="1"/>
  <c r="E551" i="10"/>
  <c r="F551" i="10" s="1"/>
  <c r="E554" i="10"/>
  <c r="F554" i="10" s="1"/>
  <c r="E555" i="10"/>
  <c r="F555" i="10" s="1"/>
  <c r="E557" i="10"/>
  <c r="F557" i="10" s="1"/>
  <c r="E9" i="10"/>
  <c r="F9" i="10" s="1"/>
  <c r="C10" i="10"/>
  <c r="D10" i="10" s="1"/>
  <c r="E10" i="10"/>
  <c r="F10" i="10" s="1"/>
  <c r="E20" i="10"/>
  <c r="F20" i="10" s="1"/>
  <c r="E23" i="10"/>
  <c r="F23" i="10" s="1"/>
  <c r="E24" i="10"/>
  <c r="F24" i="10" s="1"/>
  <c r="E26" i="10"/>
  <c r="F26" i="10" s="1"/>
  <c r="E61" i="16"/>
  <c r="E113" i="16" s="1"/>
  <c r="E62" i="16"/>
  <c r="E125" i="16"/>
  <c r="F125" i="16"/>
  <c r="E126" i="16"/>
  <c r="F126" i="16"/>
  <c r="E130" i="16"/>
  <c r="F130" i="16"/>
  <c r="E131" i="16"/>
  <c r="F131" i="16"/>
  <c r="E132" i="16"/>
  <c r="F132" i="16"/>
  <c r="E178" i="16"/>
  <c r="F178" i="16"/>
  <c r="E179" i="16"/>
  <c r="F179" i="16"/>
  <c r="E182" i="16"/>
  <c r="F182" i="16"/>
  <c r="E183" i="16"/>
  <c r="F183" i="16"/>
  <c r="E184" i="16"/>
  <c r="F184" i="16"/>
  <c r="E230" i="16"/>
  <c r="F230" i="16"/>
  <c r="E231" i="16"/>
  <c r="F231" i="16"/>
  <c r="E235" i="16"/>
  <c r="F235" i="16"/>
  <c r="E236" i="16"/>
  <c r="F236" i="16"/>
  <c r="E237" i="16"/>
  <c r="F237" i="16"/>
  <c r="E283" i="16"/>
  <c r="F283" i="16"/>
  <c r="E284" i="16"/>
  <c r="F284" i="16"/>
  <c r="E287" i="16"/>
  <c r="F287" i="16"/>
  <c r="E288" i="16"/>
  <c r="F288" i="16"/>
  <c r="E289" i="16"/>
  <c r="F289" i="16"/>
  <c r="E336" i="16"/>
  <c r="F336" i="16"/>
  <c r="E337" i="16"/>
  <c r="F337" i="16"/>
  <c r="E341" i="16"/>
  <c r="F341" i="16"/>
  <c r="E342" i="16"/>
  <c r="F342" i="16"/>
  <c r="E343" i="16"/>
  <c r="F343" i="16"/>
  <c r="E389" i="16"/>
  <c r="F389" i="16"/>
  <c r="E390" i="16"/>
  <c r="F390" i="16"/>
  <c r="E393" i="16"/>
  <c r="F393" i="16"/>
  <c r="E394" i="16"/>
  <c r="F394" i="16"/>
  <c r="E395" i="16"/>
  <c r="F395" i="16"/>
  <c r="E441" i="16"/>
  <c r="F441" i="16"/>
  <c r="E442" i="16"/>
  <c r="F442" i="16"/>
  <c r="E446" i="16"/>
  <c r="E1819" i="16"/>
  <c r="E1874" i="16" s="1"/>
  <c r="E447" i="16"/>
  <c r="F447" i="16" s="1"/>
  <c r="E448" i="16"/>
  <c r="E1821" i="16" s="1"/>
  <c r="E1876" i="16"/>
  <c r="E494" i="16"/>
  <c r="F494" i="16"/>
  <c r="E495" i="16"/>
  <c r="F495" i="16"/>
  <c r="E498" i="16"/>
  <c r="F498" i="16"/>
  <c r="E499" i="16"/>
  <c r="F499" i="16"/>
  <c r="E500" i="16"/>
  <c r="F500" i="16"/>
  <c r="E546" i="16"/>
  <c r="F546" i="16"/>
  <c r="E547" i="16"/>
  <c r="F547" i="16"/>
  <c r="E551" i="16"/>
  <c r="F551" i="16"/>
  <c r="E552" i="16"/>
  <c r="F552" i="16"/>
  <c r="E553" i="16"/>
  <c r="F553" i="16"/>
  <c r="E599" i="16"/>
  <c r="F599" i="16"/>
  <c r="E600" i="16"/>
  <c r="F600" i="16"/>
  <c r="E603" i="16"/>
  <c r="F603" i="16"/>
  <c r="E604" i="16"/>
  <c r="F604" i="16"/>
  <c r="E605" i="16"/>
  <c r="F605" i="16"/>
  <c r="E652" i="16"/>
  <c r="F652" i="16"/>
  <c r="E653" i="16"/>
  <c r="F653" i="16"/>
  <c r="E657" i="16"/>
  <c r="F657" i="16"/>
  <c r="E658" i="16"/>
  <c r="F658" i="16"/>
  <c r="E659" i="16"/>
  <c r="F659" i="16"/>
  <c r="E706" i="16"/>
  <c r="F706" i="16"/>
  <c r="E707" i="16"/>
  <c r="F707" i="16"/>
  <c r="E710" i="16"/>
  <c r="F710" i="16"/>
  <c r="E711" i="16"/>
  <c r="F711" i="16"/>
  <c r="E712" i="16"/>
  <c r="F712" i="16"/>
  <c r="E758" i="16"/>
  <c r="F758" i="16"/>
  <c r="E763" i="16"/>
  <c r="F763" i="16"/>
  <c r="E764" i="16"/>
  <c r="F764" i="16"/>
  <c r="E765" i="16"/>
  <c r="F765" i="16"/>
  <c r="E811" i="16"/>
  <c r="E865" i="16"/>
  <c r="F865" i="16" s="1"/>
  <c r="E812" i="16"/>
  <c r="E866" i="16" s="1"/>
  <c r="F866" i="16"/>
  <c r="E815" i="16"/>
  <c r="F815" i="16"/>
  <c r="E816" i="16"/>
  <c r="F816" i="16"/>
  <c r="E817" i="16"/>
  <c r="E871" i="16"/>
  <c r="F871" i="16" s="1"/>
  <c r="E918" i="16"/>
  <c r="F918" i="16" s="1"/>
  <c r="E919" i="16"/>
  <c r="F919" i="16" s="1"/>
  <c r="E923" i="16"/>
  <c r="F923" i="16" s="1"/>
  <c r="E924" i="16"/>
  <c r="F924" i="16" s="1"/>
  <c r="E925" i="16"/>
  <c r="F925" i="16" s="1"/>
  <c r="E971" i="16"/>
  <c r="F971" i="16" s="1"/>
  <c r="E972" i="16"/>
  <c r="F972" i="16" s="1"/>
  <c r="E975" i="16"/>
  <c r="F975" i="16" s="1"/>
  <c r="E976" i="16"/>
  <c r="F976" i="16" s="1"/>
  <c r="E977" i="16"/>
  <c r="F977" i="16" s="1"/>
  <c r="E1023" i="16"/>
  <c r="F1023" i="16" s="1"/>
  <c r="E1024" i="16"/>
  <c r="F1024" i="16" s="1"/>
  <c r="E1028" i="16"/>
  <c r="F1028" i="16" s="1"/>
  <c r="E1029" i="16"/>
  <c r="F1029" i="16" s="1"/>
  <c r="E1030" i="16"/>
  <c r="F1030" i="16" s="1"/>
  <c r="E1077" i="16"/>
  <c r="F1077" i="16" s="1"/>
  <c r="E1078" i="16"/>
  <c r="F1078" i="16" s="1"/>
  <c r="E1081" i="16"/>
  <c r="F1081" i="16" s="1"/>
  <c r="E1082" i="16"/>
  <c r="F1082" i="16" s="1"/>
  <c r="E1083" i="16"/>
  <c r="F1083" i="16" s="1"/>
  <c r="E1129" i="16"/>
  <c r="F1129" i="16" s="1"/>
  <c r="E1130" i="16"/>
  <c r="F1130" i="16" s="1"/>
  <c r="E1134" i="16"/>
  <c r="F1134" i="16" s="1"/>
  <c r="E1135" i="16"/>
  <c r="F1135" i="16" s="1"/>
  <c r="E1136" i="16"/>
  <c r="F1136" i="16" s="1"/>
  <c r="E1182" i="16"/>
  <c r="F1182" i="16" s="1"/>
  <c r="E1183" i="16"/>
  <c r="F1183" i="16" s="1"/>
  <c r="E1186" i="16"/>
  <c r="F1186" i="16" s="1"/>
  <c r="E1187" i="16"/>
  <c r="F1187" i="16" s="1"/>
  <c r="E1188" i="16"/>
  <c r="F1188" i="16" s="1"/>
  <c r="E1234" i="16"/>
  <c r="F1234" i="16" s="1"/>
  <c r="E1235" i="16"/>
  <c r="F1235" i="16" s="1"/>
  <c r="E1239" i="16"/>
  <c r="F1239" i="16" s="1"/>
  <c r="E1240" i="16"/>
  <c r="F1240" i="16" s="1"/>
  <c r="E1241" i="16"/>
  <c r="F1241" i="16" s="1"/>
  <c r="E1287" i="16"/>
  <c r="F1287" i="16" s="1"/>
  <c r="E1288" i="16"/>
  <c r="F1288" i="16" s="1"/>
  <c r="E1291" i="16"/>
  <c r="F1291" i="16" s="1"/>
  <c r="E1292" i="16"/>
  <c r="F1292" i="16" s="1"/>
  <c r="E1293" i="16"/>
  <c r="F1293" i="16" s="1"/>
  <c r="E1339" i="16"/>
  <c r="F1339" i="16" s="1"/>
  <c r="E1340" i="16"/>
  <c r="F1340" i="16" s="1"/>
  <c r="E1344" i="16"/>
  <c r="F1344" i="16" s="1"/>
  <c r="E1345" i="16"/>
  <c r="F1345" i="16" s="1"/>
  <c r="E1346" i="16"/>
  <c r="F1346" i="16" s="1"/>
  <c r="E1392" i="16"/>
  <c r="F1392" i="16" s="1"/>
  <c r="E1393" i="16"/>
  <c r="F1393" i="16" s="1"/>
  <c r="E1396" i="16"/>
  <c r="F1396" i="16" s="1"/>
  <c r="E1397" i="16"/>
  <c r="F1397" i="16" s="1"/>
  <c r="E1398" i="16"/>
  <c r="F1398" i="16" s="1"/>
  <c r="E1446" i="16"/>
  <c r="F1446" i="16" s="1"/>
  <c r="E1447" i="16"/>
  <c r="F1447" i="16" s="1"/>
  <c r="E1451" i="16"/>
  <c r="F1451" i="16" s="1"/>
  <c r="E1452" i="16"/>
  <c r="F1452" i="16" s="1"/>
  <c r="E1453" i="16"/>
  <c r="F1453" i="16" s="1"/>
  <c r="E1499" i="16"/>
  <c r="F1499" i="16" s="1"/>
  <c r="E1500" i="16"/>
  <c r="F1500" i="16" s="1"/>
  <c r="E1503" i="16"/>
  <c r="F1503" i="16" s="1"/>
  <c r="E1504" i="16"/>
  <c r="F1504" i="16" s="1"/>
  <c r="E1505" i="16"/>
  <c r="F1505" i="16" s="1"/>
  <c r="E1551" i="16"/>
  <c r="F1551" i="16" s="1"/>
  <c r="E1552" i="16"/>
  <c r="F1552" i="16" s="1"/>
  <c r="E1556" i="16"/>
  <c r="F1556" i="16" s="1"/>
  <c r="E1557" i="16"/>
  <c r="F1557" i="16" s="1"/>
  <c r="E1558" i="16"/>
  <c r="F1558" i="16" s="1"/>
  <c r="E1604" i="16"/>
  <c r="F1604" i="16" s="1"/>
  <c r="E1605" i="16"/>
  <c r="F1605" i="16" s="1"/>
  <c r="E1608" i="16"/>
  <c r="F1608" i="16" s="1"/>
  <c r="E1609" i="16"/>
  <c r="F1609" i="16" s="1"/>
  <c r="E1610" i="16"/>
  <c r="F1610" i="16" s="1"/>
  <c r="E1656" i="16"/>
  <c r="F1656" i="16" s="1"/>
  <c r="E1657" i="16"/>
  <c r="F1657" i="16" s="1"/>
  <c r="E1661" i="16"/>
  <c r="F1661" i="16" s="1"/>
  <c r="E1662" i="16"/>
  <c r="F1662" i="16" s="1"/>
  <c r="E1663" i="16"/>
  <c r="F1663" i="16" s="1"/>
  <c r="E1710" i="16"/>
  <c r="F1710" i="16" s="1"/>
  <c r="E1711" i="16"/>
  <c r="F1711" i="16" s="1"/>
  <c r="E1714" i="16"/>
  <c r="F1714" i="16" s="1"/>
  <c r="E1715" i="16"/>
  <c r="E1716" i="16"/>
  <c r="F1716" i="16"/>
  <c r="E20" i="16"/>
  <c r="F20" i="16"/>
  <c r="E21" i="16"/>
  <c r="F21" i="16"/>
  <c r="E25" i="16"/>
  <c r="F25" i="16"/>
  <c r="E26" i="16"/>
  <c r="F26" i="16"/>
  <c r="E27" i="16"/>
  <c r="F27" i="16"/>
  <c r="E73" i="16"/>
  <c r="F73" i="16"/>
  <c r="E74" i="16"/>
  <c r="F74" i="16"/>
  <c r="E77" i="16"/>
  <c r="F77" i="16"/>
  <c r="E78" i="16"/>
  <c r="F78" i="16"/>
  <c r="E79" i="16"/>
  <c r="F79" i="16"/>
  <c r="F8" i="12"/>
  <c r="F63" i="12"/>
  <c r="F118" i="12" s="1"/>
  <c r="F173" i="12"/>
  <c r="F228" i="12" s="1"/>
  <c r="F283" i="12" s="1"/>
  <c r="F338" i="12" s="1"/>
  <c r="F393" i="12" s="1"/>
  <c r="F448" i="12" s="1"/>
  <c r="F503" i="12" s="1"/>
  <c r="F558" i="12" s="1"/>
  <c r="F613" i="12" s="1"/>
  <c r="F668" i="12" s="1"/>
  <c r="F723" i="12" s="1"/>
  <c r="F778" i="12" s="1"/>
  <c r="F833" i="12" s="1"/>
  <c r="F888" i="12" s="1"/>
  <c r="F943" i="12" s="1"/>
  <c r="F998" i="12" s="1"/>
  <c r="F1053" i="12" s="1"/>
  <c r="F1108" i="12" s="1"/>
  <c r="F1163" i="12" s="1"/>
  <c r="F1218" i="12" s="1"/>
  <c r="F1273" i="12" s="1"/>
  <c r="F1328" i="12" s="1"/>
  <c r="F1383" i="12" s="1"/>
  <c r="F1438" i="12" s="1"/>
  <c r="F1493" i="12" s="1"/>
  <c r="F1548" i="12" s="1"/>
  <c r="F1603" i="12" s="1"/>
  <c r="F1658" i="12" s="1"/>
  <c r="F1713" i="12" s="1"/>
  <c r="F1768" i="12" s="1"/>
  <c r="F1823" i="12" s="1"/>
  <c r="F1878" i="12" s="1"/>
  <c r="F1933" i="12" s="1"/>
  <c r="F1988" i="12" s="1"/>
  <c r="F2043" i="12" s="1"/>
  <c r="F2098" i="12" s="1"/>
  <c r="F2153" i="12" s="1"/>
  <c r="F2208" i="12" s="1"/>
  <c r="D9" i="12"/>
  <c r="D64" i="12" s="1"/>
  <c r="E64" i="12"/>
  <c r="F9" i="12"/>
  <c r="F64" i="12"/>
  <c r="F119" i="12" s="1"/>
  <c r="F174" i="12" s="1"/>
  <c r="F229" i="12" s="1"/>
  <c r="F284" i="12" s="1"/>
  <c r="F339" i="12" s="1"/>
  <c r="F394" i="12" s="1"/>
  <c r="F449" i="12" s="1"/>
  <c r="F504" i="12" s="1"/>
  <c r="F559" i="12" s="1"/>
  <c r="F614" i="12" s="1"/>
  <c r="F669" i="12" s="1"/>
  <c r="F724" i="12" s="1"/>
  <c r="F779" i="12" s="1"/>
  <c r="F834" i="12" s="1"/>
  <c r="F889" i="12" s="1"/>
  <c r="F944" i="12" s="1"/>
  <c r="F999" i="12" s="1"/>
  <c r="F1054" i="12" s="1"/>
  <c r="F1109" i="12" s="1"/>
  <c r="F1164" i="12" s="1"/>
  <c r="F1219" i="12" s="1"/>
  <c r="F1274" i="12" s="1"/>
  <c r="F1329" i="12" s="1"/>
  <c r="F1384" i="12" s="1"/>
  <c r="F1439" i="12" s="1"/>
  <c r="F1494" i="12" s="1"/>
  <c r="F1549" i="12" s="1"/>
  <c r="F1604" i="12" s="1"/>
  <c r="F1659" i="12" s="1"/>
  <c r="F1714" i="12" s="1"/>
  <c r="F1769" i="12" s="1"/>
  <c r="F1824" i="12" s="1"/>
  <c r="F1879" i="12" s="1"/>
  <c r="F1934" i="12" s="1"/>
  <c r="F1989" i="12" s="1"/>
  <c r="F2044" i="12" s="1"/>
  <c r="F2099" i="12" s="1"/>
  <c r="F2154" i="12" s="1"/>
  <c r="F2209" i="12" s="1"/>
  <c r="F19" i="12"/>
  <c r="G19" i="12" s="1"/>
  <c r="F20" i="12"/>
  <c r="G20" i="12" s="1"/>
  <c r="F21" i="12"/>
  <c r="G21" i="12" s="1"/>
  <c r="F24" i="12"/>
  <c r="G24" i="12" s="1"/>
  <c r="F28" i="12"/>
  <c r="G28" i="12" s="1"/>
  <c r="F23" i="15"/>
  <c r="G23" i="15" s="1"/>
  <c r="F24" i="15"/>
  <c r="G24" i="15" s="1"/>
  <c r="F26" i="15"/>
  <c r="G26" i="15" s="1"/>
  <c r="F9" i="15"/>
  <c r="F228" i="15"/>
  <c r="G228" i="15"/>
  <c r="F230" i="15"/>
  <c r="G230" i="15"/>
  <c r="F231" i="15"/>
  <c r="G231" i="15"/>
  <c r="F232" i="15"/>
  <c r="G232" i="15"/>
  <c r="F233" i="15"/>
  <c r="G233" i="15"/>
  <c r="F234" i="15"/>
  <c r="G234" i="15"/>
  <c r="D217" i="15"/>
  <c r="E217" i="15"/>
  <c r="F217" i="15"/>
  <c r="F176" i="15"/>
  <c r="G176" i="15" s="1"/>
  <c r="F179" i="15"/>
  <c r="G179" i="15" s="1"/>
  <c r="F180" i="15"/>
  <c r="G180" i="15" s="1"/>
  <c r="F182" i="15"/>
  <c r="G182" i="15" s="1"/>
  <c r="F165" i="15"/>
  <c r="F124" i="15"/>
  <c r="G124" i="15"/>
  <c r="F127" i="15"/>
  <c r="G127" i="15"/>
  <c r="F128" i="15"/>
  <c r="G128" i="15"/>
  <c r="F130" i="15"/>
  <c r="G130" i="15"/>
  <c r="F113" i="15"/>
  <c r="F127" i="17"/>
  <c r="G127" i="17" s="1"/>
  <c r="F128" i="17"/>
  <c r="G128" i="17" s="1"/>
  <c r="F129" i="17"/>
  <c r="G129" i="17" s="1"/>
  <c r="F132" i="17"/>
  <c r="G132" i="17" s="1"/>
  <c r="F133" i="17"/>
  <c r="G133" i="17" s="1"/>
  <c r="G131" i="17"/>
  <c r="E413" i="14"/>
  <c r="G413" i="14"/>
  <c r="E414" i="14"/>
  <c r="G414" i="14"/>
  <c r="E415" i="14"/>
  <c r="G415" i="14"/>
  <c r="E416" i="14"/>
  <c r="G416" i="14"/>
  <c r="E417" i="14"/>
  <c r="G417" i="14"/>
  <c r="E418" i="14"/>
  <c r="G418" i="14"/>
  <c r="E419" i="14"/>
  <c r="G419" i="14"/>
  <c r="E421" i="14"/>
  <c r="G421" i="14"/>
  <c r="E422" i="14"/>
  <c r="G422" i="14"/>
  <c r="E423" i="14"/>
  <c r="G423" i="14"/>
  <c r="E424" i="14"/>
  <c r="G424" i="14"/>
  <c r="E425" i="14"/>
  <c r="G425" i="14"/>
  <c r="E426" i="14"/>
  <c r="G426" i="14"/>
  <c r="E427" i="14"/>
  <c r="G427" i="14"/>
  <c r="D9" i="14"/>
  <c r="D69" i="14"/>
  <c r="F9" i="14"/>
  <c r="F69" i="14"/>
  <c r="D10" i="14"/>
  <c r="D70" i="14"/>
  <c r="E70" i="14" s="1"/>
  <c r="F10" i="14"/>
  <c r="F10" i="36" s="1"/>
  <c r="E21" i="14"/>
  <c r="G21" i="14" s="1"/>
  <c r="E22" i="14"/>
  <c r="G22" i="14" s="1"/>
  <c r="E23" i="14"/>
  <c r="G23" i="14" s="1"/>
  <c r="E24" i="14"/>
  <c r="G24" i="14" s="1"/>
  <c r="E25" i="14"/>
  <c r="G25" i="14" s="1"/>
  <c r="E26" i="14"/>
  <c r="G26" i="14" s="1"/>
  <c r="E27" i="14"/>
  <c r="G27" i="14" s="1"/>
  <c r="E28" i="14"/>
  <c r="G28" i="14" s="1"/>
  <c r="E29" i="14"/>
  <c r="G29" i="14" s="1"/>
  <c r="E30" i="14"/>
  <c r="G30" i="14" s="1"/>
  <c r="E32" i="14"/>
  <c r="G32" i="14" s="1"/>
  <c r="E34" i="14"/>
  <c r="G34" i="14" s="1"/>
  <c r="E35" i="14"/>
  <c r="G35" i="14" s="1"/>
  <c r="E537" i="14"/>
  <c r="G537" i="14" s="1"/>
  <c r="E538" i="14"/>
  <c r="G538" i="14" s="1"/>
  <c r="E539" i="14"/>
  <c r="G539" i="14" s="1"/>
  <c r="E540" i="14"/>
  <c r="G540" i="14" s="1"/>
  <c r="E541" i="14"/>
  <c r="G541" i="14" s="1"/>
  <c r="E542" i="14"/>
  <c r="G542" i="14" s="1"/>
  <c r="E543" i="14"/>
  <c r="G543" i="14" s="1"/>
  <c r="E545" i="14"/>
  <c r="G545" i="14" s="1"/>
  <c r="E546" i="14"/>
  <c r="G546" i="14" s="1"/>
  <c r="E547" i="14"/>
  <c r="G547" i="14" s="1"/>
  <c r="D16" i="18"/>
  <c r="D16" i="37" s="1"/>
  <c r="P5" i="11" s="1"/>
  <c r="D9" i="9"/>
  <c r="D58" i="9"/>
  <c r="E58" i="9" s="1"/>
  <c r="F9" i="9"/>
  <c r="G9" i="9" s="1"/>
  <c r="D9" i="34"/>
  <c r="E9" i="34" s="1"/>
  <c r="E66" i="34"/>
  <c r="E123" i="34" s="1"/>
  <c r="F9" i="34"/>
  <c r="F66" i="34" s="1"/>
  <c r="F123" i="34"/>
  <c r="D10" i="34"/>
  <c r="E10" i="34"/>
  <c r="E67" i="34" s="1"/>
  <c r="E124" i="34" s="1"/>
  <c r="F10" i="34"/>
  <c r="F67" i="34"/>
  <c r="F124" i="34" s="1"/>
  <c r="E21" i="34"/>
  <c r="G21" i="34" s="1"/>
  <c r="E22" i="34"/>
  <c r="G22" i="34" s="1"/>
  <c r="E23" i="34"/>
  <c r="G23" i="34" s="1"/>
  <c r="E24" i="34"/>
  <c r="G24" i="34" s="1"/>
  <c r="E26" i="34"/>
  <c r="G26" i="34" s="1"/>
  <c r="E27" i="34"/>
  <c r="G27" i="34" s="1"/>
  <c r="E28" i="34"/>
  <c r="G28" i="34" s="1"/>
  <c r="E29" i="34"/>
  <c r="G29" i="34" s="1"/>
  <c r="E30" i="34"/>
  <c r="G30" i="34" s="1"/>
  <c r="E31" i="34"/>
  <c r="G31" i="34" s="1"/>
  <c r="E32" i="34"/>
  <c r="G32" i="34" s="1"/>
  <c r="E78" i="34"/>
  <c r="G78" i="34" s="1"/>
  <c r="E79" i="34"/>
  <c r="G79" i="34" s="1"/>
  <c r="E80" i="34"/>
  <c r="G80" i="34" s="1"/>
  <c r="E81" i="34"/>
  <c r="G81" i="34" s="1"/>
  <c r="E83" i="34"/>
  <c r="G83" i="34" s="1"/>
  <c r="E84" i="34"/>
  <c r="G84" i="34" s="1"/>
  <c r="E85" i="34"/>
  <c r="G85" i="34" s="1"/>
  <c r="E86" i="34"/>
  <c r="G86" i="34" s="1"/>
  <c r="E87" i="34"/>
  <c r="G87" i="34" s="1"/>
  <c r="E88" i="34"/>
  <c r="G88" i="34" s="1"/>
  <c r="E89" i="34"/>
  <c r="G89" i="34" s="1"/>
  <c r="I66" i="34"/>
  <c r="E103" i="34" s="1"/>
  <c r="I67" i="34"/>
  <c r="E107" i="34" s="1"/>
  <c r="E135" i="34"/>
  <c r="G135" i="34" s="1"/>
  <c r="E136" i="34"/>
  <c r="G136" i="34" s="1"/>
  <c r="E137" i="34"/>
  <c r="G137" i="34" s="1"/>
  <c r="E138" i="34"/>
  <c r="G138" i="34" s="1"/>
  <c r="E140" i="34"/>
  <c r="G140" i="34" s="1"/>
  <c r="E141" i="34"/>
  <c r="G141" i="34" s="1"/>
  <c r="E142" i="34"/>
  <c r="G142" i="34" s="1"/>
  <c r="E143" i="34"/>
  <c r="G143" i="34" s="1"/>
  <c r="E144" i="34"/>
  <c r="G144" i="34" s="1"/>
  <c r="E145" i="34"/>
  <c r="G145" i="34" s="1"/>
  <c r="E146" i="34"/>
  <c r="G146" i="34" s="1"/>
  <c r="E81" i="14"/>
  <c r="G81" i="14" s="1"/>
  <c r="E82" i="14"/>
  <c r="G82" i="14" s="1"/>
  <c r="E83" i="14"/>
  <c r="G83" i="14" s="1"/>
  <c r="E84" i="14"/>
  <c r="G84" i="14" s="1"/>
  <c r="E85" i="14"/>
  <c r="G85" i="14" s="1"/>
  <c r="E86" i="14"/>
  <c r="G86" i="14" s="1"/>
  <c r="E87" i="14"/>
  <c r="G87" i="14" s="1"/>
  <c r="E89" i="14"/>
  <c r="G89" i="14" s="1"/>
  <c r="E91" i="14"/>
  <c r="G91" i="14" s="1"/>
  <c r="E92" i="14"/>
  <c r="G92" i="14" s="1"/>
  <c r="E138" i="14"/>
  <c r="G138" i="14" s="1"/>
  <c r="E139" i="14"/>
  <c r="G139" i="14" s="1"/>
  <c r="E140" i="14"/>
  <c r="G140" i="14" s="1"/>
  <c r="E142" i="14"/>
  <c r="G142" i="14" s="1"/>
  <c r="E143" i="14"/>
  <c r="G143" i="14" s="1"/>
  <c r="E145" i="14"/>
  <c r="G145" i="14" s="1"/>
  <c r="E146" i="14"/>
  <c r="G146" i="14" s="1"/>
  <c r="E192" i="14"/>
  <c r="G192" i="14" s="1"/>
  <c r="E193" i="14"/>
  <c r="G193" i="14" s="1"/>
  <c r="E194" i="14"/>
  <c r="G194" i="14" s="1"/>
  <c r="E195" i="14"/>
  <c r="G195" i="14" s="1"/>
  <c r="E196" i="14"/>
  <c r="G196" i="14" s="1"/>
  <c r="E198" i="14"/>
  <c r="G198" i="14" s="1"/>
  <c r="E199" i="14"/>
  <c r="G199" i="14" s="1"/>
  <c r="E201" i="14"/>
  <c r="G201" i="14" s="1"/>
  <c r="E202" i="14"/>
  <c r="G202" i="14" s="1"/>
  <c r="E248" i="14"/>
  <c r="G248" i="14" s="1"/>
  <c r="E249" i="14"/>
  <c r="G249" i="14" s="1"/>
  <c r="E250" i="14"/>
  <c r="G250" i="14" s="1"/>
  <c r="E252" i="14"/>
  <c r="G252" i="14" s="1"/>
  <c r="E253" i="14"/>
  <c r="G253" i="14" s="1"/>
  <c r="E255" i="14"/>
  <c r="G255" i="14" s="1"/>
  <c r="E256" i="14"/>
  <c r="G256" i="14" s="1"/>
  <c r="E302" i="14"/>
  <c r="G302" i="14" s="1"/>
  <c r="E303" i="14"/>
  <c r="G303" i="14" s="1"/>
  <c r="E304" i="14"/>
  <c r="G304" i="14" s="1"/>
  <c r="E306" i="14"/>
  <c r="G306" i="14" s="1"/>
  <c r="E307" i="14"/>
  <c r="G307" i="14" s="1"/>
  <c r="E308" i="14"/>
  <c r="G308" i="14" s="1"/>
  <c r="E310" i="14"/>
  <c r="G310" i="14" s="1"/>
  <c r="E311" i="14"/>
  <c r="G311" i="14" s="1"/>
  <c r="E358" i="14"/>
  <c r="G358" i="14" s="1"/>
  <c r="E359" i="14"/>
  <c r="G359" i="14" s="1"/>
  <c r="E360" i="14"/>
  <c r="G360" i="14" s="1"/>
  <c r="E361" i="14"/>
  <c r="G361" i="14" s="1"/>
  <c r="E363" i="14"/>
  <c r="G363" i="14" s="1"/>
  <c r="E364" i="14"/>
  <c r="G364" i="14" s="1"/>
  <c r="E365" i="14"/>
  <c r="G365" i="14" s="1"/>
  <c r="E366" i="14"/>
  <c r="G366" i="14" s="1"/>
  <c r="E367" i="14"/>
  <c r="G367" i="14" s="1"/>
  <c r="E473" i="14"/>
  <c r="G473" i="14" s="1"/>
  <c r="E474" i="14"/>
  <c r="G474" i="14" s="1"/>
  <c r="E475" i="14"/>
  <c r="G475" i="14" s="1"/>
  <c r="E476" i="14"/>
  <c r="G476" i="14" s="1"/>
  <c r="E477" i="14"/>
  <c r="G477" i="14" s="1"/>
  <c r="E478" i="14"/>
  <c r="G478" i="14" s="1"/>
  <c r="E479" i="14"/>
  <c r="G479" i="14" s="1"/>
  <c r="E481" i="14"/>
  <c r="G481" i="14" s="1"/>
  <c r="E482" i="14"/>
  <c r="G482" i="14" s="1"/>
  <c r="E483" i="14"/>
  <c r="G483" i="14" s="1"/>
  <c r="E484" i="14"/>
  <c r="G484" i="14" s="1"/>
  <c r="E485" i="14"/>
  <c r="G485" i="14" s="1"/>
  <c r="E486" i="14"/>
  <c r="G486" i="14" s="1"/>
  <c r="E487" i="14"/>
  <c r="G487" i="14" s="1"/>
  <c r="E488" i="14"/>
  <c r="G488" i="14" s="1"/>
  <c r="E489" i="14"/>
  <c r="G489" i="14" s="1"/>
  <c r="E490" i="14"/>
  <c r="G490" i="14" s="1"/>
  <c r="E491" i="14"/>
  <c r="G491" i="14" s="1"/>
  <c r="E593" i="14"/>
  <c r="G593" i="14" s="1"/>
  <c r="E594" i="14"/>
  <c r="G594" i="14" s="1"/>
  <c r="E595" i="14"/>
  <c r="G595" i="14" s="1"/>
  <c r="E596" i="14"/>
  <c r="G596" i="14" s="1"/>
  <c r="E597" i="14"/>
  <c r="G597" i="14" s="1"/>
  <c r="E598" i="14"/>
  <c r="G598" i="14" s="1"/>
  <c r="E600" i="14"/>
  <c r="G600" i="14" s="1"/>
  <c r="E601" i="14"/>
  <c r="G601" i="14" s="1"/>
  <c r="E602" i="14"/>
  <c r="G602" i="14" s="1"/>
  <c r="E603" i="14"/>
  <c r="G603" i="14" s="1"/>
  <c r="E604" i="14"/>
  <c r="G604" i="14" s="1"/>
  <c r="E650" i="14"/>
  <c r="G650" i="14" s="1"/>
  <c r="E651" i="14"/>
  <c r="G651" i="14" s="1"/>
  <c r="E652" i="14"/>
  <c r="G652" i="14" s="1"/>
  <c r="E654" i="14"/>
  <c r="G654" i="14" s="1"/>
  <c r="E655" i="14"/>
  <c r="G655" i="14" s="1"/>
  <c r="E656" i="14"/>
  <c r="G656" i="14" s="1"/>
  <c r="E657" i="14"/>
  <c r="G657" i="14" s="1"/>
  <c r="E658" i="14"/>
  <c r="G658" i="14" s="1"/>
  <c r="E659" i="14"/>
  <c r="G659" i="14" s="1"/>
  <c r="E660" i="14"/>
  <c r="G660" i="14" s="1"/>
  <c r="E706" i="14"/>
  <c r="G706" i="14" s="1"/>
  <c r="E707" i="14"/>
  <c r="G707" i="14" s="1"/>
  <c r="E708" i="14"/>
  <c r="G708" i="14" s="1"/>
  <c r="E709" i="14"/>
  <c r="G709" i="14" s="1"/>
  <c r="E710" i="14"/>
  <c r="G710" i="14" s="1"/>
  <c r="E712" i="14"/>
  <c r="G712" i="14" s="1"/>
  <c r="E713" i="14"/>
  <c r="G713" i="14" s="1"/>
  <c r="E714" i="14"/>
  <c r="G714" i="14" s="1"/>
  <c r="E715" i="14"/>
  <c r="G715" i="14" s="1"/>
  <c r="E716" i="14"/>
  <c r="G716" i="14" s="1"/>
  <c r="E717" i="14"/>
  <c r="G717" i="14" s="1"/>
  <c r="E718" i="14"/>
  <c r="G718" i="14" s="1"/>
  <c r="E764" i="14"/>
  <c r="G764" i="14" s="1"/>
  <c r="E765" i="14"/>
  <c r="G765" i="14" s="1"/>
  <c r="E766" i="14"/>
  <c r="G766" i="14" s="1"/>
  <c r="E767" i="14"/>
  <c r="G767" i="14" s="1"/>
  <c r="E769" i="14"/>
  <c r="G769" i="14" s="1"/>
  <c r="E770" i="14"/>
  <c r="G770" i="14" s="1"/>
  <c r="E771" i="14"/>
  <c r="G771" i="14" s="1"/>
  <c r="E772" i="14"/>
  <c r="G772" i="14" s="1"/>
  <c r="E773" i="14"/>
  <c r="G773" i="14" s="1"/>
  <c r="E774" i="14"/>
  <c r="G774" i="14" s="1"/>
  <c r="E775" i="14"/>
  <c r="G775" i="14" s="1"/>
  <c r="E821" i="14"/>
  <c r="G821" i="14" s="1"/>
  <c r="E822" i="14"/>
  <c r="G822" i="14" s="1"/>
  <c r="E823" i="14"/>
  <c r="G823" i="14" s="1"/>
  <c r="E825" i="14"/>
  <c r="G825" i="14" s="1"/>
  <c r="E826" i="14"/>
  <c r="G826" i="14" s="1"/>
  <c r="E827" i="14"/>
  <c r="G827" i="14" s="1"/>
  <c r="E828" i="14"/>
  <c r="G828" i="14" s="1"/>
  <c r="E829" i="14"/>
  <c r="G829" i="14" s="1"/>
  <c r="E830" i="14"/>
  <c r="G830" i="14" s="1"/>
  <c r="E831" i="14"/>
  <c r="G831" i="14" s="1"/>
  <c r="E877" i="14"/>
  <c r="G877" i="14" s="1"/>
  <c r="E878" i="14"/>
  <c r="G878" i="14" s="1"/>
  <c r="E879" i="14"/>
  <c r="G879" i="14" s="1"/>
  <c r="E880" i="14"/>
  <c r="G880" i="14" s="1"/>
  <c r="E881" i="14"/>
  <c r="G881" i="14" s="1"/>
  <c r="E883" i="14"/>
  <c r="G883" i="14" s="1"/>
  <c r="E884" i="14"/>
  <c r="G884" i="14" s="1"/>
  <c r="E885" i="14"/>
  <c r="G885" i="14" s="1"/>
  <c r="E886" i="14"/>
  <c r="G886" i="14" s="1"/>
  <c r="E887" i="14"/>
  <c r="G887" i="14" s="1"/>
  <c r="E888" i="14"/>
  <c r="G888" i="14" s="1"/>
  <c r="E889" i="14"/>
  <c r="G889" i="14" s="1"/>
  <c r="E935" i="14"/>
  <c r="G935" i="14" s="1"/>
  <c r="E936" i="14"/>
  <c r="E938" i="14"/>
  <c r="G938" i="14"/>
  <c r="E939" i="14"/>
  <c r="E940" i="14"/>
  <c r="G940" i="14" s="1"/>
  <c r="E941" i="14"/>
  <c r="E942" i="14"/>
  <c r="G942" i="14"/>
  <c r="E943" i="14"/>
  <c r="E944" i="14"/>
  <c r="G944" i="14" s="1"/>
  <c r="E990" i="14"/>
  <c r="G990" i="14" s="1"/>
  <c r="E991" i="14"/>
  <c r="G991" i="14" s="1"/>
  <c r="E993" i="14"/>
  <c r="G993" i="14" s="1"/>
  <c r="E994" i="14"/>
  <c r="G994" i="14" s="1"/>
  <c r="E995" i="14"/>
  <c r="G995" i="14" s="1"/>
  <c r="E996" i="14"/>
  <c r="G996" i="14" s="1"/>
  <c r="E997" i="14"/>
  <c r="G997" i="14" s="1"/>
  <c r="E998" i="14"/>
  <c r="G998" i="14" s="1"/>
  <c r="E999" i="14"/>
  <c r="G999" i="14" s="1"/>
  <c r="E1045" i="14"/>
  <c r="G1045" i="14" s="1"/>
  <c r="E1046" i="14"/>
  <c r="G1046" i="14" s="1"/>
  <c r="E1048" i="14"/>
  <c r="G1048" i="14" s="1"/>
  <c r="E1049" i="14"/>
  <c r="G1049" i="14" s="1"/>
  <c r="E1050" i="14"/>
  <c r="G1050" i="14" s="1"/>
  <c r="E1051" i="14"/>
  <c r="G1051" i="14" s="1"/>
  <c r="E1052" i="14"/>
  <c r="G1052" i="14" s="1"/>
  <c r="E1053" i="14"/>
  <c r="G1053" i="14" s="1"/>
  <c r="E1054" i="14"/>
  <c r="G1054" i="14" s="1"/>
  <c r="E1101" i="14"/>
  <c r="G1101" i="14" s="1"/>
  <c r="E1102" i="14"/>
  <c r="G1102" i="14" s="1"/>
  <c r="E1104" i="14"/>
  <c r="G1104" i="14" s="1"/>
  <c r="E1105" i="14"/>
  <c r="G1105" i="14" s="1"/>
  <c r="E1106" i="14"/>
  <c r="G1106" i="14" s="1"/>
  <c r="E1107" i="14"/>
  <c r="G1107" i="14" s="1"/>
  <c r="E1108" i="14"/>
  <c r="G1108" i="14" s="1"/>
  <c r="E1109" i="14"/>
  <c r="G1109" i="14" s="1"/>
  <c r="E1110" i="14"/>
  <c r="G1110" i="14" s="1"/>
  <c r="E1157" i="14"/>
  <c r="G1157" i="14" s="1"/>
  <c r="E1158" i="14"/>
  <c r="G1158" i="14" s="1"/>
  <c r="E1159" i="14"/>
  <c r="G1159" i="14" s="1"/>
  <c r="E1161" i="14"/>
  <c r="G1161" i="14" s="1"/>
  <c r="E1162" i="14"/>
  <c r="G1162" i="14" s="1"/>
  <c r="E1163" i="14"/>
  <c r="G1163" i="14" s="1"/>
  <c r="E1164" i="14"/>
  <c r="G1164" i="14" s="1"/>
  <c r="E1165" i="14"/>
  <c r="G1165" i="14" s="1"/>
  <c r="E1166" i="14"/>
  <c r="G1166" i="14" s="1"/>
  <c r="E1167" i="14"/>
  <c r="G1167" i="14" s="1"/>
  <c r="E1213" i="14"/>
  <c r="G1213" i="14" s="1"/>
  <c r="E1214" i="14"/>
  <c r="E1215" i="14"/>
  <c r="G1215" i="14"/>
  <c r="E1217" i="14"/>
  <c r="G1217" i="14" s="1"/>
  <c r="E1218" i="14"/>
  <c r="E1220" i="14"/>
  <c r="G1220" i="14"/>
  <c r="E1221" i="14"/>
  <c r="E1267" i="14"/>
  <c r="G1267" i="14" s="1"/>
  <c r="E1268" i="14"/>
  <c r="G1268" i="14" s="1"/>
  <c r="E1270" i="14"/>
  <c r="G1270" i="14" s="1"/>
  <c r="E1271" i="14"/>
  <c r="G1271" i="14" s="1"/>
  <c r="E1273" i="14"/>
  <c r="G1273" i="14" s="1"/>
  <c r="E1274" i="14"/>
  <c r="G1274" i="14" s="1"/>
  <c r="E1321" i="14"/>
  <c r="G1321" i="14" s="1"/>
  <c r="E1322" i="14"/>
  <c r="G1322" i="14" s="1"/>
  <c r="E1323" i="14"/>
  <c r="G1323" i="14" s="1"/>
  <c r="E1324" i="14"/>
  <c r="G1324" i="14" s="1"/>
  <c r="E1325" i="14"/>
  <c r="G1325" i="14" s="1"/>
  <c r="E1326" i="14"/>
  <c r="G1326" i="14" s="1"/>
  <c r="E1327" i="14"/>
  <c r="G1327" i="14" s="1"/>
  <c r="E1328" i="14"/>
  <c r="G1328" i="14" s="1"/>
  <c r="E1329" i="14"/>
  <c r="G1329" i="14" s="1"/>
  <c r="E1331" i="14"/>
  <c r="G1331" i="14" s="1"/>
  <c r="D1337" i="14"/>
  <c r="E1377" i="14"/>
  <c r="G1377" i="14"/>
  <c r="E1378" i="14"/>
  <c r="G1378" i="14"/>
  <c r="E1379" i="14"/>
  <c r="G1379" i="14"/>
  <c r="E1380" i="14"/>
  <c r="G1380" i="14"/>
  <c r="E1381" i="14"/>
  <c r="G1381" i="14"/>
  <c r="E1382" i="14"/>
  <c r="G1382" i="14"/>
  <c r="E1383" i="14"/>
  <c r="G1383" i="14"/>
  <c r="E1384" i="14"/>
  <c r="G1384" i="14"/>
  <c r="E1385" i="14"/>
  <c r="G1385" i="14"/>
  <c r="E1387" i="14"/>
  <c r="G1387" i="14"/>
  <c r="D1393" i="14"/>
  <c r="E1433" i="14"/>
  <c r="G1433" i="14" s="1"/>
  <c r="E1434" i="14"/>
  <c r="G1434" i="14" s="1"/>
  <c r="E1435" i="14"/>
  <c r="G1435" i="14" s="1"/>
  <c r="E1437" i="14"/>
  <c r="G1437" i="14" s="1"/>
  <c r="E1438" i="14"/>
  <c r="G1438" i="14" s="1"/>
  <c r="E1439" i="14"/>
  <c r="G1439" i="14" s="1"/>
  <c r="E1440" i="14"/>
  <c r="G1440" i="14" s="1"/>
  <c r="E1441" i="14"/>
  <c r="G1441" i="14" s="1"/>
  <c r="E1442" i="14"/>
  <c r="G1442" i="14" s="1"/>
  <c r="E1443" i="14"/>
  <c r="G1443" i="14" s="1"/>
  <c r="E1489" i="14"/>
  <c r="G1489" i="14" s="1"/>
  <c r="E1490" i="14"/>
  <c r="G1490" i="14" s="1"/>
  <c r="E1491" i="14"/>
  <c r="G1491" i="14" s="1"/>
  <c r="E1492" i="14"/>
  <c r="G1492" i="14" s="1"/>
  <c r="E1493" i="14"/>
  <c r="G1493" i="14" s="1"/>
  <c r="E1495" i="14"/>
  <c r="G1495" i="14" s="1"/>
  <c r="E1496" i="14"/>
  <c r="G1496" i="14" s="1"/>
  <c r="E1497" i="14"/>
  <c r="G1497" i="14" s="1"/>
  <c r="E1498" i="14"/>
  <c r="G1498" i="14" s="1"/>
  <c r="E1499" i="14"/>
  <c r="G1499" i="14" s="1"/>
  <c r="E1500" i="14"/>
  <c r="G1500" i="14" s="1"/>
  <c r="E1546" i="14"/>
  <c r="G1546" i="14" s="1"/>
  <c r="E1547" i="14"/>
  <c r="G1547" i="14" s="1"/>
  <c r="E1549" i="14"/>
  <c r="G1549" i="14" s="1"/>
  <c r="E1550" i="14"/>
  <c r="G1550" i="14" s="1"/>
  <c r="E1551" i="14"/>
  <c r="G1551" i="14" s="1"/>
  <c r="E1552" i="14"/>
  <c r="G1552" i="14" s="1"/>
  <c r="E1553" i="14"/>
  <c r="G1553" i="14" s="1"/>
  <c r="E1554" i="14"/>
  <c r="G1554" i="14" s="1"/>
  <c r="E1555" i="14"/>
  <c r="G1555" i="14" s="1"/>
  <c r="E1601" i="14"/>
  <c r="G1601" i="14" s="1"/>
  <c r="E1602" i="14"/>
  <c r="G1602" i="14" s="1"/>
  <c r="E1603" i="14"/>
  <c r="G1603" i="14" s="1"/>
  <c r="E1605" i="14"/>
  <c r="G1605" i="14" s="1"/>
  <c r="E1606" i="14"/>
  <c r="G1606" i="14" s="1"/>
  <c r="E1607" i="14"/>
  <c r="G1607" i="14" s="1"/>
  <c r="E1608" i="14"/>
  <c r="G1608" i="14" s="1"/>
  <c r="E1609" i="14"/>
  <c r="G1609" i="14" s="1"/>
  <c r="E1610" i="14"/>
  <c r="G1610" i="14" s="1"/>
  <c r="E1611" i="14"/>
  <c r="G1611" i="14" s="1"/>
  <c r="D1617" i="14"/>
  <c r="F537" i="15"/>
  <c r="G537" i="15"/>
  <c r="F540" i="15"/>
  <c r="G540" i="15"/>
  <c r="F541" i="15"/>
  <c r="G541" i="15"/>
  <c r="F543" i="15"/>
  <c r="G543" i="15"/>
  <c r="D526" i="15"/>
  <c r="E526" i="15"/>
  <c r="F526" i="15"/>
  <c r="F589" i="15"/>
  <c r="G589" i="15" s="1"/>
  <c r="F592" i="15"/>
  <c r="G592" i="15" s="1"/>
  <c r="F593" i="15"/>
  <c r="G593" i="15" s="1"/>
  <c r="F595" i="15"/>
  <c r="G595" i="15" s="1"/>
  <c r="F578" i="15"/>
  <c r="F188" i="21"/>
  <c r="G188" i="21"/>
  <c r="F189" i="21"/>
  <c r="G189" i="21"/>
  <c r="F190" i="21"/>
  <c r="G190" i="21"/>
  <c r="F193" i="21"/>
  <c r="G193" i="21"/>
  <c r="F195" i="21"/>
  <c r="G195" i="21"/>
  <c r="G192" i="21"/>
  <c r="G194" i="21"/>
  <c r="F133" i="21"/>
  <c r="G133" i="21"/>
  <c r="F134" i="21"/>
  <c r="G134" i="21"/>
  <c r="F135" i="21"/>
  <c r="G135" i="21"/>
  <c r="F138" i="21"/>
  <c r="G138" i="21"/>
  <c r="F140" i="21"/>
  <c r="G140" i="21"/>
  <c r="G137" i="21"/>
  <c r="G139" i="21"/>
  <c r="F77" i="21"/>
  <c r="G77" i="21"/>
  <c r="F78" i="21"/>
  <c r="G78" i="21"/>
  <c r="F79" i="21"/>
  <c r="G79" i="21"/>
  <c r="F82" i="21"/>
  <c r="G82" i="21"/>
  <c r="F84" i="21"/>
  <c r="G84" i="21"/>
  <c r="G81" i="21"/>
  <c r="G83" i="21"/>
  <c r="F20" i="21"/>
  <c r="G20" i="21"/>
  <c r="F21" i="21"/>
  <c r="G21" i="21"/>
  <c r="F22" i="21"/>
  <c r="G22" i="21"/>
  <c r="F25" i="21"/>
  <c r="G25" i="21"/>
  <c r="F27" i="21"/>
  <c r="G27" i="21"/>
  <c r="G24" i="21"/>
  <c r="G26" i="21"/>
  <c r="E9" i="21"/>
  <c r="R319" i="11"/>
  <c r="F485" i="15"/>
  <c r="G485" i="15"/>
  <c r="F488" i="15"/>
  <c r="G488" i="15"/>
  <c r="F489" i="15"/>
  <c r="G489" i="15"/>
  <c r="F491" i="15"/>
  <c r="G491" i="15"/>
  <c r="F474" i="15"/>
  <c r="F437" i="15"/>
  <c r="G437" i="15" s="1"/>
  <c r="F440" i="15"/>
  <c r="G440" i="15" s="1"/>
  <c r="F441" i="15"/>
  <c r="G441" i="15" s="1"/>
  <c r="F443" i="15"/>
  <c r="G443" i="15" s="1"/>
  <c r="D426" i="15"/>
  <c r="E426" i="15" s="1"/>
  <c r="F426" i="15"/>
  <c r="F385" i="15"/>
  <c r="G385" i="15"/>
  <c r="F388" i="15"/>
  <c r="G388" i="15"/>
  <c r="F389" i="15"/>
  <c r="G389" i="15"/>
  <c r="F391" i="15"/>
  <c r="G391" i="15"/>
  <c r="D374" i="15"/>
  <c r="E374" i="15"/>
  <c r="F374" i="15"/>
  <c r="F332" i="15"/>
  <c r="F335" i="15"/>
  <c r="F644" i="15"/>
  <c r="G644" i="15" s="1"/>
  <c r="F336" i="15"/>
  <c r="F338" i="15"/>
  <c r="G338" i="15"/>
  <c r="F339" i="15"/>
  <c r="F280" i="15"/>
  <c r="G280" i="15" s="1"/>
  <c r="F283" i="15"/>
  <c r="G283" i="15" s="1"/>
  <c r="F284" i="15"/>
  <c r="G284" i="15" s="1"/>
  <c r="F286" i="15"/>
  <c r="G286" i="15" s="1"/>
  <c r="D269" i="15"/>
  <c r="E269" i="15" s="1"/>
  <c r="F269" i="15"/>
  <c r="F72" i="15"/>
  <c r="G72" i="15"/>
  <c r="F75" i="15"/>
  <c r="G75" i="15"/>
  <c r="F76" i="15"/>
  <c r="G76" i="15"/>
  <c r="F78" i="15"/>
  <c r="G78" i="15"/>
  <c r="D61" i="15"/>
  <c r="E61" i="15"/>
  <c r="F61" i="15"/>
  <c r="D39" i="18"/>
  <c r="P6" i="11" s="1"/>
  <c r="D61" i="18"/>
  <c r="D61" i="37" s="1"/>
  <c r="P9" i="11" s="1"/>
  <c r="C23" i="12"/>
  <c r="C78" i="12"/>
  <c r="C133" i="12" s="1"/>
  <c r="C188" i="12"/>
  <c r="C243" i="12" s="1"/>
  <c r="C298" i="12" s="1"/>
  <c r="C353" i="12" s="1"/>
  <c r="C408" i="12" s="1"/>
  <c r="C463" i="12" s="1"/>
  <c r="C518" i="12" s="1"/>
  <c r="C573" i="12" s="1"/>
  <c r="C628" i="12" s="1"/>
  <c r="C683" i="12" s="1"/>
  <c r="C738" i="12" s="1"/>
  <c r="C793" i="12" s="1"/>
  <c r="C848" i="12" s="1"/>
  <c r="C903" i="12" s="1"/>
  <c r="C958" i="12" s="1"/>
  <c r="C1013" i="12" s="1"/>
  <c r="C1068" i="12" s="1"/>
  <c r="C1123" i="12" s="1"/>
  <c r="C1178" i="12" s="1"/>
  <c r="C1233" i="12" s="1"/>
  <c r="C1288" i="12" s="1"/>
  <c r="C1343" i="12" s="1"/>
  <c r="C1398" i="12" s="1"/>
  <c r="C1453" i="12" s="1"/>
  <c r="C1508" i="12" s="1"/>
  <c r="C1563" i="12" s="1"/>
  <c r="C1618" i="12" s="1"/>
  <c r="C1673" i="12" s="1"/>
  <c r="C1728" i="12" s="1"/>
  <c r="C1783" i="12" s="1"/>
  <c r="C1838" i="12" s="1"/>
  <c r="C1893" i="12" s="1"/>
  <c r="C1948" i="12" s="1"/>
  <c r="C2003" i="12" s="1"/>
  <c r="C2058" i="12" s="1"/>
  <c r="C2113" i="12" s="1"/>
  <c r="C2168" i="12" s="1"/>
  <c r="C2223" i="12" s="1"/>
  <c r="D34" i="13"/>
  <c r="F34" i="13" s="1"/>
  <c r="C47" i="30"/>
  <c r="C25" i="19" s="1"/>
  <c r="B25" i="19"/>
  <c r="C19" i="30"/>
  <c r="D35" i="21"/>
  <c r="C92" i="21"/>
  <c r="C148" i="21"/>
  <c r="C203" i="21" s="1"/>
  <c r="D67" i="34"/>
  <c r="D124" i="34" s="1"/>
  <c r="G158" i="34"/>
  <c r="G159" i="34"/>
  <c r="G160" i="34"/>
  <c r="G161" i="34"/>
  <c r="G163" i="34"/>
  <c r="G164" i="34"/>
  <c r="G165" i="34"/>
  <c r="G166" i="34"/>
  <c r="G152" i="34"/>
  <c r="C162" i="34"/>
  <c r="C157" i="34"/>
  <c r="B136" i="34"/>
  <c r="B137" i="34"/>
  <c r="B138" i="34" s="1"/>
  <c r="B139" i="34"/>
  <c r="B140" i="34" s="1"/>
  <c r="B141" i="34" s="1"/>
  <c r="B142" i="34" s="1"/>
  <c r="B143" i="34" s="1"/>
  <c r="B144" i="34" s="1"/>
  <c r="B145" i="34" s="1"/>
  <c r="B146" i="34" s="1"/>
  <c r="C128" i="34"/>
  <c r="C127" i="34"/>
  <c r="G101" i="34"/>
  <c r="G102" i="34"/>
  <c r="G103" i="34"/>
  <c r="G104" i="34"/>
  <c r="G106" i="34"/>
  <c r="G107" i="34"/>
  <c r="G108" i="34"/>
  <c r="G109" i="34"/>
  <c r="G95" i="34"/>
  <c r="C105" i="34"/>
  <c r="C100" i="34"/>
  <c r="B79" i="34"/>
  <c r="B80" i="34"/>
  <c r="B81" i="34" s="1"/>
  <c r="B82" i="34" s="1"/>
  <c r="B83" i="34" s="1"/>
  <c r="B84" i="34" s="1"/>
  <c r="B85" i="34" s="1"/>
  <c r="B86" i="34" s="1"/>
  <c r="B87" i="34" s="1"/>
  <c r="B88" i="34" s="1"/>
  <c r="B89" i="34" s="1"/>
  <c r="C71" i="34"/>
  <c r="C70" i="34"/>
  <c r="E44" i="34"/>
  <c r="G44" i="34"/>
  <c r="E45" i="34"/>
  <c r="G45" i="34"/>
  <c r="E46" i="34"/>
  <c r="G46" i="34"/>
  <c r="E47" i="34"/>
  <c r="G47" i="34"/>
  <c r="E49" i="34"/>
  <c r="G49" i="34"/>
  <c r="E50" i="34"/>
  <c r="G50" i="34"/>
  <c r="E51" i="34"/>
  <c r="G51" i="34"/>
  <c r="E52" i="34"/>
  <c r="G52" i="34"/>
  <c r="G38" i="34"/>
  <c r="C48" i="34"/>
  <c r="C43" i="34"/>
  <c r="B22" i="34"/>
  <c r="B23" i="34"/>
  <c r="B24" i="34" s="1"/>
  <c r="B25" i="34"/>
  <c r="B26" i="34" s="1"/>
  <c r="B27" i="34" s="1"/>
  <c r="B28" i="34" s="1"/>
  <c r="B29" i="34" s="1"/>
  <c r="B30" i="34" s="1"/>
  <c r="B31" i="34" s="1"/>
  <c r="B32" i="34" s="1"/>
  <c r="C14" i="34"/>
  <c r="C13" i="34"/>
  <c r="F117" i="31"/>
  <c r="F116" i="31"/>
  <c r="F118" i="31"/>
  <c r="E181" i="16" s="1"/>
  <c r="F181" i="16" s="1"/>
  <c r="F121" i="31"/>
  <c r="E180" i="16"/>
  <c r="F180" i="16" s="1"/>
  <c r="F136" i="31"/>
  <c r="E31" i="23" s="1"/>
  <c r="F31" i="23" s="1"/>
  <c r="F155" i="31"/>
  <c r="F11" i="31"/>
  <c r="F20" i="15" s="1"/>
  <c r="G20" i="15"/>
  <c r="F59" i="31"/>
  <c r="F83" i="31"/>
  <c r="F75" i="31"/>
  <c r="F21" i="9"/>
  <c r="F70" i="9" s="1"/>
  <c r="F119" i="9" s="1"/>
  <c r="F168" i="9" s="1"/>
  <c r="F217" i="9" s="1"/>
  <c r="F266" i="9" s="1"/>
  <c r="F315" i="9" s="1"/>
  <c r="F364" i="9" s="1"/>
  <c r="F413" i="9" s="1"/>
  <c r="F462" i="9" s="1"/>
  <c r="F511" i="9" s="1"/>
  <c r="F560" i="9" s="1"/>
  <c r="F609" i="9" s="1"/>
  <c r="F658" i="9" s="1"/>
  <c r="F707" i="9" s="1"/>
  <c r="F756" i="9" s="1"/>
  <c r="F805" i="9" s="1"/>
  <c r="F854" i="9" s="1"/>
  <c r="F903" i="9" s="1"/>
  <c r="F952" i="9" s="1"/>
  <c r="F1001" i="9" s="1"/>
  <c r="F1050" i="9" s="1"/>
  <c r="F1099" i="9" s="1"/>
  <c r="F1148" i="9" s="1"/>
  <c r="F1197" i="9" s="1"/>
  <c r="F1246" i="9" s="1"/>
  <c r="F1295" i="9" s="1"/>
  <c r="F93" i="31"/>
  <c r="F79" i="17"/>
  <c r="G79" i="17" s="1"/>
  <c r="F25" i="17"/>
  <c r="G25" i="17" s="1"/>
  <c r="F96" i="31"/>
  <c r="F102" i="31"/>
  <c r="F113" i="31"/>
  <c r="F111" i="31"/>
  <c r="F119" i="31"/>
  <c r="F129" i="31"/>
  <c r="F127" i="31"/>
  <c r="F142" i="31"/>
  <c r="F182" i="31"/>
  <c r="F179" i="31"/>
  <c r="F172" i="31"/>
  <c r="F153" i="31"/>
  <c r="F166" i="31"/>
  <c r="F171" i="31"/>
  <c r="F169" i="31"/>
  <c r="F162" i="31"/>
  <c r="F160" i="31"/>
  <c r="F159" i="31"/>
  <c r="F107" i="31"/>
  <c r="F141" i="21" s="1"/>
  <c r="G141" i="21"/>
  <c r="F105" i="31"/>
  <c r="F77" i="15"/>
  <c r="G77" i="15" s="1"/>
  <c r="F87" i="31"/>
  <c r="E26" i="28"/>
  <c r="F26" i="28"/>
  <c r="E24" i="28"/>
  <c r="F24" i="28"/>
  <c r="E23" i="28"/>
  <c r="F23" i="28"/>
  <c r="E20" i="28"/>
  <c r="F20" i="28"/>
  <c r="F134" i="17"/>
  <c r="G134" i="17"/>
  <c r="F81" i="17"/>
  <c r="G81" i="17"/>
  <c r="F76" i="17"/>
  <c r="G76" i="17"/>
  <c r="F75" i="17"/>
  <c r="G75" i="17"/>
  <c r="F74" i="17"/>
  <c r="G74" i="17"/>
  <c r="F27" i="17"/>
  <c r="G27" i="17"/>
  <c r="F26" i="17"/>
  <c r="G26" i="17"/>
  <c r="F22" i="17"/>
  <c r="G22" i="17"/>
  <c r="F21" i="17"/>
  <c r="G21" i="17"/>
  <c r="F20" i="17"/>
  <c r="G20" i="17"/>
  <c r="F7" i="31"/>
  <c r="F487" i="15"/>
  <c r="G487" i="15" s="1"/>
  <c r="C14" i="30"/>
  <c r="D718" i="9" s="1"/>
  <c r="C1617" i="14"/>
  <c r="C1393" i="14"/>
  <c r="C1337" i="14"/>
  <c r="E33" i="15"/>
  <c r="C49" i="30"/>
  <c r="C40" i="30"/>
  <c r="C38" i="30"/>
  <c r="C16" i="30"/>
  <c r="C4" i="30"/>
  <c r="C3" i="30"/>
  <c r="F79" i="15"/>
  <c r="F27" i="15"/>
  <c r="E27" i="15"/>
  <c r="F176" i="31"/>
  <c r="E22" i="28" s="1"/>
  <c r="F22" i="28"/>
  <c r="F170" i="31"/>
  <c r="F165" i="31"/>
  <c r="F163" i="31"/>
  <c r="E22" i="20"/>
  <c r="F22" i="20" s="1"/>
  <c r="F150" i="31"/>
  <c r="E23" i="20" s="1"/>
  <c r="F23" i="20"/>
  <c r="F143" i="31"/>
  <c r="F25" i="9"/>
  <c r="F74" i="9" s="1"/>
  <c r="F123" i="9" s="1"/>
  <c r="F172" i="9" s="1"/>
  <c r="F221" i="9" s="1"/>
  <c r="F270" i="9" s="1"/>
  <c r="F319" i="9" s="1"/>
  <c r="F368" i="9" s="1"/>
  <c r="F417" i="9" s="1"/>
  <c r="F466" i="9" s="1"/>
  <c r="F515" i="9" s="1"/>
  <c r="F564" i="9" s="1"/>
  <c r="F613" i="9" s="1"/>
  <c r="F662" i="9" s="1"/>
  <c r="F711" i="9" s="1"/>
  <c r="F760" i="9" s="1"/>
  <c r="F809" i="9" s="1"/>
  <c r="F858" i="9" s="1"/>
  <c r="F907" i="9" s="1"/>
  <c r="F956" i="9" s="1"/>
  <c r="F1005" i="9" s="1"/>
  <c r="F1054" i="9" s="1"/>
  <c r="F1103" i="9" s="1"/>
  <c r="F1152" i="9" s="1"/>
  <c r="F1201" i="9" s="1"/>
  <c r="F1250" i="9" s="1"/>
  <c r="F1299" i="9" s="1"/>
  <c r="F135" i="31"/>
  <c r="F132" i="31"/>
  <c r="E32" i="23" s="1"/>
  <c r="F32" i="23"/>
  <c r="E30" i="23"/>
  <c r="F30" i="23"/>
  <c r="F124" i="31"/>
  <c r="F110" i="31"/>
  <c r="F100" i="31"/>
  <c r="F80" i="17"/>
  <c r="G80" i="17" s="1"/>
  <c r="F92" i="31"/>
  <c r="F89" i="31"/>
  <c r="F84" i="31"/>
  <c r="F80" i="31"/>
  <c r="F68" i="31"/>
  <c r="F38" i="31"/>
  <c r="F15" i="31"/>
  <c r="F442" i="15"/>
  <c r="G442" i="15"/>
  <c r="F22" i="18"/>
  <c r="AB28" i="11"/>
  <c r="F21" i="18"/>
  <c r="AB27" i="11" s="1"/>
  <c r="F20" i="18"/>
  <c r="AB26" i="11"/>
  <c r="F19" i="18"/>
  <c r="AB25" i="11"/>
  <c r="F18" i="18"/>
  <c r="AB24" i="11"/>
  <c r="F17" i="18"/>
  <c r="AB23" i="11" s="1"/>
  <c r="F16" i="18"/>
  <c r="AB22" i="11" s="1"/>
  <c r="F15" i="18"/>
  <c r="F14" i="18"/>
  <c r="AB19" i="11"/>
  <c r="F13" i="18"/>
  <c r="AB18" i="11"/>
  <c r="F12" i="18"/>
  <c r="F11" i="18"/>
  <c r="AB15" i="11" s="1"/>
  <c r="F10" i="18"/>
  <c r="F9" i="18"/>
  <c r="AB12" i="11"/>
  <c r="F8" i="18"/>
  <c r="AB11" i="11"/>
  <c r="F7" i="18"/>
  <c r="AB10" i="11"/>
  <c r="F6" i="18"/>
  <c r="AB8" i="11"/>
  <c r="F5" i="18"/>
  <c r="AB6" i="11"/>
  <c r="F4" i="18"/>
  <c r="AB4" i="11"/>
  <c r="C10" i="21"/>
  <c r="C9" i="21"/>
  <c r="C66" i="21" s="1"/>
  <c r="E203" i="21"/>
  <c r="G203" i="21"/>
  <c r="E209" i="21"/>
  <c r="G209" i="21"/>
  <c r="E210" i="21"/>
  <c r="G210" i="21"/>
  <c r="E211" i="21"/>
  <c r="G211" i="21"/>
  <c r="E212" i="21"/>
  <c r="G212" i="21"/>
  <c r="E214" i="21"/>
  <c r="G214" i="21"/>
  <c r="E215" i="21"/>
  <c r="G215" i="21"/>
  <c r="E216" i="21"/>
  <c r="G216" i="21"/>
  <c r="E217" i="21"/>
  <c r="G217" i="21"/>
  <c r="G9" i="21"/>
  <c r="G66" i="21" s="1"/>
  <c r="G122" i="21" s="1"/>
  <c r="G177" i="21" s="1"/>
  <c r="F66" i="21"/>
  <c r="F122" i="21" s="1"/>
  <c r="F177" i="21" s="1"/>
  <c r="D66" i="21"/>
  <c r="C9" i="12"/>
  <c r="C64" i="12" s="1"/>
  <c r="C8" i="12"/>
  <c r="C63" i="12" s="1"/>
  <c r="E140" i="17"/>
  <c r="G140" i="17"/>
  <c r="E146" i="17"/>
  <c r="G146" i="17"/>
  <c r="E147" i="17"/>
  <c r="G147" i="17"/>
  <c r="E148" i="17"/>
  <c r="G148" i="17"/>
  <c r="E149" i="17"/>
  <c r="G149" i="17"/>
  <c r="E151" i="17"/>
  <c r="G151" i="17"/>
  <c r="E152" i="17"/>
  <c r="G152" i="17"/>
  <c r="E153" i="17"/>
  <c r="G153" i="17"/>
  <c r="E154" i="17"/>
  <c r="G154" i="17"/>
  <c r="G78" i="17"/>
  <c r="E87" i="17"/>
  <c r="G87" i="17"/>
  <c r="E93" i="17"/>
  <c r="F93" i="17"/>
  <c r="H93" i="17" s="1"/>
  <c r="G93" i="17"/>
  <c r="E94" i="17"/>
  <c r="F94" i="17"/>
  <c r="H94" i="17" s="1"/>
  <c r="J290" i="11" s="1"/>
  <c r="K209" i="29" s="1"/>
  <c r="G94" i="17"/>
  <c r="E95" i="17"/>
  <c r="F95" i="17"/>
  <c r="G95" i="17"/>
  <c r="E96" i="17"/>
  <c r="F96" i="17" s="1"/>
  <c r="H96" i="17" s="1"/>
  <c r="G96" i="17"/>
  <c r="E98" i="17"/>
  <c r="F98" i="17"/>
  <c r="H98" i="17" s="1"/>
  <c r="G98" i="17"/>
  <c r="E99" i="17"/>
  <c r="F99" i="17"/>
  <c r="H99" i="17" s="1"/>
  <c r="G99" i="17"/>
  <c r="E100" i="17"/>
  <c r="F100" i="17"/>
  <c r="G100" i="17"/>
  <c r="E101" i="17"/>
  <c r="F101" i="17" s="1"/>
  <c r="H101" i="17" s="1"/>
  <c r="G101" i="17"/>
  <c r="E33" i="17"/>
  <c r="E39" i="17"/>
  <c r="G39" i="17"/>
  <c r="E40" i="17"/>
  <c r="G40" i="17"/>
  <c r="E41" i="17"/>
  <c r="G41" i="17"/>
  <c r="E42" i="17"/>
  <c r="G42" i="17"/>
  <c r="E44" i="17"/>
  <c r="G44" i="17"/>
  <c r="E45" i="17"/>
  <c r="G45" i="17"/>
  <c r="E46" i="17"/>
  <c r="G46" i="17"/>
  <c r="E47" i="17"/>
  <c r="G47" i="17"/>
  <c r="C70" i="14"/>
  <c r="C127" i="14"/>
  <c r="C69" i="14"/>
  <c r="F8" i="1"/>
  <c r="G9" i="17" s="1"/>
  <c r="F9" i="1"/>
  <c r="G269" i="15" s="1"/>
  <c r="F10" i="1"/>
  <c r="F11" i="1"/>
  <c r="G217" i="15"/>
  <c r="F12" i="1"/>
  <c r="G165" i="15"/>
  <c r="F13" i="1"/>
  <c r="F14" i="1"/>
  <c r="F15" i="1"/>
  <c r="G61" i="15"/>
  <c r="F16" i="1"/>
  <c r="F17" i="1"/>
  <c r="F321" i="15"/>
  <c r="F630" i="15"/>
  <c r="F18" i="1"/>
  <c r="G321" i="15"/>
  <c r="G630" i="15" s="1"/>
  <c r="F19" i="1"/>
  <c r="G526" i="15" s="1"/>
  <c r="F20" i="1"/>
  <c r="F21" i="1"/>
  <c r="G578" i="15"/>
  <c r="F22" i="1"/>
  <c r="G8" i="12"/>
  <c r="G63" i="12" s="1"/>
  <c r="G118" i="12" s="1"/>
  <c r="G173" i="12" s="1"/>
  <c r="G228" i="12" s="1"/>
  <c r="G283" i="12" s="1"/>
  <c r="G338" i="12" s="1"/>
  <c r="G393" i="12" s="1"/>
  <c r="G448" i="12" s="1"/>
  <c r="G503" i="12" s="1"/>
  <c r="G558" i="12" s="1"/>
  <c r="G613" i="12" s="1"/>
  <c r="G668" i="12" s="1"/>
  <c r="G723" i="12" s="1"/>
  <c r="G778" i="12" s="1"/>
  <c r="G833" i="12" s="1"/>
  <c r="G888" i="12" s="1"/>
  <c r="G943" i="12" s="1"/>
  <c r="G998" i="12" s="1"/>
  <c r="G1053" i="12" s="1"/>
  <c r="G1108" i="12" s="1"/>
  <c r="G1163" i="12" s="1"/>
  <c r="G1218" i="12" s="1"/>
  <c r="G1273" i="12" s="1"/>
  <c r="G1328" i="12" s="1"/>
  <c r="G1383" i="12" s="1"/>
  <c r="G1438" i="12" s="1"/>
  <c r="G1493" i="12" s="1"/>
  <c r="G1548" i="12" s="1"/>
  <c r="G1603" i="12" s="1"/>
  <c r="G1658" i="12" s="1"/>
  <c r="G1713" i="12" s="1"/>
  <c r="G1768" i="12" s="1"/>
  <c r="G1823" i="12" s="1"/>
  <c r="G1878" i="12" s="1"/>
  <c r="G1933" i="12" s="1"/>
  <c r="G1988" i="12" s="1"/>
  <c r="F23" i="1"/>
  <c r="F24" i="1"/>
  <c r="G9" i="34" s="1"/>
  <c r="G66" i="34" s="1"/>
  <c r="G123" i="34" s="1"/>
  <c r="F25" i="1"/>
  <c r="G374" i="15" s="1"/>
  <c r="H374" i="15" s="1"/>
  <c r="J374" i="15" s="1"/>
  <c r="D378" i="15" s="1"/>
  <c r="F378" i="15" s="1"/>
  <c r="F26" i="1"/>
  <c r="F8" i="16" s="1"/>
  <c r="F61" i="16" s="1"/>
  <c r="F27" i="1"/>
  <c r="F28" i="1"/>
  <c r="F4" i="1"/>
  <c r="F5" i="1"/>
  <c r="F6" i="1"/>
  <c r="F62" i="10"/>
  <c r="C1286" i="9"/>
  <c r="C1237" i="9"/>
  <c r="C1188" i="9"/>
  <c r="C1139" i="9"/>
  <c r="C1090" i="9"/>
  <c r="C1041" i="9"/>
  <c r="C992" i="9"/>
  <c r="C943" i="9"/>
  <c r="C747" i="9"/>
  <c r="C772" i="9"/>
  <c r="C796" i="9"/>
  <c r="C845" i="9"/>
  <c r="C870" i="9" s="1"/>
  <c r="C894" i="9"/>
  <c r="C698" i="9"/>
  <c r="C649" i="9"/>
  <c r="C600" i="9"/>
  <c r="C551" i="9"/>
  <c r="C502" i="9"/>
  <c r="C453" i="9"/>
  <c r="C404" i="9"/>
  <c r="C355" i="9"/>
  <c r="C306" i="9"/>
  <c r="C257" i="9"/>
  <c r="C208" i="9"/>
  <c r="C159" i="9"/>
  <c r="C58" i="9"/>
  <c r="C61" i="9"/>
  <c r="C86" i="9" s="1"/>
  <c r="C110" i="9"/>
  <c r="C12" i="9"/>
  <c r="D49" i="1"/>
  <c r="G49" i="1" s="1"/>
  <c r="I49" i="1" s="1"/>
  <c r="F49" i="1"/>
  <c r="C39" i="13"/>
  <c r="F53" i="1"/>
  <c r="G117" i="17"/>
  <c r="F52" i="1"/>
  <c r="G10" i="17"/>
  <c r="G64" i="17" s="1"/>
  <c r="D52" i="1"/>
  <c r="E10" i="17" s="1"/>
  <c r="E64" i="17" s="1"/>
  <c r="C62" i="13"/>
  <c r="C115" i="13"/>
  <c r="C63" i="13"/>
  <c r="E10" i="28"/>
  <c r="F10" i="28" s="1"/>
  <c r="C10" i="28"/>
  <c r="D10" i="28" s="1"/>
  <c r="E27" i="28"/>
  <c r="E6" i="5"/>
  <c r="E7" i="5"/>
  <c r="E8" i="5" s="1"/>
  <c r="C33" i="1"/>
  <c r="C34" i="1" s="1"/>
  <c r="E33" i="1"/>
  <c r="E34" i="1" s="1"/>
  <c r="E35" i="1" s="1"/>
  <c r="F10" i="21" s="1"/>
  <c r="D321" i="15"/>
  <c r="D27" i="10"/>
  <c r="D293" i="15"/>
  <c r="D346" i="15" s="1"/>
  <c r="F7" i="1"/>
  <c r="F37" i="1"/>
  <c r="F38" i="1"/>
  <c r="F39" i="1"/>
  <c r="F40" i="1"/>
  <c r="F41" i="1"/>
  <c r="G9" i="12"/>
  <c r="G64" i="12" s="1"/>
  <c r="F42" i="1"/>
  <c r="F43" i="1"/>
  <c r="G10" i="34"/>
  <c r="F44" i="1"/>
  <c r="F9" i="16"/>
  <c r="F62" i="16" s="1"/>
  <c r="F114" i="16" s="1"/>
  <c r="F45" i="1"/>
  <c r="F46" i="1"/>
  <c r="F47" i="1"/>
  <c r="F48" i="1"/>
  <c r="F32" i="1"/>
  <c r="G7" i="3"/>
  <c r="F47" i="28"/>
  <c r="D47" i="28"/>
  <c r="F46" i="28"/>
  <c r="D46" i="28"/>
  <c r="F45" i="28"/>
  <c r="D45" i="28"/>
  <c r="F44" i="28"/>
  <c r="D44" i="28"/>
  <c r="B43" i="28"/>
  <c r="F33" i="28"/>
  <c r="G33" i="28" s="1"/>
  <c r="E30" i="28" s="1"/>
  <c r="G371" i="11" s="1"/>
  <c r="D33" i="28"/>
  <c r="D27" i="28"/>
  <c r="F27" i="28"/>
  <c r="B14" i="28"/>
  <c r="E2428" i="13"/>
  <c r="G2428" i="13"/>
  <c r="E2429" i="13"/>
  <c r="G2429" i="13"/>
  <c r="E2430" i="13"/>
  <c r="G2430" i="13"/>
  <c r="E2431" i="13"/>
  <c r="G2431" i="13"/>
  <c r="E2433" i="13"/>
  <c r="G2433" i="13"/>
  <c r="E2434" i="13"/>
  <c r="G2434" i="13"/>
  <c r="E2435" i="13"/>
  <c r="G2435" i="13"/>
  <c r="E2436" i="13"/>
  <c r="G2436" i="13"/>
  <c r="G2422" i="13"/>
  <c r="E2374" i="13"/>
  <c r="G2374" i="13"/>
  <c r="E2375" i="13"/>
  <c r="G2375" i="13"/>
  <c r="E2376" i="13"/>
  <c r="G2376" i="13"/>
  <c r="E2377" i="13"/>
  <c r="G2377" i="13"/>
  <c r="E2379" i="13"/>
  <c r="G2379" i="13"/>
  <c r="E2380" i="13"/>
  <c r="G2380" i="13"/>
  <c r="E2381" i="13"/>
  <c r="G2381" i="13"/>
  <c r="E2382" i="13"/>
  <c r="G2382" i="13"/>
  <c r="G2368" i="13"/>
  <c r="E2262" i="13"/>
  <c r="G2262" i="13"/>
  <c r="E2263" i="13"/>
  <c r="G2263" i="13"/>
  <c r="E2264" i="13"/>
  <c r="G2264" i="13"/>
  <c r="E2265" i="13"/>
  <c r="G2265" i="13"/>
  <c r="E2267" i="13"/>
  <c r="G2267" i="13"/>
  <c r="E2268" i="13"/>
  <c r="G2268" i="13"/>
  <c r="E2269" i="13"/>
  <c r="G2269" i="13"/>
  <c r="E2270" i="13"/>
  <c r="G2270" i="13"/>
  <c r="G2256" i="13"/>
  <c r="E2207" i="13"/>
  <c r="G2207" i="13"/>
  <c r="E2208" i="13"/>
  <c r="G2208" i="13"/>
  <c r="E2209" i="13"/>
  <c r="G2209" i="13"/>
  <c r="E2210" i="13"/>
  <c r="G2210" i="13"/>
  <c r="E2212" i="13"/>
  <c r="G2212" i="13"/>
  <c r="E2213" i="13"/>
  <c r="G2213" i="13"/>
  <c r="E2214" i="13"/>
  <c r="G2214" i="13"/>
  <c r="E2215" i="13"/>
  <c r="G2215" i="13"/>
  <c r="G2201" i="13"/>
  <c r="E2152" i="13"/>
  <c r="G2152" i="13"/>
  <c r="E2153" i="13"/>
  <c r="G2153" i="13"/>
  <c r="E2154" i="13"/>
  <c r="G2154" i="13"/>
  <c r="E2155" i="13"/>
  <c r="G2155" i="13"/>
  <c r="E2157" i="13"/>
  <c r="G2157" i="13"/>
  <c r="E2158" i="13"/>
  <c r="G2158" i="13"/>
  <c r="E2159" i="13"/>
  <c r="G2159" i="13"/>
  <c r="E2160" i="13"/>
  <c r="G2160" i="13"/>
  <c r="G2146" i="13"/>
  <c r="E2098" i="13"/>
  <c r="G2098" i="13"/>
  <c r="E2099" i="13"/>
  <c r="G2099" i="13"/>
  <c r="E2100" i="13"/>
  <c r="G2100" i="13"/>
  <c r="E2101" i="13"/>
  <c r="G2101" i="13"/>
  <c r="E2103" i="13"/>
  <c r="G2103" i="13"/>
  <c r="E2104" i="13"/>
  <c r="G2104" i="13"/>
  <c r="E2105" i="13"/>
  <c r="G2105" i="13"/>
  <c r="E2106" i="13"/>
  <c r="G2106" i="13"/>
  <c r="G2092" i="13"/>
  <c r="E1991" i="13"/>
  <c r="G1991" i="13"/>
  <c r="E1992" i="13"/>
  <c r="G1992" i="13"/>
  <c r="E1993" i="13"/>
  <c r="G1993" i="13"/>
  <c r="E1994" i="13"/>
  <c r="G1994" i="13"/>
  <c r="E1996" i="13"/>
  <c r="G1996" i="13"/>
  <c r="E1997" i="13"/>
  <c r="G1997" i="13"/>
  <c r="E1998" i="13"/>
  <c r="G1998" i="13"/>
  <c r="E1999" i="13"/>
  <c r="G1999" i="13"/>
  <c r="G1985" i="13"/>
  <c r="E1936" i="13"/>
  <c r="G1936" i="13"/>
  <c r="E1937" i="13"/>
  <c r="G1937" i="13"/>
  <c r="E1938" i="13"/>
  <c r="G1938" i="13"/>
  <c r="E1939" i="13"/>
  <c r="G1939" i="13"/>
  <c r="E1941" i="13"/>
  <c r="G1941" i="13"/>
  <c r="E1942" i="13"/>
  <c r="G1942" i="13"/>
  <c r="E1943" i="13"/>
  <c r="G1943" i="13"/>
  <c r="E1944" i="13"/>
  <c r="G1944" i="13"/>
  <c r="G1930" i="13"/>
  <c r="E1606" i="13"/>
  <c r="G1606" i="13"/>
  <c r="E1607" i="13"/>
  <c r="G1607" i="13"/>
  <c r="E1608" i="13"/>
  <c r="G1608" i="13"/>
  <c r="E1609" i="13"/>
  <c r="G1609" i="13"/>
  <c r="E1611" i="13"/>
  <c r="G1611" i="13"/>
  <c r="E1612" i="13"/>
  <c r="G1612" i="13"/>
  <c r="E1613" i="13"/>
  <c r="G1613" i="13"/>
  <c r="E1614" i="13"/>
  <c r="G1614" i="13"/>
  <c r="G1600" i="13"/>
  <c r="E1497" i="13"/>
  <c r="G1497" i="13"/>
  <c r="E1498" i="13"/>
  <c r="G1498" i="13"/>
  <c r="E1499" i="13"/>
  <c r="G1499" i="13"/>
  <c r="E1500" i="13"/>
  <c r="G1500" i="13"/>
  <c r="E1502" i="13"/>
  <c r="G1502" i="13"/>
  <c r="E1503" i="13"/>
  <c r="G1503" i="13"/>
  <c r="E1504" i="13"/>
  <c r="G1504" i="13"/>
  <c r="E1505" i="13"/>
  <c r="G1505" i="13"/>
  <c r="G1491" i="13"/>
  <c r="E1386" i="13"/>
  <c r="G1386" i="13"/>
  <c r="E1387" i="13"/>
  <c r="G1387" i="13"/>
  <c r="E1388" i="13"/>
  <c r="G1388" i="13"/>
  <c r="E1389" i="13"/>
  <c r="G1389" i="13"/>
  <c r="E1391" i="13"/>
  <c r="G1391" i="13"/>
  <c r="E1392" i="13"/>
  <c r="G1392" i="13"/>
  <c r="E1393" i="13"/>
  <c r="G1393" i="13"/>
  <c r="E1394" i="13"/>
  <c r="G1394" i="13"/>
  <c r="G1380" i="13"/>
  <c r="G1436" i="13" s="1"/>
  <c r="E305" i="13"/>
  <c r="G305" i="13"/>
  <c r="E306" i="13"/>
  <c r="G306" i="13"/>
  <c r="E307" i="13"/>
  <c r="G307" i="13"/>
  <c r="E308" i="13"/>
  <c r="G308" i="13"/>
  <c r="E310" i="13"/>
  <c r="G310" i="13"/>
  <c r="E311" i="13"/>
  <c r="G311" i="13"/>
  <c r="E312" i="13"/>
  <c r="G312" i="13"/>
  <c r="E313" i="13"/>
  <c r="G313" i="13"/>
  <c r="G299" i="13"/>
  <c r="E199" i="13"/>
  <c r="G199" i="13"/>
  <c r="E200" i="13"/>
  <c r="G200" i="13"/>
  <c r="E201" i="13"/>
  <c r="G201" i="13"/>
  <c r="E202" i="13"/>
  <c r="G202" i="13"/>
  <c r="E204" i="13"/>
  <c r="G204" i="13"/>
  <c r="E205" i="13"/>
  <c r="G205" i="13"/>
  <c r="E206" i="13"/>
  <c r="G206" i="13"/>
  <c r="E207" i="13"/>
  <c r="G207" i="13"/>
  <c r="G193" i="13"/>
  <c r="E146" i="13"/>
  <c r="G146" i="13"/>
  <c r="E147" i="13"/>
  <c r="G147" i="13"/>
  <c r="E148" i="13"/>
  <c r="G148" i="13"/>
  <c r="E149" i="13"/>
  <c r="G149" i="13"/>
  <c r="E151" i="13"/>
  <c r="G151" i="13"/>
  <c r="E152" i="13"/>
  <c r="G152" i="13"/>
  <c r="E153" i="13"/>
  <c r="G153" i="13"/>
  <c r="E154" i="13"/>
  <c r="G154" i="13"/>
  <c r="G140" i="13"/>
  <c r="E93" i="13"/>
  <c r="G93" i="13"/>
  <c r="E94" i="13"/>
  <c r="G94" i="13"/>
  <c r="E95" i="13"/>
  <c r="G95" i="13"/>
  <c r="E96" i="13"/>
  <c r="G96" i="13"/>
  <c r="E98" i="13"/>
  <c r="G98" i="13"/>
  <c r="E99" i="13"/>
  <c r="G99" i="13"/>
  <c r="E100" i="13"/>
  <c r="G100" i="13"/>
  <c r="E101" i="13"/>
  <c r="G101" i="13"/>
  <c r="G87" i="13"/>
  <c r="E40" i="13"/>
  <c r="G40" i="13"/>
  <c r="E41" i="13"/>
  <c r="G41" i="13"/>
  <c r="E42" i="13"/>
  <c r="G42" i="13"/>
  <c r="E43" i="13"/>
  <c r="G43" i="13"/>
  <c r="E45" i="13"/>
  <c r="G45" i="13"/>
  <c r="E46" i="13"/>
  <c r="G46" i="13"/>
  <c r="E47" i="13"/>
  <c r="G47" i="13"/>
  <c r="E48" i="13"/>
  <c r="G48" i="13"/>
  <c r="G34" i="13"/>
  <c r="F19" i="19"/>
  <c r="D558" i="10"/>
  <c r="E558" i="10"/>
  <c r="D570" i="10"/>
  <c r="F570" i="10"/>
  <c r="D571" i="10"/>
  <c r="F571" i="10"/>
  <c r="D572" i="10"/>
  <c r="F572" i="10"/>
  <c r="D573" i="10"/>
  <c r="F573" i="10"/>
  <c r="D575" i="10"/>
  <c r="F575" i="10"/>
  <c r="D576" i="10"/>
  <c r="F576" i="10"/>
  <c r="D577" i="10"/>
  <c r="F577" i="10"/>
  <c r="D578" i="10"/>
  <c r="F578" i="10"/>
  <c r="D564" i="10"/>
  <c r="F564" i="10"/>
  <c r="D505" i="10"/>
  <c r="F505" i="10" s="1"/>
  <c r="E505" i="10"/>
  <c r="D517" i="10"/>
  <c r="F517" i="10"/>
  <c r="D518" i="10"/>
  <c r="F518" i="10"/>
  <c r="D519" i="10"/>
  <c r="F519" i="10"/>
  <c r="D520" i="10"/>
  <c r="F520" i="10"/>
  <c r="D522" i="10"/>
  <c r="F522" i="10"/>
  <c r="D523" i="10"/>
  <c r="F523" i="10"/>
  <c r="D524" i="10"/>
  <c r="F524" i="10"/>
  <c r="D525" i="10"/>
  <c r="F525" i="10"/>
  <c r="D511" i="10"/>
  <c r="F511" i="10"/>
  <c r="D452" i="10"/>
  <c r="E452" i="10"/>
  <c r="D464" i="10"/>
  <c r="F464" i="10"/>
  <c r="D465" i="10"/>
  <c r="F465" i="10"/>
  <c r="D466" i="10"/>
  <c r="F466" i="10"/>
  <c r="D467" i="10"/>
  <c r="F467" i="10"/>
  <c r="D469" i="10"/>
  <c r="F469" i="10"/>
  <c r="D470" i="10"/>
  <c r="F470" i="10"/>
  <c r="D471" i="10"/>
  <c r="F471" i="10"/>
  <c r="D472" i="10"/>
  <c r="F472" i="10"/>
  <c r="D458" i="10"/>
  <c r="F458" i="10"/>
  <c r="D399" i="10"/>
  <c r="E399" i="10"/>
  <c r="D411" i="10"/>
  <c r="F411" i="10"/>
  <c r="D412" i="10"/>
  <c r="F412" i="10"/>
  <c r="D413" i="10"/>
  <c r="F413" i="10"/>
  <c r="D414" i="10"/>
  <c r="F414" i="10"/>
  <c r="D416" i="10"/>
  <c r="F416" i="10"/>
  <c r="D417" i="10"/>
  <c r="F417" i="10"/>
  <c r="D418" i="10"/>
  <c r="F418" i="10"/>
  <c r="D419" i="10"/>
  <c r="F419" i="10"/>
  <c r="D405" i="10"/>
  <c r="F405" i="10"/>
  <c r="D346" i="10"/>
  <c r="E346" i="10"/>
  <c r="D358" i="10"/>
  <c r="F358" i="10"/>
  <c r="D359" i="10"/>
  <c r="F359" i="10"/>
  <c r="D360" i="10"/>
  <c r="F360" i="10"/>
  <c r="D361" i="10"/>
  <c r="F361" i="10"/>
  <c r="D363" i="10"/>
  <c r="F363" i="10"/>
  <c r="D364" i="10"/>
  <c r="F364" i="10"/>
  <c r="D365" i="10"/>
  <c r="F365" i="10"/>
  <c r="D366" i="10"/>
  <c r="F366" i="10"/>
  <c r="D352" i="10"/>
  <c r="F352" i="10"/>
  <c r="D292" i="10"/>
  <c r="F292" i="10"/>
  <c r="E292" i="10"/>
  <c r="D304" i="10"/>
  <c r="F304" i="10"/>
  <c r="D305" i="10"/>
  <c r="F305" i="10"/>
  <c r="D306" i="10"/>
  <c r="F306" i="10"/>
  <c r="D307" i="10"/>
  <c r="F307" i="10"/>
  <c r="D309" i="10"/>
  <c r="F309" i="10"/>
  <c r="D310" i="10"/>
  <c r="F310" i="10"/>
  <c r="D311" i="10"/>
  <c r="F311" i="10"/>
  <c r="D312" i="10"/>
  <c r="F312" i="10"/>
  <c r="D298" i="10"/>
  <c r="F298" i="10"/>
  <c r="D239" i="10"/>
  <c r="E239" i="10"/>
  <c r="D251" i="10"/>
  <c r="F251" i="10"/>
  <c r="D252" i="10"/>
  <c r="F252" i="10"/>
  <c r="D253" i="10"/>
  <c r="F253" i="10"/>
  <c r="D254" i="10"/>
  <c r="F254" i="10"/>
  <c r="D256" i="10"/>
  <c r="F256" i="10"/>
  <c r="D257" i="10"/>
  <c r="F257" i="10"/>
  <c r="D258" i="10"/>
  <c r="F258" i="10"/>
  <c r="D259" i="10"/>
  <c r="F259" i="10"/>
  <c r="D245" i="10"/>
  <c r="F245" i="10"/>
  <c r="D186" i="10"/>
  <c r="E186" i="10"/>
  <c r="D198" i="10"/>
  <c r="F198" i="10"/>
  <c r="D199" i="10"/>
  <c r="F199" i="10"/>
  <c r="D200" i="10"/>
  <c r="F200" i="10"/>
  <c r="D201" i="10"/>
  <c r="F201" i="10"/>
  <c r="D203" i="10"/>
  <c r="F203" i="10"/>
  <c r="D204" i="10"/>
  <c r="F204" i="10"/>
  <c r="D205" i="10"/>
  <c r="F205" i="10"/>
  <c r="D206" i="10"/>
  <c r="F206" i="10"/>
  <c r="D192" i="10"/>
  <c r="F192" i="10"/>
  <c r="D133" i="10"/>
  <c r="E133" i="10"/>
  <c r="D145" i="10"/>
  <c r="F145" i="10"/>
  <c r="D146" i="10"/>
  <c r="F146" i="10"/>
  <c r="D147" i="10"/>
  <c r="F147" i="10"/>
  <c r="D148" i="10"/>
  <c r="F148" i="10"/>
  <c r="D150" i="10"/>
  <c r="F150" i="10"/>
  <c r="D151" i="10"/>
  <c r="F151" i="10"/>
  <c r="D152" i="10"/>
  <c r="F152" i="10"/>
  <c r="D153" i="10"/>
  <c r="F153" i="10"/>
  <c r="D139" i="10"/>
  <c r="F139" i="10"/>
  <c r="D80" i="10"/>
  <c r="E80" i="10"/>
  <c r="D92" i="10"/>
  <c r="F92" i="10"/>
  <c r="D93" i="10"/>
  <c r="F93" i="10"/>
  <c r="D94" i="10"/>
  <c r="F94" i="10"/>
  <c r="D95" i="10"/>
  <c r="F95" i="10"/>
  <c r="D97" i="10"/>
  <c r="F97" i="10"/>
  <c r="D98" i="10"/>
  <c r="F98" i="10"/>
  <c r="D99" i="10"/>
  <c r="F99" i="10"/>
  <c r="D100" i="10"/>
  <c r="F100" i="10"/>
  <c r="D86" i="10"/>
  <c r="F86" i="10"/>
  <c r="E27" i="10"/>
  <c r="D39" i="10"/>
  <c r="F39" i="10"/>
  <c r="D40" i="10"/>
  <c r="F40" i="10"/>
  <c r="D41" i="10"/>
  <c r="F41" i="10"/>
  <c r="D42" i="10"/>
  <c r="F42" i="10"/>
  <c r="D44" i="10"/>
  <c r="F44" i="10"/>
  <c r="D45" i="10"/>
  <c r="F45" i="10"/>
  <c r="D46" i="10"/>
  <c r="F46" i="10"/>
  <c r="D47" i="10"/>
  <c r="F47" i="10"/>
  <c r="D33" i="10"/>
  <c r="F33" i="10"/>
  <c r="E148" i="21"/>
  <c r="G148" i="21"/>
  <c r="E154" i="21"/>
  <c r="G154" i="21"/>
  <c r="E155" i="21"/>
  <c r="G155" i="21"/>
  <c r="E156" i="21"/>
  <c r="G156" i="21"/>
  <c r="E157" i="21"/>
  <c r="G157" i="21"/>
  <c r="E159" i="21"/>
  <c r="G159" i="21"/>
  <c r="E160" i="21"/>
  <c r="G160" i="21"/>
  <c r="E161" i="21"/>
  <c r="G161" i="21"/>
  <c r="E162" i="21"/>
  <c r="G162" i="21"/>
  <c r="E92" i="21"/>
  <c r="G92" i="21"/>
  <c r="E98" i="21"/>
  <c r="G98" i="21"/>
  <c r="E99" i="21"/>
  <c r="G99" i="21"/>
  <c r="E100" i="21"/>
  <c r="G100" i="21"/>
  <c r="E101" i="21"/>
  <c r="G101" i="21"/>
  <c r="E103" i="21"/>
  <c r="G103" i="21"/>
  <c r="E104" i="21"/>
  <c r="G104" i="21"/>
  <c r="E105" i="21"/>
  <c r="G105" i="21"/>
  <c r="E106" i="21"/>
  <c r="G106" i="21"/>
  <c r="E35" i="21"/>
  <c r="G35" i="21"/>
  <c r="E41" i="21"/>
  <c r="G41" i="21"/>
  <c r="E42" i="21"/>
  <c r="G42" i="21"/>
  <c r="E43" i="21"/>
  <c r="G43" i="21"/>
  <c r="E44" i="21"/>
  <c r="G44" i="21"/>
  <c r="E46" i="21"/>
  <c r="G46" i="21"/>
  <c r="E47" i="21"/>
  <c r="G47" i="21"/>
  <c r="E48" i="21"/>
  <c r="G48" i="21"/>
  <c r="E49" i="21"/>
  <c r="G49" i="21"/>
  <c r="E1849" i="12"/>
  <c r="G1849" i="12"/>
  <c r="E1855" i="12"/>
  <c r="G1855" i="12"/>
  <c r="E1856" i="12"/>
  <c r="G1856" i="12"/>
  <c r="E1857" i="12"/>
  <c r="G1857" i="12"/>
  <c r="E1858" i="12"/>
  <c r="G1858" i="12"/>
  <c r="E1860" i="12"/>
  <c r="G1860" i="12"/>
  <c r="E1861" i="12"/>
  <c r="G1861" i="12"/>
  <c r="E1862" i="12"/>
  <c r="G1862" i="12"/>
  <c r="E1863" i="12"/>
  <c r="G1863" i="12"/>
  <c r="E1794" i="12"/>
  <c r="G1794" i="12"/>
  <c r="E1800" i="12"/>
  <c r="G1800" i="12"/>
  <c r="E1801" i="12"/>
  <c r="G1801" i="12"/>
  <c r="E1802" i="12"/>
  <c r="G1802" i="12"/>
  <c r="E1803" i="12"/>
  <c r="G1803" i="12"/>
  <c r="E1805" i="12"/>
  <c r="G1805" i="12"/>
  <c r="E1806" i="12"/>
  <c r="G1806" i="12"/>
  <c r="E1807" i="12"/>
  <c r="G1807" i="12"/>
  <c r="E1808" i="12"/>
  <c r="G1808" i="12"/>
  <c r="E1739" i="12"/>
  <c r="G1739" i="12"/>
  <c r="E1745" i="12"/>
  <c r="G1745" i="12"/>
  <c r="E1746" i="12"/>
  <c r="G1746" i="12"/>
  <c r="E1747" i="12"/>
  <c r="G1747" i="12"/>
  <c r="E1748" i="12"/>
  <c r="G1748" i="12"/>
  <c r="E1750" i="12"/>
  <c r="G1750" i="12"/>
  <c r="E1751" i="12"/>
  <c r="G1751" i="12"/>
  <c r="E1752" i="12"/>
  <c r="G1752" i="12"/>
  <c r="E1753" i="12"/>
  <c r="G1753" i="12"/>
  <c r="E1684" i="12"/>
  <c r="G1684" i="12"/>
  <c r="E1690" i="12"/>
  <c r="G1690" i="12"/>
  <c r="E1691" i="12"/>
  <c r="G1691" i="12"/>
  <c r="E1692" i="12"/>
  <c r="G1692" i="12"/>
  <c r="E1693" i="12"/>
  <c r="G1693" i="12"/>
  <c r="E1695" i="12"/>
  <c r="G1695" i="12"/>
  <c r="E1696" i="12"/>
  <c r="G1696" i="12"/>
  <c r="E1697" i="12"/>
  <c r="G1697" i="12"/>
  <c r="E1698" i="12"/>
  <c r="G1698" i="12"/>
  <c r="E1629" i="12"/>
  <c r="G1629" i="12"/>
  <c r="E1635" i="12"/>
  <c r="G1635" i="12"/>
  <c r="E1636" i="12"/>
  <c r="G1636" i="12"/>
  <c r="E1637" i="12"/>
  <c r="G1637" i="12"/>
  <c r="E1638" i="12"/>
  <c r="G1638" i="12"/>
  <c r="E1640" i="12"/>
  <c r="G1640" i="12"/>
  <c r="E1641" i="12"/>
  <c r="G1641" i="12"/>
  <c r="E1642" i="12"/>
  <c r="G1642" i="12"/>
  <c r="E1643" i="12"/>
  <c r="G1643" i="12"/>
  <c r="E1574" i="12"/>
  <c r="G1574" i="12"/>
  <c r="E1580" i="12"/>
  <c r="G1580" i="12"/>
  <c r="E1581" i="12"/>
  <c r="G1581" i="12"/>
  <c r="E1582" i="12"/>
  <c r="G1582" i="12"/>
  <c r="E1583" i="12"/>
  <c r="G1583" i="12"/>
  <c r="E1585" i="12"/>
  <c r="G1585" i="12"/>
  <c r="E1586" i="12"/>
  <c r="G1586" i="12"/>
  <c r="E1587" i="12"/>
  <c r="G1587" i="12"/>
  <c r="E1588" i="12"/>
  <c r="G1588" i="12"/>
  <c r="E1519" i="12"/>
  <c r="G1519" i="12"/>
  <c r="E1525" i="12"/>
  <c r="G1525" i="12"/>
  <c r="E1526" i="12"/>
  <c r="G1526" i="12"/>
  <c r="E1527" i="12"/>
  <c r="G1527" i="12"/>
  <c r="E1528" i="12"/>
  <c r="G1528" i="12"/>
  <c r="E1530" i="12"/>
  <c r="G1530" i="12"/>
  <c r="E1531" i="12"/>
  <c r="G1531" i="12"/>
  <c r="E1532" i="12"/>
  <c r="G1532" i="12"/>
  <c r="E1533" i="12"/>
  <c r="G1533" i="12"/>
  <c r="E1464" i="12"/>
  <c r="G1464" i="12"/>
  <c r="E1470" i="12"/>
  <c r="G1470" i="12"/>
  <c r="E1471" i="12"/>
  <c r="G1471" i="12"/>
  <c r="E1472" i="12"/>
  <c r="G1472" i="12"/>
  <c r="E1473" i="12"/>
  <c r="G1473" i="12"/>
  <c r="E1475" i="12"/>
  <c r="G1475" i="12"/>
  <c r="E1476" i="12"/>
  <c r="G1476" i="12"/>
  <c r="E1477" i="12"/>
  <c r="G1477" i="12"/>
  <c r="E1478" i="12"/>
  <c r="G1478" i="12"/>
  <c r="E1409" i="12"/>
  <c r="G1409" i="12"/>
  <c r="E1415" i="12"/>
  <c r="G1415" i="12"/>
  <c r="E1416" i="12"/>
  <c r="G1416" i="12"/>
  <c r="E1417" i="12"/>
  <c r="G1417" i="12"/>
  <c r="E1418" i="12"/>
  <c r="G1418" i="12"/>
  <c r="E1420" i="12"/>
  <c r="G1420" i="12"/>
  <c r="E1421" i="12"/>
  <c r="G1421" i="12"/>
  <c r="E1422" i="12"/>
  <c r="G1422" i="12"/>
  <c r="E1423" i="12"/>
  <c r="G1423" i="12"/>
  <c r="E1354" i="12"/>
  <c r="G1354" i="12"/>
  <c r="E1360" i="12"/>
  <c r="G1360" i="12"/>
  <c r="E1361" i="12"/>
  <c r="G1361" i="12"/>
  <c r="E1362" i="12"/>
  <c r="G1362" i="12"/>
  <c r="E1363" i="12"/>
  <c r="G1363" i="12"/>
  <c r="E1365" i="12"/>
  <c r="G1365" i="12"/>
  <c r="E1366" i="12"/>
  <c r="G1366" i="12"/>
  <c r="E1367" i="12"/>
  <c r="G1367" i="12"/>
  <c r="E1368" i="12"/>
  <c r="G1368" i="12"/>
  <c r="E1299" i="12"/>
  <c r="G1299" i="12"/>
  <c r="E1305" i="12"/>
  <c r="G1305" i="12"/>
  <c r="E1306" i="12"/>
  <c r="G1306" i="12"/>
  <c r="E1307" i="12"/>
  <c r="G1307" i="12"/>
  <c r="E1308" i="12"/>
  <c r="G1308" i="12"/>
  <c r="E1310" i="12"/>
  <c r="G1310" i="12"/>
  <c r="E1311" i="12"/>
  <c r="G1311" i="12"/>
  <c r="E1312" i="12"/>
  <c r="G1312" i="12"/>
  <c r="E1313" i="12"/>
  <c r="G1313" i="12"/>
  <c r="E1244" i="12"/>
  <c r="G1244" i="12"/>
  <c r="E1250" i="12"/>
  <c r="G1250" i="12"/>
  <c r="E1251" i="12"/>
  <c r="G1251" i="12"/>
  <c r="E1252" i="12"/>
  <c r="G1252" i="12"/>
  <c r="E1253" i="12"/>
  <c r="G1253" i="12"/>
  <c r="E1255" i="12"/>
  <c r="G1255" i="12"/>
  <c r="E1256" i="12"/>
  <c r="G1256" i="12"/>
  <c r="E1257" i="12"/>
  <c r="G1257" i="12"/>
  <c r="E1258" i="12"/>
  <c r="G1258" i="12"/>
  <c r="E1189" i="12"/>
  <c r="G1189" i="12"/>
  <c r="E1195" i="12"/>
  <c r="G1195" i="12"/>
  <c r="E1196" i="12"/>
  <c r="G1196" i="12"/>
  <c r="E1197" i="12"/>
  <c r="G1197" i="12"/>
  <c r="E1198" i="12"/>
  <c r="G1198" i="12"/>
  <c r="E1200" i="12"/>
  <c r="G1200" i="12"/>
  <c r="E1201" i="12"/>
  <c r="G1201" i="12"/>
  <c r="E1202" i="12"/>
  <c r="G1202" i="12"/>
  <c r="E1203" i="12"/>
  <c r="G1203" i="12"/>
  <c r="E1134" i="12"/>
  <c r="G1134" i="12"/>
  <c r="E1140" i="12"/>
  <c r="G1140" i="12"/>
  <c r="E1141" i="12"/>
  <c r="G1141" i="12"/>
  <c r="E1142" i="12"/>
  <c r="G1142" i="12"/>
  <c r="E1143" i="12"/>
  <c r="G1143" i="12"/>
  <c r="E1145" i="12"/>
  <c r="G1145" i="12"/>
  <c r="E1146" i="12"/>
  <c r="G1146" i="12"/>
  <c r="E1147" i="12"/>
  <c r="G1147" i="12"/>
  <c r="E1148" i="12"/>
  <c r="G1148" i="12"/>
  <c r="E1079" i="12"/>
  <c r="G1079" i="12"/>
  <c r="E1085" i="12"/>
  <c r="G1085" i="12"/>
  <c r="E1086" i="12"/>
  <c r="G1086" i="12"/>
  <c r="E1087" i="12"/>
  <c r="G1087" i="12"/>
  <c r="E1088" i="12"/>
  <c r="G1088" i="12"/>
  <c r="E1090" i="12"/>
  <c r="G1090" i="12"/>
  <c r="E1091" i="12"/>
  <c r="G1091" i="12"/>
  <c r="E1092" i="12"/>
  <c r="G1092" i="12"/>
  <c r="E1093" i="12"/>
  <c r="G1093" i="12"/>
  <c r="E1024" i="12"/>
  <c r="G1024" i="12"/>
  <c r="E1030" i="12"/>
  <c r="G1030" i="12"/>
  <c r="E1031" i="12"/>
  <c r="G1031" i="12"/>
  <c r="E1032" i="12"/>
  <c r="G1032" i="12"/>
  <c r="E1033" i="12"/>
  <c r="G1033" i="12"/>
  <c r="E1035" i="12"/>
  <c r="G1035" i="12"/>
  <c r="E1036" i="12"/>
  <c r="G1036" i="12"/>
  <c r="E1037" i="12"/>
  <c r="G1037" i="12"/>
  <c r="E1038" i="12"/>
  <c r="G1038" i="12"/>
  <c r="E969" i="12"/>
  <c r="G969" i="12"/>
  <c r="E975" i="12"/>
  <c r="G975" i="12"/>
  <c r="E976" i="12"/>
  <c r="G976" i="12"/>
  <c r="E977" i="12"/>
  <c r="G977" i="12"/>
  <c r="E978" i="12"/>
  <c r="G978" i="12"/>
  <c r="E980" i="12"/>
  <c r="G980" i="12"/>
  <c r="E981" i="12"/>
  <c r="G981" i="12"/>
  <c r="E982" i="12"/>
  <c r="G982" i="12"/>
  <c r="E983" i="12"/>
  <c r="G983" i="12"/>
  <c r="E914" i="12"/>
  <c r="G914" i="12"/>
  <c r="E920" i="12"/>
  <c r="G920" i="12"/>
  <c r="E921" i="12"/>
  <c r="G921" i="12"/>
  <c r="E922" i="12"/>
  <c r="G922" i="12"/>
  <c r="E923" i="12"/>
  <c r="G923" i="12"/>
  <c r="E925" i="12"/>
  <c r="G925" i="12"/>
  <c r="E926" i="12"/>
  <c r="G926" i="12"/>
  <c r="E927" i="12"/>
  <c r="G927" i="12"/>
  <c r="E928" i="12"/>
  <c r="G928" i="12"/>
  <c r="E859" i="12"/>
  <c r="G859" i="12"/>
  <c r="E865" i="12"/>
  <c r="G865" i="12"/>
  <c r="E866" i="12"/>
  <c r="G866" i="12"/>
  <c r="E867" i="12"/>
  <c r="G867" i="12"/>
  <c r="E868" i="12"/>
  <c r="G868" i="12"/>
  <c r="E870" i="12"/>
  <c r="G870" i="12"/>
  <c r="E871" i="12"/>
  <c r="G871" i="12"/>
  <c r="E872" i="12"/>
  <c r="G872" i="12"/>
  <c r="E873" i="12"/>
  <c r="G873" i="12"/>
  <c r="E804" i="12"/>
  <c r="G804" i="12"/>
  <c r="E810" i="12"/>
  <c r="G810" i="12"/>
  <c r="E811" i="12"/>
  <c r="G811" i="12"/>
  <c r="E812" i="12"/>
  <c r="G812" i="12"/>
  <c r="E813" i="12"/>
  <c r="G813" i="12"/>
  <c r="E815" i="12"/>
  <c r="G815" i="12"/>
  <c r="E816" i="12"/>
  <c r="G816" i="12"/>
  <c r="E817" i="12"/>
  <c r="G817" i="12"/>
  <c r="E818" i="12"/>
  <c r="G818" i="12"/>
  <c r="E749" i="12"/>
  <c r="G749" i="12"/>
  <c r="E755" i="12"/>
  <c r="G755" i="12"/>
  <c r="E756" i="12"/>
  <c r="G756" i="12"/>
  <c r="E757" i="12"/>
  <c r="G757" i="12"/>
  <c r="E758" i="12"/>
  <c r="G758" i="12"/>
  <c r="E760" i="12"/>
  <c r="G760" i="12"/>
  <c r="E761" i="12"/>
  <c r="G761" i="12"/>
  <c r="E762" i="12"/>
  <c r="G762" i="12"/>
  <c r="E763" i="12"/>
  <c r="G763" i="12"/>
  <c r="E694" i="12"/>
  <c r="G694" i="12"/>
  <c r="E700" i="12"/>
  <c r="G700" i="12"/>
  <c r="E701" i="12"/>
  <c r="G701" i="12"/>
  <c r="E702" i="12"/>
  <c r="G702" i="12"/>
  <c r="E703" i="12"/>
  <c r="G703" i="12"/>
  <c r="E705" i="12"/>
  <c r="G705" i="12"/>
  <c r="E706" i="12"/>
  <c r="G706" i="12"/>
  <c r="E707" i="12"/>
  <c r="G707" i="12"/>
  <c r="E708" i="12"/>
  <c r="G708" i="12"/>
  <c r="E639" i="12"/>
  <c r="G639" i="12"/>
  <c r="E645" i="12"/>
  <c r="G645" i="12"/>
  <c r="E646" i="12"/>
  <c r="G646" i="12"/>
  <c r="E647" i="12"/>
  <c r="G647" i="12"/>
  <c r="E648" i="12"/>
  <c r="G648" i="12"/>
  <c r="E650" i="12"/>
  <c r="G650" i="12"/>
  <c r="E651" i="12"/>
  <c r="G651" i="12"/>
  <c r="E652" i="12"/>
  <c r="G652" i="12"/>
  <c r="E653" i="12"/>
  <c r="G653" i="12"/>
  <c r="E584" i="12"/>
  <c r="G584" i="12"/>
  <c r="E590" i="12"/>
  <c r="G590" i="12"/>
  <c r="E591" i="12"/>
  <c r="G591" i="12"/>
  <c r="E592" i="12"/>
  <c r="G592" i="12"/>
  <c r="E593" i="12"/>
  <c r="G593" i="12"/>
  <c r="E595" i="12"/>
  <c r="G595" i="12"/>
  <c r="E596" i="12"/>
  <c r="G596" i="12"/>
  <c r="E597" i="12"/>
  <c r="G597" i="12"/>
  <c r="E598" i="12"/>
  <c r="G598" i="12"/>
  <c r="E529" i="12"/>
  <c r="G529" i="12"/>
  <c r="E535" i="12"/>
  <c r="G535" i="12"/>
  <c r="E536" i="12"/>
  <c r="G536" i="12"/>
  <c r="E537" i="12"/>
  <c r="G537" i="12"/>
  <c r="E538" i="12"/>
  <c r="G538" i="12"/>
  <c r="E540" i="12"/>
  <c r="G540" i="12"/>
  <c r="E541" i="12"/>
  <c r="G541" i="12"/>
  <c r="E542" i="12"/>
  <c r="G542" i="12"/>
  <c r="E543" i="12"/>
  <c r="G543" i="12"/>
  <c r="E474" i="12"/>
  <c r="G474" i="12"/>
  <c r="E480" i="12"/>
  <c r="G480" i="12"/>
  <c r="E481" i="12"/>
  <c r="G481" i="12"/>
  <c r="E482" i="12"/>
  <c r="G482" i="12"/>
  <c r="E483" i="12"/>
  <c r="G483" i="12"/>
  <c r="E485" i="12"/>
  <c r="G485" i="12"/>
  <c r="E486" i="12"/>
  <c r="G486" i="12"/>
  <c r="E487" i="12"/>
  <c r="G487" i="12"/>
  <c r="E488" i="12"/>
  <c r="G488" i="12"/>
  <c r="E419" i="12"/>
  <c r="G419" i="12"/>
  <c r="E425" i="12"/>
  <c r="G425" i="12"/>
  <c r="E426" i="12"/>
  <c r="G426" i="12"/>
  <c r="E427" i="12"/>
  <c r="G427" i="12"/>
  <c r="E428" i="12"/>
  <c r="G428" i="12"/>
  <c r="E430" i="12"/>
  <c r="G430" i="12"/>
  <c r="E431" i="12"/>
  <c r="G431" i="12"/>
  <c r="E432" i="12"/>
  <c r="G432" i="12"/>
  <c r="E433" i="12"/>
  <c r="G433" i="12"/>
  <c r="E364" i="12"/>
  <c r="G364" i="12"/>
  <c r="E370" i="12"/>
  <c r="G370" i="12"/>
  <c r="E371" i="12"/>
  <c r="G371" i="12"/>
  <c r="E372" i="12"/>
  <c r="G372" i="12"/>
  <c r="E373" i="12"/>
  <c r="G373" i="12"/>
  <c r="E375" i="12"/>
  <c r="G375" i="12"/>
  <c r="E376" i="12"/>
  <c r="G376" i="12"/>
  <c r="E377" i="12"/>
  <c r="G377" i="12"/>
  <c r="E378" i="12"/>
  <c r="G378" i="12"/>
  <c r="E309" i="12"/>
  <c r="G309" i="12"/>
  <c r="E315" i="12"/>
  <c r="G315" i="12"/>
  <c r="E316" i="12"/>
  <c r="G316" i="12"/>
  <c r="E317" i="12"/>
  <c r="G317" i="12"/>
  <c r="E318" i="12"/>
  <c r="G318" i="12"/>
  <c r="E320" i="12"/>
  <c r="G320" i="12"/>
  <c r="E321" i="12"/>
  <c r="G321" i="12"/>
  <c r="E322" i="12"/>
  <c r="G322" i="12"/>
  <c r="E323" i="12"/>
  <c r="G323" i="12"/>
  <c r="E254" i="12"/>
  <c r="G254" i="12"/>
  <c r="E260" i="12"/>
  <c r="G260" i="12"/>
  <c r="E261" i="12"/>
  <c r="G261" i="12"/>
  <c r="E262" i="12"/>
  <c r="G262" i="12"/>
  <c r="E263" i="12"/>
  <c r="G263" i="12"/>
  <c r="E265" i="12"/>
  <c r="G265" i="12"/>
  <c r="E266" i="12"/>
  <c r="G266" i="12"/>
  <c r="E267" i="12"/>
  <c r="G267" i="12"/>
  <c r="E268" i="12"/>
  <c r="G268" i="12"/>
  <c r="E199" i="12"/>
  <c r="G199" i="12"/>
  <c r="E205" i="12"/>
  <c r="G205" i="12"/>
  <c r="E206" i="12"/>
  <c r="G206" i="12"/>
  <c r="E207" i="12"/>
  <c r="G207" i="12"/>
  <c r="E208" i="12"/>
  <c r="G208" i="12"/>
  <c r="E210" i="12"/>
  <c r="G210" i="12"/>
  <c r="E211" i="12"/>
  <c r="G211" i="12"/>
  <c r="E212" i="12"/>
  <c r="G212" i="12"/>
  <c r="E213" i="12"/>
  <c r="G213" i="12"/>
  <c r="E144" i="12"/>
  <c r="G144" i="12"/>
  <c r="E150" i="12"/>
  <c r="G150" i="12"/>
  <c r="E151" i="12"/>
  <c r="G151" i="12"/>
  <c r="E152" i="12"/>
  <c r="G152" i="12"/>
  <c r="E153" i="12"/>
  <c r="G153" i="12"/>
  <c r="E155" i="12"/>
  <c r="G155" i="12"/>
  <c r="E156" i="12"/>
  <c r="G156" i="12"/>
  <c r="E157" i="12"/>
  <c r="G157" i="12"/>
  <c r="E158" i="12"/>
  <c r="G158" i="12"/>
  <c r="E89" i="12"/>
  <c r="G89" i="12"/>
  <c r="E95" i="12"/>
  <c r="G95" i="12"/>
  <c r="E96" i="12"/>
  <c r="G96" i="12"/>
  <c r="E97" i="12"/>
  <c r="G97" i="12"/>
  <c r="E98" i="12"/>
  <c r="G98" i="12"/>
  <c r="E100" i="12"/>
  <c r="G100" i="12"/>
  <c r="E101" i="12"/>
  <c r="G101" i="12"/>
  <c r="E102" i="12"/>
  <c r="G102" i="12"/>
  <c r="E103" i="12"/>
  <c r="G103" i="12"/>
  <c r="F34" i="12"/>
  <c r="G34" i="12"/>
  <c r="H34" i="12" s="1"/>
  <c r="F31" i="12" s="1"/>
  <c r="E40" i="12"/>
  <c r="G40" i="12"/>
  <c r="E41" i="12"/>
  <c r="G41" i="12"/>
  <c r="E42" i="12"/>
  <c r="G42" i="12"/>
  <c r="E43" i="12"/>
  <c r="G43" i="12"/>
  <c r="E45" i="12"/>
  <c r="G45" i="12"/>
  <c r="E46" i="12"/>
  <c r="G46" i="12"/>
  <c r="E47" i="12"/>
  <c r="G47" i="12"/>
  <c r="E48" i="12"/>
  <c r="G48" i="12"/>
  <c r="E1623" i="14"/>
  <c r="G1623" i="14"/>
  <c r="E1624" i="14"/>
  <c r="G1624" i="14"/>
  <c r="E1625" i="14"/>
  <c r="G1625" i="14"/>
  <c r="E1626" i="14"/>
  <c r="G1626" i="14"/>
  <c r="E1628" i="14"/>
  <c r="G1628" i="14"/>
  <c r="E1629" i="14"/>
  <c r="G1629" i="14"/>
  <c r="E1630" i="14"/>
  <c r="G1630" i="14"/>
  <c r="E1631" i="14"/>
  <c r="G1631" i="14"/>
  <c r="E1617" i="14"/>
  <c r="G1617" i="14"/>
  <c r="E1567" i="14"/>
  <c r="G1567" i="14"/>
  <c r="E1568" i="14"/>
  <c r="G1568" i="14"/>
  <c r="E1569" i="14"/>
  <c r="G1569" i="14"/>
  <c r="E1570" i="14"/>
  <c r="G1570" i="14"/>
  <c r="E1572" i="14"/>
  <c r="G1572" i="14"/>
  <c r="E1573" i="14"/>
  <c r="G1573" i="14"/>
  <c r="E1574" i="14"/>
  <c r="G1574" i="14"/>
  <c r="E1575" i="14"/>
  <c r="G1575" i="14"/>
  <c r="E1561" i="14"/>
  <c r="G1561" i="14"/>
  <c r="E1512" i="14"/>
  <c r="G1512" i="14"/>
  <c r="E1513" i="14"/>
  <c r="G1513" i="14"/>
  <c r="E1514" i="14"/>
  <c r="G1514" i="14"/>
  <c r="E1515" i="14"/>
  <c r="G1515" i="14"/>
  <c r="E1517" i="14"/>
  <c r="G1517" i="14"/>
  <c r="E1518" i="14"/>
  <c r="G1518" i="14"/>
  <c r="E1519" i="14"/>
  <c r="G1519" i="14"/>
  <c r="E1520" i="14"/>
  <c r="G1520" i="14"/>
  <c r="E1506" i="14"/>
  <c r="G1506" i="14"/>
  <c r="E1455" i="14"/>
  <c r="G1455" i="14"/>
  <c r="E1456" i="14"/>
  <c r="G1456" i="14"/>
  <c r="E1457" i="14"/>
  <c r="G1457" i="14"/>
  <c r="E1458" i="14"/>
  <c r="G1458" i="14"/>
  <c r="E1460" i="14"/>
  <c r="G1460" i="14"/>
  <c r="E1461" i="14"/>
  <c r="G1461" i="14"/>
  <c r="E1462" i="14"/>
  <c r="G1462" i="14"/>
  <c r="E1463" i="14"/>
  <c r="G1463" i="14"/>
  <c r="E1449" i="14"/>
  <c r="G1449" i="14"/>
  <c r="E1399" i="14"/>
  <c r="G1399" i="14"/>
  <c r="E1400" i="14"/>
  <c r="G1400" i="14"/>
  <c r="E1401" i="14"/>
  <c r="G1401" i="14"/>
  <c r="E1402" i="14"/>
  <c r="G1402" i="14"/>
  <c r="E1404" i="14"/>
  <c r="G1404" i="14"/>
  <c r="E1405" i="14"/>
  <c r="G1405" i="14"/>
  <c r="E1406" i="14"/>
  <c r="G1406" i="14"/>
  <c r="E1407" i="14"/>
  <c r="G1407" i="14"/>
  <c r="E1393" i="14"/>
  <c r="G1393" i="14"/>
  <c r="E1343" i="14"/>
  <c r="G1343" i="14"/>
  <c r="E1344" i="14"/>
  <c r="G1344" i="14"/>
  <c r="E1345" i="14"/>
  <c r="G1345" i="14"/>
  <c r="E1346" i="14"/>
  <c r="G1346" i="14"/>
  <c r="E1348" i="14"/>
  <c r="G1348" i="14"/>
  <c r="E1349" i="14"/>
  <c r="G1349" i="14"/>
  <c r="E1350" i="14"/>
  <c r="G1350" i="14"/>
  <c r="E1351" i="14"/>
  <c r="G1351" i="14"/>
  <c r="E1337" i="14"/>
  <c r="G1337" i="14"/>
  <c r="E1286" i="14"/>
  <c r="G1286" i="14"/>
  <c r="E1287" i="14"/>
  <c r="G1287" i="14"/>
  <c r="E1288" i="14"/>
  <c r="G1288" i="14"/>
  <c r="E1289" i="14"/>
  <c r="G1289" i="14"/>
  <c r="E1291" i="14"/>
  <c r="G1291" i="14"/>
  <c r="E1292" i="14"/>
  <c r="G1292" i="14"/>
  <c r="E1293" i="14"/>
  <c r="G1293" i="14"/>
  <c r="E1294" i="14"/>
  <c r="G1294" i="14"/>
  <c r="G1280" i="14"/>
  <c r="E1233" i="14"/>
  <c r="G1233" i="14"/>
  <c r="E1234" i="14"/>
  <c r="G1234" i="14"/>
  <c r="E1235" i="14"/>
  <c r="G1235" i="14"/>
  <c r="E1236" i="14"/>
  <c r="G1236" i="14"/>
  <c r="E1238" i="14"/>
  <c r="G1238" i="14"/>
  <c r="E1239" i="14"/>
  <c r="G1239" i="14"/>
  <c r="E1240" i="14"/>
  <c r="G1240" i="14"/>
  <c r="E1241" i="14"/>
  <c r="G1241" i="14"/>
  <c r="G1227" i="14"/>
  <c r="E1179" i="14"/>
  <c r="G1179" i="14"/>
  <c r="E1180" i="14"/>
  <c r="G1180" i="14"/>
  <c r="E1181" i="14"/>
  <c r="G1181" i="14"/>
  <c r="E1182" i="14"/>
  <c r="G1182" i="14"/>
  <c r="E1184" i="14"/>
  <c r="G1184" i="14"/>
  <c r="E1185" i="14"/>
  <c r="G1185" i="14"/>
  <c r="E1186" i="14"/>
  <c r="G1186" i="14"/>
  <c r="E1187" i="14"/>
  <c r="G1187" i="14"/>
  <c r="G1173" i="14"/>
  <c r="E1122" i="14"/>
  <c r="G1122" i="14"/>
  <c r="E1123" i="14"/>
  <c r="G1123" i="14"/>
  <c r="E1124" i="14"/>
  <c r="G1124" i="14"/>
  <c r="E1125" i="14"/>
  <c r="G1125" i="14"/>
  <c r="E1127" i="14"/>
  <c r="G1127" i="14"/>
  <c r="E1128" i="14"/>
  <c r="G1128" i="14"/>
  <c r="E1129" i="14"/>
  <c r="G1129" i="14"/>
  <c r="E1130" i="14"/>
  <c r="G1130" i="14"/>
  <c r="G1116" i="14"/>
  <c r="E1066" i="14"/>
  <c r="G1066" i="14"/>
  <c r="E1067" i="14"/>
  <c r="G1067" i="14"/>
  <c r="E1068" i="14"/>
  <c r="G1068" i="14"/>
  <c r="E1069" i="14"/>
  <c r="G1069" i="14"/>
  <c r="E1071" i="14"/>
  <c r="G1071" i="14"/>
  <c r="E1072" i="14"/>
  <c r="G1072" i="14"/>
  <c r="E1073" i="14"/>
  <c r="G1073" i="14"/>
  <c r="E1074" i="14"/>
  <c r="G1074" i="14"/>
  <c r="G1060" i="14"/>
  <c r="E1011" i="14"/>
  <c r="G1011" i="14"/>
  <c r="E1012" i="14"/>
  <c r="G1012" i="14"/>
  <c r="E1013" i="14"/>
  <c r="G1013" i="14"/>
  <c r="E1014" i="14"/>
  <c r="G1014" i="14"/>
  <c r="E1016" i="14"/>
  <c r="G1016" i="14"/>
  <c r="E1017" i="14"/>
  <c r="G1017" i="14"/>
  <c r="E1018" i="14"/>
  <c r="G1018" i="14"/>
  <c r="E1019" i="14"/>
  <c r="G1019" i="14"/>
  <c r="G1005" i="14"/>
  <c r="E956" i="14"/>
  <c r="G956" i="14"/>
  <c r="E957" i="14"/>
  <c r="G957" i="14"/>
  <c r="E958" i="14"/>
  <c r="G958" i="14"/>
  <c r="E959" i="14"/>
  <c r="G959" i="14"/>
  <c r="E961" i="14"/>
  <c r="G961" i="14"/>
  <c r="E962" i="14"/>
  <c r="G962" i="14"/>
  <c r="E963" i="14"/>
  <c r="G963" i="14"/>
  <c r="E964" i="14"/>
  <c r="G964" i="14"/>
  <c r="G950" i="14"/>
  <c r="E901" i="14"/>
  <c r="G901" i="14"/>
  <c r="E902" i="14"/>
  <c r="G902" i="14"/>
  <c r="E903" i="14"/>
  <c r="G903" i="14"/>
  <c r="E904" i="14"/>
  <c r="G904" i="14"/>
  <c r="E906" i="14"/>
  <c r="G906" i="14"/>
  <c r="E907" i="14"/>
  <c r="G907" i="14"/>
  <c r="E908" i="14"/>
  <c r="G908" i="14"/>
  <c r="E909" i="14"/>
  <c r="G909" i="14"/>
  <c r="G895" i="14"/>
  <c r="E843" i="14"/>
  <c r="G843" i="14"/>
  <c r="E844" i="14"/>
  <c r="G844" i="14"/>
  <c r="E845" i="14"/>
  <c r="G845" i="14"/>
  <c r="E846" i="14"/>
  <c r="G846" i="14"/>
  <c r="E848" i="14"/>
  <c r="G848" i="14"/>
  <c r="E849" i="14"/>
  <c r="G849" i="14"/>
  <c r="E850" i="14"/>
  <c r="G850" i="14"/>
  <c r="E851" i="14"/>
  <c r="G851" i="14"/>
  <c r="G837" i="14"/>
  <c r="E787" i="14"/>
  <c r="G787" i="14"/>
  <c r="E788" i="14"/>
  <c r="G788" i="14"/>
  <c r="E789" i="14"/>
  <c r="G789" i="14"/>
  <c r="E790" i="14"/>
  <c r="G790" i="14"/>
  <c r="E792" i="14"/>
  <c r="G792" i="14"/>
  <c r="E793" i="14"/>
  <c r="G793" i="14"/>
  <c r="E794" i="14"/>
  <c r="G794" i="14"/>
  <c r="E795" i="14"/>
  <c r="G795" i="14"/>
  <c r="G781" i="14"/>
  <c r="E730" i="14"/>
  <c r="G730" i="14"/>
  <c r="E731" i="14"/>
  <c r="G731" i="14"/>
  <c r="E732" i="14"/>
  <c r="G732" i="14"/>
  <c r="E733" i="14"/>
  <c r="G733" i="14"/>
  <c r="E735" i="14"/>
  <c r="G735" i="14"/>
  <c r="E736" i="14"/>
  <c r="G736" i="14"/>
  <c r="E737" i="14"/>
  <c r="G737" i="14"/>
  <c r="E738" i="14"/>
  <c r="G738" i="14"/>
  <c r="G724" i="14"/>
  <c r="E672" i="14"/>
  <c r="G672" i="14"/>
  <c r="E673" i="14"/>
  <c r="G673" i="14"/>
  <c r="E674" i="14"/>
  <c r="G674" i="14"/>
  <c r="E675" i="14"/>
  <c r="G675" i="14"/>
  <c r="E677" i="14"/>
  <c r="G677" i="14"/>
  <c r="E678" i="14"/>
  <c r="G678" i="14"/>
  <c r="E679" i="14"/>
  <c r="G679" i="14"/>
  <c r="E680" i="14"/>
  <c r="G680" i="14"/>
  <c r="G666" i="14"/>
  <c r="E616" i="14"/>
  <c r="G616" i="14"/>
  <c r="E617" i="14"/>
  <c r="G617" i="14"/>
  <c r="E618" i="14"/>
  <c r="G618" i="14"/>
  <c r="E619" i="14"/>
  <c r="G619" i="14"/>
  <c r="E621" i="14"/>
  <c r="G621" i="14"/>
  <c r="E622" i="14"/>
  <c r="G622" i="14"/>
  <c r="E623" i="14"/>
  <c r="G623" i="14"/>
  <c r="E624" i="14"/>
  <c r="G624" i="14"/>
  <c r="G610" i="14"/>
  <c r="E559" i="14"/>
  <c r="G559" i="14"/>
  <c r="E560" i="14"/>
  <c r="G560" i="14"/>
  <c r="E561" i="14"/>
  <c r="G561" i="14"/>
  <c r="E562" i="14"/>
  <c r="G562" i="14"/>
  <c r="E564" i="14"/>
  <c r="G564" i="14"/>
  <c r="E565" i="14"/>
  <c r="G565" i="14"/>
  <c r="E566" i="14"/>
  <c r="G566" i="14"/>
  <c r="E567" i="14"/>
  <c r="G567" i="14"/>
  <c r="G553" i="14"/>
  <c r="E503" i="14"/>
  <c r="G503" i="14"/>
  <c r="E504" i="14"/>
  <c r="G504" i="14"/>
  <c r="E505" i="14"/>
  <c r="G505" i="14"/>
  <c r="E506" i="14"/>
  <c r="G506" i="14"/>
  <c r="E508" i="14"/>
  <c r="G508" i="14"/>
  <c r="E509" i="14"/>
  <c r="G509" i="14"/>
  <c r="E510" i="14"/>
  <c r="G510" i="14"/>
  <c r="E511" i="14"/>
  <c r="G511" i="14"/>
  <c r="G497" i="14"/>
  <c r="E439" i="14"/>
  <c r="G439" i="14"/>
  <c r="E440" i="14"/>
  <c r="G440" i="14"/>
  <c r="E441" i="14"/>
  <c r="G441" i="14"/>
  <c r="E442" i="14"/>
  <c r="G442" i="14"/>
  <c r="E444" i="14"/>
  <c r="G444" i="14"/>
  <c r="E445" i="14"/>
  <c r="G445" i="14"/>
  <c r="E446" i="14"/>
  <c r="G446" i="14"/>
  <c r="E447" i="14"/>
  <c r="G447" i="14"/>
  <c r="G433" i="14"/>
  <c r="E379" i="14"/>
  <c r="G379" i="14"/>
  <c r="E380" i="14"/>
  <c r="G380" i="14"/>
  <c r="E381" i="14"/>
  <c r="G381" i="14"/>
  <c r="E382" i="14"/>
  <c r="G382" i="14"/>
  <c r="E384" i="14"/>
  <c r="G384" i="14"/>
  <c r="E385" i="14"/>
  <c r="G385" i="14"/>
  <c r="E386" i="14"/>
  <c r="G386" i="14"/>
  <c r="E387" i="14"/>
  <c r="G387" i="14"/>
  <c r="G373" i="14"/>
  <c r="G305" i="14"/>
  <c r="E323" i="14"/>
  <c r="G323" i="14"/>
  <c r="E324" i="14"/>
  <c r="G324" i="14"/>
  <c r="E325" i="14"/>
  <c r="G325" i="14"/>
  <c r="E326" i="14"/>
  <c r="G326" i="14"/>
  <c r="E328" i="14"/>
  <c r="G328" i="14"/>
  <c r="E329" i="14"/>
  <c r="G329" i="14"/>
  <c r="E330" i="14"/>
  <c r="G330" i="14"/>
  <c r="E331" i="14"/>
  <c r="G331" i="14"/>
  <c r="G317" i="14"/>
  <c r="E268" i="14"/>
  <c r="G268" i="14"/>
  <c r="E269" i="14"/>
  <c r="G269" i="14"/>
  <c r="E270" i="14"/>
  <c r="G270" i="14"/>
  <c r="E271" i="14"/>
  <c r="G271" i="14"/>
  <c r="E273" i="14"/>
  <c r="G273" i="14"/>
  <c r="E274" i="14"/>
  <c r="G274" i="14"/>
  <c r="E275" i="14"/>
  <c r="G275" i="14"/>
  <c r="E276" i="14"/>
  <c r="G276" i="14"/>
  <c r="G262" i="14"/>
  <c r="E214" i="14"/>
  <c r="G214" i="14"/>
  <c r="E215" i="14"/>
  <c r="G215" i="14"/>
  <c r="E216" i="14"/>
  <c r="G216" i="14"/>
  <c r="E217" i="14"/>
  <c r="G217" i="14"/>
  <c r="E219" i="14"/>
  <c r="G219" i="14"/>
  <c r="E220" i="14"/>
  <c r="G220" i="14"/>
  <c r="E221" i="14"/>
  <c r="G221" i="14"/>
  <c r="E222" i="14"/>
  <c r="G222" i="14"/>
  <c r="G208" i="14"/>
  <c r="E158" i="14"/>
  <c r="G158" i="14"/>
  <c r="E159" i="14"/>
  <c r="G159" i="14"/>
  <c r="E160" i="14"/>
  <c r="G160" i="14"/>
  <c r="E161" i="14"/>
  <c r="G161" i="14"/>
  <c r="E163" i="14"/>
  <c r="G163" i="14"/>
  <c r="E164" i="14"/>
  <c r="G164" i="14"/>
  <c r="E165" i="14"/>
  <c r="G165" i="14"/>
  <c r="E166" i="14"/>
  <c r="G166" i="14"/>
  <c r="G152" i="14"/>
  <c r="E104" i="14"/>
  <c r="G104" i="14"/>
  <c r="E105" i="14"/>
  <c r="G105" i="14"/>
  <c r="E106" i="14"/>
  <c r="G106" i="14"/>
  <c r="E107" i="14"/>
  <c r="G107" i="14"/>
  <c r="E109" i="14"/>
  <c r="G109" i="14"/>
  <c r="E110" i="14"/>
  <c r="G110" i="14"/>
  <c r="E111" i="14"/>
  <c r="G111" i="14"/>
  <c r="E112" i="14"/>
  <c r="G112" i="14"/>
  <c r="G98" i="14"/>
  <c r="E47" i="14"/>
  <c r="G47" i="14"/>
  <c r="E48" i="14"/>
  <c r="G48" i="14"/>
  <c r="E49" i="14"/>
  <c r="G49" i="14"/>
  <c r="E50" i="14"/>
  <c r="G50" i="14"/>
  <c r="E52" i="14"/>
  <c r="G52" i="14"/>
  <c r="E53" i="14"/>
  <c r="G53" i="14"/>
  <c r="E54" i="14"/>
  <c r="G54" i="14"/>
  <c r="E55" i="14"/>
  <c r="G55" i="14"/>
  <c r="G41" i="14"/>
  <c r="E1214" i="9"/>
  <c r="G1214" i="9"/>
  <c r="E1215" i="9"/>
  <c r="G1215" i="9"/>
  <c r="E1216" i="9"/>
  <c r="G1216" i="9"/>
  <c r="E1217" i="9"/>
  <c r="G1217" i="9"/>
  <c r="G1208" i="9"/>
  <c r="H1208" i="9"/>
  <c r="G120" i="11" s="1"/>
  <c r="H142" i="29" s="1"/>
  <c r="E1312" i="9"/>
  <c r="G1312" i="9"/>
  <c r="E1313" i="9"/>
  <c r="G1313" i="9"/>
  <c r="E1314" i="9"/>
  <c r="G1314" i="9"/>
  <c r="E1315" i="9"/>
  <c r="G1315" i="9"/>
  <c r="G1306" i="9"/>
  <c r="H1306" i="9"/>
  <c r="E1263" i="9"/>
  <c r="G1263" i="9"/>
  <c r="E1264" i="9"/>
  <c r="G1264" i="9"/>
  <c r="E1265" i="9"/>
  <c r="G1265" i="9"/>
  <c r="E1266" i="9"/>
  <c r="G1266" i="9"/>
  <c r="G1257" i="9"/>
  <c r="H1257" i="9"/>
  <c r="E1165" i="9"/>
  <c r="G1165" i="9"/>
  <c r="E1166" i="9"/>
  <c r="G1166" i="9"/>
  <c r="E1167" i="9"/>
  <c r="G1167" i="9"/>
  <c r="E1168" i="9"/>
  <c r="G1168" i="9"/>
  <c r="G1159" i="9"/>
  <c r="H1159" i="9"/>
  <c r="F1156" i="9" s="1"/>
  <c r="E1116" i="9"/>
  <c r="G1116" i="9"/>
  <c r="E1117" i="9"/>
  <c r="G1117" i="9"/>
  <c r="E1118" i="9"/>
  <c r="G1118" i="9"/>
  <c r="E1119" i="9"/>
  <c r="G1119" i="9"/>
  <c r="G1110" i="9"/>
  <c r="H1110" i="9" s="1"/>
  <c r="E1067" i="9"/>
  <c r="G1067" i="9"/>
  <c r="E1068" i="9"/>
  <c r="G1068" i="9"/>
  <c r="E1069" i="9"/>
  <c r="G1069" i="9"/>
  <c r="E1070" i="9"/>
  <c r="G1070" i="9"/>
  <c r="G1061" i="9"/>
  <c r="H1061" i="9" s="1"/>
  <c r="G117" i="11" s="1"/>
  <c r="H139" i="29" s="1"/>
  <c r="E1018" i="9"/>
  <c r="G1018" i="9"/>
  <c r="E1019" i="9"/>
  <c r="G1019" i="9"/>
  <c r="E1020" i="9"/>
  <c r="G1020" i="9"/>
  <c r="E1021" i="9"/>
  <c r="G1021" i="9"/>
  <c r="G1012" i="9"/>
  <c r="H1012" i="9" s="1"/>
  <c r="E969" i="9"/>
  <c r="G969" i="9"/>
  <c r="E970" i="9"/>
  <c r="G970" i="9"/>
  <c r="E971" i="9"/>
  <c r="G971" i="9"/>
  <c r="E972" i="9"/>
  <c r="G972" i="9"/>
  <c r="G963" i="9"/>
  <c r="H963" i="9" s="1"/>
  <c r="E920" i="9"/>
  <c r="G920" i="9"/>
  <c r="E921" i="9"/>
  <c r="G921" i="9"/>
  <c r="E922" i="9"/>
  <c r="G922" i="9"/>
  <c r="E923" i="9"/>
  <c r="G923" i="9"/>
  <c r="G914" i="9"/>
  <c r="H914" i="9"/>
  <c r="G114" i="11" s="1"/>
  <c r="H136" i="29" s="1"/>
  <c r="E871" i="9"/>
  <c r="G871" i="9"/>
  <c r="E872" i="9"/>
  <c r="G872" i="9"/>
  <c r="E873" i="9"/>
  <c r="G873" i="9"/>
  <c r="E874" i="9"/>
  <c r="G874" i="9"/>
  <c r="G865" i="9"/>
  <c r="H865" i="9"/>
  <c r="G113" i="11" s="1"/>
  <c r="H135" i="29" s="1"/>
  <c r="E822" i="9"/>
  <c r="G822" i="9"/>
  <c r="E823" i="9"/>
  <c r="G823" i="9"/>
  <c r="E824" i="9"/>
  <c r="G824" i="9"/>
  <c r="E825" i="9"/>
  <c r="G825" i="9"/>
  <c r="G816" i="9"/>
  <c r="H816" i="9"/>
  <c r="G112" i="11" s="1"/>
  <c r="H134" i="29" s="1"/>
  <c r="E773" i="9"/>
  <c r="G773" i="9"/>
  <c r="E774" i="9"/>
  <c r="G774" i="9"/>
  <c r="E775" i="9"/>
  <c r="G775" i="9"/>
  <c r="E776" i="9"/>
  <c r="G776" i="9"/>
  <c r="G767" i="9"/>
  <c r="H767" i="9"/>
  <c r="F764" i="9" s="1"/>
  <c r="E724" i="9"/>
  <c r="G724" i="9"/>
  <c r="E725" i="9"/>
  <c r="G725" i="9"/>
  <c r="E726" i="9"/>
  <c r="G726" i="9"/>
  <c r="E727" i="9"/>
  <c r="G727" i="9"/>
  <c r="G718" i="9"/>
  <c r="H718" i="9" s="1"/>
  <c r="E675" i="9"/>
  <c r="G675" i="9"/>
  <c r="E676" i="9"/>
  <c r="G676" i="9"/>
  <c r="E677" i="9"/>
  <c r="G677" i="9"/>
  <c r="E678" i="9"/>
  <c r="G678" i="9"/>
  <c r="G669" i="9"/>
  <c r="H669" i="9" s="1"/>
  <c r="E626" i="9"/>
  <c r="G626" i="9"/>
  <c r="E627" i="9"/>
  <c r="G627" i="9"/>
  <c r="E628" i="9"/>
  <c r="G628" i="9"/>
  <c r="E629" i="9"/>
  <c r="G629" i="9"/>
  <c r="G620" i="9"/>
  <c r="H620" i="9" s="1"/>
  <c r="E577" i="9"/>
  <c r="G577" i="9"/>
  <c r="E578" i="9"/>
  <c r="G578" i="9"/>
  <c r="E579" i="9"/>
  <c r="G579" i="9"/>
  <c r="E580" i="9"/>
  <c r="G580" i="9"/>
  <c r="G571" i="9"/>
  <c r="H571" i="9" s="1"/>
  <c r="E528" i="9"/>
  <c r="G528" i="9"/>
  <c r="E529" i="9"/>
  <c r="G529" i="9"/>
  <c r="E530" i="9"/>
  <c r="G530" i="9"/>
  <c r="E531" i="9"/>
  <c r="G531" i="9"/>
  <c r="G522" i="9"/>
  <c r="H522" i="9" s="1"/>
  <c r="E479" i="9"/>
  <c r="G479" i="9"/>
  <c r="E480" i="9"/>
  <c r="G480" i="9"/>
  <c r="E481" i="9"/>
  <c r="G481" i="9"/>
  <c r="E482" i="9"/>
  <c r="G482" i="9"/>
  <c r="G473" i="9"/>
  <c r="H473" i="9" s="1"/>
  <c r="E430" i="9"/>
  <c r="G430" i="9"/>
  <c r="E431" i="9"/>
  <c r="G431" i="9"/>
  <c r="E432" i="9"/>
  <c r="G432" i="9"/>
  <c r="E433" i="9"/>
  <c r="G433" i="9"/>
  <c r="G424" i="9"/>
  <c r="H424" i="9" s="1"/>
  <c r="E381" i="9"/>
  <c r="G381" i="9"/>
  <c r="E382" i="9"/>
  <c r="G382" i="9"/>
  <c r="E383" i="9"/>
  <c r="G383" i="9"/>
  <c r="E384" i="9"/>
  <c r="G384" i="9"/>
  <c r="G375" i="9"/>
  <c r="H375" i="9" s="1"/>
  <c r="E332" i="9"/>
  <c r="G332" i="9"/>
  <c r="E333" i="9"/>
  <c r="G333" i="9"/>
  <c r="E334" i="9"/>
  <c r="G334" i="9"/>
  <c r="E335" i="9"/>
  <c r="G335" i="9"/>
  <c r="G326" i="9"/>
  <c r="H326" i="9" s="1"/>
  <c r="E283" i="9"/>
  <c r="G283" i="9"/>
  <c r="E284" i="9"/>
  <c r="G284" i="9"/>
  <c r="E285" i="9"/>
  <c r="G285" i="9"/>
  <c r="E286" i="9"/>
  <c r="G286" i="9"/>
  <c r="G277" i="9"/>
  <c r="H277" i="9" s="1"/>
  <c r="E234" i="9"/>
  <c r="G234" i="9"/>
  <c r="E235" i="9"/>
  <c r="G235" i="9"/>
  <c r="E236" i="9"/>
  <c r="G236" i="9"/>
  <c r="E237" i="9"/>
  <c r="G237" i="9"/>
  <c r="G228" i="9"/>
  <c r="H228" i="9" s="1"/>
  <c r="E185" i="9"/>
  <c r="G185" i="9"/>
  <c r="E186" i="9"/>
  <c r="G186" i="9"/>
  <c r="E187" i="9"/>
  <c r="G187" i="9"/>
  <c r="E188" i="9"/>
  <c r="G188" i="9"/>
  <c r="G179" i="9"/>
  <c r="H179" i="9" s="1"/>
  <c r="E136" i="9"/>
  <c r="G136" i="9"/>
  <c r="E137" i="9"/>
  <c r="G137" i="9"/>
  <c r="E138" i="9"/>
  <c r="G138" i="9"/>
  <c r="E139" i="9"/>
  <c r="G139" i="9"/>
  <c r="G130" i="9"/>
  <c r="H130" i="9" s="1"/>
  <c r="E87" i="9"/>
  <c r="G87" i="9"/>
  <c r="E88" i="9"/>
  <c r="G88" i="9"/>
  <c r="E89" i="9"/>
  <c r="G89" i="9"/>
  <c r="E90" i="9"/>
  <c r="G90" i="9"/>
  <c r="G81" i="9"/>
  <c r="H81" i="9" s="1"/>
  <c r="F62" i="23"/>
  <c r="F61" i="23"/>
  <c r="D62" i="23"/>
  <c r="D61" i="23"/>
  <c r="F57" i="23"/>
  <c r="D57" i="23"/>
  <c r="F56" i="23"/>
  <c r="D56" i="23"/>
  <c r="F1469" i="16"/>
  <c r="F1521" i="16"/>
  <c r="D100" i="16"/>
  <c r="F100" i="16"/>
  <c r="E28" i="20"/>
  <c r="D28" i="20"/>
  <c r="F28" i="20"/>
  <c r="D1722" i="16"/>
  <c r="F1722" i="16"/>
  <c r="D1723" i="16"/>
  <c r="D1669" i="16"/>
  <c r="F1669" i="16"/>
  <c r="D1670" i="16"/>
  <c r="D1616" i="16"/>
  <c r="F1616" i="16"/>
  <c r="D1617" i="16"/>
  <c r="D1564" i="16"/>
  <c r="F1564" i="16"/>
  <c r="D1565" i="16"/>
  <c r="D1511" i="16"/>
  <c r="F1511" i="16"/>
  <c r="D1512" i="16"/>
  <c r="F1512" i="16"/>
  <c r="D1459" i="16"/>
  <c r="F1459" i="16"/>
  <c r="D1460" i="16"/>
  <c r="D1404" i="16"/>
  <c r="F1404" i="16"/>
  <c r="D1405" i="16"/>
  <c r="D1352" i="16"/>
  <c r="F1352" i="16"/>
  <c r="D1353" i="16"/>
  <c r="D1299" i="16"/>
  <c r="F1299" i="16"/>
  <c r="D1300" i="16"/>
  <c r="D1247" i="16"/>
  <c r="F1247" i="16"/>
  <c r="D1248" i="16"/>
  <c r="D1194" i="16"/>
  <c r="F1194" i="16"/>
  <c r="D1195" i="16"/>
  <c r="D1142" i="16"/>
  <c r="F1142" i="16"/>
  <c r="D1143" i="16"/>
  <c r="D1089" i="16"/>
  <c r="F1089" i="16"/>
  <c r="D1090" i="16"/>
  <c r="D1036" i="16"/>
  <c r="F1036" i="16"/>
  <c r="D1037" i="16"/>
  <c r="D983" i="16"/>
  <c r="F983" i="16"/>
  <c r="D984" i="16"/>
  <c r="D931" i="16"/>
  <c r="F931" i="16"/>
  <c r="D932" i="16"/>
  <c r="D892" i="16"/>
  <c r="D891" i="16"/>
  <c r="D823" i="16"/>
  <c r="F823" i="16"/>
  <c r="D824" i="16"/>
  <c r="D771" i="16"/>
  <c r="F771" i="16"/>
  <c r="D772" i="16"/>
  <c r="D718" i="16"/>
  <c r="F718" i="16"/>
  <c r="D719" i="16"/>
  <c r="D665" i="16"/>
  <c r="F665" i="16"/>
  <c r="D666" i="16"/>
  <c r="D611" i="16"/>
  <c r="F611" i="16"/>
  <c r="D612" i="16"/>
  <c r="D559" i="16"/>
  <c r="F559" i="16"/>
  <c r="D560" i="16"/>
  <c r="D506" i="16"/>
  <c r="F506" i="16"/>
  <c r="D507" i="16"/>
  <c r="D454" i="16"/>
  <c r="D1827" i="16"/>
  <c r="D1882" i="16" s="1"/>
  <c r="D1937" i="16" s="1"/>
  <c r="D1992" i="16" s="1"/>
  <c r="F454" i="16"/>
  <c r="F1827" i="16" s="1"/>
  <c r="F1882" i="16" s="1"/>
  <c r="F1937" i="16" s="1"/>
  <c r="F1992" i="16" s="1"/>
  <c r="D455" i="16"/>
  <c r="D1828" i="16"/>
  <c r="D1883" i="16" s="1"/>
  <c r="D1938" i="16" s="1"/>
  <c r="D1993" i="16" s="1"/>
  <c r="D401" i="16"/>
  <c r="F401" i="16"/>
  <c r="D402" i="16"/>
  <c r="D349" i="16"/>
  <c r="F349" i="16"/>
  <c r="D350" i="16"/>
  <c r="D295" i="16"/>
  <c r="F295" i="16"/>
  <c r="D296" i="16"/>
  <c r="D243" i="16"/>
  <c r="F243" i="16"/>
  <c r="D244" i="16"/>
  <c r="D190" i="16"/>
  <c r="F190" i="16"/>
  <c r="D191" i="16"/>
  <c r="D138" i="16"/>
  <c r="F138" i="16"/>
  <c r="D139" i="16"/>
  <c r="D877" i="16"/>
  <c r="F877" i="16"/>
  <c r="D878" i="16"/>
  <c r="D86" i="16"/>
  <c r="D85" i="16"/>
  <c r="F85" i="16"/>
  <c r="F34" i="16"/>
  <c r="F33" i="16"/>
  <c r="D34" i="16"/>
  <c r="D33" i="16"/>
  <c r="F131" i="15"/>
  <c r="G131" i="15" s="1"/>
  <c r="E131" i="15"/>
  <c r="F183" i="15"/>
  <c r="E183" i="15"/>
  <c r="G183" i="15" s="1"/>
  <c r="F235" i="15"/>
  <c r="E235" i="15"/>
  <c r="G235" i="15"/>
  <c r="F287" i="15"/>
  <c r="E287" i="15"/>
  <c r="G287" i="15" s="1"/>
  <c r="E340" i="15"/>
  <c r="F340" i="15"/>
  <c r="F649" i="15"/>
  <c r="F392" i="15"/>
  <c r="E392" i="15"/>
  <c r="F444" i="15"/>
  <c r="E444" i="15"/>
  <c r="F492" i="15"/>
  <c r="E492" i="15"/>
  <c r="F544" i="15"/>
  <c r="E544" i="15"/>
  <c r="E79" i="15"/>
  <c r="E596" i="15"/>
  <c r="F596" i="15"/>
  <c r="B1602" i="14"/>
  <c r="B1603" i="14" s="1"/>
  <c r="B1604" i="14" s="1"/>
  <c r="B1605" i="14" s="1"/>
  <c r="B1606" i="14" s="1"/>
  <c r="B1607" i="14" s="1"/>
  <c r="B1608" i="14" s="1"/>
  <c r="B1609" i="14" s="1"/>
  <c r="B1610" i="14" s="1"/>
  <c r="B1611" i="14" s="1"/>
  <c r="B1547" i="14"/>
  <c r="B1548" i="14" s="1"/>
  <c r="B1549" i="14" s="1"/>
  <c r="B1550" i="14" s="1"/>
  <c r="B1551" i="14" s="1"/>
  <c r="B1552" i="14" s="1"/>
  <c r="B1553" i="14" s="1"/>
  <c r="B1554" i="14" s="1"/>
  <c r="B1555" i="14" s="1"/>
  <c r="B1434" i="14"/>
  <c r="B1435" i="14"/>
  <c r="B1436" i="14" s="1"/>
  <c r="B1437" i="14" s="1"/>
  <c r="B1438" i="14" s="1"/>
  <c r="B1439" i="14" s="1"/>
  <c r="B1440" i="14" s="1"/>
  <c r="B1441" i="14" s="1"/>
  <c r="B1442" i="14" s="1"/>
  <c r="B1443" i="14" s="1"/>
  <c r="B1378" i="14"/>
  <c r="B1379" i="14"/>
  <c r="B1380" i="14" s="1"/>
  <c r="B1381" i="14" s="1"/>
  <c r="B1382" i="14" s="1"/>
  <c r="B1383" i="14" s="1"/>
  <c r="B1384" i="14" s="1"/>
  <c r="B1385" i="14" s="1"/>
  <c r="B1386" i="14" s="1"/>
  <c r="B1387" i="14" s="1"/>
  <c r="B1322" i="14"/>
  <c r="B1323" i="14"/>
  <c r="B1324" i="14" s="1"/>
  <c r="B1325" i="14" s="1"/>
  <c r="B1326" i="14" s="1"/>
  <c r="B1327" i="14" s="1"/>
  <c r="B1328" i="14" s="1"/>
  <c r="B1329" i="14" s="1"/>
  <c r="B1330" i="14" s="1"/>
  <c r="B1331" i="14" s="1"/>
  <c r="B1268" i="14"/>
  <c r="B1269" i="14"/>
  <c r="B1270" i="14" s="1"/>
  <c r="B1271" i="14" s="1"/>
  <c r="B1272" i="14" s="1"/>
  <c r="B1273" i="14" s="1"/>
  <c r="B1274" i="14" s="1"/>
  <c r="B1214" i="14"/>
  <c r="B1215" i="14" s="1"/>
  <c r="B1216" i="14" s="1"/>
  <c r="B1217" i="14" s="1"/>
  <c r="B1218" i="14" s="1"/>
  <c r="B1219" i="14" s="1"/>
  <c r="B1220" i="14" s="1"/>
  <c r="B1221" i="14" s="1"/>
  <c r="B1046" i="14"/>
  <c r="B1047" i="14" s="1"/>
  <c r="B1048" i="14" s="1"/>
  <c r="B1049" i="14" s="1"/>
  <c r="B1050" i="14" s="1"/>
  <c r="B1051" i="14" s="1"/>
  <c r="B1052" i="14" s="1"/>
  <c r="B1053" i="14" s="1"/>
  <c r="B1054" i="14" s="1"/>
  <c r="B991" i="14"/>
  <c r="B992" i="14"/>
  <c r="B993" i="14" s="1"/>
  <c r="B994" i="14" s="1"/>
  <c r="B995" i="14" s="1"/>
  <c r="B996" i="14" s="1"/>
  <c r="B997" i="14" s="1"/>
  <c r="B998" i="14" s="1"/>
  <c r="B999" i="14" s="1"/>
  <c r="B538" i="14"/>
  <c r="B539" i="14" s="1"/>
  <c r="B540" i="14" s="1"/>
  <c r="B541" i="14" s="1"/>
  <c r="B542" i="14" s="1"/>
  <c r="B543" i="14" s="1"/>
  <c r="B544" i="14" s="1"/>
  <c r="B545" i="14" s="1"/>
  <c r="B546" i="14" s="1"/>
  <c r="B547" i="14" s="1"/>
  <c r="B359" i="14"/>
  <c r="B360" i="14" s="1"/>
  <c r="B361" i="14" s="1"/>
  <c r="B362" i="14" s="1"/>
  <c r="B363" i="14" s="1"/>
  <c r="B364" i="14" s="1"/>
  <c r="B365" i="14" s="1"/>
  <c r="B366" i="14" s="1"/>
  <c r="B367" i="14" s="1"/>
  <c r="B303" i="14"/>
  <c r="B304" i="14"/>
  <c r="B305" i="14" s="1"/>
  <c r="B306" i="14" s="1"/>
  <c r="B307" i="14" s="1"/>
  <c r="B308" i="14" s="1"/>
  <c r="B309" i="14" s="1"/>
  <c r="B310" i="14" s="1"/>
  <c r="B311" i="14" s="1"/>
  <c r="B249" i="14"/>
  <c r="B250" i="14" s="1"/>
  <c r="B251" i="14" s="1"/>
  <c r="B252" i="14" s="1"/>
  <c r="B253" i="14" s="1"/>
  <c r="B254" i="14" s="1"/>
  <c r="B255" i="14" s="1"/>
  <c r="B256" i="14" s="1"/>
  <c r="B193" i="14"/>
  <c r="B194" i="14" s="1"/>
  <c r="B195" i="14" s="1"/>
  <c r="B196" i="14" s="1"/>
  <c r="B197" i="14" s="1"/>
  <c r="B198" i="14" s="1"/>
  <c r="B199" i="14" s="1"/>
  <c r="B200" i="14" s="1"/>
  <c r="B201" i="14" s="1"/>
  <c r="B202" i="14" s="1"/>
  <c r="B139" i="14"/>
  <c r="B140" i="14" s="1"/>
  <c r="B141" i="14" s="1"/>
  <c r="B142" i="14" s="1"/>
  <c r="B143" i="14" s="1"/>
  <c r="B144" i="14" s="1"/>
  <c r="B145" i="14" s="1"/>
  <c r="B146" i="14" s="1"/>
  <c r="F48" i="20"/>
  <c r="D48" i="20"/>
  <c r="F43" i="20"/>
  <c r="D43" i="20"/>
  <c r="F1737" i="16"/>
  <c r="D1737" i="16"/>
  <c r="F1736" i="16"/>
  <c r="D1736" i="16"/>
  <c r="F1735" i="16"/>
  <c r="D1735" i="16"/>
  <c r="F1734" i="16"/>
  <c r="D1734" i="16"/>
  <c r="F1732" i="16"/>
  <c r="D1732" i="16"/>
  <c r="F1731" i="16"/>
  <c r="D1731" i="16"/>
  <c r="F1730" i="16"/>
  <c r="D1730" i="16"/>
  <c r="F1729" i="16"/>
  <c r="D1729" i="16"/>
  <c r="F1723" i="16"/>
  <c r="F1631" i="16"/>
  <c r="D1631" i="16"/>
  <c r="F1630" i="16"/>
  <c r="D1630" i="16"/>
  <c r="F1629" i="16"/>
  <c r="D1629" i="16"/>
  <c r="F1628" i="16"/>
  <c r="D1628" i="16"/>
  <c r="F1626" i="16"/>
  <c r="D1626" i="16"/>
  <c r="F1625" i="16"/>
  <c r="D1625" i="16"/>
  <c r="F1624" i="16"/>
  <c r="D1624" i="16"/>
  <c r="F1623" i="16"/>
  <c r="D1623" i="16"/>
  <c r="F1617" i="16"/>
  <c r="F1526" i="16"/>
  <c r="D1526" i="16"/>
  <c r="F1525" i="16"/>
  <c r="D1525" i="16"/>
  <c r="F1524" i="16"/>
  <c r="D1524" i="16"/>
  <c r="F1523" i="16"/>
  <c r="D1523" i="16"/>
  <c r="D1521" i="16"/>
  <c r="F1520" i="16"/>
  <c r="D1520" i="16"/>
  <c r="F1519" i="16"/>
  <c r="D1519" i="16"/>
  <c r="F1518" i="16"/>
  <c r="D1518" i="16"/>
  <c r="F1419" i="16"/>
  <c r="D1419" i="16"/>
  <c r="F1418" i="16"/>
  <c r="D1418" i="16"/>
  <c r="F1417" i="16"/>
  <c r="D1417" i="16"/>
  <c r="F1416" i="16"/>
  <c r="D1416" i="16"/>
  <c r="F1414" i="16"/>
  <c r="D1414" i="16"/>
  <c r="F1413" i="16"/>
  <c r="D1413" i="16"/>
  <c r="F1412" i="16"/>
  <c r="D1412" i="16"/>
  <c r="F1411" i="16"/>
  <c r="D1411" i="16"/>
  <c r="F1405" i="16"/>
  <c r="F1314" i="16"/>
  <c r="D1314" i="16"/>
  <c r="F1313" i="16"/>
  <c r="D1313" i="16"/>
  <c r="F1312" i="16"/>
  <c r="D1312" i="16"/>
  <c r="F1311" i="16"/>
  <c r="D1311" i="16"/>
  <c r="F1309" i="16"/>
  <c r="D1309" i="16"/>
  <c r="F1308" i="16"/>
  <c r="D1308" i="16"/>
  <c r="F1307" i="16"/>
  <c r="D1307" i="16"/>
  <c r="F1306" i="16"/>
  <c r="D1306" i="16"/>
  <c r="F1300" i="16"/>
  <c r="F1209" i="16"/>
  <c r="D1209" i="16"/>
  <c r="F1208" i="16"/>
  <c r="D1208" i="16"/>
  <c r="F1207" i="16"/>
  <c r="D1207" i="16"/>
  <c r="F1206" i="16"/>
  <c r="D1206" i="16"/>
  <c r="F1204" i="16"/>
  <c r="D1204" i="16"/>
  <c r="F1203" i="16"/>
  <c r="D1203" i="16"/>
  <c r="F1202" i="16"/>
  <c r="D1202" i="16"/>
  <c r="F1201" i="16"/>
  <c r="D1201" i="16"/>
  <c r="F1195" i="16"/>
  <c r="F1104" i="16"/>
  <c r="D1104" i="16"/>
  <c r="F1103" i="16"/>
  <c r="D1103" i="16"/>
  <c r="F1102" i="16"/>
  <c r="D1102" i="16"/>
  <c r="F1101" i="16"/>
  <c r="D1101" i="16"/>
  <c r="F1099" i="16"/>
  <c r="D1099" i="16"/>
  <c r="F1098" i="16"/>
  <c r="D1098" i="16"/>
  <c r="F1097" i="16"/>
  <c r="D1097" i="16"/>
  <c r="F1096" i="16"/>
  <c r="D1096" i="16"/>
  <c r="F1090" i="16"/>
  <c r="F998" i="16"/>
  <c r="D998" i="16"/>
  <c r="F997" i="16"/>
  <c r="D997" i="16"/>
  <c r="F996" i="16"/>
  <c r="D996" i="16"/>
  <c r="F995" i="16"/>
  <c r="D995" i="16"/>
  <c r="F993" i="16"/>
  <c r="D993" i="16"/>
  <c r="F992" i="16"/>
  <c r="D992" i="16"/>
  <c r="F991" i="16"/>
  <c r="D991" i="16"/>
  <c r="F990" i="16"/>
  <c r="D990" i="16"/>
  <c r="F984" i="16"/>
  <c r="F838" i="16"/>
  <c r="D838" i="16"/>
  <c r="F837" i="16"/>
  <c r="D837" i="16"/>
  <c r="F836" i="16"/>
  <c r="D836" i="16"/>
  <c r="F835" i="16"/>
  <c r="D835" i="16"/>
  <c r="F833" i="16"/>
  <c r="D833" i="16"/>
  <c r="F832" i="16"/>
  <c r="D832" i="16"/>
  <c r="F831" i="16"/>
  <c r="D831" i="16"/>
  <c r="F830" i="16"/>
  <c r="D830" i="16"/>
  <c r="F824" i="16"/>
  <c r="F733" i="16"/>
  <c r="D733" i="16"/>
  <c r="F732" i="16"/>
  <c r="D732" i="16"/>
  <c r="F731" i="16"/>
  <c r="D731" i="16"/>
  <c r="F730" i="16"/>
  <c r="D730" i="16"/>
  <c r="F728" i="16"/>
  <c r="D728" i="16"/>
  <c r="F727" i="16"/>
  <c r="D727" i="16"/>
  <c r="F726" i="16"/>
  <c r="D726" i="16"/>
  <c r="F725" i="16"/>
  <c r="D725" i="16"/>
  <c r="F719" i="16"/>
  <c r="F626" i="16"/>
  <c r="D626" i="16"/>
  <c r="F625" i="16"/>
  <c r="D625" i="16"/>
  <c r="F624" i="16"/>
  <c r="D624" i="16"/>
  <c r="F623" i="16"/>
  <c r="D623" i="16"/>
  <c r="F621" i="16"/>
  <c r="D621" i="16"/>
  <c r="F620" i="16"/>
  <c r="D620" i="16"/>
  <c r="F619" i="16"/>
  <c r="D619" i="16"/>
  <c r="F618" i="16"/>
  <c r="D618" i="16"/>
  <c r="F612" i="16"/>
  <c r="F521" i="16"/>
  <c r="D521" i="16"/>
  <c r="F520" i="16"/>
  <c r="D520" i="16"/>
  <c r="F519" i="16"/>
  <c r="D519" i="16"/>
  <c r="F518" i="16"/>
  <c r="D518" i="16"/>
  <c r="F516" i="16"/>
  <c r="D516" i="16"/>
  <c r="F515" i="16"/>
  <c r="D515" i="16"/>
  <c r="F514" i="16"/>
  <c r="D514" i="16"/>
  <c r="F513" i="16"/>
  <c r="D513" i="16"/>
  <c r="F507" i="16"/>
  <c r="F416" i="16"/>
  <c r="D416" i="16"/>
  <c r="F415" i="16"/>
  <c r="D415" i="16"/>
  <c r="F414" i="16"/>
  <c r="D414" i="16"/>
  <c r="F413" i="16"/>
  <c r="D413" i="16"/>
  <c r="F411" i="16"/>
  <c r="D411" i="16"/>
  <c r="F410" i="16"/>
  <c r="D410" i="16"/>
  <c r="F409" i="16"/>
  <c r="D409" i="16"/>
  <c r="F408" i="16"/>
  <c r="D408" i="16"/>
  <c r="F402" i="16"/>
  <c r="F310" i="16"/>
  <c r="D310" i="16"/>
  <c r="F309" i="16"/>
  <c r="D309" i="16"/>
  <c r="F308" i="16"/>
  <c r="D308" i="16"/>
  <c r="F307" i="16"/>
  <c r="D307" i="16"/>
  <c r="F305" i="16"/>
  <c r="D305" i="16"/>
  <c r="F304" i="16"/>
  <c r="D304" i="16"/>
  <c r="F303" i="16"/>
  <c r="D303" i="16"/>
  <c r="F302" i="16"/>
  <c r="D302" i="16"/>
  <c r="F296" i="16"/>
  <c r="F205" i="16"/>
  <c r="D205" i="16"/>
  <c r="F204" i="16"/>
  <c r="D204" i="16"/>
  <c r="F203" i="16"/>
  <c r="D203" i="16"/>
  <c r="F202" i="16"/>
  <c r="D202" i="16"/>
  <c r="F200" i="16"/>
  <c r="D200" i="16"/>
  <c r="F199" i="16"/>
  <c r="D199" i="16"/>
  <c r="F198" i="16"/>
  <c r="D198" i="16"/>
  <c r="F197" i="16"/>
  <c r="D197" i="16"/>
  <c r="F191" i="16"/>
  <c r="F892" i="16"/>
  <c r="F1684" i="16"/>
  <c r="D1684" i="16"/>
  <c r="F1579" i="16"/>
  <c r="D1579" i="16"/>
  <c r="F1474" i="16"/>
  <c r="D1474" i="16"/>
  <c r="F1367" i="16"/>
  <c r="D1367" i="16"/>
  <c r="F1262" i="16"/>
  <c r="D1262" i="16"/>
  <c r="F1157" i="16"/>
  <c r="D1157" i="16"/>
  <c r="F1051" i="16"/>
  <c r="D1051" i="16"/>
  <c r="F946" i="16"/>
  <c r="D946" i="16"/>
  <c r="F786" i="16"/>
  <c r="D786" i="16"/>
  <c r="F680" i="16"/>
  <c r="D680" i="16"/>
  <c r="F574" i="16"/>
  <c r="D574" i="16"/>
  <c r="F469" i="16"/>
  <c r="F1842" i="16" s="1"/>
  <c r="F1897" i="16" s="1"/>
  <c r="F1952" i="16" s="1"/>
  <c r="F2007" i="16" s="1"/>
  <c r="D469" i="16"/>
  <c r="D1842" i="16"/>
  <c r="D1897" i="16" s="1"/>
  <c r="D1952" i="16" s="1"/>
  <c r="D2007" i="16" s="1"/>
  <c r="F364" i="16"/>
  <c r="D364" i="16"/>
  <c r="F258" i="16"/>
  <c r="D258" i="16"/>
  <c r="F153" i="16"/>
  <c r="D153" i="16"/>
  <c r="F675" i="16"/>
  <c r="D675" i="16"/>
  <c r="F781" i="16"/>
  <c r="D781" i="16"/>
  <c r="F887" i="16"/>
  <c r="D887" i="16"/>
  <c r="F941" i="16"/>
  <c r="D941" i="16"/>
  <c r="F1046" i="16"/>
  <c r="D1046" i="16"/>
  <c r="F1152" i="16"/>
  <c r="D1152" i="16"/>
  <c r="F1257" i="16"/>
  <c r="D1257" i="16"/>
  <c r="F1362" i="16"/>
  <c r="D1362" i="16"/>
  <c r="D1469" i="16"/>
  <c r="F1574" i="16"/>
  <c r="D1574" i="16"/>
  <c r="F1679" i="16"/>
  <c r="D1679" i="16"/>
  <c r="F569" i="16"/>
  <c r="D569" i="16"/>
  <c r="F464" i="16"/>
  <c r="F1837" i="16"/>
  <c r="F1892" i="16" s="1"/>
  <c r="F1947" i="16" s="1"/>
  <c r="F2002" i="16" s="1"/>
  <c r="D464" i="16"/>
  <c r="D1837" i="16" s="1"/>
  <c r="D1892" i="16" s="1"/>
  <c r="D1947" i="16" s="1"/>
  <c r="D2002" i="16" s="1"/>
  <c r="F359" i="16"/>
  <c r="D359" i="16"/>
  <c r="F253" i="16"/>
  <c r="D253" i="16"/>
  <c r="F148" i="16"/>
  <c r="D148" i="16"/>
  <c r="F95" i="16"/>
  <c r="D95" i="16"/>
  <c r="F43" i="16"/>
  <c r="D43" i="16"/>
  <c r="F48" i="16"/>
  <c r="D48" i="16"/>
  <c r="F99" i="16"/>
  <c r="D99" i="16"/>
  <c r="F98" i="16"/>
  <c r="D98" i="16"/>
  <c r="F97" i="16"/>
  <c r="D97" i="16"/>
  <c r="F94" i="16"/>
  <c r="D94" i="16"/>
  <c r="F93" i="16"/>
  <c r="D93" i="16"/>
  <c r="F92" i="16"/>
  <c r="D92" i="16"/>
  <c r="F86" i="16"/>
  <c r="D32" i="1"/>
  <c r="G32" i="1" s="1"/>
  <c r="I32" i="1" s="1"/>
  <c r="D24" i="1"/>
  <c r="G24" i="1"/>
  <c r="I24" i="1" s="1"/>
  <c r="D9" i="1"/>
  <c r="G9" i="1" s="1"/>
  <c r="I9" i="1" s="1"/>
  <c r="D10" i="1"/>
  <c r="G10" i="1"/>
  <c r="I10" i="1" s="1"/>
  <c r="D11" i="1"/>
  <c r="G11" i="1" s="1"/>
  <c r="I11" i="1" s="1"/>
  <c r="D4" i="1"/>
  <c r="G4" i="1" s="1"/>
  <c r="I4" i="1" s="1"/>
  <c r="D13" i="1"/>
  <c r="G13" i="1" s="1"/>
  <c r="I13" i="1" s="1"/>
  <c r="D14" i="1"/>
  <c r="G14" i="1"/>
  <c r="I14" i="1" s="1"/>
  <c r="D5" i="1"/>
  <c r="G5" i="1" s="1"/>
  <c r="I5" i="1" s="1"/>
  <c r="D15" i="1"/>
  <c r="G15" i="1"/>
  <c r="I15" i="1" s="1"/>
  <c r="D17" i="1"/>
  <c r="G17" i="1" s="1"/>
  <c r="I17" i="1" s="1"/>
  <c r="D18" i="1"/>
  <c r="D6" i="1"/>
  <c r="D19" i="1"/>
  <c r="D20" i="1"/>
  <c r="D23" i="1"/>
  <c r="G23" i="1"/>
  <c r="I23" i="1" s="1"/>
  <c r="D25" i="1"/>
  <c r="D26" i="1"/>
  <c r="G26" i="1"/>
  <c r="I26" i="1" s="1"/>
  <c r="D27" i="1"/>
  <c r="B574" i="10"/>
  <c r="B569" i="10"/>
  <c r="B545" i="10"/>
  <c r="B544" i="10"/>
  <c r="B521" i="10"/>
  <c r="B516" i="10"/>
  <c r="B492" i="10"/>
  <c r="B491" i="10"/>
  <c r="B468" i="10"/>
  <c r="B463" i="10"/>
  <c r="B439" i="10"/>
  <c r="B438" i="10"/>
  <c r="G346" i="15"/>
  <c r="E346" i="15"/>
  <c r="G602" i="15"/>
  <c r="E602" i="15"/>
  <c r="G550" i="15"/>
  <c r="E550" i="15"/>
  <c r="G498" i="15"/>
  <c r="E498" i="15"/>
  <c r="G450" i="15"/>
  <c r="E450" i="15"/>
  <c r="G398" i="15"/>
  <c r="E398" i="15"/>
  <c r="G293" i="15"/>
  <c r="E293" i="15"/>
  <c r="F293" i="15" s="1"/>
  <c r="H293" i="15" s="1"/>
  <c r="G241" i="15"/>
  <c r="E241" i="15"/>
  <c r="G189" i="15"/>
  <c r="E189" i="15"/>
  <c r="G137" i="15"/>
  <c r="E137" i="15"/>
  <c r="G85" i="15"/>
  <c r="E85" i="15"/>
  <c r="G33" i="15"/>
  <c r="G611" i="15"/>
  <c r="E611" i="15"/>
  <c r="G559" i="15"/>
  <c r="E559" i="15"/>
  <c r="G507" i="15"/>
  <c r="E507" i="15"/>
  <c r="G459" i="15"/>
  <c r="E459" i="15"/>
  <c r="G407" i="15"/>
  <c r="E407" i="15"/>
  <c r="G355" i="15"/>
  <c r="E355" i="15"/>
  <c r="G302" i="15"/>
  <c r="E302" i="15"/>
  <c r="G250" i="15"/>
  <c r="E250" i="15"/>
  <c r="G198" i="15"/>
  <c r="E198" i="15"/>
  <c r="G146" i="15"/>
  <c r="E146" i="15"/>
  <c r="G94" i="15"/>
  <c r="E94" i="15"/>
  <c r="G42" i="15"/>
  <c r="E42" i="15"/>
  <c r="G41" i="9"/>
  <c r="E41" i="9"/>
  <c r="G32" i="9"/>
  <c r="H32" i="9"/>
  <c r="G96" i="11" s="1"/>
  <c r="H118" i="29" s="1"/>
  <c r="C13" i="14"/>
  <c r="D53" i="1"/>
  <c r="F43" i="24"/>
  <c r="D43" i="24"/>
  <c r="F42" i="24"/>
  <c r="D42" i="24"/>
  <c r="F41" i="24"/>
  <c r="D41" i="24"/>
  <c r="B40" i="24"/>
  <c r="F39" i="24"/>
  <c r="D39" i="24"/>
  <c r="F38" i="24"/>
  <c r="D38" i="24"/>
  <c r="F37" i="24"/>
  <c r="D37" i="24"/>
  <c r="B36" i="24"/>
  <c r="B14" i="24"/>
  <c r="B13" i="24"/>
  <c r="B16" i="23"/>
  <c r="B17" i="23"/>
  <c r="B18" i="23"/>
  <c r="B15" i="23"/>
  <c r="D48" i="1"/>
  <c r="D47" i="1"/>
  <c r="G47" i="1" s="1"/>
  <c r="I47" i="1" s="1"/>
  <c r="F60" i="23"/>
  <c r="D60" i="23"/>
  <c r="F59" i="23"/>
  <c r="D59" i="23"/>
  <c r="B58" i="23"/>
  <c r="F55" i="23"/>
  <c r="D55" i="23"/>
  <c r="F54" i="23"/>
  <c r="D54" i="23"/>
  <c r="B53" i="23"/>
  <c r="F48" i="23"/>
  <c r="D48" i="23"/>
  <c r="E48" i="23" s="1"/>
  <c r="G48" i="23" s="1"/>
  <c r="F34" i="20"/>
  <c r="G34" i="20"/>
  <c r="E31" i="20" s="1"/>
  <c r="C40" i="21"/>
  <c r="F47" i="20"/>
  <c r="D47" i="20"/>
  <c r="F46" i="20"/>
  <c r="D46" i="20"/>
  <c r="F45" i="20"/>
  <c r="D45" i="20"/>
  <c r="B44" i="20"/>
  <c r="F42" i="20"/>
  <c r="D42" i="20"/>
  <c r="F41" i="20"/>
  <c r="D41" i="20"/>
  <c r="F40" i="20"/>
  <c r="D40" i="20"/>
  <c r="B39" i="20"/>
  <c r="D34" i="20"/>
  <c r="G316" i="11"/>
  <c r="H398" i="29" s="1"/>
  <c r="B14" i="20"/>
  <c r="B13" i="20"/>
  <c r="D46" i="1"/>
  <c r="F33" i="19"/>
  <c r="D33" i="19"/>
  <c r="F32" i="19"/>
  <c r="D32" i="19"/>
  <c r="F31" i="19"/>
  <c r="D31" i="19"/>
  <c r="B30" i="19"/>
  <c r="D25" i="19"/>
  <c r="G25" i="19"/>
  <c r="G318" i="11"/>
  <c r="H409" i="29" s="1"/>
  <c r="B12" i="19"/>
  <c r="C67" i="13"/>
  <c r="B1490" i="14"/>
  <c r="B1491" i="14" s="1"/>
  <c r="B1492" i="14" s="1"/>
  <c r="B1493" i="14" s="1"/>
  <c r="B1494" i="14" s="1"/>
  <c r="B1495" i="14" s="1"/>
  <c r="B1496" i="14" s="1"/>
  <c r="B1497" i="14" s="1"/>
  <c r="B1498" i="14" s="1"/>
  <c r="B1499" i="14" s="1"/>
  <c r="B1500" i="14" s="1"/>
  <c r="B1157" i="14"/>
  <c r="B1158" i="14"/>
  <c r="B1159" i="14" s="1"/>
  <c r="B1160" i="14" s="1"/>
  <c r="B1161" i="14" s="1"/>
  <c r="B1162" i="14" s="1"/>
  <c r="B1163" i="14" s="1"/>
  <c r="B1164" i="14" s="1"/>
  <c r="B1165" i="14" s="1"/>
  <c r="B1166" i="14" s="1"/>
  <c r="B1167" i="14" s="1"/>
  <c r="B1101" i="14"/>
  <c r="B1102" i="14" s="1"/>
  <c r="B1103" i="14" s="1"/>
  <c r="B1104" i="14" s="1"/>
  <c r="B1105" i="14" s="1"/>
  <c r="B1106" i="14" s="1"/>
  <c r="B1107" i="14" s="1"/>
  <c r="B1108" i="14" s="1"/>
  <c r="B1109" i="14" s="1"/>
  <c r="B1110" i="14" s="1"/>
  <c r="B936" i="14"/>
  <c r="B937" i="14" s="1"/>
  <c r="B938" i="14" s="1"/>
  <c r="B939" i="14" s="1"/>
  <c r="B940" i="14" s="1"/>
  <c r="B941" i="14" s="1"/>
  <c r="B942" i="14" s="1"/>
  <c r="B943" i="14" s="1"/>
  <c r="B944" i="14" s="1"/>
  <c r="B878" i="14"/>
  <c r="B879" i="14"/>
  <c r="B880" i="14" s="1"/>
  <c r="B881" i="14" s="1"/>
  <c r="B882" i="14" s="1"/>
  <c r="B883" i="14" s="1"/>
  <c r="B884" i="14" s="1"/>
  <c r="B885" i="14" s="1"/>
  <c r="B886" i="14" s="1"/>
  <c r="B887" i="14" s="1"/>
  <c r="B888" i="14" s="1"/>
  <c r="B889" i="14" s="1"/>
  <c r="B822" i="14"/>
  <c r="B823" i="14"/>
  <c r="B824" i="14" s="1"/>
  <c r="B825" i="14" s="1"/>
  <c r="B826" i="14" s="1"/>
  <c r="B827" i="14" s="1"/>
  <c r="B828" i="14" s="1"/>
  <c r="B829" i="14" s="1"/>
  <c r="B830" i="14" s="1"/>
  <c r="B831" i="14" s="1"/>
  <c r="B765" i="14"/>
  <c r="B766" i="14"/>
  <c r="B767" i="14" s="1"/>
  <c r="B768" i="14" s="1"/>
  <c r="B769" i="14" s="1"/>
  <c r="B770" i="14" s="1"/>
  <c r="B771" i="14" s="1"/>
  <c r="B772" i="14" s="1"/>
  <c r="B773" i="14" s="1"/>
  <c r="B774" i="14" s="1"/>
  <c r="B775" i="14" s="1"/>
  <c r="B707" i="14"/>
  <c r="B708" i="14" s="1"/>
  <c r="B709" i="14" s="1"/>
  <c r="B710" i="14" s="1"/>
  <c r="B711" i="14" s="1"/>
  <c r="B712" i="14" s="1"/>
  <c r="B713" i="14" s="1"/>
  <c r="B714" i="14" s="1"/>
  <c r="B715" i="14" s="1"/>
  <c r="B716" i="14" s="1"/>
  <c r="B717" i="14" s="1"/>
  <c r="B718" i="14" s="1"/>
  <c r="B651" i="14"/>
  <c r="B652" i="14" s="1"/>
  <c r="B653" i="14" s="1"/>
  <c r="B654" i="14" s="1"/>
  <c r="B655" i="14" s="1"/>
  <c r="B656" i="14" s="1"/>
  <c r="B657" i="14" s="1"/>
  <c r="B658" i="14" s="1"/>
  <c r="B659" i="14" s="1"/>
  <c r="B660" i="14" s="1"/>
  <c r="B594" i="14"/>
  <c r="B595" i="14" s="1"/>
  <c r="B596" i="14" s="1"/>
  <c r="B597" i="14" s="1"/>
  <c r="B598" i="14" s="1"/>
  <c r="B599" i="14" s="1"/>
  <c r="B600" i="14" s="1"/>
  <c r="B601" i="14" s="1"/>
  <c r="B602" i="14" s="1"/>
  <c r="B603" i="14" s="1"/>
  <c r="B604" i="14" s="1"/>
  <c r="B474" i="14"/>
  <c r="B475" i="14"/>
  <c r="B476" i="14" s="1"/>
  <c r="B477" i="14" s="1"/>
  <c r="B478" i="14" s="1"/>
  <c r="B479" i="14" s="1"/>
  <c r="B480" i="14" s="1"/>
  <c r="B481" i="14" s="1"/>
  <c r="B482" i="14" s="1"/>
  <c r="B483" i="14" s="1"/>
  <c r="B484" i="14" s="1"/>
  <c r="B485" i="14" s="1"/>
  <c r="B486" i="14" s="1"/>
  <c r="B487" i="14" s="1"/>
  <c r="B488" i="14" s="1"/>
  <c r="B489" i="14" s="1"/>
  <c r="B490" i="14" s="1"/>
  <c r="B491" i="14" s="1"/>
  <c r="B414" i="14"/>
  <c r="B415" i="14"/>
  <c r="B416" i="14" s="1"/>
  <c r="B417" i="14" s="1"/>
  <c r="B418" i="14" s="1"/>
  <c r="B419" i="14" s="1"/>
  <c r="B420" i="14" s="1"/>
  <c r="B421" i="14" s="1"/>
  <c r="B422" i="14" s="1"/>
  <c r="B423" i="14" s="1"/>
  <c r="B424" i="14" s="1"/>
  <c r="B425" i="14" s="1"/>
  <c r="B426" i="14" s="1"/>
  <c r="B427" i="14" s="1"/>
  <c r="C150" i="17"/>
  <c r="C145" i="17"/>
  <c r="C121" i="17"/>
  <c r="C97" i="17"/>
  <c r="C92" i="17"/>
  <c r="C68" i="17"/>
  <c r="C67" i="17"/>
  <c r="C43" i="17"/>
  <c r="C38" i="17"/>
  <c r="C14" i="17"/>
  <c r="C13" i="17"/>
  <c r="F1683" i="16"/>
  <c r="D1683" i="16"/>
  <c r="F1682" i="16"/>
  <c r="D1682" i="16"/>
  <c r="F1681" i="16"/>
  <c r="D1681" i="16"/>
  <c r="F1678" i="16"/>
  <c r="D1678" i="16"/>
  <c r="F1677" i="16"/>
  <c r="D1677" i="16"/>
  <c r="F1676" i="16"/>
  <c r="D1676" i="16"/>
  <c r="F1670" i="16"/>
  <c r="F1578" i="16"/>
  <c r="D1578" i="16"/>
  <c r="F1577" i="16"/>
  <c r="D1577" i="16"/>
  <c r="F1576" i="16"/>
  <c r="D1576" i="16"/>
  <c r="F1573" i="16"/>
  <c r="D1573" i="16"/>
  <c r="F1572" i="16"/>
  <c r="D1572" i="16"/>
  <c r="F1571" i="16"/>
  <c r="D1571" i="16"/>
  <c r="F1565" i="16"/>
  <c r="F1473" i="16"/>
  <c r="D1473" i="16"/>
  <c r="F1472" i="16"/>
  <c r="D1472" i="16"/>
  <c r="F1471" i="16"/>
  <c r="D1471" i="16"/>
  <c r="F1468" i="16"/>
  <c r="D1468" i="16"/>
  <c r="F1467" i="16"/>
  <c r="D1467" i="16"/>
  <c r="F1466" i="16"/>
  <c r="D1466" i="16"/>
  <c r="F1460" i="16"/>
  <c r="F1366" i="16"/>
  <c r="D1366" i="16"/>
  <c r="F1365" i="16"/>
  <c r="D1365" i="16"/>
  <c r="F1364" i="16"/>
  <c r="D1364" i="16"/>
  <c r="F1361" i="16"/>
  <c r="D1361" i="16"/>
  <c r="F1360" i="16"/>
  <c r="D1360" i="16"/>
  <c r="F1359" i="16"/>
  <c r="D1359" i="16"/>
  <c r="F1353" i="16"/>
  <c r="F1261" i="16"/>
  <c r="D1261" i="16"/>
  <c r="F1260" i="16"/>
  <c r="D1260" i="16"/>
  <c r="F1259" i="16"/>
  <c r="D1259" i="16"/>
  <c r="F1256" i="16"/>
  <c r="D1256" i="16"/>
  <c r="F1255" i="16"/>
  <c r="D1255" i="16"/>
  <c r="F1254" i="16"/>
  <c r="D1254" i="16"/>
  <c r="F1248" i="16"/>
  <c r="F1156" i="16"/>
  <c r="D1156" i="16"/>
  <c r="F1155" i="16"/>
  <c r="D1155" i="16"/>
  <c r="F1154" i="16"/>
  <c r="D1154" i="16"/>
  <c r="F1151" i="16"/>
  <c r="D1151" i="16"/>
  <c r="F1150" i="16"/>
  <c r="D1150" i="16"/>
  <c r="F1149" i="16"/>
  <c r="D1149" i="16"/>
  <c r="F1143" i="16"/>
  <c r="F1050" i="16"/>
  <c r="D1050" i="16"/>
  <c r="F1049" i="16"/>
  <c r="D1049" i="16"/>
  <c r="F1048" i="16"/>
  <c r="D1048" i="16"/>
  <c r="F1045" i="16"/>
  <c r="D1045" i="16"/>
  <c r="F1044" i="16"/>
  <c r="D1044" i="16"/>
  <c r="F1043" i="16"/>
  <c r="D1043" i="16"/>
  <c r="F1037" i="16"/>
  <c r="F945" i="16"/>
  <c r="D945" i="16"/>
  <c r="F944" i="16"/>
  <c r="D944" i="16"/>
  <c r="F943" i="16"/>
  <c r="D943" i="16"/>
  <c r="F940" i="16"/>
  <c r="D940" i="16"/>
  <c r="F939" i="16"/>
  <c r="D939" i="16"/>
  <c r="F938" i="16"/>
  <c r="D938" i="16"/>
  <c r="F932" i="16"/>
  <c r="F891" i="16"/>
  <c r="F890" i="16"/>
  <c r="D890" i="16"/>
  <c r="F889" i="16"/>
  <c r="D889" i="16"/>
  <c r="F886" i="16"/>
  <c r="D886" i="16"/>
  <c r="F885" i="16"/>
  <c r="D885" i="16"/>
  <c r="F884" i="16"/>
  <c r="D884" i="16"/>
  <c r="F878" i="16"/>
  <c r="F785" i="16"/>
  <c r="D785" i="16"/>
  <c r="F784" i="16"/>
  <c r="D784" i="16"/>
  <c r="F783" i="16"/>
  <c r="D783" i="16"/>
  <c r="F780" i="16"/>
  <c r="D780" i="16"/>
  <c r="F779" i="16"/>
  <c r="D779" i="16"/>
  <c r="F778" i="16"/>
  <c r="D778" i="16"/>
  <c r="F772" i="16"/>
  <c r="F679" i="16"/>
  <c r="D679" i="16"/>
  <c r="F678" i="16"/>
  <c r="D678" i="16"/>
  <c r="F677" i="16"/>
  <c r="D677" i="16"/>
  <c r="F674" i="16"/>
  <c r="D674" i="16"/>
  <c r="F673" i="16"/>
  <c r="D673" i="16"/>
  <c r="F672" i="16"/>
  <c r="D672" i="16"/>
  <c r="F666" i="16"/>
  <c r="F573" i="16"/>
  <c r="D573" i="16"/>
  <c r="F572" i="16"/>
  <c r="D572" i="16"/>
  <c r="F571" i="16"/>
  <c r="D571" i="16"/>
  <c r="F568" i="16"/>
  <c r="D568" i="16"/>
  <c r="F567" i="16"/>
  <c r="D567" i="16"/>
  <c r="F566" i="16"/>
  <c r="D566" i="16"/>
  <c r="F560" i="16"/>
  <c r="F468" i="16"/>
  <c r="F1841" i="16"/>
  <c r="F1896" i="16" s="1"/>
  <c r="F1951" i="16" s="1"/>
  <c r="F2006" i="16" s="1"/>
  <c r="D468" i="16"/>
  <c r="D1841" i="16" s="1"/>
  <c r="D1896" i="16" s="1"/>
  <c r="D1951" i="16" s="1"/>
  <c r="D2006" i="16" s="1"/>
  <c r="F467" i="16"/>
  <c r="F1840" i="16"/>
  <c r="F1895" i="16" s="1"/>
  <c r="F1950" i="16" s="1"/>
  <c r="F2005" i="16" s="1"/>
  <c r="D467" i="16"/>
  <c r="D1840" i="16" s="1"/>
  <c r="D1895" i="16" s="1"/>
  <c r="D1950" i="16" s="1"/>
  <c r="D2005" i="16" s="1"/>
  <c r="F466" i="16"/>
  <c r="F1839" i="16"/>
  <c r="F1894" i="16" s="1"/>
  <c r="F1949" i="16" s="1"/>
  <c r="F2004" i="16" s="1"/>
  <c r="D466" i="16"/>
  <c r="D1839" i="16" s="1"/>
  <c r="D1894" i="16" s="1"/>
  <c r="D1949" i="16" s="1"/>
  <c r="D2004" i="16" s="1"/>
  <c r="F463" i="16"/>
  <c r="F1836" i="16"/>
  <c r="F1891" i="16" s="1"/>
  <c r="F1946" i="16" s="1"/>
  <c r="F2001" i="16" s="1"/>
  <c r="D463" i="16"/>
  <c r="D1836" i="16" s="1"/>
  <c r="D1891" i="16" s="1"/>
  <c r="D1946" i="16" s="1"/>
  <c r="D2001" i="16" s="1"/>
  <c r="F462" i="16"/>
  <c r="F1835" i="16"/>
  <c r="F1890" i="16" s="1"/>
  <c r="F1945" i="16" s="1"/>
  <c r="F2000" i="16" s="1"/>
  <c r="D462" i="16"/>
  <c r="D1835" i="16" s="1"/>
  <c r="D1890" i="16" s="1"/>
  <c r="D1945" i="16" s="1"/>
  <c r="D2000" i="16" s="1"/>
  <c r="F461" i="16"/>
  <c r="F1834" i="16"/>
  <c r="F1889" i="16" s="1"/>
  <c r="F1944" i="16" s="1"/>
  <c r="F1999" i="16" s="1"/>
  <c r="D461" i="16"/>
  <c r="D1834" i="16" s="1"/>
  <c r="D1889" i="16" s="1"/>
  <c r="D1944" i="16" s="1"/>
  <c r="D1999" i="16" s="1"/>
  <c r="F455" i="16"/>
  <c r="F1828" i="16"/>
  <c r="F1883" i="16" s="1"/>
  <c r="F1938" i="16" s="1"/>
  <c r="F1993" i="16" s="1"/>
  <c r="F363" i="16"/>
  <c r="D363" i="16"/>
  <c r="F362" i="16"/>
  <c r="D362" i="16"/>
  <c r="F361" i="16"/>
  <c r="D361" i="16"/>
  <c r="F358" i="16"/>
  <c r="D358" i="16"/>
  <c r="F357" i="16"/>
  <c r="D357" i="16"/>
  <c r="F356" i="16"/>
  <c r="D356" i="16"/>
  <c r="F350" i="16"/>
  <c r="F257" i="16"/>
  <c r="D257" i="16"/>
  <c r="F256" i="16"/>
  <c r="D256" i="16"/>
  <c r="F255" i="16"/>
  <c r="D255" i="16"/>
  <c r="F252" i="16"/>
  <c r="D252" i="16"/>
  <c r="F251" i="16"/>
  <c r="D251" i="16"/>
  <c r="F250" i="16"/>
  <c r="D250" i="16"/>
  <c r="F244" i="16"/>
  <c r="F152" i="16"/>
  <c r="D152" i="16"/>
  <c r="F151" i="16"/>
  <c r="D151" i="16"/>
  <c r="F150" i="16"/>
  <c r="D150" i="16"/>
  <c r="F147" i="16"/>
  <c r="D147" i="16"/>
  <c r="F146" i="16"/>
  <c r="D146" i="16"/>
  <c r="F145" i="16"/>
  <c r="D145" i="16"/>
  <c r="F139" i="16"/>
  <c r="F47" i="16"/>
  <c r="D47" i="16"/>
  <c r="F46" i="16"/>
  <c r="D46" i="16"/>
  <c r="F45" i="16"/>
  <c r="D45" i="16"/>
  <c r="F42" i="16"/>
  <c r="D42" i="16"/>
  <c r="F41" i="16"/>
  <c r="D41" i="16"/>
  <c r="F40" i="16"/>
  <c r="D40" i="16"/>
  <c r="B82" i="14"/>
  <c r="B83" i="14"/>
  <c r="B84" i="14" s="1"/>
  <c r="B85" i="14" s="1"/>
  <c r="B86" i="14" s="1"/>
  <c r="B87" i="14" s="1"/>
  <c r="B88" i="14" s="1"/>
  <c r="B89" i="14" s="1"/>
  <c r="B90" i="14" s="1"/>
  <c r="B91" i="14" s="1"/>
  <c r="B92" i="14" s="1"/>
  <c r="C108" i="14"/>
  <c r="C74" i="14"/>
  <c r="D45" i="1"/>
  <c r="B415" i="10"/>
  <c r="B410" i="10"/>
  <c r="B386" i="10"/>
  <c r="B385" i="10"/>
  <c r="B362" i="10"/>
  <c r="B357" i="10"/>
  <c r="B333" i="10"/>
  <c r="B332" i="10"/>
  <c r="B308" i="10"/>
  <c r="B303" i="10"/>
  <c r="B279" i="10"/>
  <c r="B278" i="10"/>
  <c r="B255" i="10"/>
  <c r="B250" i="10"/>
  <c r="B226" i="10"/>
  <c r="B225" i="10"/>
  <c r="B202" i="10"/>
  <c r="B197" i="10"/>
  <c r="B173" i="10"/>
  <c r="B172" i="10"/>
  <c r="B149" i="10"/>
  <c r="B144" i="10"/>
  <c r="B120" i="10"/>
  <c r="B119" i="10"/>
  <c r="B96" i="10"/>
  <c r="B91" i="10"/>
  <c r="B67" i="10"/>
  <c r="B66" i="10"/>
  <c r="G610" i="15"/>
  <c r="E610" i="15"/>
  <c r="G609" i="15"/>
  <c r="E609" i="15"/>
  <c r="G608" i="15"/>
  <c r="E608" i="15"/>
  <c r="C607" i="15"/>
  <c r="C582" i="15"/>
  <c r="G558" i="15"/>
  <c r="E558" i="15"/>
  <c r="G557" i="15"/>
  <c r="E557" i="15"/>
  <c r="G556" i="15"/>
  <c r="E556" i="15"/>
  <c r="C555" i="15"/>
  <c r="C530" i="15"/>
  <c r="G506" i="15"/>
  <c r="E506" i="15"/>
  <c r="G505" i="15"/>
  <c r="E505" i="15"/>
  <c r="G504" i="15"/>
  <c r="E504" i="15"/>
  <c r="C503" i="15"/>
  <c r="C478" i="15"/>
  <c r="G458" i="15"/>
  <c r="E458" i="15"/>
  <c r="G457" i="15"/>
  <c r="E457" i="15"/>
  <c r="G456" i="15"/>
  <c r="E456" i="15"/>
  <c r="C455" i="15"/>
  <c r="C430" i="15"/>
  <c r="G406" i="15"/>
  <c r="E406" i="15"/>
  <c r="G405" i="15"/>
  <c r="E405" i="15"/>
  <c r="G404" i="15"/>
  <c r="E404" i="15"/>
  <c r="C403" i="15"/>
  <c r="C378" i="15"/>
  <c r="G354" i="15"/>
  <c r="E354" i="15"/>
  <c r="G353" i="15"/>
  <c r="E353" i="15"/>
  <c r="G352" i="15"/>
  <c r="E352" i="15"/>
  <c r="C351" i="15"/>
  <c r="C325" i="15"/>
  <c r="G301" i="15"/>
  <c r="E301" i="15"/>
  <c r="G300" i="15"/>
  <c r="E300" i="15"/>
  <c r="G299" i="15"/>
  <c r="E299" i="15"/>
  <c r="C298" i="15"/>
  <c r="C273" i="15"/>
  <c r="G249" i="15"/>
  <c r="E249" i="15"/>
  <c r="G248" i="15"/>
  <c r="E248" i="15"/>
  <c r="G247" i="15"/>
  <c r="E247" i="15"/>
  <c r="C246" i="15"/>
  <c r="C221" i="15"/>
  <c r="G197" i="15"/>
  <c r="E197" i="15"/>
  <c r="G196" i="15"/>
  <c r="E196" i="15"/>
  <c r="G195" i="15"/>
  <c r="E195" i="15"/>
  <c r="C194" i="15"/>
  <c r="C169" i="15"/>
  <c r="C1311" i="9"/>
  <c r="C1262" i="9"/>
  <c r="C1213" i="9"/>
  <c r="C1164" i="9"/>
  <c r="C1115" i="9"/>
  <c r="C1066" i="9"/>
  <c r="C1017" i="9"/>
  <c r="C968" i="9"/>
  <c r="C919" i="9"/>
  <c r="E40" i="9"/>
  <c r="E39" i="9"/>
  <c r="E38" i="9"/>
  <c r="G40" i="9"/>
  <c r="G39" i="9"/>
  <c r="G38" i="9"/>
  <c r="C821" i="9"/>
  <c r="C723" i="9"/>
  <c r="C674" i="9"/>
  <c r="C625" i="9"/>
  <c r="C576" i="9"/>
  <c r="C527" i="9"/>
  <c r="C478" i="9"/>
  <c r="C429" i="9"/>
  <c r="C380" i="9"/>
  <c r="C331" i="9"/>
  <c r="C282" i="9"/>
  <c r="C233" i="9"/>
  <c r="C184" i="9"/>
  <c r="C135" i="9"/>
  <c r="C117" i="15"/>
  <c r="C142" i="15"/>
  <c r="E143" i="15"/>
  <c r="G143" i="15"/>
  <c r="E144" i="15"/>
  <c r="G144" i="15"/>
  <c r="E145" i="15"/>
  <c r="G145" i="15"/>
  <c r="G93" i="15"/>
  <c r="E93" i="15"/>
  <c r="G92" i="15"/>
  <c r="E92" i="15"/>
  <c r="G91" i="15"/>
  <c r="E91" i="15"/>
  <c r="C90" i="15"/>
  <c r="C65" i="15"/>
  <c r="G41" i="15"/>
  <c r="G40" i="15"/>
  <c r="G39" i="15"/>
  <c r="E41" i="15"/>
  <c r="E40" i="15"/>
  <c r="E39" i="15"/>
  <c r="C38" i="15"/>
  <c r="C13" i="15"/>
  <c r="B22" i="14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C51" i="14"/>
  <c r="C46" i="14"/>
  <c r="C14" i="14"/>
  <c r="C44" i="13"/>
  <c r="C14" i="13"/>
  <c r="C13" i="13"/>
  <c r="B43" i="10"/>
  <c r="B38" i="10"/>
  <c r="C37" i="9"/>
  <c r="D33" i="1"/>
  <c r="D37" i="1"/>
  <c r="G37" i="1" s="1"/>
  <c r="I37" i="1" s="1"/>
  <c r="D39" i="1"/>
  <c r="D40" i="1"/>
  <c r="G40" i="1" s="1"/>
  <c r="I40" i="1" s="1"/>
  <c r="D41" i="1"/>
  <c r="G41" i="1"/>
  <c r="I41" i="1" s="1"/>
  <c r="D42" i="1"/>
  <c r="D43" i="1"/>
  <c r="G43" i="1"/>
  <c r="I43" i="1" s="1"/>
  <c r="D44" i="1"/>
  <c r="D38" i="1"/>
  <c r="G38" i="1"/>
  <c r="I38" i="1" s="1"/>
  <c r="B14" i="10"/>
  <c r="B13" i="10"/>
  <c r="H6" i="5"/>
  <c r="H5" i="5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6" i="2"/>
  <c r="G5" i="2"/>
  <c r="H95" i="17"/>
  <c r="D81" i="9"/>
  <c r="D179" i="9"/>
  <c r="D326" i="9"/>
  <c r="D473" i="9"/>
  <c r="D620" i="9"/>
  <c r="D767" i="9"/>
  <c r="D914" i="9"/>
  <c r="D1061" i="9"/>
  <c r="D1208" i="9"/>
  <c r="D130" i="9"/>
  <c r="D228" i="9"/>
  <c r="D375" i="9"/>
  <c r="D522" i="9"/>
  <c r="D669" i="9"/>
  <c r="D816" i="9"/>
  <c r="D963" i="9"/>
  <c r="D1110" i="9"/>
  <c r="F58" i="9"/>
  <c r="G58" i="9"/>
  <c r="E1815" i="16"/>
  <c r="E1870" i="16"/>
  <c r="E1820" i="16"/>
  <c r="E1875" i="16"/>
  <c r="F448" i="16"/>
  <c r="E1814" i="16"/>
  <c r="E1869" i="16" s="1"/>
  <c r="D39" i="17"/>
  <c r="D44" i="17" s="1"/>
  <c r="F44" i="17" s="1"/>
  <c r="H44" i="17" s="1"/>
  <c r="D146" i="17"/>
  <c r="D151" i="17" s="1"/>
  <c r="F151" i="17" s="1"/>
  <c r="G328" i="13"/>
  <c r="G385" i="13"/>
  <c r="G442" i="13" s="1"/>
  <c r="G499" i="13" s="1"/>
  <c r="G556" i="13" s="1"/>
  <c r="G613" i="13" s="1"/>
  <c r="G670" i="13" s="1"/>
  <c r="G727" i="13" s="1"/>
  <c r="G784" i="13" s="1"/>
  <c r="G841" i="13" s="1"/>
  <c r="G898" i="13" s="1"/>
  <c r="G955" i="13" s="1"/>
  <c r="G1012" i="13" s="1"/>
  <c r="G1069" i="13" s="1"/>
  <c r="G1126" i="13" s="1"/>
  <c r="G1183" i="13" s="1"/>
  <c r="G1240" i="13" s="1"/>
  <c r="G1297" i="13" s="1"/>
  <c r="G274" i="13"/>
  <c r="G1354" i="13"/>
  <c r="F70" i="14"/>
  <c r="F127" i="14"/>
  <c r="F181" i="14" s="1"/>
  <c r="F237" i="14" s="1"/>
  <c r="F291" i="14" s="1"/>
  <c r="F347" i="14" s="1"/>
  <c r="F402" i="14" s="1"/>
  <c r="F462" i="14" s="1"/>
  <c r="F526" i="14" s="1"/>
  <c r="F582" i="14" s="1"/>
  <c r="F639" i="14" s="1"/>
  <c r="F695" i="14" s="1"/>
  <c r="F753" i="14" s="1"/>
  <c r="F810" i="14" s="1"/>
  <c r="F866" i="14" s="1"/>
  <c r="F924" i="14" s="1"/>
  <c r="F979" i="14" s="1"/>
  <c r="F1034" i="14" s="1"/>
  <c r="F1089" i="14" s="1"/>
  <c r="F1145" i="14" s="1"/>
  <c r="F1202" i="14" s="1"/>
  <c r="F1256" i="14" s="1"/>
  <c r="F1310" i="14" s="1"/>
  <c r="F1366" i="14" s="1"/>
  <c r="F1422" i="14" s="1"/>
  <c r="F1478" i="14" s="1"/>
  <c r="F1535" i="14" s="1"/>
  <c r="F1590" i="14" s="1"/>
  <c r="D9" i="36"/>
  <c r="D451" i="36"/>
  <c r="D10" i="36"/>
  <c r="D64" i="36"/>
  <c r="C66" i="13"/>
  <c r="C92" i="13"/>
  <c r="F862" i="9"/>
  <c r="F62" i="13"/>
  <c r="F115" i="13" s="1"/>
  <c r="F168" i="13" s="1"/>
  <c r="F222" i="13" s="1"/>
  <c r="E20" i="20"/>
  <c r="F20" i="20" s="1"/>
  <c r="F26" i="9"/>
  <c r="F75" i="9" s="1"/>
  <c r="F124" i="9" s="1"/>
  <c r="F173" i="9" s="1"/>
  <c r="F222" i="9" s="1"/>
  <c r="F271" i="9" s="1"/>
  <c r="F320" i="9" s="1"/>
  <c r="F369" i="9" s="1"/>
  <c r="F418" i="9" s="1"/>
  <c r="F467" i="9" s="1"/>
  <c r="F516" i="9" s="1"/>
  <c r="F565" i="9" s="1"/>
  <c r="F614" i="9" s="1"/>
  <c r="F663" i="9" s="1"/>
  <c r="F712" i="9" s="1"/>
  <c r="F761" i="9" s="1"/>
  <c r="F810" i="9" s="1"/>
  <c r="F859" i="9" s="1"/>
  <c r="F908" i="9" s="1"/>
  <c r="F957" i="9" s="1"/>
  <c r="F1006" i="9" s="1"/>
  <c r="F1055" i="9" s="1"/>
  <c r="F1104" i="9" s="1"/>
  <c r="F1153" i="9" s="1"/>
  <c r="F1202" i="9" s="1"/>
  <c r="F1251" i="9" s="1"/>
  <c r="F1300" i="9" s="1"/>
  <c r="G21" i="9"/>
  <c r="G70" i="9"/>
  <c r="G119" i="9" s="1"/>
  <c r="G168" i="9" s="1"/>
  <c r="G217" i="9" s="1"/>
  <c r="G266" i="9" s="1"/>
  <c r="G315" i="9" s="1"/>
  <c r="G364" i="9" s="1"/>
  <c r="G413" i="9" s="1"/>
  <c r="G462" i="9" s="1"/>
  <c r="G511" i="9" s="1"/>
  <c r="G560" i="9" s="1"/>
  <c r="G609" i="9" s="1"/>
  <c r="G658" i="9" s="1"/>
  <c r="G707" i="9" s="1"/>
  <c r="G756" i="9" s="1"/>
  <c r="G805" i="9" s="1"/>
  <c r="G854" i="9" s="1"/>
  <c r="G903" i="9" s="1"/>
  <c r="G952" i="9" s="1"/>
  <c r="G1001" i="9" s="1"/>
  <c r="G1050" i="9" s="1"/>
  <c r="G1099" i="9" s="1"/>
  <c r="G1148" i="9" s="1"/>
  <c r="G1197" i="9" s="1"/>
  <c r="G1246" i="9" s="1"/>
  <c r="G1295" i="9" s="1"/>
  <c r="E1080" i="36"/>
  <c r="G1080" i="36" s="1"/>
  <c r="O27" i="36"/>
  <c r="F29" i="9"/>
  <c r="G361" i="36"/>
  <c r="G415" i="36"/>
  <c r="G1221" i="14"/>
  <c r="G943" i="14"/>
  <c r="G939" i="14"/>
  <c r="G1218" i="14"/>
  <c r="G1214" i="14"/>
  <c r="G941" i="14"/>
  <c r="G414" i="36"/>
  <c r="G936" i="14"/>
  <c r="E870" i="16"/>
  <c r="F870" i="16"/>
  <c r="F812" i="16"/>
  <c r="F1766" i="16"/>
  <c r="F1715" i="16"/>
  <c r="F1768" i="16"/>
  <c r="F1763" i="16"/>
  <c r="H100" i="17"/>
  <c r="F87" i="17"/>
  <c r="H87" i="17" s="1"/>
  <c r="F84" i="17" s="1"/>
  <c r="G290" i="11" s="1"/>
  <c r="H209" i="29" s="1"/>
  <c r="F75" i="12"/>
  <c r="G75" i="12"/>
  <c r="F83" i="12"/>
  <c r="G83" i="12"/>
  <c r="F76" i="12"/>
  <c r="G76" i="12"/>
  <c r="F79" i="12"/>
  <c r="G79" i="12"/>
  <c r="C13" i="12"/>
  <c r="C44" i="12"/>
  <c r="F1617" i="14"/>
  <c r="H1617" i="14"/>
  <c r="D424" i="9"/>
  <c r="D1306" i="9"/>
  <c r="D152" i="34"/>
  <c r="F152" i="34"/>
  <c r="H152" i="34" s="1"/>
  <c r="F149" i="34" s="1"/>
  <c r="G68" i="11" s="1"/>
  <c r="H81" i="29" s="1"/>
  <c r="E321" i="15"/>
  <c r="D630" i="15"/>
  <c r="E630" i="15" s="1"/>
  <c r="G336" i="15"/>
  <c r="F645" i="15"/>
  <c r="G645" i="15"/>
  <c r="E9" i="9"/>
  <c r="H9" i="9"/>
  <c r="J9" i="9" s="1"/>
  <c r="D12" i="9" s="1"/>
  <c r="F12" i="9" s="1"/>
  <c r="G339" i="15"/>
  <c r="F648" i="15"/>
  <c r="G648" i="15"/>
  <c r="G332" i="15"/>
  <c r="F641" i="15"/>
  <c r="G641" i="15" s="1"/>
  <c r="G544" i="15"/>
  <c r="G444" i="15"/>
  <c r="G596" i="15"/>
  <c r="G492" i="15"/>
  <c r="G392" i="15"/>
  <c r="G329" i="10"/>
  <c r="I329" i="10"/>
  <c r="C333" i="10" s="1"/>
  <c r="E333" i="10" s="1"/>
  <c r="D32" i="9"/>
  <c r="D865" i="9"/>
  <c r="D277" i="9"/>
  <c r="D1012" i="9"/>
  <c r="E108" i="34"/>
  <c r="F5" i="32"/>
  <c r="E6" i="32"/>
  <c r="F6" i="32"/>
  <c r="G46" i="1"/>
  <c r="I46" i="1"/>
  <c r="G45" i="1"/>
  <c r="I45" i="1"/>
  <c r="G435" i="10"/>
  <c r="I435" i="10"/>
  <c r="C439" i="10" s="1"/>
  <c r="E439" i="10" s="1"/>
  <c r="D107" i="9"/>
  <c r="E107" i="9"/>
  <c r="C9" i="23"/>
  <c r="D9" i="23"/>
  <c r="G9" i="23" s="1"/>
  <c r="I9" i="23" s="1"/>
  <c r="C15" i="23" s="1"/>
  <c r="E15" i="23" s="1"/>
  <c r="D22" i="1"/>
  <c r="G22" i="1"/>
  <c r="I22" i="1" s="1"/>
  <c r="G540" i="10"/>
  <c r="I540" i="10" s="1"/>
  <c r="C544" i="10" s="1"/>
  <c r="E544" i="10" s="1"/>
  <c r="G12" i="1"/>
  <c r="I12" i="1" s="1"/>
  <c r="C62" i="10"/>
  <c r="D62" i="10" s="1"/>
  <c r="G62" i="10" s="1"/>
  <c r="I62" i="10" s="1"/>
  <c r="C66" i="10" s="1"/>
  <c r="E66" i="10" s="1"/>
  <c r="D8" i="1"/>
  <c r="D7" i="1"/>
  <c r="E63" i="17"/>
  <c r="D9" i="15"/>
  <c r="E9" i="15"/>
  <c r="G10" i="20"/>
  <c r="I10" i="20"/>
  <c r="C14" i="20" s="1"/>
  <c r="E14" i="20" s="1"/>
  <c r="D62" i="13"/>
  <c r="E106" i="34"/>
  <c r="G168" i="10"/>
  <c r="I168" i="10"/>
  <c r="C172" i="10" s="1"/>
  <c r="E172" i="10" s="1"/>
  <c r="G119" i="11"/>
  <c r="H141" i="29" s="1"/>
  <c r="G111" i="11"/>
  <c r="H133" i="29" s="1"/>
  <c r="D33" i="15"/>
  <c r="E22" i="19"/>
  <c r="G340" i="15"/>
  <c r="F133" i="10"/>
  <c r="F346" i="10"/>
  <c r="F558" i="10"/>
  <c r="D578" i="15"/>
  <c r="E578" i="15" s="1"/>
  <c r="D474" i="15"/>
  <c r="E474" i="15" s="1"/>
  <c r="D40" i="13"/>
  <c r="F40" i="13" s="1"/>
  <c r="H40" i="13" s="1"/>
  <c r="C37" i="24"/>
  <c r="E37" i="24"/>
  <c r="G37" i="24" s="1"/>
  <c r="C31" i="19"/>
  <c r="E31" i="19" s="1"/>
  <c r="G31" i="19" s="1"/>
  <c r="I318" i="11" s="1"/>
  <c r="J409" i="29" s="1"/>
  <c r="C40" i="20"/>
  <c r="C54" i="23"/>
  <c r="E54" i="23" s="1"/>
  <c r="G54" i="23" s="1"/>
  <c r="C39" i="10"/>
  <c r="C92" i="10"/>
  <c r="D40" i="12"/>
  <c r="D45" i="12"/>
  <c r="F45" i="12" s="1"/>
  <c r="H45" i="12" s="1"/>
  <c r="D39" i="15"/>
  <c r="D47" i="14"/>
  <c r="D40" i="36" s="1"/>
  <c r="D38" i="9"/>
  <c r="D87" i="9"/>
  <c r="D136" i="9" s="1"/>
  <c r="D41" i="21"/>
  <c r="F41" i="21" s="1"/>
  <c r="H41" i="21" s="1"/>
  <c r="D44" i="34"/>
  <c r="C44" i="28"/>
  <c r="E44" i="28" s="1"/>
  <c r="G44" i="28" s="1"/>
  <c r="I371" i="11" s="1"/>
  <c r="F186" i="10"/>
  <c r="F239" i="10"/>
  <c r="F399" i="10"/>
  <c r="F33" i="1"/>
  <c r="F452" i="10"/>
  <c r="C9" i="20"/>
  <c r="D9" i="20"/>
  <c r="C274" i="10"/>
  <c r="D274" i="10"/>
  <c r="D165" i="15"/>
  <c r="E165" i="15"/>
  <c r="F27" i="10"/>
  <c r="F27" i="12"/>
  <c r="F82" i="12" s="1"/>
  <c r="E344" i="10"/>
  <c r="F344" i="10" s="1"/>
  <c r="E397" i="10"/>
  <c r="F397" i="10" s="1"/>
  <c r="F127" i="16"/>
  <c r="F760" i="16"/>
  <c r="F654" i="16"/>
  <c r="F22" i="16"/>
  <c r="F23" i="12"/>
  <c r="F78" i="12" s="1"/>
  <c r="F35" i="21"/>
  <c r="H35" i="21" s="1"/>
  <c r="G292" i="11" s="1"/>
  <c r="H211" i="29" s="1"/>
  <c r="F282" i="15"/>
  <c r="G282" i="15" s="1"/>
  <c r="F390" i="15"/>
  <c r="G390" i="15" s="1"/>
  <c r="F386" i="15"/>
  <c r="G386" i="15" s="1"/>
  <c r="G426" i="15"/>
  <c r="F490" i="15"/>
  <c r="G490" i="15"/>
  <c r="F486" i="15"/>
  <c r="G486" i="15"/>
  <c r="E420" i="14"/>
  <c r="G420" i="14"/>
  <c r="E31" i="14"/>
  <c r="G31" i="14"/>
  <c r="E544" i="14"/>
  <c r="G544" i="14"/>
  <c r="E25" i="34"/>
  <c r="G25" i="34"/>
  <c r="E82" i="34"/>
  <c r="G82" i="34"/>
  <c r="E88" i="14"/>
  <c r="G88" i="14"/>
  <c r="E141" i="14"/>
  <c r="G141" i="14"/>
  <c r="E251" i="14"/>
  <c r="G251" i="14"/>
  <c r="E480" i="14"/>
  <c r="G480" i="14"/>
  <c r="E768" i="14"/>
  <c r="G768" i="14"/>
  <c r="E824" i="14"/>
  <c r="G824" i="14"/>
  <c r="E882" i="14"/>
  <c r="G882" i="14"/>
  <c r="E992" i="14"/>
  <c r="G992" i="14"/>
  <c r="E1160" i="14"/>
  <c r="G1160" i="14"/>
  <c r="E1548" i="14"/>
  <c r="G1548" i="14"/>
  <c r="E139" i="34"/>
  <c r="G139" i="34"/>
  <c r="E1494" i="14"/>
  <c r="G1494" i="14"/>
  <c r="E197" i="14"/>
  <c r="G197" i="14"/>
  <c r="E362" i="14"/>
  <c r="G362" i="14"/>
  <c r="E599" i="14"/>
  <c r="G599" i="14"/>
  <c r="E653" i="14"/>
  <c r="G653" i="14"/>
  <c r="E711" i="14"/>
  <c r="G711" i="14"/>
  <c r="E937" i="14"/>
  <c r="G937" i="14"/>
  <c r="E1047" i="14"/>
  <c r="G1047" i="14"/>
  <c r="E1103" i="14"/>
  <c r="G1103" i="14"/>
  <c r="E1269" i="14"/>
  <c r="G1269" i="14"/>
  <c r="E1436" i="14"/>
  <c r="G1436" i="14"/>
  <c r="E1604" i="14"/>
  <c r="G1604" i="14"/>
  <c r="F25" i="12"/>
  <c r="F80" i="12"/>
  <c r="F80" i="21"/>
  <c r="G80" i="21"/>
  <c r="F136" i="21"/>
  <c r="G136" i="21"/>
  <c r="F191" i="21"/>
  <c r="G191" i="21"/>
  <c r="E129" i="16"/>
  <c r="F129" i="16"/>
  <c r="E234" i="16"/>
  <c r="F234" i="16"/>
  <c r="E814" i="16"/>
  <c r="E868" i="16"/>
  <c r="F868" i="16" s="1"/>
  <c r="E392" i="16"/>
  <c r="F392" i="16" s="1"/>
  <c r="E445" i="16"/>
  <c r="E1818" i="16" s="1"/>
  <c r="E656" i="16"/>
  <c r="F656" i="16" s="1"/>
  <c r="E602" i="16"/>
  <c r="F602" i="16" s="1"/>
  <c r="E974" i="16"/>
  <c r="F974" i="16" s="1"/>
  <c r="E1502" i="16"/>
  <c r="F1502" i="16" s="1"/>
  <c r="E1080" i="16"/>
  <c r="F1080" i="16" s="1"/>
  <c r="E1133" i="16"/>
  <c r="F1133" i="16" s="1"/>
  <c r="E1290" i="16"/>
  <c r="F1290" i="16" s="1"/>
  <c r="E1713" i="16"/>
  <c r="F1713" i="16" s="1"/>
  <c r="E1343" i="16"/>
  <c r="F1343" i="16" s="1"/>
  <c r="E1555" i="16"/>
  <c r="F1555" i="16" s="1"/>
  <c r="E24" i="16"/>
  <c r="F24" i="16" s="1"/>
  <c r="F77" i="17"/>
  <c r="G77" i="17" s="1"/>
  <c r="D92" i="21"/>
  <c r="F594" i="15"/>
  <c r="G594" i="15"/>
  <c r="F1337" i="14"/>
  <c r="F18" i="19"/>
  <c r="F20" i="19" s="1"/>
  <c r="F177" i="15"/>
  <c r="G177" i="15" s="1"/>
  <c r="F125" i="15"/>
  <c r="G125" i="15" s="1"/>
  <c r="F21" i="15"/>
  <c r="G21" i="15" s="1"/>
  <c r="F229" i="15"/>
  <c r="G229" i="15" s="1"/>
  <c r="F538" i="15"/>
  <c r="G538" i="15" s="1"/>
  <c r="G545" i="15" s="1"/>
  <c r="F22" i="12"/>
  <c r="G22" i="12" s="1"/>
  <c r="E229" i="16"/>
  <c r="F229" i="16" s="1"/>
  <c r="E177" i="16"/>
  <c r="F177" i="16" s="1"/>
  <c r="E124" i="16"/>
  <c r="F124" i="16" s="1"/>
  <c r="E440" i="16"/>
  <c r="E1813" i="16" s="1"/>
  <c r="E545" i="16"/>
  <c r="F545" i="16" s="1"/>
  <c r="E810" i="16"/>
  <c r="F810" i="16" s="1"/>
  <c r="E388" i="16"/>
  <c r="F388" i="16" s="1"/>
  <c r="E493" i="16"/>
  <c r="F493" i="16" s="1"/>
  <c r="E651" i="16"/>
  <c r="F651" i="16" s="1"/>
  <c r="E282" i="16"/>
  <c r="F282" i="16" s="1"/>
  <c r="E335" i="16"/>
  <c r="F335" i="16" s="1"/>
  <c r="E705" i="16"/>
  <c r="F705" i="16" s="1"/>
  <c r="E598" i="16"/>
  <c r="F598" i="16" s="1"/>
  <c r="E757" i="16"/>
  <c r="F757" i="16" s="1"/>
  <c r="E970" i="16"/>
  <c r="F970" i="16" s="1"/>
  <c r="E1128" i="16"/>
  <c r="F1128" i="16" s="1"/>
  <c r="E1498" i="16"/>
  <c r="F1498" i="16" s="1"/>
  <c r="E1655" i="16"/>
  <c r="F1655" i="16" s="1"/>
  <c r="E1076" i="16"/>
  <c r="F1076" i="16" s="1"/>
  <c r="E1233" i="16"/>
  <c r="F1233" i="16" s="1"/>
  <c r="E1338" i="16"/>
  <c r="F1338" i="16" s="1"/>
  <c r="E917" i="16"/>
  <c r="F917" i="16" s="1"/>
  <c r="E1181" i="16"/>
  <c r="F1181" i="16" s="1"/>
  <c r="E1286" i="16"/>
  <c r="F1286" i="16" s="1"/>
  <c r="E1445" i="16"/>
  <c r="F1445" i="16" s="1"/>
  <c r="E1709" i="16"/>
  <c r="F1709" i="16" s="1"/>
  <c r="E1022" i="16"/>
  <c r="F1022" i="16" s="1"/>
  <c r="E1391" i="16"/>
  <c r="F1391" i="16" s="1"/>
  <c r="E19" i="16"/>
  <c r="F19" i="16" s="1"/>
  <c r="E1603" i="16"/>
  <c r="F1603" i="16" s="1"/>
  <c r="E1550" i="16"/>
  <c r="F1550" i="16" s="1"/>
  <c r="E72" i="16"/>
  <c r="F72" i="16" s="1"/>
  <c r="E340" i="10"/>
  <c r="F340" i="10" s="1"/>
  <c r="E446" i="10"/>
  <c r="F446" i="10" s="1"/>
  <c r="E552" i="10"/>
  <c r="F552" i="10" s="1"/>
  <c r="E21" i="10"/>
  <c r="F21" i="10" s="1"/>
  <c r="E74" i="10"/>
  <c r="F74" i="10" s="1"/>
  <c r="E180" i="10"/>
  <c r="F180" i="10" s="1"/>
  <c r="E286" i="10"/>
  <c r="F286" i="10" s="1"/>
  <c r="E393" i="10"/>
  <c r="F393" i="10" s="1"/>
  <c r="E499" i="10"/>
  <c r="F499" i="10" s="1"/>
  <c r="E127" i="10"/>
  <c r="F127" i="10" s="1"/>
  <c r="E233" i="10"/>
  <c r="F233" i="10" s="1"/>
  <c r="D433" i="14"/>
  <c r="F433" i="14" s="1"/>
  <c r="H433" i="14" s="1"/>
  <c r="D553" i="14"/>
  <c r="F553" i="14"/>
  <c r="D41" i="14"/>
  <c r="F41" i="14"/>
  <c r="H41" i="14" s="1"/>
  <c r="D152" i="14"/>
  <c r="F152" i="14" s="1"/>
  <c r="D262" i="14"/>
  <c r="F262" i="14" s="1"/>
  <c r="H262" i="14"/>
  <c r="D497" i="14"/>
  <c r="F497" i="14"/>
  <c r="H497" i="14" s="1"/>
  <c r="D781" i="14"/>
  <c r="F781" i="14" s="1"/>
  <c r="H781" i="14"/>
  <c r="D837" i="14"/>
  <c r="F837" i="14"/>
  <c r="H837" i="14" s="1"/>
  <c r="D895" i="14"/>
  <c r="F895" i="14" s="1"/>
  <c r="H895" i="14"/>
  <c r="D1005" i="14"/>
  <c r="F1005" i="14"/>
  <c r="D1173" i="14"/>
  <c r="F1173" i="14"/>
  <c r="H1173" i="14" s="1"/>
  <c r="D1227" i="14"/>
  <c r="F1227" i="14" s="1"/>
  <c r="D98" i="14"/>
  <c r="F98" i="14" s="1"/>
  <c r="H98" i="14" s="1"/>
  <c r="D208" i="14"/>
  <c r="F208" i="14"/>
  <c r="H208" i="14" s="1"/>
  <c r="D317" i="14"/>
  <c r="F317" i="14" s="1"/>
  <c r="H317" i="14" s="1"/>
  <c r="D373" i="14"/>
  <c r="F373" i="14"/>
  <c r="H373" i="14" s="1"/>
  <c r="D610" i="14"/>
  <c r="F610" i="14" s="1"/>
  <c r="H610" i="14" s="1"/>
  <c r="D666" i="14"/>
  <c r="F666" i="14"/>
  <c r="D724" i="14"/>
  <c r="F724" i="14"/>
  <c r="H724" i="14" s="1"/>
  <c r="D950" i="14"/>
  <c r="F950" i="14" s="1"/>
  <c r="H950" i="14" s="1"/>
  <c r="D1060" i="14"/>
  <c r="F1060" i="14"/>
  <c r="H1060" i="14" s="1"/>
  <c r="D1116" i="14"/>
  <c r="F1116" i="14" s="1"/>
  <c r="H1116" i="14" s="1"/>
  <c r="D1280" i="14"/>
  <c r="F1280" i="14" s="1"/>
  <c r="H1280" i="14"/>
  <c r="F28" i="21"/>
  <c r="G28" i="21"/>
  <c r="E233" i="16"/>
  <c r="F233" i="16"/>
  <c r="E285" i="16"/>
  <c r="F285" i="16"/>
  <c r="E655" i="16"/>
  <c r="F655" i="16"/>
  <c r="E391" i="16"/>
  <c r="F391" i="16"/>
  <c r="E1289" i="16"/>
  <c r="F1289" i="16"/>
  <c r="E813" i="16"/>
  <c r="E867" i="16"/>
  <c r="F867" i="16" s="1"/>
  <c r="E23" i="16"/>
  <c r="F23" i="16" s="1"/>
  <c r="F73" i="15"/>
  <c r="G73" i="15" s="1"/>
  <c r="F285" i="15"/>
  <c r="G285" i="15" s="1"/>
  <c r="F281" i="15"/>
  <c r="G281" i="15" s="1"/>
  <c r="F337" i="15"/>
  <c r="G337" i="15" s="1"/>
  <c r="F333" i="15"/>
  <c r="G333" i="15" s="1"/>
  <c r="F438" i="15"/>
  <c r="G438" i="15" s="1"/>
  <c r="G474" i="15"/>
  <c r="F23" i="21"/>
  <c r="G23" i="21"/>
  <c r="F85" i="21"/>
  <c r="G85" i="21"/>
  <c r="F181" i="15"/>
  <c r="G181" i="15"/>
  <c r="F129" i="15"/>
  <c r="G129" i="15"/>
  <c r="F25" i="15"/>
  <c r="G25" i="15"/>
  <c r="F542" i="15"/>
  <c r="G542" i="15"/>
  <c r="E33" i="14"/>
  <c r="G33" i="14"/>
  <c r="E90" i="14"/>
  <c r="G90" i="14"/>
  <c r="E200" i="14"/>
  <c r="G200" i="14"/>
  <c r="E309" i="14"/>
  <c r="G309" i="14"/>
  <c r="E1272" i="14"/>
  <c r="G1272" i="14"/>
  <c r="E144" i="14"/>
  <c r="G144" i="14"/>
  <c r="E254" i="14"/>
  <c r="G254" i="14"/>
  <c r="E1219" i="14"/>
  <c r="G1219" i="14"/>
  <c r="G1222" i="14" s="1"/>
  <c r="E1330" i="14"/>
  <c r="G1330" i="14"/>
  <c r="E1386" i="14"/>
  <c r="G1386" i="14"/>
  <c r="F26" i="12"/>
  <c r="G26" i="12"/>
  <c r="E287" i="10"/>
  <c r="F287" i="10"/>
  <c r="E394" i="10"/>
  <c r="F394" i="10"/>
  <c r="E500" i="10"/>
  <c r="F500" i="10"/>
  <c r="E128" i="10"/>
  <c r="F128" i="10"/>
  <c r="E234" i="10"/>
  <c r="F234" i="10"/>
  <c r="E341" i="10"/>
  <c r="F341" i="10"/>
  <c r="E447" i="10"/>
  <c r="F447" i="10"/>
  <c r="E553" i="10"/>
  <c r="F553" i="10"/>
  <c r="E22" i="10"/>
  <c r="F22" i="10"/>
  <c r="E75" i="10"/>
  <c r="F75" i="10"/>
  <c r="E181" i="10"/>
  <c r="F181" i="10"/>
  <c r="F22" i="15"/>
  <c r="G22" i="15"/>
  <c r="F126" i="15"/>
  <c r="G126" i="15"/>
  <c r="F591" i="15"/>
  <c r="G591" i="15"/>
  <c r="F86" i="21"/>
  <c r="G86" i="21"/>
  <c r="F142" i="21"/>
  <c r="G142" i="21"/>
  <c r="F197" i="21"/>
  <c r="G197" i="21"/>
  <c r="F232" i="16"/>
  <c r="F443" i="16"/>
  <c r="F920" i="16"/>
  <c r="F1448" i="16"/>
  <c r="F1025" i="16"/>
  <c r="F1131" i="16"/>
  <c r="F1658" i="16"/>
  <c r="F548" i="16"/>
  <c r="F1236" i="16"/>
  <c r="F1341" i="16"/>
  <c r="F1553" i="16"/>
  <c r="G27" i="15"/>
  <c r="D571" i="9"/>
  <c r="F23" i="17"/>
  <c r="G23" i="17" s="1"/>
  <c r="F29" i="21"/>
  <c r="G29" i="21" s="1"/>
  <c r="I124" i="34"/>
  <c r="E165" i="34" s="1"/>
  <c r="E109" i="34"/>
  <c r="E9" i="14"/>
  <c r="D42" i="21"/>
  <c r="F42" i="21" s="1"/>
  <c r="H42" i="21"/>
  <c r="D147" i="17"/>
  <c r="F147" i="17"/>
  <c r="G1465" i="13"/>
  <c r="G1575" i="13"/>
  <c r="G1682" i="13" s="1"/>
  <c r="G1790" i="13" s="1"/>
  <c r="G1410" i="13"/>
  <c r="G410" i="36"/>
  <c r="G360" i="36"/>
  <c r="F130" i="12"/>
  <c r="G130" i="12" s="1"/>
  <c r="G27" i="12"/>
  <c r="F131" i="12"/>
  <c r="F186" i="12"/>
  <c r="D38" i="34"/>
  <c r="D95" i="34"/>
  <c r="F95" i="34" s="1"/>
  <c r="H95" i="34" s="1"/>
  <c r="F92" i="34" s="1"/>
  <c r="G67" i="11" s="1"/>
  <c r="H80" i="29" s="1"/>
  <c r="D40" i="15"/>
  <c r="F40" i="15" s="1"/>
  <c r="E7" i="32"/>
  <c r="F7" i="32" s="1"/>
  <c r="D45" i="34"/>
  <c r="D102" i="34" s="1"/>
  <c r="D41" i="12"/>
  <c r="D96" i="12" s="1"/>
  <c r="C41" i="20"/>
  <c r="C46" i="20" s="1"/>
  <c r="E46" i="20"/>
  <c r="G46" i="20" s="1"/>
  <c r="D48" i="14"/>
  <c r="C55" i="23"/>
  <c r="E55" i="23"/>
  <c r="G55" i="23" s="1"/>
  <c r="D41" i="13"/>
  <c r="F41" i="13" s="1"/>
  <c r="H41" i="13" s="1"/>
  <c r="D39" i="9"/>
  <c r="F39" i="9"/>
  <c r="H39" i="9" s="1"/>
  <c r="J96" i="11"/>
  <c r="K118" i="29" s="1"/>
  <c r="C32" i="19"/>
  <c r="E32" i="19" s="1"/>
  <c r="G32" i="19"/>
  <c r="J318" i="11" s="1"/>
  <c r="K409" i="29" s="1"/>
  <c r="C38" i="24"/>
  <c r="C42" i="24"/>
  <c r="E42" i="24" s="1"/>
  <c r="G42" i="24"/>
  <c r="C62" i="16"/>
  <c r="D9" i="16"/>
  <c r="E62" i="13"/>
  <c r="D115" i="13"/>
  <c r="D168" i="13" s="1"/>
  <c r="F44" i="34"/>
  <c r="H44" i="34" s="1"/>
  <c r="D49" i="34"/>
  <c r="F49" i="34" s="1"/>
  <c r="H49" i="34" s="1"/>
  <c r="D101" i="34"/>
  <c r="D158" i="34"/>
  <c r="D163" i="34" s="1"/>
  <c r="D91" i="15"/>
  <c r="D143" i="15" s="1"/>
  <c r="D45" i="13"/>
  <c r="F45" i="13" s="1"/>
  <c r="H45" i="13"/>
  <c r="C61" i="16"/>
  <c r="D8" i="16"/>
  <c r="D104" i="14"/>
  <c r="D158" i="14"/>
  <c r="F158" i="14" s="1"/>
  <c r="H158" i="14" s="1"/>
  <c r="D85" i="15"/>
  <c r="F85" i="15"/>
  <c r="H85" i="15" s="1"/>
  <c r="G375" i="11"/>
  <c r="D148" i="21"/>
  <c r="F148" i="21" s="1"/>
  <c r="F92" i="21"/>
  <c r="H92" i="21" s="1"/>
  <c r="D46" i="21"/>
  <c r="F46" i="21"/>
  <c r="H46" i="21" s="1"/>
  <c r="E40" i="20"/>
  <c r="G40" i="20" s="1"/>
  <c r="C45" i="20"/>
  <c r="E45" i="20" s="1"/>
  <c r="G45" i="20"/>
  <c r="F38" i="34"/>
  <c r="H38" i="34"/>
  <c r="F35" i="34" s="1"/>
  <c r="G66" i="11" s="1"/>
  <c r="H79" i="29" s="1"/>
  <c r="G1520" i="13"/>
  <c r="G1628" i="13" s="1"/>
  <c r="G1736" i="13" s="1"/>
  <c r="G1844" i="13" s="1"/>
  <c r="D203" i="21"/>
  <c r="F203" i="21" s="1"/>
  <c r="H203" i="21" s="1"/>
  <c r="F1308" i="13"/>
  <c r="G1308" i="13"/>
  <c r="D1751" i="16"/>
  <c r="G1751" i="16"/>
  <c r="I1751" i="16" s="1"/>
  <c r="C1755" i="16" s="1"/>
  <c r="E1755" i="16" s="1"/>
  <c r="E1784" i="16"/>
  <c r="G1784" i="16" s="1"/>
  <c r="E1783" i="16"/>
  <c r="E1785" i="16"/>
  <c r="G1785" i="16"/>
  <c r="E585" i="36"/>
  <c r="E640" i="36"/>
  <c r="G598" i="36"/>
  <c r="G601" i="36"/>
  <c r="G600" i="36"/>
  <c r="G829" i="36"/>
  <c r="G551" i="36"/>
  <c r="G828" i="36"/>
  <c r="G711" i="36"/>
  <c r="G871" i="36"/>
  <c r="G703" i="36"/>
  <c r="G877" i="36"/>
  <c r="G709" i="36"/>
  <c r="G880" i="36"/>
  <c r="G543" i="36"/>
  <c r="G712" i="36"/>
  <c r="G879" i="36"/>
  <c r="G548" i="36"/>
  <c r="E10" i="36"/>
  <c r="G537" i="36"/>
  <c r="G765" i="36"/>
  <c r="G927" i="36"/>
  <c r="G1047" i="36"/>
  <c r="G766" i="36"/>
  <c r="G934" i="36"/>
  <c r="G1046" i="36"/>
  <c r="G549" i="36"/>
  <c r="D452" i="36"/>
  <c r="D511" i="36" s="1"/>
  <c r="E511" i="36"/>
  <c r="G603" i="36"/>
  <c r="G768" i="36"/>
  <c r="G1207" i="36"/>
  <c r="G579" i="36"/>
  <c r="G605" i="36"/>
  <c r="E584" i="36"/>
  <c r="E639" i="36" s="1"/>
  <c r="G639" i="36" s="1"/>
  <c r="G933" i="36"/>
  <c r="G1039" i="36"/>
  <c r="E9" i="36"/>
  <c r="G604" i="36"/>
  <c r="G767" i="36"/>
  <c r="G1213" i="36"/>
  <c r="G592" i="36"/>
  <c r="G1215" i="36"/>
  <c r="G1214" i="36"/>
  <c r="E299" i="36"/>
  <c r="G299" i="36" s="1"/>
  <c r="F1393" i="14"/>
  <c r="G23" i="12"/>
  <c r="G10" i="10"/>
  <c r="I10" i="10"/>
  <c r="C14" i="10" s="1"/>
  <c r="E14" i="10"/>
  <c r="G527" i="36"/>
  <c r="C452" i="36"/>
  <c r="C511" i="36" s="1"/>
  <c r="C566" i="36" s="1"/>
  <c r="C14" i="36"/>
  <c r="F39" i="15"/>
  <c r="H39" i="15" s="1"/>
  <c r="I374" i="11"/>
  <c r="C1975" i="13"/>
  <c r="C2246" i="13"/>
  <c r="F104" i="14"/>
  <c r="H104" i="14"/>
  <c r="G131" i="12"/>
  <c r="F38" i="9"/>
  <c r="H38" i="9"/>
  <c r="I96" i="11" s="1"/>
  <c r="J118" i="29" s="1"/>
  <c r="C213" i="39"/>
  <c r="C265" i="39"/>
  <c r="D66" i="34"/>
  <c r="D123" i="34"/>
  <c r="D199" i="12"/>
  <c r="D254" i="12"/>
  <c r="G9" i="19"/>
  <c r="I9" i="19"/>
  <c r="C12" i="19" s="1"/>
  <c r="E12" i="19"/>
  <c r="F1479" i="13"/>
  <c r="F1588" i="13"/>
  <c r="F1641" i="13" s="1"/>
  <c r="F1695" i="13" s="1"/>
  <c r="F89" i="12"/>
  <c r="H89" i="12"/>
  <c r="P8" i="11"/>
  <c r="F33" i="15"/>
  <c r="H33" i="15" s="1"/>
  <c r="G1137" i="13"/>
  <c r="C1427" i="13"/>
  <c r="C1537" i="13"/>
  <c r="C2030" i="13" s="1"/>
  <c r="C2302" i="13" s="1"/>
  <c r="C2359" i="13" s="1"/>
  <c r="C2412" i="13" s="1"/>
  <c r="C2467" i="13" s="1"/>
  <c r="G1756" i="13"/>
  <c r="E9" i="12"/>
  <c r="C64" i="36"/>
  <c r="C119" i="36"/>
  <c r="C123" i="36" s="1"/>
  <c r="C56" i="23"/>
  <c r="C61" i="23" s="1"/>
  <c r="E61" i="23" s="1"/>
  <c r="G61" i="23" s="1"/>
  <c r="C42" i="20"/>
  <c r="E42" i="20" s="1"/>
  <c r="G42" i="20" s="1"/>
  <c r="D46" i="34"/>
  <c r="F46" i="34"/>
  <c r="H46" i="34" s="1"/>
  <c r="C39" i="24"/>
  <c r="C43" i="24" s="1"/>
  <c r="E43" i="24" s="1"/>
  <c r="G43" i="24" s="1"/>
  <c r="D148" i="17"/>
  <c r="F148" i="17" s="1"/>
  <c r="H148" i="17" s="1"/>
  <c r="C41" i="10"/>
  <c r="C94" i="10"/>
  <c r="D49" i="14"/>
  <c r="F49" i="14"/>
  <c r="H49" i="14" s="1"/>
  <c r="D42" i="13"/>
  <c r="D47" i="13" s="1"/>
  <c r="F47" i="13" s="1"/>
  <c r="H47" i="13" s="1"/>
  <c r="D40" i="9"/>
  <c r="D89" i="9" s="1"/>
  <c r="D138" i="9" s="1"/>
  <c r="C33" i="19"/>
  <c r="E33" i="19" s="1"/>
  <c r="G33" i="19"/>
  <c r="K318" i="11" s="1"/>
  <c r="L409" i="29" s="1"/>
  <c r="D43" i="21"/>
  <c r="F43" i="21" s="1"/>
  <c r="H43" i="21" s="1"/>
  <c r="D41" i="15"/>
  <c r="F41" i="15"/>
  <c r="H41" i="15"/>
  <c r="K374" i="11" s="1"/>
  <c r="D41" i="17"/>
  <c r="D46" i="17" s="1"/>
  <c r="F46" i="17" s="1"/>
  <c r="H46" i="17" s="1"/>
  <c r="C46" i="28"/>
  <c r="E46" i="28" s="1"/>
  <c r="G46" i="28" s="1"/>
  <c r="K371" i="11" s="1"/>
  <c r="D42" i="12"/>
  <c r="F42" i="12" s="1"/>
  <c r="H42" i="12" s="1"/>
  <c r="E64" i="36"/>
  <c r="D119" i="36"/>
  <c r="D173" i="36"/>
  <c r="E173" i="36" s="1"/>
  <c r="D126" i="14"/>
  <c r="E126" i="14" s="1"/>
  <c r="E69" i="14"/>
  <c r="C116" i="13"/>
  <c r="C97" i="13"/>
  <c r="E759" i="16"/>
  <c r="F759" i="16"/>
  <c r="E1101" i="39"/>
  <c r="F74" i="13"/>
  <c r="G21" i="13"/>
  <c r="E301" i="36"/>
  <c r="G301" i="36" s="1"/>
  <c r="G245" i="36"/>
  <c r="D137" i="15"/>
  <c r="F137" i="15"/>
  <c r="H137" i="15" s="1"/>
  <c r="E164" i="34"/>
  <c r="H148" i="21"/>
  <c r="G294" i="11"/>
  <c r="H213" i="29" s="1"/>
  <c r="C59" i="23"/>
  <c r="E59" i="23" s="1"/>
  <c r="G59" i="23" s="1"/>
  <c r="D156" i="9"/>
  <c r="E156" i="9"/>
  <c r="F48" i="14"/>
  <c r="H48" i="14"/>
  <c r="H40" i="15"/>
  <c r="J374" i="11"/>
  <c r="F642" i="15"/>
  <c r="G642" i="15"/>
  <c r="F77" i="12"/>
  <c r="G77" i="12"/>
  <c r="G25" i="12"/>
  <c r="D63" i="36"/>
  <c r="E63" i="36" s="1"/>
  <c r="F40" i="36"/>
  <c r="H40" i="36" s="1"/>
  <c r="H147" i="17"/>
  <c r="F539" i="15"/>
  <c r="G539" i="15"/>
  <c r="F178" i="15"/>
  <c r="G178" i="15" s="1"/>
  <c r="H1393" i="14"/>
  <c r="F1390" i="14"/>
  <c r="F196" i="21"/>
  <c r="G196" i="21"/>
  <c r="H666" i="14"/>
  <c r="F663" i="14" s="1"/>
  <c r="H1227" i="14"/>
  <c r="H1005" i="14"/>
  <c r="F1002" i="14"/>
  <c r="H152" i="14"/>
  <c r="H553" i="14"/>
  <c r="H1337" i="14"/>
  <c r="G60" i="11"/>
  <c r="H73" i="29" s="1"/>
  <c r="E76" i="16"/>
  <c r="F76" i="16" s="1"/>
  <c r="E1607" i="16"/>
  <c r="F1607" i="16" s="1"/>
  <c r="E1395" i="16"/>
  <c r="F1395" i="16" s="1"/>
  <c r="E1238" i="16"/>
  <c r="F1238" i="16" s="1"/>
  <c r="E1660" i="16"/>
  <c r="F1660" i="16" s="1"/>
  <c r="E1185" i="16"/>
  <c r="F1185" i="16" s="1"/>
  <c r="E550" i="16"/>
  <c r="F550" i="16" s="1"/>
  <c r="E1027" i="16"/>
  <c r="F1027" i="16" s="1"/>
  <c r="E1450" i="16"/>
  <c r="F1450" i="16" s="1"/>
  <c r="E922" i="16"/>
  <c r="F922" i="16" s="1"/>
  <c r="E709" i="16"/>
  <c r="F709" i="16" s="1"/>
  <c r="E286" i="16"/>
  <c r="F286" i="16" s="1"/>
  <c r="F290" i="16" s="1"/>
  <c r="E497" i="16"/>
  <c r="F497" i="16" s="1"/>
  <c r="E340" i="16"/>
  <c r="F340" i="16" s="1"/>
  <c r="E762" i="16"/>
  <c r="F762" i="16" s="1"/>
  <c r="F439" i="15"/>
  <c r="G439" i="15" s="1"/>
  <c r="G445" i="15" s="1"/>
  <c r="F435" i="15" s="1"/>
  <c r="F334" i="15"/>
  <c r="F74" i="15"/>
  <c r="G74" i="15"/>
  <c r="F911" i="9"/>
  <c r="F199" i="12"/>
  <c r="H199" i="12" s="1"/>
  <c r="E101" i="34"/>
  <c r="F101" i="34"/>
  <c r="H101" i="34" s="1"/>
  <c r="G328" i="10"/>
  <c r="I328" i="10" s="1"/>
  <c r="C332" i="10" s="1"/>
  <c r="E332" i="10" s="1"/>
  <c r="C335" i="10" s="1"/>
  <c r="E335" i="10" s="1"/>
  <c r="E307" i="11" s="1"/>
  <c r="E10" i="14"/>
  <c r="F387" i="15"/>
  <c r="G387" i="15"/>
  <c r="C39" i="12"/>
  <c r="F811" i="16"/>
  <c r="E869" i="16"/>
  <c r="F869" i="16"/>
  <c r="H151" i="17"/>
  <c r="C12" i="12"/>
  <c r="H7" i="5"/>
  <c r="G42" i="1"/>
  <c r="I42" i="1" s="1"/>
  <c r="G48" i="1"/>
  <c r="I48" i="1" s="1"/>
  <c r="G27" i="1"/>
  <c r="I27" i="1" s="1"/>
  <c r="G25" i="1"/>
  <c r="I25" i="1" s="1"/>
  <c r="G6" i="1"/>
  <c r="I6" i="1" s="1"/>
  <c r="F80" i="10"/>
  <c r="D34" i="1"/>
  <c r="C35" i="1"/>
  <c r="C126" i="14"/>
  <c r="C73" i="14"/>
  <c r="C103" i="14"/>
  <c r="D122" i="21"/>
  <c r="E66" i="21"/>
  <c r="H66" i="21"/>
  <c r="J66" i="21" s="1"/>
  <c r="D70" i="21" s="1"/>
  <c r="F70" i="21" s="1"/>
  <c r="C67" i="21"/>
  <c r="C45" i="21"/>
  <c r="C14" i="21"/>
  <c r="H34" i="13"/>
  <c r="F31" i="13"/>
  <c r="H9" i="21"/>
  <c r="J9" i="21"/>
  <c r="D13" i="21" s="1"/>
  <c r="F13" i="21" s="1"/>
  <c r="C33" i="16"/>
  <c r="C85" i="16"/>
  <c r="C138" i="16" s="1"/>
  <c r="C190" i="16" s="1"/>
  <c r="C34" i="16"/>
  <c r="C86" i="16"/>
  <c r="C139" i="16" s="1"/>
  <c r="C191" i="16" s="1"/>
  <c r="E2282" i="39"/>
  <c r="F2282" i="39"/>
  <c r="F2288" i="39" s="1"/>
  <c r="E2280" i="39" s="1"/>
  <c r="F286" i="11" s="1"/>
  <c r="G354" i="29" s="1"/>
  <c r="E2179" i="39"/>
  <c r="F2179" i="39"/>
  <c r="F2186" i="39" s="1"/>
  <c r="E2177" i="39" s="1"/>
  <c r="F284" i="11" s="1"/>
  <c r="G352" i="29" s="1"/>
  <c r="E2127" i="39"/>
  <c r="F2127" i="39"/>
  <c r="F2133" i="39" s="1"/>
  <c r="E2125" i="39" s="1"/>
  <c r="F282" i="11" s="1"/>
  <c r="G350" i="29" s="1"/>
  <c r="E2024" i="39"/>
  <c r="F2024" i="39"/>
  <c r="F2031" i="39" s="1"/>
  <c r="E2022" i="39" s="1"/>
  <c r="F280" i="11" s="1"/>
  <c r="G348" i="29" s="1"/>
  <c r="E1972" i="39"/>
  <c r="F1972" i="39"/>
  <c r="F1978" i="39" s="1"/>
  <c r="E1970" i="39" s="1"/>
  <c r="F278" i="11" s="1"/>
  <c r="G346" i="29" s="1"/>
  <c r="E1869" i="39"/>
  <c r="F1869" i="39"/>
  <c r="F1876" i="39" s="1"/>
  <c r="E1867" i="39" s="1"/>
  <c r="F276" i="11" s="1"/>
  <c r="G344" i="29" s="1"/>
  <c r="E1817" i="39"/>
  <c r="F1817" i="39"/>
  <c r="F1823" i="39" s="1"/>
  <c r="E1815" i="39" s="1"/>
  <c r="F274" i="11" s="1"/>
  <c r="G342" i="29" s="1"/>
  <c r="E1561" i="39"/>
  <c r="E1304" i="39"/>
  <c r="E1099" i="39"/>
  <c r="E891" i="39"/>
  <c r="E532" i="39"/>
  <c r="E327" i="39"/>
  <c r="E71" i="39"/>
  <c r="E2230" i="39"/>
  <c r="F2230" i="39" s="1"/>
  <c r="E2076" i="39"/>
  <c r="F2076" i="39" s="1"/>
  <c r="E1921" i="39"/>
  <c r="F1921" i="39" s="1"/>
  <c r="E1766" i="39"/>
  <c r="F1766" i="39" s="1"/>
  <c r="F1773" i="39" s="1"/>
  <c r="E1764" i="39" s="1"/>
  <c r="F273" i="11" s="1"/>
  <c r="G341" i="29" s="1"/>
  <c r="E1663" i="39"/>
  <c r="F1663" i="39" s="1"/>
  <c r="F1669" i="39" s="1"/>
  <c r="E1661" i="39" s="1"/>
  <c r="F270" i="11" s="1"/>
  <c r="G338" i="29" s="1"/>
  <c r="E1510" i="39"/>
  <c r="E1458" i="39"/>
  <c r="F1458" i="39"/>
  <c r="F1464" i="39" s="1"/>
  <c r="E1456" i="39" s="1"/>
  <c r="F265" i="11" s="1"/>
  <c r="G333" i="29" s="1"/>
  <c r="E1253" i="39"/>
  <c r="F1253" i="39"/>
  <c r="F1260" i="39" s="1"/>
  <c r="E1251" i="39" s="1"/>
  <c r="F261" i="11" s="1"/>
  <c r="G329" i="29" s="1"/>
  <c r="E1201" i="39"/>
  <c r="F1201" i="39"/>
  <c r="F1207" i="39" s="1"/>
  <c r="E1199" i="39" s="1"/>
  <c r="F259" i="11" s="1"/>
  <c r="G327" i="29" s="1"/>
  <c r="E1048" i="39"/>
  <c r="F1048" i="39"/>
  <c r="F1055" i="39" s="1"/>
  <c r="E1046" i="39" s="1"/>
  <c r="F256" i="11" s="1"/>
  <c r="G324" i="29" s="1"/>
  <c r="E996" i="39"/>
  <c r="F996" i="39"/>
  <c r="F1002" i="39" s="1"/>
  <c r="E994" i="39" s="1"/>
  <c r="F254" i="11" s="1"/>
  <c r="G322" i="29" s="1"/>
  <c r="E839" i="39"/>
  <c r="F839" i="39"/>
  <c r="F846" i="39" s="1"/>
  <c r="E837" i="39" s="1"/>
  <c r="F251" i="11" s="1"/>
  <c r="G319" i="29" s="1"/>
  <c r="E787" i="39"/>
  <c r="F787" i="39"/>
  <c r="F793" i="39" s="1"/>
  <c r="E785" i="39" s="1"/>
  <c r="F249" i="11" s="1"/>
  <c r="G317" i="29" s="1"/>
  <c r="E481" i="39"/>
  <c r="F481" i="39"/>
  <c r="F488" i="39" s="1"/>
  <c r="E479" i="39" s="1"/>
  <c r="F243" i="11" s="1"/>
  <c r="G311" i="29" s="1"/>
  <c r="E429" i="39"/>
  <c r="F429" i="39"/>
  <c r="F435" i="39" s="1"/>
  <c r="E427" i="39" s="1"/>
  <c r="F241" i="11" s="1"/>
  <c r="G309" i="29" s="1"/>
  <c r="E276" i="39"/>
  <c r="F276" i="39"/>
  <c r="F283" i="39" s="1"/>
  <c r="E274" i="39" s="1"/>
  <c r="F238" i="11" s="1"/>
  <c r="G306" i="29" s="1"/>
  <c r="E224" i="39"/>
  <c r="F224" i="39"/>
  <c r="F230" i="39" s="1"/>
  <c r="E222" i="39" s="1"/>
  <c r="F236" i="11" s="1"/>
  <c r="G304" i="29" s="1"/>
  <c r="E20" i="39"/>
  <c r="F20" i="39"/>
  <c r="F27" i="39" s="1"/>
  <c r="E18" i="39" s="1"/>
  <c r="F232" i="11" s="1"/>
  <c r="G300" i="29" s="1"/>
  <c r="F1561" i="14"/>
  <c r="H1561" i="14"/>
  <c r="C451" i="36"/>
  <c r="C510" i="36"/>
  <c r="C63" i="36"/>
  <c r="C95" i="36"/>
  <c r="C39" i="36"/>
  <c r="G53" i="1"/>
  <c r="I53" i="1" s="1"/>
  <c r="G20" i="1"/>
  <c r="I20" i="1" s="1"/>
  <c r="G18" i="1"/>
  <c r="I18" i="1" s="1"/>
  <c r="G79" i="15"/>
  <c r="F1449" i="14"/>
  <c r="H1449" i="14" s="1"/>
  <c r="F1446" i="14" s="1"/>
  <c r="F1506" i="14"/>
  <c r="H1506" i="14"/>
  <c r="H526" i="15"/>
  <c r="J526" i="15"/>
  <c r="D530" i="15" s="1"/>
  <c r="F530" i="15" s="1"/>
  <c r="G382" i="10"/>
  <c r="I382" i="10"/>
  <c r="C386" i="10" s="1"/>
  <c r="E386" i="10" s="1"/>
  <c r="G63" i="10"/>
  <c r="I63" i="10"/>
  <c r="C67" i="10" s="1"/>
  <c r="E67" i="10" s="1"/>
  <c r="C69" i="10" s="1"/>
  <c r="G10" i="23"/>
  <c r="I10" i="23"/>
  <c r="C16" i="23" s="1"/>
  <c r="E16" i="23" s="1"/>
  <c r="C84" i="39"/>
  <c r="E33" i="39"/>
  <c r="G33" i="39" s="1"/>
  <c r="E586" i="36"/>
  <c r="G586" i="36"/>
  <c r="E1024" i="36"/>
  <c r="G1024" i="36"/>
  <c r="O29" i="36"/>
  <c r="G1156" i="14"/>
  <c r="F91" i="15"/>
  <c r="H91" i="15"/>
  <c r="I375" i="11" s="1"/>
  <c r="D241" i="15"/>
  <c r="F241" i="15" s="1"/>
  <c r="H241" i="15" s="1"/>
  <c r="D189" i="15"/>
  <c r="F189" i="15"/>
  <c r="H189" i="15" s="1"/>
  <c r="G377" i="11" s="1"/>
  <c r="G221" i="10"/>
  <c r="I221" i="10"/>
  <c r="C225" i="10" s="1"/>
  <c r="E225" i="10" s="1"/>
  <c r="F132" i="12"/>
  <c r="G132" i="12"/>
  <c r="D53" i="14"/>
  <c r="F53" i="14"/>
  <c r="H53" i="14" s="1"/>
  <c r="E56" i="23"/>
  <c r="G56" i="23" s="1"/>
  <c r="K313" i="11" s="1"/>
  <c r="L387" i="29" s="1"/>
  <c r="D118" i="36"/>
  <c r="E118" i="36" s="1"/>
  <c r="H217" i="15"/>
  <c r="J217" i="15" s="1"/>
  <c r="D221" i="15" s="1"/>
  <c r="F221" i="15" s="1"/>
  <c r="D224" i="15" s="1"/>
  <c r="F224" i="15" s="1"/>
  <c r="G9" i="10"/>
  <c r="I9" i="10" s="1"/>
  <c r="C13" i="10" s="1"/>
  <c r="E13" i="10" s="1"/>
  <c r="C16" i="10" s="1"/>
  <c r="E16" i="10" s="1"/>
  <c r="G624" i="13"/>
  <c r="G909" i="13"/>
  <c r="E45" i="23"/>
  <c r="G313" i="11"/>
  <c r="H387" i="29"/>
  <c r="E451" i="36"/>
  <c r="D510" i="36"/>
  <c r="F64" i="36"/>
  <c r="F119" i="36"/>
  <c r="F173" i="36" s="1"/>
  <c r="F231" i="36" s="1"/>
  <c r="F287" i="36" s="1"/>
  <c r="F343" i="36" s="1"/>
  <c r="F397" i="36" s="1"/>
  <c r="F452" i="36"/>
  <c r="D100" i="21"/>
  <c r="D156" i="21" s="1"/>
  <c r="F156" i="21" s="1"/>
  <c r="D97" i="12"/>
  <c r="D152" i="12" s="1"/>
  <c r="D106" i="34"/>
  <c r="F106" i="34" s="1"/>
  <c r="H106" i="34" s="1"/>
  <c r="F185" i="12"/>
  <c r="G185" i="12"/>
  <c r="D41" i="36"/>
  <c r="F41" i="36"/>
  <c r="H41" i="36" s="1"/>
  <c r="E166" i="34"/>
  <c r="G126" i="11"/>
  <c r="H156" i="29"/>
  <c r="F47" i="14"/>
  <c r="H47" i="14"/>
  <c r="D93" i="13"/>
  <c r="H62" i="13"/>
  <c r="J62" i="13" s="1"/>
  <c r="D66" i="13" s="1"/>
  <c r="F66" i="13" s="1"/>
  <c r="F134" i="12"/>
  <c r="D488" i="36"/>
  <c r="G132" i="15"/>
  <c r="F122" i="15" s="1"/>
  <c r="G10" i="14"/>
  <c r="E104" i="34"/>
  <c r="D119" i="12"/>
  <c r="E102" i="34"/>
  <c r="F102" i="34"/>
  <c r="H102" i="34" s="1"/>
  <c r="F74" i="12"/>
  <c r="I123" i="34"/>
  <c r="F1426" i="13"/>
  <c r="F1536" i="13" s="1"/>
  <c r="F2029" i="13" s="1"/>
  <c r="F1429" i="13"/>
  <c r="F1539" i="13"/>
  <c r="F2032" i="13" s="1"/>
  <c r="F2085" i="13" s="1"/>
  <c r="F2139" i="13" s="1"/>
  <c r="F2194" i="13" s="1"/>
  <c r="E581" i="36"/>
  <c r="G581" i="36"/>
  <c r="C399" i="13"/>
  <c r="C456" i="13"/>
  <c r="C513" i="13" s="1"/>
  <c r="C570" i="13" s="1"/>
  <c r="C627" i="13" s="1"/>
  <c r="C684" i="13" s="1"/>
  <c r="C741" i="13" s="1"/>
  <c r="C798" i="13" s="1"/>
  <c r="C855" i="13" s="1"/>
  <c r="C912" i="13" s="1"/>
  <c r="C969" i="13" s="1"/>
  <c r="C1026" i="13" s="1"/>
  <c r="C1083" i="13" s="1"/>
  <c r="C1140" i="13" s="1"/>
  <c r="C1197" i="13" s="1"/>
  <c r="C1254" i="13" s="1"/>
  <c r="C1311" i="13" s="1"/>
  <c r="C398" i="13"/>
  <c r="C455" i="13" s="1"/>
  <c r="C512" i="13" s="1"/>
  <c r="C569" i="13" s="1"/>
  <c r="C626" i="13" s="1"/>
  <c r="C683" i="13" s="1"/>
  <c r="C740" i="13" s="1"/>
  <c r="C797" i="13" s="1"/>
  <c r="C854" i="13" s="1"/>
  <c r="C911" i="13" s="1"/>
  <c r="C968" i="13" s="1"/>
  <c r="C1025" i="13" s="1"/>
  <c r="C1082" i="13" s="1"/>
  <c r="C1139" i="13" s="1"/>
  <c r="C1196" i="13" s="1"/>
  <c r="C1253" i="13" s="1"/>
  <c r="C1310" i="13" s="1"/>
  <c r="D103" i="34"/>
  <c r="F103" i="34"/>
  <c r="H103" i="34" s="1"/>
  <c r="G1904" i="13"/>
  <c r="G1959" i="13" s="1"/>
  <c r="D152" i="17"/>
  <c r="F152" i="17" s="1"/>
  <c r="H152" i="17" s="1"/>
  <c r="E163" i="34"/>
  <c r="G323" i="11"/>
  <c r="H432" i="29"/>
  <c r="D52" i="14"/>
  <c r="F445" i="16"/>
  <c r="G274" i="10"/>
  <c r="I274" i="10"/>
  <c r="C278" i="10" s="1"/>
  <c r="E278" i="10" s="1"/>
  <c r="D127" i="14"/>
  <c r="H321" i="15"/>
  <c r="J321" i="15" s="1"/>
  <c r="D325" i="15" s="1"/>
  <c r="F325" i="15" s="1"/>
  <c r="D380" i="11" s="1"/>
  <c r="F817" i="16"/>
  <c r="F63" i="13"/>
  <c r="F116" i="13" s="1"/>
  <c r="F169" i="13" s="1"/>
  <c r="F223" i="13" s="1"/>
  <c r="G329" i="13"/>
  <c r="G386" i="13" s="1"/>
  <c r="G443" i="13" s="1"/>
  <c r="G500" i="13" s="1"/>
  <c r="G557" i="13" s="1"/>
  <c r="G614" i="13" s="1"/>
  <c r="G671" i="13" s="1"/>
  <c r="G728" i="13" s="1"/>
  <c r="G785" i="13" s="1"/>
  <c r="G842" i="13" s="1"/>
  <c r="G899" i="13" s="1"/>
  <c r="G956" i="13" s="1"/>
  <c r="G1013" i="13" s="1"/>
  <c r="G1070" i="13" s="1"/>
  <c r="G1127" i="13" s="1"/>
  <c r="G1184" i="13" s="1"/>
  <c r="G1241" i="13" s="1"/>
  <c r="G1298" i="13" s="1"/>
  <c r="F446" i="16"/>
  <c r="C13" i="21"/>
  <c r="G488" i="10"/>
  <c r="I488" i="10" s="1"/>
  <c r="C492" i="10" s="1"/>
  <c r="E492" i="10" s="1"/>
  <c r="G80" i="13"/>
  <c r="E302" i="36"/>
  <c r="G302" i="36"/>
  <c r="C1429" i="13"/>
  <c r="C1539" i="13"/>
  <c r="C2032" i="13" s="1"/>
  <c r="F163" i="34"/>
  <c r="H163" i="34" s="1"/>
  <c r="D105" i="14"/>
  <c r="D159" i="14" s="1"/>
  <c r="C44" i="10"/>
  <c r="E44" i="10" s="1"/>
  <c r="G44" i="10" s="1"/>
  <c r="G26" i="9"/>
  <c r="G75" i="9"/>
  <c r="G124" i="9" s="1"/>
  <c r="G173" i="9" s="1"/>
  <c r="G222" i="9" s="1"/>
  <c r="G271" i="9" s="1"/>
  <c r="G320" i="9" s="1"/>
  <c r="G369" i="9" s="1"/>
  <c r="G418" i="9" s="1"/>
  <c r="G467" i="9" s="1"/>
  <c r="G516" i="9" s="1"/>
  <c r="G565" i="9" s="1"/>
  <c r="G614" i="9" s="1"/>
  <c r="G663" i="9" s="1"/>
  <c r="G712" i="9" s="1"/>
  <c r="G761" i="9" s="1"/>
  <c r="G810" i="9" s="1"/>
  <c r="G859" i="9" s="1"/>
  <c r="G908" i="9" s="1"/>
  <c r="G957" i="9" s="1"/>
  <c r="G1006" i="9" s="1"/>
  <c r="G1055" i="9" s="1"/>
  <c r="G1104" i="9" s="1"/>
  <c r="G1153" i="9" s="1"/>
  <c r="G1202" i="9" s="1"/>
  <c r="G1251" i="9" s="1"/>
  <c r="G1300" i="9" s="1"/>
  <c r="D87" i="13"/>
  <c r="G257" i="14"/>
  <c r="F245" i="14"/>
  <c r="H426" i="15"/>
  <c r="J426" i="15"/>
  <c r="D430" i="15" s="1"/>
  <c r="F430" i="15" s="1"/>
  <c r="H61" i="15"/>
  <c r="J61" i="15"/>
  <c r="D65" i="15" s="1"/>
  <c r="F65" i="15" s="1"/>
  <c r="H10" i="13"/>
  <c r="J10" i="13"/>
  <c r="D14" i="13" s="1"/>
  <c r="F14" i="13" s="1"/>
  <c r="G222" i="10"/>
  <c r="I222" i="10"/>
  <c r="C226" i="10" s="1"/>
  <c r="E226" i="10" s="1"/>
  <c r="F145" i="21"/>
  <c r="H323" i="29"/>
  <c r="B89" i="39"/>
  <c r="F1359" i="39"/>
  <c r="E1411" i="39"/>
  <c r="F1411" i="39"/>
  <c r="F1356" i="39"/>
  <c r="F1408" i="39"/>
  <c r="F1357" i="39"/>
  <c r="F1361" i="39"/>
  <c r="E689" i="39"/>
  <c r="E690" i="39"/>
  <c r="E691" i="39"/>
  <c r="E635" i="39"/>
  <c r="F584" i="39"/>
  <c r="E636" i="39"/>
  <c r="F585" i="39"/>
  <c r="E316" i="39"/>
  <c r="F133" i="12"/>
  <c r="G133" i="12" s="1"/>
  <c r="G78" i="12"/>
  <c r="D111" i="39"/>
  <c r="G111" i="39" s="1"/>
  <c r="I111" i="39" s="1"/>
  <c r="C115" i="39" s="1"/>
  <c r="E115" i="39" s="1"/>
  <c r="C162" i="39"/>
  <c r="E163" i="39"/>
  <c r="B166" i="39"/>
  <c r="B191" i="39"/>
  <c r="B115" i="39"/>
  <c r="B140" i="39"/>
  <c r="D60" i="39"/>
  <c r="G60" i="39"/>
  <c r="I60" i="39" s="1"/>
  <c r="C64" i="39" s="1"/>
  <c r="E64" i="39" s="1"/>
  <c r="F213" i="39"/>
  <c r="F265" i="39" s="1"/>
  <c r="E214" i="39"/>
  <c r="E266" i="39" s="1"/>
  <c r="E1480" i="13"/>
  <c r="E1425" i="13"/>
  <c r="E1535" i="13"/>
  <c r="E2028" i="13" s="1"/>
  <c r="E2300" i="13" s="1"/>
  <c r="C119" i="12"/>
  <c r="C174" i="12"/>
  <c r="C68" i="12"/>
  <c r="C99" i="12"/>
  <c r="E186" i="13"/>
  <c r="G186" i="13"/>
  <c r="G133" i="13"/>
  <c r="E1430" i="13"/>
  <c r="E1540" i="13" s="1"/>
  <c r="E2033" i="13" s="1"/>
  <c r="E1485" i="13"/>
  <c r="D51" i="34"/>
  <c r="F51" i="34" s="1"/>
  <c r="H51" i="34" s="1"/>
  <c r="K66" i="11" s="1"/>
  <c r="L79" i="29" s="1"/>
  <c r="G368" i="14"/>
  <c r="F43" i="11"/>
  <c r="G56" i="29" s="1"/>
  <c r="H269" i="15"/>
  <c r="J269" i="15" s="1"/>
  <c r="D273" i="15" s="1"/>
  <c r="F273" i="15" s="1"/>
  <c r="H8" i="12"/>
  <c r="J8" i="12" s="1"/>
  <c r="D12" i="12" s="1"/>
  <c r="F12" i="12" s="1"/>
  <c r="D160" i="34"/>
  <c r="D165" i="34" s="1"/>
  <c r="F165" i="34" s="1"/>
  <c r="H165" i="34" s="1"/>
  <c r="E39" i="24"/>
  <c r="G39" i="24" s="1"/>
  <c r="K320" i="11" s="1"/>
  <c r="L420" i="29" s="1"/>
  <c r="G80" i="15"/>
  <c r="F375" i="11" s="1"/>
  <c r="G776" i="14"/>
  <c r="F50" i="11" s="1"/>
  <c r="G63" i="29" s="1"/>
  <c r="G434" i="10"/>
  <c r="I434" i="10"/>
  <c r="C438" i="10" s="1"/>
  <c r="E438" i="10" s="1"/>
  <c r="C441" i="10" s="1"/>
  <c r="G381" i="10"/>
  <c r="I381" i="10"/>
  <c r="C385" i="10" s="1"/>
  <c r="E385" i="10" s="1"/>
  <c r="G44" i="11"/>
  <c r="H57" i="29"/>
  <c r="F430" i="14"/>
  <c r="D47" i="21"/>
  <c r="F47" i="21" s="1"/>
  <c r="H47" i="21" s="1"/>
  <c r="D46" i="13"/>
  <c r="F46" i="13"/>
  <c r="H46" i="13" s="1"/>
  <c r="E41" i="10"/>
  <c r="G41" i="10" s="1"/>
  <c r="E38" i="24"/>
  <c r="G38" i="24" s="1"/>
  <c r="D50" i="34"/>
  <c r="F50" i="34" s="1"/>
  <c r="H50" i="34" s="1"/>
  <c r="C60" i="23"/>
  <c r="E60" i="23"/>
  <c r="G60" i="23" s="1"/>
  <c r="D110" i="14"/>
  <c r="E92" i="10"/>
  <c r="G92" i="10"/>
  <c r="C145" i="10"/>
  <c r="C97" i="10"/>
  <c r="E97" i="10" s="1"/>
  <c r="G97" i="10" s="1"/>
  <c r="E39" i="10"/>
  <c r="G39" i="10"/>
  <c r="I301" i="11" s="1"/>
  <c r="J366" i="29" s="1"/>
  <c r="C41" i="24"/>
  <c r="E41" i="24"/>
  <c r="G41" i="24" s="1"/>
  <c r="F39" i="17"/>
  <c r="H39" i="17" s="1"/>
  <c r="E94" i="10"/>
  <c r="G94" i="10" s="1"/>
  <c r="C147" i="10"/>
  <c r="C152" i="10" s="1"/>
  <c r="E152" i="10"/>
  <c r="G152" i="10" s="1"/>
  <c r="D185" i="9"/>
  <c r="D234" i="9" s="1"/>
  <c r="F136" i="9"/>
  <c r="H136" i="9"/>
  <c r="I98" i="11" s="1"/>
  <c r="J120" i="29" s="1"/>
  <c r="F143" i="15"/>
  <c r="H143" i="15"/>
  <c r="I376" i="11" s="1"/>
  <c r="D195" i="15"/>
  <c r="C47" i="28"/>
  <c r="E47" i="28"/>
  <c r="G47" i="28" s="1"/>
  <c r="L371" i="11" s="1"/>
  <c r="C43" i="16"/>
  <c r="C95" i="16"/>
  <c r="C148" i="16" s="1"/>
  <c r="C42" i="39"/>
  <c r="C39" i="39"/>
  <c r="C40" i="16"/>
  <c r="D214" i="14"/>
  <c r="C46" i="10"/>
  <c r="E46" i="10" s="1"/>
  <c r="G46" i="10"/>
  <c r="D153" i="17"/>
  <c r="F153" i="17"/>
  <c r="H153" i="17" s="1"/>
  <c r="F87" i="9"/>
  <c r="H87" i="9" s="1"/>
  <c r="I97" i="11" s="1"/>
  <c r="J119" i="29" s="1"/>
  <c r="D99" i="21"/>
  <c r="D104" i="21" s="1"/>
  <c r="F104" i="21" s="1"/>
  <c r="H104" i="21" s="1"/>
  <c r="F40" i="12"/>
  <c r="H40" i="12" s="1"/>
  <c r="I126" i="11" s="1"/>
  <c r="C42" i="16"/>
  <c r="C47" i="16"/>
  <c r="C41" i="39"/>
  <c r="C45" i="28"/>
  <c r="E45" i="28" s="1"/>
  <c r="G45" i="28"/>
  <c r="C40" i="39"/>
  <c r="C41" i="16"/>
  <c r="D92" i="15"/>
  <c r="D95" i="12"/>
  <c r="D98" i="21"/>
  <c r="F146" i="17"/>
  <c r="H146" i="17" s="1"/>
  <c r="D95" i="13"/>
  <c r="F41" i="12"/>
  <c r="H41" i="12"/>
  <c r="F10" i="24"/>
  <c r="G10" i="24"/>
  <c r="I10" i="24" s="1"/>
  <c r="C14" i="24" s="1"/>
  <c r="E14" i="24" s="1"/>
  <c r="G52" i="1"/>
  <c r="I52" i="1" s="1"/>
  <c r="H64" i="17"/>
  <c r="J64" i="17" s="1"/>
  <c r="D68" i="17" s="1"/>
  <c r="F68" i="17" s="1"/>
  <c r="G12" i="23"/>
  <c r="I12" i="23" s="1"/>
  <c r="C18" i="23" s="1"/>
  <c r="E18" i="23" s="1"/>
  <c r="G11" i="23"/>
  <c r="I11" i="23" s="1"/>
  <c r="C17" i="23" s="1"/>
  <c r="E17" i="23" s="1"/>
  <c r="G44" i="1"/>
  <c r="I44" i="1" s="1"/>
  <c r="G275" i="10"/>
  <c r="I275" i="10" s="1"/>
  <c r="C279" i="10" s="1"/>
  <c r="E279" i="10" s="1"/>
  <c r="C281" i="10"/>
  <c r="E281" i="10" s="1"/>
  <c r="G119" i="12"/>
  <c r="G174" i="12"/>
  <c r="G229" i="12" s="1"/>
  <c r="G284" i="12" s="1"/>
  <c r="G339" i="12" s="1"/>
  <c r="G394" i="12" s="1"/>
  <c r="G449" i="12" s="1"/>
  <c r="G504" i="12" s="1"/>
  <c r="G559" i="12" s="1"/>
  <c r="H64" i="12"/>
  <c r="J64" i="12"/>
  <c r="D68" i="12" s="1"/>
  <c r="F68" i="12"/>
  <c r="H9" i="12"/>
  <c r="J9" i="12"/>
  <c r="D13" i="12" s="1"/>
  <c r="F13" i="12" s="1"/>
  <c r="G116" i="10"/>
  <c r="I116" i="10"/>
  <c r="C120" i="10" s="1"/>
  <c r="E120" i="10"/>
  <c r="G39" i="1"/>
  <c r="I39" i="1"/>
  <c r="D205" i="9"/>
  <c r="G33" i="1"/>
  <c r="I33" i="1" s="1"/>
  <c r="G541" i="10"/>
  <c r="I541" i="10" s="1"/>
  <c r="C545" i="10" s="1"/>
  <c r="E545" i="10" s="1"/>
  <c r="D311" i="11"/>
  <c r="E376" i="29" s="1"/>
  <c r="D63" i="13"/>
  <c r="D9" i="39"/>
  <c r="G9" i="39"/>
  <c r="I9" i="39" s="1"/>
  <c r="C13" i="39" s="1"/>
  <c r="E13" i="39" s="1"/>
  <c r="D232" i="11"/>
  <c r="E300" i="29" s="1"/>
  <c r="H9" i="34"/>
  <c r="H66" i="34" s="1"/>
  <c r="H123" i="34"/>
  <c r="G9" i="14"/>
  <c r="H9" i="14"/>
  <c r="J9" i="14" s="1"/>
  <c r="D13" i="14" s="1"/>
  <c r="F13" i="14" s="1"/>
  <c r="F9" i="36"/>
  <c r="F126" i="14"/>
  <c r="F180" i="14"/>
  <c r="F236" i="14" s="1"/>
  <c r="F290" i="14" s="1"/>
  <c r="F346" i="14" s="1"/>
  <c r="F401" i="14" s="1"/>
  <c r="F461" i="14" s="1"/>
  <c r="F525" i="14" s="1"/>
  <c r="D63" i="12"/>
  <c r="H578" i="15"/>
  <c r="J578" i="15" s="1"/>
  <c r="D582" i="15" s="1"/>
  <c r="F582" i="15" s="1"/>
  <c r="D585" i="15"/>
  <c r="F585" i="15" s="1"/>
  <c r="E385" i="11" s="1"/>
  <c r="G19" i="1"/>
  <c r="I19" i="1"/>
  <c r="H9" i="13"/>
  <c r="J9" i="13"/>
  <c r="D13" i="13" s="1"/>
  <c r="F13" i="13" s="1"/>
  <c r="D222" i="13"/>
  <c r="E222" i="13"/>
  <c r="E168" i="13"/>
  <c r="E115" i="13"/>
  <c r="H115" i="13" s="1"/>
  <c r="J115" i="13" s="1"/>
  <c r="D119" i="13" s="1"/>
  <c r="F119" i="13"/>
  <c r="G487" i="10"/>
  <c r="I487" i="10"/>
  <c r="C491" i="10" s="1"/>
  <c r="E491" i="10" s="1"/>
  <c r="D307" i="11"/>
  <c r="E372" i="29" s="1"/>
  <c r="G9" i="20"/>
  <c r="I9" i="20" s="1"/>
  <c r="C13" i="20" s="1"/>
  <c r="E13" i="20" s="1"/>
  <c r="C16" i="20"/>
  <c r="E16" i="20" s="1"/>
  <c r="E316" i="11" s="1"/>
  <c r="F398" i="29" s="1"/>
  <c r="H165" i="15"/>
  <c r="J165" i="15" s="1"/>
  <c r="D169" i="15" s="1"/>
  <c r="F169" i="15" s="1"/>
  <c r="G115" i="10"/>
  <c r="I115" i="10" s="1"/>
  <c r="C119" i="10" s="1"/>
  <c r="E119" i="10" s="1"/>
  <c r="G113" i="15"/>
  <c r="D39" i="37"/>
  <c r="P7" i="11"/>
  <c r="P4" i="11"/>
  <c r="P30" i="11"/>
  <c r="F185" i="9"/>
  <c r="H185" i="9" s="1"/>
  <c r="I99" i="11" s="1"/>
  <c r="J121" i="29" s="1"/>
  <c r="F494" i="14"/>
  <c r="G45" i="11"/>
  <c r="H58" i="29"/>
  <c r="F328" i="13"/>
  <c r="F385" i="13"/>
  <c r="F442" i="13" s="1"/>
  <c r="F499" i="13"/>
  <c r="F556" i="13" s="1"/>
  <c r="F613" i="13" s="1"/>
  <c r="F670" i="13" s="1"/>
  <c r="F727" i="13" s="1"/>
  <c r="F784" i="13" s="1"/>
  <c r="F841" i="13" s="1"/>
  <c r="F898" i="13" s="1"/>
  <c r="F955" i="13" s="1"/>
  <c r="F1012" i="13" s="1"/>
  <c r="F1069" i="13" s="1"/>
  <c r="F1126" i="13" s="1"/>
  <c r="F1183" i="13" s="1"/>
  <c r="F1240" i="13" s="1"/>
  <c r="F1297" i="13" s="1"/>
  <c r="F274" i="13"/>
  <c r="F1354" i="13"/>
  <c r="F1410" i="13" s="1"/>
  <c r="D309" i="12"/>
  <c r="F254" i="12"/>
  <c r="H254" i="12"/>
  <c r="E27" i="24"/>
  <c r="G320" i="11"/>
  <c r="H420" i="29" s="1"/>
  <c r="F89" i="21"/>
  <c r="G293" i="11"/>
  <c r="H212" i="29"/>
  <c r="D93" i="15"/>
  <c r="F187" i="12"/>
  <c r="F242" i="12"/>
  <c r="F41" i="17"/>
  <c r="H41" i="17"/>
  <c r="K289" i="11" s="1"/>
  <c r="L208" i="29"/>
  <c r="D46" i="12"/>
  <c r="F46" i="12"/>
  <c r="H46" i="12" s="1"/>
  <c r="D88" i="9"/>
  <c r="H630" i="15"/>
  <c r="J630" i="15"/>
  <c r="D634" i="15" s="1"/>
  <c r="F634" i="15"/>
  <c r="G1556" i="14"/>
  <c r="F1543" i="14" s="1"/>
  <c r="F2303" i="13"/>
  <c r="F2360" i="13" s="1"/>
  <c r="F2413" i="13" s="1"/>
  <c r="F2468" i="13" s="1"/>
  <c r="F2520" i="13" s="1"/>
  <c r="C99" i="10"/>
  <c r="E99" i="10"/>
  <c r="G99" i="10" s="1"/>
  <c r="E6" i="10"/>
  <c r="G493" i="15"/>
  <c r="F383" i="11"/>
  <c r="H168" i="13"/>
  <c r="J168" i="13"/>
  <c r="D172" i="13" s="1"/>
  <c r="F172" i="13" s="1"/>
  <c r="G203" i="14"/>
  <c r="F189" i="14"/>
  <c r="G10" i="28"/>
  <c r="I10" i="28"/>
  <c r="C14" i="28" s="1"/>
  <c r="E14" i="28" s="1"/>
  <c r="G1702" i="13"/>
  <c r="B213" i="39"/>
  <c r="B265" i="39" s="1"/>
  <c r="B64" i="39"/>
  <c r="H474" i="15"/>
  <c r="J474" i="15"/>
  <c r="D478" i="15" s="1"/>
  <c r="F478" i="15" s="1"/>
  <c r="D383" i="11" s="1"/>
  <c r="G832" i="14"/>
  <c r="F1820" i="16"/>
  <c r="F1816" i="16"/>
  <c r="C244" i="16"/>
  <c r="C296" i="16" s="1"/>
  <c r="F1815" i="16"/>
  <c r="F814" i="16"/>
  <c r="D61" i="16"/>
  <c r="G61" i="16"/>
  <c r="I61" i="16" s="1"/>
  <c r="C65" i="16" s="1"/>
  <c r="E65" i="16" s="1"/>
  <c r="C113" i="16"/>
  <c r="D62" i="16"/>
  <c r="C114" i="16"/>
  <c r="E114" i="16"/>
  <c r="E167" i="16" s="1"/>
  <c r="F113" i="16"/>
  <c r="F166" i="16" s="1"/>
  <c r="F440" i="16"/>
  <c r="G1782" i="16"/>
  <c r="C92" i="16"/>
  <c r="C145" i="16" s="1"/>
  <c r="F813" i="16"/>
  <c r="E166" i="16"/>
  <c r="G8" i="16"/>
  <c r="I8" i="16" s="1"/>
  <c r="C12" i="16" s="1"/>
  <c r="E12" i="16" s="1"/>
  <c r="G9" i="16"/>
  <c r="I9" i="16" s="1"/>
  <c r="C13" i="16" s="1"/>
  <c r="E13" i="16" s="1"/>
  <c r="G1783" i="16"/>
  <c r="F1294" i="16"/>
  <c r="E1284" i="16"/>
  <c r="D213" i="39"/>
  <c r="G80" i="12"/>
  <c r="F135" i="12"/>
  <c r="E1930" i="16"/>
  <c r="F1875" i="16"/>
  <c r="F1813" i="16"/>
  <c r="E1868" i="16"/>
  <c r="E1873" i="16"/>
  <c r="F1818" i="16"/>
  <c r="F40" i="11"/>
  <c r="G53" i="29"/>
  <c r="F1870" i="16"/>
  <c r="E1925" i="16"/>
  <c r="G93" i="14"/>
  <c r="F137" i="12"/>
  <c r="G82" i="12"/>
  <c r="F1876" i="16"/>
  <c r="E1931" i="16"/>
  <c r="F483" i="15"/>
  <c r="G186" i="12"/>
  <c r="F241" i="12"/>
  <c r="F1874" i="16"/>
  <c r="E1929" i="16"/>
  <c r="E637" i="36"/>
  <c r="G582" i="36"/>
  <c r="G147" i="14"/>
  <c r="F39" i="11"/>
  <c r="G52" i="29" s="1"/>
  <c r="G1444" i="14"/>
  <c r="G187" i="12"/>
  <c r="G143" i="21"/>
  <c r="G1332" i="14"/>
  <c r="G312" i="14"/>
  <c r="F42" i="11" s="1"/>
  <c r="G55" i="29"/>
  <c r="G36" i="14"/>
  <c r="F18" i="14"/>
  <c r="G236" i="15"/>
  <c r="F226" i="15" s="1"/>
  <c r="G1501" i="14"/>
  <c r="F1486" i="14"/>
  <c r="G492" i="14"/>
  <c r="G548" i="14"/>
  <c r="G335" i="15"/>
  <c r="E300" i="36"/>
  <c r="G300" i="36" s="1"/>
  <c r="E298" i="36"/>
  <c r="G298" i="36" s="1"/>
  <c r="E303" i="36"/>
  <c r="G303" i="36" s="1"/>
  <c r="D291" i="13"/>
  <c r="C1479" i="13"/>
  <c r="F1871" i="16"/>
  <c r="F138" i="12"/>
  <c r="F1821" i="16"/>
  <c r="F1819" i="16"/>
  <c r="F660" i="16"/>
  <c r="F188" i="11" s="1"/>
  <c r="G245" i="29" s="1"/>
  <c r="G82" i="17"/>
  <c r="F72" i="17"/>
  <c r="F290" i="11" s="1"/>
  <c r="G209" i="29" s="1"/>
  <c r="G1055" i="14"/>
  <c r="F1042" i="14"/>
  <c r="G605" i="14"/>
  <c r="F47" i="11"/>
  <c r="G60" i="29" s="1"/>
  <c r="G890" i="14"/>
  <c r="G428" i="14"/>
  <c r="F44" i="11"/>
  <c r="G57" i="29" s="1"/>
  <c r="F25" i="24"/>
  <c r="F320" i="11" s="1"/>
  <c r="G420" i="29"/>
  <c r="F1973" i="13"/>
  <c r="F2244" i="13"/>
  <c r="E306" i="36"/>
  <c r="G306" i="36"/>
  <c r="D1485" i="13"/>
  <c r="E864" i="16"/>
  <c r="F864" i="16" s="1"/>
  <c r="F872" i="16" s="1"/>
  <c r="E862" i="16" s="1"/>
  <c r="F194" i="11" s="1"/>
  <c r="G251" i="29" s="1"/>
  <c r="G945" i="14"/>
  <c r="F53" i="11" s="1"/>
  <c r="G66" i="29"/>
  <c r="G597" i="15"/>
  <c r="F396" i="16"/>
  <c r="E386" i="16" s="1"/>
  <c r="G25" i="9"/>
  <c r="G74" i="9" s="1"/>
  <c r="G123" i="9"/>
  <c r="G172" i="9" s="1"/>
  <c r="G221" i="9" s="1"/>
  <c r="G270" i="9" s="1"/>
  <c r="G319" i="9" s="1"/>
  <c r="G368" i="9" s="1"/>
  <c r="G417" i="9" s="1"/>
  <c r="G466" i="9" s="1"/>
  <c r="G515" i="9" s="1"/>
  <c r="G564" i="9" s="1"/>
  <c r="G613" i="9" s="1"/>
  <c r="G662" i="9" s="1"/>
  <c r="G711" i="9" s="1"/>
  <c r="G760" i="9" s="1"/>
  <c r="G809" i="9" s="1"/>
  <c r="G858" i="9" s="1"/>
  <c r="G907" i="9" s="1"/>
  <c r="G956" i="9" s="1"/>
  <c r="G1005" i="9" s="1"/>
  <c r="G1054" i="9" s="1"/>
  <c r="G1103" i="9" s="1"/>
  <c r="G1152" i="9" s="1"/>
  <c r="G1201" i="9" s="1"/>
  <c r="G1250" i="9" s="1"/>
  <c r="G1299" i="9" s="1"/>
  <c r="G661" i="14"/>
  <c r="G1000" i="14"/>
  <c r="F987" i="14" s="1"/>
  <c r="G585" i="36"/>
  <c r="C1976" i="13"/>
  <c r="C2247" i="13"/>
  <c r="G477" i="36"/>
  <c r="F460" i="36"/>
  <c r="F77" i="11" s="1"/>
  <c r="G90" i="29"/>
  <c r="G397" i="13"/>
  <c r="C292" i="13"/>
  <c r="C1483" i="13"/>
  <c r="G719" i="14"/>
  <c r="F703" i="14" s="1"/>
  <c r="G147" i="34"/>
  <c r="G29" i="36"/>
  <c r="F18" i="36" s="1"/>
  <c r="F69" i="11" s="1"/>
  <c r="G82" i="29" s="1"/>
  <c r="E1924" i="16"/>
  <c r="F1869" i="16"/>
  <c r="F1978" i="13"/>
  <c r="F2249" i="13" s="1"/>
  <c r="F1593" i="13"/>
  <c r="F1646" i="13" s="1"/>
  <c r="F1700" i="13"/>
  <c r="F1754" i="13" s="1"/>
  <c r="F1808" i="13" s="1"/>
  <c r="F308" i="31"/>
  <c r="F1866" i="13"/>
  <c r="F345" i="13"/>
  <c r="F341" i="13"/>
  <c r="F304" i="31"/>
  <c r="F1862" i="13"/>
  <c r="F1915" i="13" s="1"/>
  <c r="G1915" i="13"/>
  <c r="F348" i="13"/>
  <c r="F311" i="31"/>
  <c r="F1869" i="13" s="1"/>
  <c r="G1869" i="13" s="1"/>
  <c r="F69" i="9"/>
  <c r="F118" i="9"/>
  <c r="F167" i="9" s="1"/>
  <c r="F216" i="9"/>
  <c r="F265" i="9" s="1"/>
  <c r="F314" i="9" s="1"/>
  <c r="F363" i="9" s="1"/>
  <c r="F412" i="9" s="1"/>
  <c r="F461" i="9" s="1"/>
  <c r="F510" i="9" s="1"/>
  <c r="F559" i="9" s="1"/>
  <c r="F608" i="9" s="1"/>
  <c r="F657" i="9" s="1"/>
  <c r="F706" i="9" s="1"/>
  <c r="F755" i="9" s="1"/>
  <c r="F804" i="9" s="1"/>
  <c r="F853" i="9" s="1"/>
  <c r="F902" i="9" s="1"/>
  <c r="F951" i="9" s="1"/>
  <c r="F1000" i="9" s="1"/>
  <c r="F1049" i="9" s="1"/>
  <c r="F1098" i="9" s="1"/>
  <c r="F1147" i="9" s="1"/>
  <c r="F1196" i="9" s="1"/>
  <c r="F1245" i="9" s="1"/>
  <c r="F1294" i="9" s="1"/>
  <c r="G20" i="9"/>
  <c r="G69" i="9"/>
  <c r="G118" i="9" s="1"/>
  <c r="G167" i="9"/>
  <c r="G216" i="9" s="1"/>
  <c r="G74" i="13"/>
  <c r="F127" i="13"/>
  <c r="F180" i="13"/>
  <c r="F234" i="13" s="1"/>
  <c r="D304" i="31"/>
  <c r="D1862" i="13" s="1"/>
  <c r="D1915" i="13" s="1"/>
  <c r="D341" i="13"/>
  <c r="C2083" i="13"/>
  <c r="C2137" i="13" s="1"/>
  <c r="C2192" i="13"/>
  <c r="F67" i="9"/>
  <c r="F116" i="9"/>
  <c r="F165" i="9" s="1"/>
  <c r="F214" i="9" s="1"/>
  <c r="F263" i="9" s="1"/>
  <c r="F312" i="9" s="1"/>
  <c r="F361" i="9" s="1"/>
  <c r="F410" i="9" s="1"/>
  <c r="F459" i="9" s="1"/>
  <c r="F508" i="9" s="1"/>
  <c r="F557" i="9" s="1"/>
  <c r="F606" i="9" s="1"/>
  <c r="F655" i="9" s="1"/>
  <c r="F704" i="9" s="1"/>
  <c r="F753" i="9" s="1"/>
  <c r="F802" i="9" s="1"/>
  <c r="F851" i="9" s="1"/>
  <c r="F900" i="9" s="1"/>
  <c r="F949" i="9" s="1"/>
  <c r="F998" i="9" s="1"/>
  <c r="F1047" i="9" s="1"/>
  <c r="F1096" i="9" s="1"/>
  <c r="F1145" i="9" s="1"/>
  <c r="F1194" i="9" s="1"/>
  <c r="F1243" i="9" s="1"/>
  <c r="F1292" i="9" s="1"/>
  <c r="G18" i="9"/>
  <c r="G67" i="9"/>
  <c r="G116" i="9" s="1"/>
  <c r="G165" i="9" s="1"/>
  <c r="G214" i="9" s="1"/>
  <c r="G263" i="9" s="1"/>
  <c r="G312" i="9" s="1"/>
  <c r="G361" i="9" s="1"/>
  <c r="G410" i="9" s="1"/>
  <c r="G459" i="9" s="1"/>
  <c r="G508" i="9" s="1"/>
  <c r="G557" i="9" s="1"/>
  <c r="G606" i="9" s="1"/>
  <c r="G655" i="9" s="1"/>
  <c r="G704" i="9" s="1"/>
  <c r="G753" i="9" s="1"/>
  <c r="G802" i="9" s="1"/>
  <c r="G851" i="9" s="1"/>
  <c r="G900" i="9" s="1"/>
  <c r="G949" i="9" s="1"/>
  <c r="G998" i="9" s="1"/>
  <c r="G1047" i="9" s="1"/>
  <c r="G1096" i="9" s="1"/>
  <c r="G1145" i="9" s="1"/>
  <c r="G1194" i="9" s="1"/>
  <c r="G1243" i="9" s="1"/>
  <c r="G1292" i="9" s="1"/>
  <c r="F1770" i="16"/>
  <c r="E1760" i="16" s="1"/>
  <c r="F219" i="11"/>
  <c r="G277" i="29" s="1"/>
  <c r="F72" i="9"/>
  <c r="F121" i="9" s="1"/>
  <c r="F170" i="9"/>
  <c r="G23" i="9"/>
  <c r="G72" i="9"/>
  <c r="G121" i="9" s="1"/>
  <c r="F1371" i="13"/>
  <c r="F1482" i="13" s="1"/>
  <c r="F1591" i="13"/>
  <c r="F1644" i="13" s="1"/>
  <c r="F1698" i="13" s="1"/>
  <c r="F1752" i="13" s="1"/>
  <c r="F270" i="31"/>
  <c r="F290" i="31" s="1"/>
  <c r="G1864" i="13"/>
  <c r="F1917" i="13"/>
  <c r="G1917" i="13"/>
  <c r="E696" i="36"/>
  <c r="G696" i="36"/>
  <c r="G640" i="36"/>
  <c r="C2300" i="13"/>
  <c r="C2357" i="13" s="1"/>
  <c r="C2410" i="13" s="1"/>
  <c r="C2465" i="13" s="1"/>
  <c r="C2081" i="13"/>
  <c r="C2135" i="13" s="1"/>
  <c r="C2190" i="13" s="1"/>
  <c r="D1371" i="13"/>
  <c r="D270" i="31"/>
  <c r="D290" i="31" s="1"/>
  <c r="F310" i="31"/>
  <c r="F1868" i="13" s="1"/>
  <c r="F347" i="13"/>
  <c r="G28" i="13"/>
  <c r="F81" i="13"/>
  <c r="D2086" i="13"/>
  <c r="D2140" i="13"/>
  <c r="D2195" i="13" s="1"/>
  <c r="D2305" i="13"/>
  <c r="D2362" i="13" s="1"/>
  <c r="D2415" i="13" s="1"/>
  <c r="D2470" i="13" s="1"/>
  <c r="C2084" i="13"/>
  <c r="C2138" i="13" s="1"/>
  <c r="C2193" i="13" s="1"/>
  <c r="C2303" i="13"/>
  <c r="C2360" i="13"/>
  <c r="C2413" i="13" s="1"/>
  <c r="C2468" i="13"/>
  <c r="C2520" i="13" s="1"/>
  <c r="G795" i="13"/>
  <c r="F852" i="13"/>
  <c r="G852" i="13"/>
  <c r="F238" i="16"/>
  <c r="E227" i="16"/>
  <c r="F176" i="11" s="1"/>
  <c r="G233" i="29"/>
  <c r="G1168" i="14"/>
  <c r="F1153" i="14"/>
  <c r="F29" i="20"/>
  <c r="F316" i="11"/>
  <c r="G398" i="29" s="1"/>
  <c r="G139" i="36"/>
  <c r="F127" i="36" s="1"/>
  <c r="F71" i="11"/>
  <c r="G84" i="29" s="1"/>
  <c r="F1814" i="16"/>
  <c r="E75" i="16"/>
  <c r="F75" i="16"/>
  <c r="F80" i="16" s="1"/>
  <c r="E1501" i="16"/>
  <c r="F1501" i="16" s="1"/>
  <c r="F1506" i="16" s="1"/>
  <c r="F212" i="11" s="1"/>
  <c r="G269" i="29" s="1"/>
  <c r="E921" i="16"/>
  <c r="F921" i="16" s="1"/>
  <c r="F926" i="16"/>
  <c r="F196" i="11" s="1"/>
  <c r="G253" i="29" s="1"/>
  <c r="E1342" i="16"/>
  <c r="F1342" i="16"/>
  <c r="E1659" i="16"/>
  <c r="F1659" i="16"/>
  <c r="E496" i="16"/>
  <c r="F496" i="16"/>
  <c r="E708" i="16"/>
  <c r="F708" i="16"/>
  <c r="F713" i="16" s="1"/>
  <c r="E444" i="16"/>
  <c r="G33" i="34"/>
  <c r="F66" i="11"/>
  <c r="G79" i="29" s="1"/>
  <c r="E503" i="10"/>
  <c r="F503" i="10" s="1"/>
  <c r="F506" i="10"/>
  <c r="E78" i="10"/>
  <c r="F78" i="10"/>
  <c r="F81" i="10" s="1"/>
  <c r="E450" i="10"/>
  <c r="F450" i="10" s="1"/>
  <c r="F453" i="10"/>
  <c r="G634" i="36"/>
  <c r="F73" i="9"/>
  <c r="F122" i="9" s="1"/>
  <c r="F171" i="9" s="1"/>
  <c r="F220" i="9" s="1"/>
  <c r="F269" i="9" s="1"/>
  <c r="F318" i="9" s="1"/>
  <c r="F367" i="9" s="1"/>
  <c r="F416" i="9" s="1"/>
  <c r="F465" i="9" s="1"/>
  <c r="F514" i="9" s="1"/>
  <c r="F563" i="9" s="1"/>
  <c r="F612" i="9" s="1"/>
  <c r="F661" i="9" s="1"/>
  <c r="F710" i="9" s="1"/>
  <c r="F759" i="9" s="1"/>
  <c r="F808" i="9" s="1"/>
  <c r="F857" i="9" s="1"/>
  <c r="F906" i="9" s="1"/>
  <c r="F955" i="9" s="1"/>
  <c r="F1004" i="9" s="1"/>
  <c r="F1053" i="9" s="1"/>
  <c r="F1102" i="9" s="1"/>
  <c r="F1151" i="9" s="1"/>
  <c r="F1200" i="9" s="1"/>
  <c r="F1249" i="9" s="1"/>
  <c r="F1298" i="9" s="1"/>
  <c r="D400" i="13"/>
  <c r="D457" i="13" s="1"/>
  <c r="D514" i="13"/>
  <c r="D571" i="13" s="1"/>
  <c r="D628" i="13" s="1"/>
  <c r="D685" i="13" s="1"/>
  <c r="D742" i="13" s="1"/>
  <c r="D799" i="13" s="1"/>
  <c r="D856" i="13" s="1"/>
  <c r="D913" i="13" s="1"/>
  <c r="D970" i="13" s="1"/>
  <c r="D1027" i="13" s="1"/>
  <c r="D1084" i="13" s="1"/>
  <c r="D1141" i="13" s="1"/>
  <c r="D1198" i="13" s="1"/>
  <c r="D1255" i="13" s="1"/>
  <c r="D1312" i="13" s="1"/>
  <c r="F73" i="13"/>
  <c r="D345" i="13"/>
  <c r="C1972" i="13"/>
  <c r="C2243" i="13"/>
  <c r="C1593" i="13"/>
  <c r="C1646" i="13"/>
  <c r="C1700" i="13" s="1"/>
  <c r="C1754" i="13"/>
  <c r="C1808" i="13" s="1"/>
  <c r="D1587" i="13"/>
  <c r="D1640" i="13" s="1"/>
  <c r="D1694" i="13"/>
  <c r="D1748" i="13" s="1"/>
  <c r="D1802" i="13" s="1"/>
  <c r="D1370" i="13"/>
  <c r="E580" i="36"/>
  <c r="D25" i="13"/>
  <c r="D78" i="13"/>
  <c r="D131" i="13" s="1"/>
  <c r="D184" i="13"/>
  <c r="F22" i="13"/>
  <c r="C404" i="13"/>
  <c r="C461" i="13" s="1"/>
  <c r="C518" i="13" s="1"/>
  <c r="C575" i="13" s="1"/>
  <c r="C632" i="13" s="1"/>
  <c r="C689" i="13" s="1"/>
  <c r="C746" i="13" s="1"/>
  <c r="C803" i="13" s="1"/>
  <c r="C860" i="13" s="1"/>
  <c r="C917" i="13" s="1"/>
  <c r="C974" i="13" s="1"/>
  <c r="C1031" i="13" s="1"/>
  <c r="C1088" i="13" s="1"/>
  <c r="C1145" i="13" s="1"/>
  <c r="C1202" i="13" s="1"/>
  <c r="C1259" i="13" s="1"/>
  <c r="C1316" i="13" s="1"/>
  <c r="F343" i="13"/>
  <c r="F287" i="13"/>
  <c r="G287" i="13" s="1"/>
  <c r="F248" i="31"/>
  <c r="F263" i="31"/>
  <c r="G363" i="36"/>
  <c r="F351" i="36" s="1"/>
  <c r="F75" i="11"/>
  <c r="G88" i="29" s="1"/>
  <c r="G418" i="36"/>
  <c r="F405" i="36" s="1"/>
  <c r="F76" i="11"/>
  <c r="G89" i="29" s="1"/>
  <c r="E1554" i="16"/>
  <c r="F1554" i="16" s="1"/>
  <c r="F1559" i="16"/>
  <c r="F214" i="11" s="1"/>
  <c r="G271" i="29" s="1"/>
  <c r="E1026" i="16"/>
  <c r="F1026" i="16"/>
  <c r="F1031" i="16" s="1"/>
  <c r="E1020" i="16"/>
  <c r="E973" i="16"/>
  <c r="F973" i="16"/>
  <c r="F978" i="16" s="1"/>
  <c r="E1394" i="16"/>
  <c r="F1394" i="16" s="1"/>
  <c r="F1399" i="16"/>
  <c r="E1712" i="16"/>
  <c r="F1712" i="16"/>
  <c r="F1717" i="16" s="1"/>
  <c r="E1132" i="16"/>
  <c r="F1132" i="16" s="1"/>
  <c r="F1137" i="16"/>
  <c r="E339" i="16"/>
  <c r="F339" i="16"/>
  <c r="F344" i="16" s="1"/>
  <c r="E549" i="16"/>
  <c r="F549" i="16"/>
  <c r="F554" i="16" s="1"/>
  <c r="F185" i="11" s="1"/>
  <c r="G242" i="29" s="1"/>
  <c r="E128" i="16"/>
  <c r="F128" i="16"/>
  <c r="F133" i="16" s="1"/>
  <c r="E122" i="16" s="1"/>
  <c r="G1111" i="14"/>
  <c r="F1097" i="14"/>
  <c r="E131" i="10"/>
  <c r="F131" i="10"/>
  <c r="F134" i="10" s="1"/>
  <c r="E184" i="10"/>
  <c r="F184" i="10" s="1"/>
  <c r="E556" i="10"/>
  <c r="F556" i="10" s="1"/>
  <c r="F559" i="10"/>
  <c r="E307" i="36"/>
  <c r="G307" i="36"/>
  <c r="F1367" i="13"/>
  <c r="F1423" i="13"/>
  <c r="F1533" i="13" s="1"/>
  <c r="F342" i="13"/>
  <c r="C1589" i="13"/>
  <c r="C1642" i="13"/>
  <c r="C1696" i="13" s="1"/>
  <c r="C1750" i="13"/>
  <c r="C1804" i="13" s="1"/>
  <c r="G85" i="36"/>
  <c r="F72" i="36" s="1"/>
  <c r="F70" i="11"/>
  <c r="G83" i="29" s="1"/>
  <c r="D268" i="31"/>
  <c r="D288" i="31" s="1"/>
  <c r="D273" i="31"/>
  <c r="D293" i="31" s="1"/>
  <c r="D397" i="13"/>
  <c r="D454" i="13" s="1"/>
  <c r="F28" i="10"/>
  <c r="E1606" i="16"/>
  <c r="F1606" i="16"/>
  <c r="F1611" i="16" s="1"/>
  <c r="E1079" i="16"/>
  <c r="F1079" i="16" s="1"/>
  <c r="F1084" i="16"/>
  <c r="E1449" i="16"/>
  <c r="F1449" i="16"/>
  <c r="F1454" i="16" s="1"/>
  <c r="E761" i="16"/>
  <c r="F761" i="16" s="1"/>
  <c r="F766" i="16"/>
  <c r="E1237" i="16"/>
  <c r="F1237" i="16"/>
  <c r="F1242" i="16" s="1"/>
  <c r="E1231" i="16" s="1"/>
  <c r="F205" i="11" s="1"/>
  <c r="G262" i="29" s="1"/>
  <c r="E1184" i="16"/>
  <c r="F1184" i="16"/>
  <c r="F1189" i="16" s="1"/>
  <c r="E1179" i="16" s="1"/>
  <c r="E601" i="16"/>
  <c r="F601" i="16" s="1"/>
  <c r="G90" i="34"/>
  <c r="F67" i="11" s="1"/>
  <c r="G80" i="29" s="1"/>
  <c r="E237" i="10"/>
  <c r="F237" i="10"/>
  <c r="E290" i="10"/>
  <c r="F290" i="10"/>
  <c r="F293" i="10" s="1"/>
  <c r="F306" i="11"/>
  <c r="G371" i="29" s="1"/>
  <c r="D23" i="13"/>
  <c r="D76" i="13" s="1"/>
  <c r="D129" i="13"/>
  <c r="D182" i="13" s="1"/>
  <c r="G40" i="11"/>
  <c r="H53" i="29"/>
  <c r="F205" i="14"/>
  <c r="F149" i="14"/>
  <c r="G39" i="11"/>
  <c r="H52" i="29" s="1"/>
  <c r="F1334" i="14"/>
  <c r="D15" i="9"/>
  <c r="F15" i="9"/>
  <c r="E96" i="11" s="1"/>
  <c r="F118" i="29" s="1"/>
  <c r="E441" i="10"/>
  <c r="E431" i="10"/>
  <c r="D309" i="11"/>
  <c r="E374" i="29" s="1"/>
  <c r="E18" i="20"/>
  <c r="C94" i="12"/>
  <c r="C118" i="12"/>
  <c r="C67" i="12"/>
  <c r="C122" i="21"/>
  <c r="C97" i="21"/>
  <c r="C70" i="21"/>
  <c r="F932" i="14"/>
  <c r="E325" i="10"/>
  <c r="F372" i="29"/>
  <c r="D302" i="11"/>
  <c r="E367" i="29"/>
  <c r="E69" i="10"/>
  <c r="F947" i="14"/>
  <c r="G53" i="11"/>
  <c r="H66" i="29" s="1"/>
  <c r="F1170" i="14"/>
  <c r="G57" i="11"/>
  <c r="H70" i="29"/>
  <c r="F378" i="11"/>
  <c r="F1614" i="14"/>
  <c r="G65" i="11"/>
  <c r="H78" i="29" s="1"/>
  <c r="D151" i="12"/>
  <c r="D101" i="12"/>
  <c r="F96" i="12"/>
  <c r="H96" i="12" s="1"/>
  <c r="G58" i="11"/>
  <c r="H71" i="29"/>
  <c r="F1224" i="14"/>
  <c r="G52" i="11"/>
  <c r="H65" i="29"/>
  <c r="F892" i="14"/>
  <c r="G37" i="11"/>
  <c r="H50" i="29" s="1"/>
  <c r="F38" i="14"/>
  <c r="I291" i="11"/>
  <c r="J210" i="29"/>
  <c r="H156" i="21"/>
  <c r="D211" i="21"/>
  <c r="D161" i="21"/>
  <c r="F161" i="21" s="1"/>
  <c r="H161" i="21"/>
  <c r="F721" i="14"/>
  <c r="G49" i="11"/>
  <c r="H62" i="29" s="1"/>
  <c r="F49" i="11"/>
  <c r="G62" i="29" s="1"/>
  <c r="F167" i="16"/>
  <c r="G1411" i="13"/>
  <c r="G1466" i="13"/>
  <c r="C123" i="12"/>
  <c r="F1976" i="13"/>
  <c r="D1425" i="13"/>
  <c r="D1535" i="13" s="1"/>
  <c r="D2028" i="13" s="1"/>
  <c r="D2081" i="13" s="1"/>
  <c r="D1480" i="13"/>
  <c r="E132" i="13"/>
  <c r="G79" i="13"/>
  <c r="E147" i="10"/>
  <c r="G147" i="10"/>
  <c r="K303" i="11" s="1"/>
  <c r="L368" i="29" s="1"/>
  <c r="D148" i="13"/>
  <c r="D48" i="21"/>
  <c r="F48" i="21"/>
  <c r="H48" i="21" s="1"/>
  <c r="K292" i="11" s="1"/>
  <c r="L211" i="29" s="1"/>
  <c r="J126" i="11"/>
  <c r="K156" i="29" s="1"/>
  <c r="I316" i="11"/>
  <c r="J398" i="29" s="1"/>
  <c r="I313" i="11"/>
  <c r="J387" i="29"/>
  <c r="F185" i="16"/>
  <c r="G198" i="21"/>
  <c r="D1477" i="13"/>
  <c r="D1422" i="13"/>
  <c r="D1532" i="13"/>
  <c r="D2025" i="13" s="1"/>
  <c r="D1978" i="13"/>
  <c r="D2249" i="13" s="1"/>
  <c r="D1593" i="13"/>
  <c r="D1646" i="13"/>
  <c r="D1700" i="13"/>
  <c r="D1754" i="13" s="1"/>
  <c r="D1808" i="13" s="1"/>
  <c r="D286" i="13"/>
  <c r="D399" i="13"/>
  <c r="D456" i="13"/>
  <c r="D513" i="13" s="1"/>
  <c r="D570" i="13" s="1"/>
  <c r="D627" i="13" s="1"/>
  <c r="D684" i="13" s="1"/>
  <c r="D741" i="13" s="1"/>
  <c r="D798" i="13" s="1"/>
  <c r="D855" i="13" s="1"/>
  <c r="D912" i="13" s="1"/>
  <c r="D969" i="13" s="1"/>
  <c r="D1026" i="13" s="1"/>
  <c r="D1083" i="13" s="1"/>
  <c r="D1140" i="13" s="1"/>
  <c r="D1197" i="13" s="1"/>
  <c r="D1254" i="13" s="1"/>
  <c r="D1311" i="13" s="1"/>
  <c r="D1483" i="13"/>
  <c r="D1428" i="13"/>
  <c r="D1538" i="13"/>
  <c r="D2031" i="13" s="1"/>
  <c r="C2304" i="13"/>
  <c r="C2361" i="13" s="1"/>
  <c r="C2414" i="13" s="1"/>
  <c r="C2469" i="13" s="1"/>
  <c r="C2521" i="13" s="1"/>
  <c r="C2085" i="13"/>
  <c r="C2139" i="13"/>
  <c r="C2194" i="13" s="1"/>
  <c r="C2080" i="13"/>
  <c r="C2134" i="13" s="1"/>
  <c r="C2189" i="13" s="1"/>
  <c r="C2299" i="13"/>
  <c r="C2356" i="13"/>
  <c r="C2409" i="13" s="1"/>
  <c r="C2464" i="13" s="1"/>
  <c r="E1426" i="13"/>
  <c r="E1481" i="13"/>
  <c r="G1481" i="13" s="1"/>
  <c r="G1370" i="13"/>
  <c r="C288" i="13"/>
  <c r="C401" i="13"/>
  <c r="C458" i="13"/>
  <c r="C515" i="13" s="1"/>
  <c r="C572" i="13" s="1"/>
  <c r="C629" i="13" s="1"/>
  <c r="C686" i="13" s="1"/>
  <c r="C743" i="13" s="1"/>
  <c r="C800" i="13" s="1"/>
  <c r="C857" i="13" s="1"/>
  <c r="C914" i="13" s="1"/>
  <c r="C971" i="13" s="1"/>
  <c r="C1028" i="13" s="1"/>
  <c r="C1085" i="13" s="1"/>
  <c r="C1142" i="13" s="1"/>
  <c r="C1199" i="13" s="1"/>
  <c r="C1256" i="13" s="1"/>
  <c r="C1313" i="13" s="1"/>
  <c r="F625" i="13"/>
  <c r="G511" i="13"/>
  <c r="F100" i="21"/>
  <c r="H100" i="21" s="1"/>
  <c r="F82" i="15"/>
  <c r="K291" i="11"/>
  <c r="L210" i="29"/>
  <c r="G62" i="16"/>
  <c r="I62" i="16"/>
  <c r="C66" i="16" s="1"/>
  <c r="E66" i="16" s="1"/>
  <c r="F187" i="10"/>
  <c r="F304" i="11" s="1"/>
  <c r="G369" i="29" s="1"/>
  <c r="G393" i="15"/>
  <c r="F383" i="15"/>
  <c r="H117" i="17"/>
  <c r="J117" i="17"/>
  <c r="D121" i="17" s="1"/>
  <c r="F121" i="17" s="1"/>
  <c r="F28" i="28"/>
  <c r="E18" i="28"/>
  <c r="F371" i="11" s="1"/>
  <c r="F1534" i="13"/>
  <c r="D511" i="13"/>
  <c r="D625" i="13"/>
  <c r="D739" i="13" s="1"/>
  <c r="D853" i="13" s="1"/>
  <c r="D967" i="13" s="1"/>
  <c r="D1081" i="13" s="1"/>
  <c r="D1195" i="13" s="1"/>
  <c r="D1309" i="13" s="1"/>
  <c r="D2079" i="13"/>
  <c r="D2133" i="13"/>
  <c r="D2188" i="13" s="1"/>
  <c r="D2298" i="13"/>
  <c r="D2355" i="13" s="1"/>
  <c r="D2408" i="13" s="1"/>
  <c r="D2463" i="13" s="1"/>
  <c r="D2518" i="13" s="1"/>
  <c r="C2298" i="13"/>
  <c r="C2355" i="13"/>
  <c r="C2408" i="13" s="1"/>
  <c r="C2463" i="13" s="1"/>
  <c r="C2518" i="13" s="1"/>
  <c r="C2079" i="13"/>
  <c r="C2133" i="13" s="1"/>
  <c r="C2188" i="13" s="1"/>
  <c r="G528" i="36"/>
  <c r="E583" i="36"/>
  <c r="E1427" i="13"/>
  <c r="E1537" i="13"/>
  <c r="E2030" i="13" s="1"/>
  <c r="E1482" i="13"/>
  <c r="G1482" i="13"/>
  <c r="E1479" i="13"/>
  <c r="E1424" i="13"/>
  <c r="E1534" i="13" s="1"/>
  <c r="G1368" i="13"/>
  <c r="D1424" i="13"/>
  <c r="D1534" i="13" s="1"/>
  <c r="D2027" i="13" s="1"/>
  <c r="D1479" i="13"/>
  <c r="C1430" i="13"/>
  <c r="C1540" i="13" s="1"/>
  <c r="C2033" i="13" s="1"/>
  <c r="C1485" i="13"/>
  <c r="C1477" i="13"/>
  <c r="C1422" i="13"/>
  <c r="C1532" i="13"/>
  <c r="C2025" i="13" s="1"/>
  <c r="F568" i="13"/>
  <c r="G340" i="13"/>
  <c r="G339" i="13"/>
  <c r="F396" i="13"/>
  <c r="G396" i="13" s="1"/>
  <c r="F510" i="13"/>
  <c r="G510" i="13" s="1"/>
  <c r="G453" i="13"/>
  <c r="I320" i="11"/>
  <c r="J420" i="29"/>
  <c r="I66" i="11"/>
  <c r="J79" i="29"/>
  <c r="I289" i="11"/>
  <c r="G288" i="15"/>
  <c r="F1347" i="16"/>
  <c r="E1336" i="16"/>
  <c r="G184" i="15"/>
  <c r="F606" i="16"/>
  <c r="G87" i="21"/>
  <c r="F75" i="21"/>
  <c r="F71" i="9"/>
  <c r="F120" i="9" s="1"/>
  <c r="F169" i="9" s="1"/>
  <c r="F218" i="9" s="1"/>
  <c r="F267" i="9" s="1"/>
  <c r="F316" i="9" s="1"/>
  <c r="F365" i="9" s="1"/>
  <c r="F414" i="9" s="1"/>
  <c r="F463" i="9" s="1"/>
  <c r="F512" i="9" s="1"/>
  <c r="F561" i="9" s="1"/>
  <c r="F610" i="9" s="1"/>
  <c r="F659" i="9" s="1"/>
  <c r="F708" i="9" s="1"/>
  <c r="F757" i="9" s="1"/>
  <c r="F806" i="9" s="1"/>
  <c r="F855" i="9" s="1"/>
  <c r="F904" i="9" s="1"/>
  <c r="F953" i="9" s="1"/>
  <c r="F1002" i="9" s="1"/>
  <c r="F1051" i="9" s="1"/>
  <c r="F1100" i="9" s="1"/>
  <c r="F1149" i="9" s="1"/>
  <c r="F1198" i="9" s="1"/>
  <c r="F1247" i="9" s="1"/>
  <c r="F1296" i="9" s="1"/>
  <c r="G22" i="9"/>
  <c r="G71" i="9" s="1"/>
  <c r="E2305" i="13"/>
  <c r="E2362" i="13"/>
  <c r="E2415" i="13" s="1"/>
  <c r="E2470" i="13" s="1"/>
  <c r="E2086" i="13"/>
  <c r="E2140" i="13"/>
  <c r="E2195" i="13" s="1"/>
  <c r="E304" i="36"/>
  <c r="G304" i="36" s="1"/>
  <c r="G248" i="36"/>
  <c r="E746" i="36"/>
  <c r="G690" i="36"/>
  <c r="F1483" i="13"/>
  <c r="F131" i="13"/>
  <c r="G78" i="13"/>
  <c r="F1427" i="13"/>
  <c r="G1371" i="13"/>
  <c r="F77" i="13"/>
  <c r="G24" i="13"/>
  <c r="E179" i="13"/>
  <c r="E180" i="13"/>
  <c r="G1476" i="13"/>
  <c r="E1970" i="13"/>
  <c r="F347" i="10"/>
  <c r="F307" i="11" s="1"/>
  <c r="G372" i="29" s="1"/>
  <c r="G1275" i="14"/>
  <c r="F59" i="11"/>
  <c r="G72" i="29" s="1"/>
  <c r="F400" i="10"/>
  <c r="G135" i="17"/>
  <c r="F125" i="17"/>
  <c r="F291" i="11" s="1"/>
  <c r="G210" i="29" s="1"/>
  <c r="G197" i="36"/>
  <c r="F181" i="36"/>
  <c r="F72" i="11" s="1"/>
  <c r="G85" i="29" s="1"/>
  <c r="G1810" i="13"/>
  <c r="G376" i="11"/>
  <c r="F134" i="15"/>
  <c r="G242" i="12"/>
  <c r="F297" i="12"/>
  <c r="F238" i="15"/>
  <c r="G378" i="11"/>
  <c r="D274" i="13"/>
  <c r="D42" i="36"/>
  <c r="D106" i="14"/>
  <c r="D54" i="14"/>
  <c r="E59" i="10"/>
  <c r="E302" i="11"/>
  <c r="J313" i="11"/>
  <c r="K387" i="29" s="1"/>
  <c r="D107" i="34"/>
  <c r="F107" i="34" s="1"/>
  <c r="H107" i="34" s="1"/>
  <c r="J67" i="11" s="1"/>
  <c r="D159" i="34"/>
  <c r="D566" i="36"/>
  <c r="G48" i="28"/>
  <c r="E35" i="28"/>
  <c r="J371" i="11"/>
  <c r="M371" i="11"/>
  <c r="F385" i="11"/>
  <c r="F587" i="15"/>
  <c r="E649" i="16"/>
  <c r="F173" i="11"/>
  <c r="G230" i="29" s="1"/>
  <c r="G48" i="11"/>
  <c r="H61" i="29" s="1"/>
  <c r="G38" i="11"/>
  <c r="H51" i="29" s="1"/>
  <c r="F95" i="14"/>
  <c r="F778" i="14"/>
  <c r="G50" i="11"/>
  <c r="H63" i="29" s="1"/>
  <c r="F647" i="14"/>
  <c r="F48" i="11"/>
  <c r="G61" i="29"/>
  <c r="D305" i="11"/>
  <c r="C228" i="10"/>
  <c r="E228" i="10" s="1"/>
  <c r="D153" i="13"/>
  <c r="F153" i="13" s="1"/>
  <c r="H153" i="13" s="1"/>
  <c r="F89" i="9"/>
  <c r="H89" i="9"/>
  <c r="D108" i="34"/>
  <c r="F108" i="34"/>
  <c r="H108" i="34" s="1"/>
  <c r="K67" i="11" s="1"/>
  <c r="L80" i="29" s="1"/>
  <c r="F40" i="9"/>
  <c r="H40" i="9" s="1"/>
  <c r="D43" i="12"/>
  <c r="I292" i="11"/>
  <c r="J292" i="11"/>
  <c r="K211" i="29" s="1"/>
  <c r="G30" i="21"/>
  <c r="F28" i="16"/>
  <c r="G28" i="15"/>
  <c r="F30" i="15"/>
  <c r="G374" i="11"/>
  <c r="F60" i="11"/>
  <c r="G73" i="29"/>
  <c r="F1318" i="14"/>
  <c r="F70" i="15"/>
  <c r="F370" i="14"/>
  <c r="G43" i="11"/>
  <c r="H56" i="29" s="1"/>
  <c r="F259" i="14"/>
  <c r="G41" i="11"/>
  <c r="H54" i="29"/>
  <c r="F57" i="11"/>
  <c r="G70" i="29"/>
  <c r="F470" i="14"/>
  <c r="F45" i="11"/>
  <c r="G58" i="29" s="1"/>
  <c r="D318" i="11"/>
  <c r="C14" i="19"/>
  <c r="E14" i="19"/>
  <c r="E318" i="11" s="1"/>
  <c r="J323" i="11"/>
  <c r="K432" i="29"/>
  <c r="D42" i="17"/>
  <c r="D50" i="14"/>
  <c r="D42" i="15"/>
  <c r="D47" i="34"/>
  <c r="D44" i="21"/>
  <c r="C43" i="20"/>
  <c r="D41" i="9"/>
  <c r="D149" i="17"/>
  <c r="C42" i="10"/>
  <c r="D43" i="13"/>
  <c r="F1210" i="14"/>
  <c r="F58" i="11"/>
  <c r="G71" i="29" s="1"/>
  <c r="J208" i="29"/>
  <c r="G122" i="9"/>
  <c r="G171" i="9"/>
  <c r="G220" i="9" s="1"/>
  <c r="G269" i="9" s="1"/>
  <c r="G318" i="9" s="1"/>
  <c r="G367" i="9" s="1"/>
  <c r="G416" i="9" s="1"/>
  <c r="G465" i="9" s="1"/>
  <c r="G514" i="9" s="1"/>
  <c r="G563" i="9" s="1"/>
  <c r="G612" i="9" s="1"/>
  <c r="G661" i="9" s="1"/>
  <c r="G710" i="9" s="1"/>
  <c r="G759" i="9" s="1"/>
  <c r="G808" i="9" s="1"/>
  <c r="G857" i="9" s="1"/>
  <c r="G906" i="9" s="1"/>
  <c r="G955" i="9" s="1"/>
  <c r="G1004" i="9" s="1"/>
  <c r="G1053" i="9" s="1"/>
  <c r="G1102" i="9" s="1"/>
  <c r="G1151" i="9" s="1"/>
  <c r="G1200" i="9" s="1"/>
  <c r="G1249" i="9" s="1"/>
  <c r="G1298" i="9" s="1"/>
  <c r="F208" i="11"/>
  <c r="G265" i="29" s="1"/>
  <c r="F1277" i="14"/>
  <c r="G59" i="11"/>
  <c r="H72" i="29"/>
  <c r="G51" i="11"/>
  <c r="H64" i="29"/>
  <c r="F834" i="14"/>
  <c r="G46" i="11"/>
  <c r="H59" i="29" s="1"/>
  <c r="F550" i="14"/>
  <c r="F377" i="11"/>
  <c r="F174" i="15"/>
  <c r="D533" i="15"/>
  <c r="F533" i="15"/>
  <c r="D384" i="11"/>
  <c r="F293" i="11"/>
  <c r="G212" i="29" s="1"/>
  <c r="F590" i="14"/>
  <c r="D172" i="15"/>
  <c r="F172" i="15"/>
  <c r="E377" i="11" s="1"/>
  <c r="H377" i="11" s="1"/>
  <c r="D377" i="11"/>
  <c r="D381" i="15"/>
  <c r="F381" i="15"/>
  <c r="E381" i="11" s="1"/>
  <c r="D381" i="11"/>
  <c r="D385" i="11"/>
  <c r="G2013" i="13"/>
  <c r="G2067" i="13"/>
  <c r="G2121" i="13" s="1"/>
  <c r="G2176" i="13" s="1"/>
  <c r="G2230" i="13" s="1"/>
  <c r="G2340" i="13" s="1"/>
  <c r="F294" i="11"/>
  <c r="G213" i="29" s="1"/>
  <c r="F131" i="21"/>
  <c r="G61" i="11"/>
  <c r="H74" i="29"/>
  <c r="F203" i="11"/>
  <c r="G260" i="29" s="1"/>
  <c r="F177" i="11"/>
  <c r="G234" i="29" s="1"/>
  <c r="E280" i="16"/>
  <c r="F1057" i="14"/>
  <c r="G55" i="11"/>
  <c r="H68" i="29" s="1"/>
  <c r="G42" i="11"/>
  <c r="H55" i="29" s="1"/>
  <c r="F314" i="14"/>
  <c r="F54" i="11"/>
  <c r="G67" i="29" s="1"/>
  <c r="D433" i="15"/>
  <c r="F433" i="15" s="1"/>
  <c r="D382" i="11"/>
  <c r="D68" i="15"/>
  <c r="F68" i="15" s="1"/>
  <c r="D375" i="11"/>
  <c r="C200" i="10"/>
  <c r="G265" i="9"/>
  <c r="C57" i="23"/>
  <c r="I323" i="11"/>
  <c r="F240" i="10"/>
  <c r="H58" i="9"/>
  <c r="J58" i="9"/>
  <c r="D61" i="9" s="1"/>
  <c r="F61" i="9" s="1"/>
  <c r="G107" i="9"/>
  <c r="G156" i="9"/>
  <c r="F225" i="9"/>
  <c r="G100" i="11"/>
  <c r="H122" i="29" s="1"/>
  <c r="G67" i="34"/>
  <c r="G124" i="34" s="1"/>
  <c r="H10" i="34"/>
  <c r="E9" i="5"/>
  <c r="H8" i="5"/>
  <c r="C157" i="14"/>
  <c r="C180" i="14"/>
  <c r="C130" i="14"/>
  <c r="B61" i="16"/>
  <c r="B113" i="16" s="1"/>
  <c r="B39" i="16"/>
  <c r="B12" i="16"/>
  <c r="F105" i="14"/>
  <c r="H105" i="14" s="1"/>
  <c r="E41" i="20"/>
  <c r="G41" i="20" s="1"/>
  <c r="D94" i="13"/>
  <c r="F1465" i="13"/>
  <c r="F646" i="15"/>
  <c r="G646" i="15" s="1"/>
  <c r="F81" i="12"/>
  <c r="D40" i="17"/>
  <c r="D96" i="11"/>
  <c r="C40" i="10"/>
  <c r="D301" i="11"/>
  <c r="C388" i="10"/>
  <c r="E388" i="10" s="1"/>
  <c r="E378" i="10" s="1"/>
  <c r="I290" i="11"/>
  <c r="E9" i="17"/>
  <c r="H9" i="17"/>
  <c r="J9" i="17" s="1"/>
  <c r="D13" i="17" s="1"/>
  <c r="F13" i="17" s="1"/>
  <c r="G8" i="1"/>
  <c r="I8" i="1" s="1"/>
  <c r="G106" i="11"/>
  <c r="H128" i="29" s="1"/>
  <c r="F519" i="9"/>
  <c r="F1009" i="9"/>
  <c r="G116" i="11"/>
  <c r="H138" i="29" s="1"/>
  <c r="C119" i="13"/>
  <c r="C168" i="13"/>
  <c r="C145" i="13"/>
  <c r="E309" i="11"/>
  <c r="F43" i="23"/>
  <c r="E22" i="23" s="1"/>
  <c r="F313" i="11" s="1"/>
  <c r="G387" i="29" s="1"/>
  <c r="G1388" i="14"/>
  <c r="F67" i="21"/>
  <c r="G10" i="21"/>
  <c r="F323" i="9"/>
  <c r="G102" i="11"/>
  <c r="H124" i="29" s="1"/>
  <c r="F470" i="9"/>
  <c r="G105" i="11"/>
  <c r="H127" i="29"/>
  <c r="F1303" i="9"/>
  <c r="G122" i="11"/>
  <c r="H144" i="29" s="1"/>
  <c r="G62" i="11"/>
  <c r="H75" i="29" s="1"/>
  <c r="C169" i="13"/>
  <c r="C120" i="13"/>
  <c r="C150" i="13"/>
  <c r="G1612" i="14"/>
  <c r="F274" i="9"/>
  <c r="G101" i="11"/>
  <c r="H123" i="29"/>
  <c r="F421" i="9"/>
  <c r="G104" i="11"/>
  <c r="H126" i="29" s="1"/>
  <c r="F1254" i="9"/>
  <c r="G121" i="11"/>
  <c r="H143" i="29"/>
  <c r="C162" i="14"/>
  <c r="C181" i="14"/>
  <c r="C131" i="14"/>
  <c r="B13" i="16"/>
  <c r="B44" i="16"/>
  <c r="B62" i="16"/>
  <c r="B114" i="16" s="1"/>
  <c r="C192" i="10"/>
  <c r="E192" i="10" s="1"/>
  <c r="G192" i="10" s="1"/>
  <c r="C458" i="10"/>
  <c r="E458" i="10"/>
  <c r="G458" i="10" s="1"/>
  <c r="C139" i="10"/>
  <c r="E139" i="10" s="1"/>
  <c r="G139" i="10" s="1"/>
  <c r="G303" i="11" s="1"/>
  <c r="C405" i="10"/>
  <c r="E405" i="10"/>
  <c r="G405" i="10" s="1"/>
  <c r="C86" i="10"/>
  <c r="E86" i="10" s="1"/>
  <c r="G86" i="10" s="1"/>
  <c r="C352" i="10"/>
  <c r="E352" i="10"/>
  <c r="G352" i="10" s="1"/>
  <c r="G307" i="11" s="1"/>
  <c r="C564" i="10"/>
  <c r="E564" i="10" s="1"/>
  <c r="G564" i="10" s="1"/>
  <c r="C33" i="10"/>
  <c r="E33" i="10"/>
  <c r="G33" i="10" s="1"/>
  <c r="C298" i="10"/>
  <c r="E298" i="10" s="1"/>
  <c r="G298" i="10" s="1"/>
  <c r="G306" i="11" s="1"/>
  <c r="C511" i="10"/>
  <c r="E511" i="10"/>
  <c r="G511" i="10" s="1"/>
  <c r="C245" i="10"/>
  <c r="E245" i="10" s="1"/>
  <c r="G245" i="10" s="1"/>
  <c r="G305" i="11" s="1"/>
  <c r="F45" i="34"/>
  <c r="H45" i="34"/>
  <c r="G7" i="1"/>
  <c r="I7" i="1"/>
  <c r="D140" i="17"/>
  <c r="F140" i="17"/>
  <c r="H140" i="17" s="1"/>
  <c r="F137" i="17" s="1"/>
  <c r="G291" i="11" s="1"/>
  <c r="H210" i="29" s="1"/>
  <c r="D33" i="17"/>
  <c r="F33" i="17"/>
  <c r="H33" i="17" s="1"/>
  <c r="F30" i="17" s="1"/>
  <c r="G289" i="11" s="1"/>
  <c r="H208" i="29" s="1"/>
  <c r="F24" i="17"/>
  <c r="G24" i="17"/>
  <c r="G28" i="17" s="1"/>
  <c r="F18" i="17" s="1"/>
  <c r="F289" i="11" s="1"/>
  <c r="G208" i="29" s="1"/>
  <c r="F34" i="1"/>
  <c r="G34" i="1"/>
  <c r="I34" i="1" s="1"/>
  <c r="F9" i="24"/>
  <c r="G9" i="24" s="1"/>
  <c r="I9" i="24" s="1"/>
  <c r="C13" i="24" s="1"/>
  <c r="E13" i="24" s="1"/>
  <c r="D1257" i="9"/>
  <c r="G16" i="1"/>
  <c r="I16" i="1" s="1"/>
  <c r="AB17" i="11"/>
  <c r="AB16" i="11"/>
  <c r="K290" i="11"/>
  <c r="L209" i="29" s="1"/>
  <c r="F813" i="9"/>
  <c r="F1058" i="9"/>
  <c r="F1205" i="9"/>
  <c r="H10" i="17"/>
  <c r="J10" i="17"/>
  <c r="D14" i="17" s="1"/>
  <c r="F14" i="17" s="1"/>
  <c r="G28" i="1"/>
  <c r="I28" i="1"/>
  <c r="G649" i="15"/>
  <c r="G116" i="17"/>
  <c r="G63" i="17"/>
  <c r="H63" i="17"/>
  <c r="J63" i="17" s="1"/>
  <c r="D67" i="17" s="1"/>
  <c r="F67" i="17" s="1"/>
  <c r="D70" i="17" s="1"/>
  <c r="AB20" i="11"/>
  <c r="AB21" i="11"/>
  <c r="G21" i="1"/>
  <c r="I21" i="1" s="1"/>
  <c r="E36" i="1"/>
  <c r="E169" i="10"/>
  <c r="AB14" i="11"/>
  <c r="AB13" i="11"/>
  <c r="D257" i="36"/>
  <c r="F257" i="36" s="1"/>
  <c r="H257" i="36" s="1"/>
  <c r="F254" i="36" s="1"/>
  <c r="G73" i="11" s="1"/>
  <c r="H86" i="29" s="1"/>
  <c r="D144" i="36"/>
  <c r="F144" i="36" s="1"/>
  <c r="H144" i="36" s="1"/>
  <c r="F141" i="36" s="1"/>
  <c r="G71" i="11" s="1"/>
  <c r="H84" i="29" s="1"/>
  <c r="D34" i="36"/>
  <c r="F34" i="36" s="1"/>
  <c r="H34" i="36" s="1"/>
  <c r="F31" i="36" s="1"/>
  <c r="G69" i="11" s="1"/>
  <c r="H82" i="29" s="1"/>
  <c r="D90" i="36"/>
  <c r="F90" i="36" s="1"/>
  <c r="H90" i="36" s="1"/>
  <c r="F87" i="36" s="1"/>
  <c r="G70" i="11" s="1"/>
  <c r="H83" i="29" s="1"/>
  <c r="D368" i="36"/>
  <c r="F368" i="36" s="1"/>
  <c r="H368" i="36" s="1"/>
  <c r="F365" i="36" s="1"/>
  <c r="G75" i="11" s="1"/>
  <c r="H88" i="29" s="1"/>
  <c r="D202" i="36"/>
  <c r="F202" i="36" s="1"/>
  <c r="H202" i="36" s="1"/>
  <c r="F199" i="36" s="1"/>
  <c r="G72" i="11" s="1"/>
  <c r="H85" i="29" s="1"/>
  <c r="D423" i="36"/>
  <c r="F423" i="36" s="1"/>
  <c r="H423" i="36" s="1"/>
  <c r="F420" i="36" s="1"/>
  <c r="G76" i="11" s="1"/>
  <c r="H89" i="29" s="1"/>
  <c r="D313" i="36"/>
  <c r="F313" i="36" s="1"/>
  <c r="H313" i="36" s="1"/>
  <c r="F310" i="36" s="1"/>
  <c r="G74" i="11" s="1"/>
  <c r="H87" i="29" s="1"/>
  <c r="D482" i="36"/>
  <c r="F482" i="36" s="1"/>
  <c r="H482" i="36" s="1"/>
  <c r="F479" i="36" s="1"/>
  <c r="G77" i="11" s="1"/>
  <c r="H90" i="29" s="1"/>
  <c r="F35" i="1"/>
  <c r="F107" i="9"/>
  <c r="F156" i="9"/>
  <c r="F205" i="9" s="1"/>
  <c r="G205" i="9" s="1"/>
  <c r="L290" i="11"/>
  <c r="M209" i="29" s="1"/>
  <c r="G9" i="15"/>
  <c r="H9" i="15" s="1"/>
  <c r="J9" i="15" s="1"/>
  <c r="D13" i="15" s="1"/>
  <c r="F13" i="15" s="1"/>
  <c r="D16" i="15" s="1"/>
  <c r="F1919" i="13"/>
  <c r="G1919" i="13"/>
  <c r="G1866" i="13"/>
  <c r="G1863" i="13"/>
  <c r="F1916" i="13"/>
  <c r="G1916" i="13"/>
  <c r="E34" i="16"/>
  <c r="G34" i="16"/>
  <c r="F1590" i="13"/>
  <c r="F1975" i="13"/>
  <c r="D311" i="31"/>
  <c r="D1869" i="13" s="1"/>
  <c r="D1922" i="13" s="1"/>
  <c r="D348" i="13"/>
  <c r="F237" i="13"/>
  <c r="G237" i="13" s="1"/>
  <c r="D113" i="15"/>
  <c r="E113" i="15"/>
  <c r="F1749" i="13"/>
  <c r="F236" i="13"/>
  <c r="D116" i="17"/>
  <c r="E116" i="17" s="1"/>
  <c r="H116" i="17" s="1"/>
  <c r="J116" i="17" s="1"/>
  <c r="D120" i="17" s="1"/>
  <c r="F120" i="17" s="1"/>
  <c r="D123" i="17" s="1"/>
  <c r="D63" i="17"/>
  <c r="C2130" i="12"/>
  <c r="C2080" i="12"/>
  <c r="C2186" i="12"/>
  <c r="C2136" i="12"/>
  <c r="D2085" i="13"/>
  <c r="D2139" i="13"/>
  <c r="D2194" i="13" s="1"/>
  <c r="D2304" i="13"/>
  <c r="D2361" i="13" s="1"/>
  <c r="D2414" i="13" s="1"/>
  <c r="D2469" i="13" s="1"/>
  <c r="D2521" i="13" s="1"/>
  <c r="C34" i="20"/>
  <c r="C2077" i="12"/>
  <c r="C2081" i="12"/>
  <c r="C2078" i="12"/>
  <c r="E2081" i="13"/>
  <c r="E578" i="36"/>
  <c r="G523" i="36"/>
  <c r="G532" i="36" s="1"/>
  <c r="F519" i="36" s="1"/>
  <c r="F78" i="11" s="1"/>
  <c r="G91" i="29" s="1"/>
  <c r="C2082" i="13"/>
  <c r="C2136" i="13"/>
  <c r="C2191" i="13" s="1"/>
  <c r="C2301" i="13"/>
  <c r="C2358" i="13" s="1"/>
  <c r="C2411" i="13" s="1"/>
  <c r="C2466" i="13" s="1"/>
  <c r="C2519" i="13" s="1"/>
  <c r="C2025" i="12"/>
  <c r="F1023" i="13"/>
  <c r="G1023" i="13"/>
  <c r="F1080" i="13"/>
  <c r="G1080" i="13"/>
  <c r="G29" i="12"/>
  <c r="C487" i="36"/>
  <c r="E695" i="36"/>
  <c r="E751" i="36"/>
  <c r="E636" i="36"/>
  <c r="E692" i="36"/>
  <c r="C547" i="36"/>
  <c r="C515" i="36"/>
  <c r="G584" i="36"/>
  <c r="E641" i="36"/>
  <c r="E697" i="36" s="1"/>
  <c r="E753" i="36" s="1"/>
  <c r="D231" i="36"/>
  <c r="D287" i="36"/>
  <c r="D343" i="36" s="1"/>
  <c r="D46" i="36"/>
  <c r="F46" i="36" s="1"/>
  <c r="H46" i="36" s="1"/>
  <c r="J69" i="11" s="1"/>
  <c r="K82" i="29" s="1"/>
  <c r="E452" i="36"/>
  <c r="C455" i="36"/>
  <c r="D489" i="36"/>
  <c r="D544" i="36"/>
  <c r="D549" i="36" s="1"/>
  <c r="F549" i="36" s="1"/>
  <c r="H549" i="36" s="1"/>
  <c r="D97" i="36"/>
  <c r="F97" i="36" s="1"/>
  <c r="H97" i="36" s="1"/>
  <c r="E119" i="36"/>
  <c r="C621" i="36"/>
  <c r="C677" i="36" s="1"/>
  <c r="C602" i="36"/>
  <c r="C570" i="36"/>
  <c r="C154" i="36"/>
  <c r="C100" i="36"/>
  <c r="C68" i="36"/>
  <c r="G252" i="36"/>
  <c r="F239" i="36"/>
  <c r="F73" i="11" s="1"/>
  <c r="G86" i="29" s="1"/>
  <c r="E752" i="36"/>
  <c r="G752" i="36"/>
  <c r="D172" i="36"/>
  <c r="E172" i="36"/>
  <c r="C173" i="36"/>
  <c r="C212" i="36"/>
  <c r="F410" i="14"/>
  <c r="F761" i="14"/>
  <c r="F135" i="14"/>
  <c r="F1264" i="14"/>
  <c r="F55" i="11"/>
  <c r="G68" i="29" s="1"/>
  <c r="F37" i="11"/>
  <c r="G50" i="29" s="1"/>
  <c r="E177" i="10"/>
  <c r="C456" i="36"/>
  <c r="I67" i="11"/>
  <c r="J80" i="29" s="1"/>
  <c r="F501" i="16"/>
  <c r="E491" i="16" s="1"/>
  <c r="J37" i="11"/>
  <c r="C492" i="36"/>
  <c r="M318" i="11"/>
  <c r="F211" i="11"/>
  <c r="G268" i="29"/>
  <c r="E1443" i="16"/>
  <c r="C178" i="12"/>
  <c r="C209" i="12"/>
  <c r="C229" i="12"/>
  <c r="F214" i="15"/>
  <c r="E378" i="11"/>
  <c r="C154" i="12"/>
  <c r="F355" i="14"/>
  <c r="G127" i="11"/>
  <c r="H157" i="29"/>
  <c r="F86" i="12"/>
  <c r="F186" i="15"/>
  <c r="D378" i="11"/>
  <c r="C47" i="20"/>
  <c r="E47" i="20" s="1"/>
  <c r="G47" i="20" s="1"/>
  <c r="K316" i="11" s="1"/>
  <c r="L398" i="29" s="1"/>
  <c r="K302" i="11"/>
  <c r="L367" i="29" s="1"/>
  <c r="G38" i="19"/>
  <c r="E27" i="19" s="1"/>
  <c r="F41" i="11"/>
  <c r="G54" i="29" s="1"/>
  <c r="F1664" i="16"/>
  <c r="F217" i="11" s="1"/>
  <c r="G274" i="29" s="1"/>
  <c r="D180" i="14"/>
  <c r="G54" i="11"/>
  <c r="H67" i="29" s="1"/>
  <c r="F18" i="34"/>
  <c r="F240" i="12"/>
  <c r="F1503" i="14"/>
  <c r="G63" i="11"/>
  <c r="H76" i="29"/>
  <c r="C67" i="36"/>
  <c r="C118" i="36"/>
  <c r="G64" i="11"/>
  <c r="H77" i="29"/>
  <c r="F1558" i="14"/>
  <c r="E378" i="39"/>
  <c r="F378" i="39" s="1"/>
  <c r="F327" i="39"/>
  <c r="F891" i="39"/>
  <c r="E944" i="39"/>
  <c r="F944" i="39" s="1"/>
  <c r="F1304" i="39"/>
  <c r="E1355" i="39"/>
  <c r="G334" i="15"/>
  <c r="G341" i="15" s="1"/>
  <c r="F643" i="15"/>
  <c r="G643" i="15" s="1"/>
  <c r="G650" i="15" s="1"/>
  <c r="F639" i="15" s="1"/>
  <c r="E33" i="16"/>
  <c r="G33" i="16" s="1"/>
  <c r="E30" i="16" s="1"/>
  <c r="G170" i="11" s="1"/>
  <c r="H227" i="29" s="1"/>
  <c r="F818" i="16"/>
  <c r="C135" i="39"/>
  <c r="E84" i="39"/>
  <c r="G84" i="39"/>
  <c r="C236" i="39"/>
  <c r="F1510" i="39"/>
  <c r="E1715" i="39"/>
  <c r="E122" i="39"/>
  <c r="E173" i="39"/>
  <c r="F71" i="39"/>
  <c r="E583" i="39"/>
  <c r="F532" i="39"/>
  <c r="F1099" i="39"/>
  <c r="E1150" i="39"/>
  <c r="F1150" i="39"/>
  <c r="F1561" i="39"/>
  <c r="E1612" i="39"/>
  <c r="F1612" i="39" s="1"/>
  <c r="C102" i="21"/>
  <c r="C71" i="21"/>
  <c r="C123" i="21"/>
  <c r="D177" i="21"/>
  <c r="E177" i="21"/>
  <c r="H177" i="21" s="1"/>
  <c r="J177" i="21" s="1"/>
  <c r="D181" i="21" s="1"/>
  <c r="F181" i="21" s="1"/>
  <c r="E122" i="21"/>
  <c r="H122" i="21"/>
  <c r="J122" i="21" s="1"/>
  <c r="D126" i="21" s="1"/>
  <c r="F126" i="21" s="1"/>
  <c r="C36" i="1"/>
  <c r="D36" i="1" s="1"/>
  <c r="D10" i="21"/>
  <c r="C169" i="10"/>
  <c r="D169" i="10"/>
  <c r="D35" i="1"/>
  <c r="G35" i="1"/>
  <c r="I35" i="1" s="1"/>
  <c r="F1101" i="39"/>
  <c r="E1152" i="39"/>
  <c r="F1152" i="39"/>
  <c r="E138" i="16"/>
  <c r="G138" i="16"/>
  <c r="J9" i="34"/>
  <c r="F310" i="11"/>
  <c r="G375" i="29"/>
  <c r="E496" i="10"/>
  <c r="F192" i="11"/>
  <c r="G249" i="29" s="1"/>
  <c r="E808" i="16"/>
  <c r="D328" i="15"/>
  <c r="F328" i="15"/>
  <c r="F318" i="15" s="1"/>
  <c r="F381" i="11"/>
  <c r="F63" i="11"/>
  <c r="G76" i="29"/>
  <c r="G1862" i="13"/>
  <c r="F299" i="14"/>
  <c r="F2304" i="13"/>
  <c r="F2361" i="13"/>
  <c r="F2414" i="13" s="1"/>
  <c r="F2469" i="13" s="1"/>
  <c r="F2521" i="13" s="1"/>
  <c r="F1922" i="13"/>
  <c r="G1922" i="13"/>
  <c r="F376" i="11"/>
  <c r="F180" i="11"/>
  <c r="G237" i="29" s="1"/>
  <c r="G127" i="13"/>
  <c r="D306" i="11"/>
  <c r="E371" i="29"/>
  <c r="F382" i="11"/>
  <c r="F56" i="11"/>
  <c r="G69" i="29" s="1"/>
  <c r="D316" i="11"/>
  <c r="E398" i="29" s="1"/>
  <c r="I398" i="29" s="1"/>
  <c r="F64" i="11"/>
  <c r="G77" i="29" s="1"/>
  <c r="D181" i="14"/>
  <c r="E127" i="14"/>
  <c r="E119" i="12"/>
  <c r="H119" i="12" s="1"/>
  <c r="J119" i="12" s="1"/>
  <c r="D123" i="12" s="1"/>
  <c r="F123" i="12" s="1"/>
  <c r="D174" i="12"/>
  <c r="D543" i="36"/>
  <c r="F488" i="36"/>
  <c r="H488" i="36"/>
  <c r="D493" i="36"/>
  <c r="F493" i="36"/>
  <c r="H493" i="36" s="1"/>
  <c r="D98" i="13"/>
  <c r="F98" i="13" s="1"/>
  <c r="H98" i="13" s="1"/>
  <c r="F93" i="13"/>
  <c r="H93" i="13"/>
  <c r="D146" i="13"/>
  <c r="F511" i="36"/>
  <c r="F566" i="36" s="1"/>
  <c r="F621" i="36" s="1"/>
  <c r="F677" i="36" s="1"/>
  <c r="F733" i="36" s="1"/>
  <c r="F789" i="36" s="1"/>
  <c r="F845" i="36" s="1"/>
  <c r="F901" i="36" s="1"/>
  <c r="F957" i="36" s="1"/>
  <c r="F1013" i="36" s="1"/>
  <c r="F1069" i="36" s="1"/>
  <c r="F1125" i="36" s="1"/>
  <c r="F1181" i="36" s="1"/>
  <c r="F1237" i="36" s="1"/>
  <c r="F1293" i="36" s="1"/>
  <c r="C547" i="10"/>
  <c r="E547" i="10"/>
  <c r="E311" i="11" s="1"/>
  <c r="F376" i="29" s="1"/>
  <c r="D140" i="13"/>
  <c r="F87" i="13"/>
  <c r="H87" i="13" s="1"/>
  <c r="D102" i="12"/>
  <c r="F97" i="12"/>
  <c r="H97" i="12"/>
  <c r="E510" i="36"/>
  <c r="D565" i="36"/>
  <c r="F159" i="14"/>
  <c r="H159" i="14"/>
  <c r="D215" i="14"/>
  <c r="G74" i="12"/>
  <c r="F129" i="12"/>
  <c r="G70" i="14"/>
  <c r="G10" i="36"/>
  <c r="H10" i="14"/>
  <c r="J10" i="14" s="1"/>
  <c r="D14" i="14" s="1"/>
  <c r="F14" i="14" s="1"/>
  <c r="D109" i="14"/>
  <c r="F52" i="14"/>
  <c r="H52" i="14"/>
  <c r="I37" i="11" s="1"/>
  <c r="J50" i="29" s="1"/>
  <c r="E161" i="34"/>
  <c r="E159" i="34"/>
  <c r="E160" i="34"/>
  <c r="F160" i="34"/>
  <c r="H160" i="34" s="1"/>
  <c r="K68" i="11" s="1"/>
  <c r="L81" i="29" s="1"/>
  <c r="E158" i="34"/>
  <c r="F158" i="34" s="1"/>
  <c r="H158" i="34" s="1"/>
  <c r="I68" i="11" s="1"/>
  <c r="J81" i="29" s="1"/>
  <c r="G134" i="12"/>
  <c r="F189" i="12"/>
  <c r="E742" i="39"/>
  <c r="E740" i="39"/>
  <c r="E741" i="39"/>
  <c r="F635" i="39"/>
  <c r="E686" i="39"/>
  <c r="F636" i="39"/>
  <c r="E687" i="39"/>
  <c r="G213" i="39"/>
  <c r="D265" i="39"/>
  <c r="E418" i="39"/>
  <c r="E367" i="39"/>
  <c r="F316" i="39"/>
  <c r="E317" i="39"/>
  <c r="F188" i="12"/>
  <c r="F243" i="12" s="1"/>
  <c r="D162" i="39"/>
  <c r="G162" i="39" s="1"/>
  <c r="I162" i="39" s="1"/>
  <c r="C166" i="39" s="1"/>
  <c r="E166" i="39" s="1"/>
  <c r="E443" i="10"/>
  <c r="F309" i="11"/>
  <c r="G374" i="29" s="1"/>
  <c r="E1589" i="13"/>
  <c r="E1642" i="13" s="1"/>
  <c r="E1696" i="13" s="1"/>
  <c r="E1750" i="13" s="1"/>
  <c r="E1804" i="13" s="1"/>
  <c r="E1974" i="13"/>
  <c r="E2245" i="13"/>
  <c r="F75" i="34"/>
  <c r="F219" i="9"/>
  <c r="F268" i="9" s="1"/>
  <c r="F317" i="9" s="1"/>
  <c r="G170" i="9"/>
  <c r="G219" i="9"/>
  <c r="E1979" i="13"/>
  <c r="E2250" i="13"/>
  <c r="E1594" i="13"/>
  <c r="E1647" i="13"/>
  <c r="E1701" i="13" s="1"/>
  <c r="E1755" i="13" s="1"/>
  <c r="E1809" i="13" s="1"/>
  <c r="D303" i="11"/>
  <c r="K301" i="11"/>
  <c r="L366" i="29"/>
  <c r="E1373" i="13"/>
  <c r="E237" i="13"/>
  <c r="G44" i="24"/>
  <c r="E33" i="24" s="1"/>
  <c r="E18" i="24"/>
  <c r="K294" i="11"/>
  <c r="L213" i="29"/>
  <c r="J320" i="11"/>
  <c r="M320" i="11"/>
  <c r="N420" i="29" s="1"/>
  <c r="F110" i="14"/>
  <c r="H110" i="14" s="1"/>
  <c r="D164" i="14"/>
  <c r="C150" i="10"/>
  <c r="E150" i="10"/>
  <c r="G150" i="10" s="1"/>
  <c r="C198" i="10"/>
  <c r="E145" i="10"/>
  <c r="G145" i="10"/>
  <c r="I302" i="11"/>
  <c r="J367" i="29"/>
  <c r="F92" i="15"/>
  <c r="H92" i="15"/>
  <c r="J375" i="11" s="1"/>
  <c r="D144" i="15"/>
  <c r="C93" i="39"/>
  <c r="C144" i="39"/>
  <c r="C195" i="39" s="1"/>
  <c r="C47" i="39"/>
  <c r="E47" i="39" s="1"/>
  <c r="G47" i="39" s="1"/>
  <c r="E42" i="39"/>
  <c r="G42" i="39"/>
  <c r="D100" i="13"/>
  <c r="F100" i="13"/>
  <c r="H100" i="13" s="1"/>
  <c r="F95" i="13"/>
  <c r="H95" i="13" s="1"/>
  <c r="D150" i="12"/>
  <c r="F95" i="12"/>
  <c r="H95" i="12"/>
  <c r="D100" i="12"/>
  <c r="C92" i="39"/>
  <c r="C143" i="39" s="1"/>
  <c r="C194" i="39" s="1"/>
  <c r="C46" i="39"/>
  <c r="E46" i="39"/>
  <c r="G46" i="39" s="1"/>
  <c r="E41" i="39"/>
  <c r="G41" i="39" s="1"/>
  <c r="C44" i="39"/>
  <c r="E44" i="39" s="1"/>
  <c r="G44" i="39" s="1"/>
  <c r="E39" i="39"/>
  <c r="G39" i="39"/>
  <c r="C90" i="39"/>
  <c r="C141" i="39"/>
  <c r="C192" i="39" s="1"/>
  <c r="D247" i="15"/>
  <c r="F195" i="15"/>
  <c r="H195" i="15"/>
  <c r="I377" i="11" s="1"/>
  <c r="F98" i="21"/>
  <c r="H98" i="21" s="1"/>
  <c r="D154" i="21"/>
  <c r="D103" i="21"/>
  <c r="F103" i="21"/>
  <c r="H103" i="21" s="1"/>
  <c r="D155" i="21"/>
  <c r="F99" i="21"/>
  <c r="H99" i="21"/>
  <c r="J293" i="11" s="1"/>
  <c r="K212" i="29" s="1"/>
  <c r="C45" i="16"/>
  <c r="E45" i="16"/>
  <c r="G45" i="16" s="1"/>
  <c r="E40" i="16"/>
  <c r="G40" i="16" s="1"/>
  <c r="C46" i="16"/>
  <c r="E46" i="16" s="1"/>
  <c r="G46" i="16" s="1"/>
  <c r="C93" i="16"/>
  <c r="E41" i="16"/>
  <c r="G41" i="16" s="1"/>
  <c r="C91" i="39"/>
  <c r="C142" i="39" s="1"/>
  <c r="C193" i="39" s="1"/>
  <c r="C45" i="39"/>
  <c r="E45" i="39"/>
  <c r="G45" i="39" s="1"/>
  <c r="E40" i="39"/>
  <c r="G40" i="39" s="1"/>
  <c r="D268" i="14"/>
  <c r="F214" i="14"/>
  <c r="H214" i="14"/>
  <c r="C48" i="16"/>
  <c r="E48" i="16"/>
  <c r="G48" i="16" s="1"/>
  <c r="E43" i="16"/>
  <c r="G43" i="16" s="1"/>
  <c r="C122" i="10"/>
  <c r="E122" i="10" s="1"/>
  <c r="E303" i="11" s="1"/>
  <c r="F368" i="29" s="1"/>
  <c r="E205" i="9"/>
  <c r="D254" i="9"/>
  <c r="D116" i="13"/>
  <c r="E63" i="13"/>
  <c r="H63" i="13"/>
  <c r="J63" i="13" s="1"/>
  <c r="D67" i="13" s="1"/>
  <c r="F67" i="13" s="1"/>
  <c r="C16" i="39"/>
  <c r="E16" i="39" s="1"/>
  <c r="E232" i="11" s="1"/>
  <c r="F300" i="29" s="1"/>
  <c r="G9" i="36"/>
  <c r="G69" i="14"/>
  <c r="F451" i="36"/>
  <c r="F63" i="36"/>
  <c r="D13" i="34"/>
  <c r="F13" i="34" s="1"/>
  <c r="J66" i="34"/>
  <c r="E63" i="12"/>
  <c r="H63" i="12"/>
  <c r="J63" i="12" s="1"/>
  <c r="D67" i="12" s="1"/>
  <c r="F67" i="12" s="1"/>
  <c r="D118" i="12"/>
  <c r="D481" i="15"/>
  <c r="F481" i="15"/>
  <c r="F471" i="15" s="1"/>
  <c r="D328" i="13"/>
  <c r="D385" i="13" s="1"/>
  <c r="D442" i="13" s="1"/>
  <c r="D499" i="13" s="1"/>
  <c r="D556" i="13" s="1"/>
  <c r="D613" i="13" s="1"/>
  <c r="D670" i="13" s="1"/>
  <c r="D727" i="13" s="1"/>
  <c r="D784" i="13" s="1"/>
  <c r="D841" i="13" s="1"/>
  <c r="D898" i="13" s="1"/>
  <c r="D955" i="13" s="1"/>
  <c r="D1012" i="13" s="1"/>
  <c r="D1069" i="13" s="1"/>
  <c r="D1126" i="13" s="1"/>
  <c r="D1183" i="13" s="1"/>
  <c r="D1240" i="13" s="1"/>
  <c r="D1297" i="13" s="1"/>
  <c r="E306" i="11"/>
  <c r="F371" i="29"/>
  <c r="E6" i="20"/>
  <c r="H113" i="15"/>
  <c r="J113" i="15" s="1"/>
  <c r="D117" i="15" s="1"/>
  <c r="F117" i="15" s="1"/>
  <c r="D376" i="11" s="1"/>
  <c r="E301" i="11"/>
  <c r="F366" i="29"/>
  <c r="B217" i="39"/>
  <c r="B241" i="39"/>
  <c r="D364" i="12"/>
  <c r="F309" i="12"/>
  <c r="H309" i="12" s="1"/>
  <c r="D283" i="9"/>
  <c r="F234" i="9"/>
  <c r="H234" i="9"/>
  <c r="I100" i="11" s="1"/>
  <c r="J122" i="29" s="1"/>
  <c r="D207" i="12"/>
  <c r="F152" i="12"/>
  <c r="H152" i="12"/>
  <c r="F88" i="9"/>
  <c r="H88" i="9"/>
  <c r="J97" i="11" s="1"/>
  <c r="K119" i="29" s="1"/>
  <c r="D137" i="9"/>
  <c r="F251" i="12"/>
  <c r="G130" i="11"/>
  <c r="H160" i="29"/>
  <c r="E1653" i="16"/>
  <c r="D145" i="15"/>
  <c r="F93" i="15"/>
  <c r="H93" i="15"/>
  <c r="K375" i="11" s="1"/>
  <c r="E537" i="10"/>
  <c r="C350" i="16"/>
  <c r="C402" i="16"/>
  <c r="E219" i="16"/>
  <c r="E272" i="16" s="1"/>
  <c r="F219" i="16"/>
  <c r="F272" i="16" s="1"/>
  <c r="E218" i="16"/>
  <c r="E271" i="16" s="1"/>
  <c r="F218" i="16"/>
  <c r="F271" i="16" s="1"/>
  <c r="F199" i="11"/>
  <c r="G256" i="29" s="1"/>
  <c r="E915" i="16"/>
  <c r="F206" i="11"/>
  <c r="G263" i="29"/>
  <c r="E95" i="16"/>
  <c r="G95" i="16"/>
  <c r="C100" i="16"/>
  <c r="E100" i="16"/>
  <c r="G100" i="16" s="1"/>
  <c r="E92" i="16"/>
  <c r="G92" i="16" s="1"/>
  <c r="C97" i="16"/>
  <c r="E97" i="16" s="1"/>
  <c r="G97" i="16" s="1"/>
  <c r="H378" i="11"/>
  <c r="E968" i="16"/>
  <c r="F197" i="11"/>
  <c r="G254" i="29"/>
  <c r="C1592" i="13"/>
  <c r="C1645" i="13"/>
  <c r="C1699" i="13" s="1"/>
  <c r="C1753" i="13" s="1"/>
  <c r="C1807" i="13" s="1"/>
  <c r="C1977" i="13"/>
  <c r="C2248" i="13" s="1"/>
  <c r="F38" i="11"/>
  <c r="G51" i="29" s="1"/>
  <c r="F78" i="14"/>
  <c r="E1928" i="16"/>
  <c r="F1873" i="16"/>
  <c r="E1548" i="16"/>
  <c r="F52" i="11"/>
  <c r="G65" i="29" s="1"/>
  <c r="F874" i="14"/>
  <c r="F534" i="14"/>
  <c r="F46" i="11"/>
  <c r="G59" i="29" s="1"/>
  <c r="F1925" i="16"/>
  <c r="E1980" i="16"/>
  <c r="F1980" i="16"/>
  <c r="G135" i="12"/>
  <c r="F190" i="12"/>
  <c r="F132" i="34"/>
  <c r="F68" i="11"/>
  <c r="G81" i="29" s="1"/>
  <c r="D1594" i="13"/>
  <c r="D1647" i="13" s="1"/>
  <c r="D1701" i="13" s="1"/>
  <c r="D1755" i="13" s="1"/>
  <c r="D1809" i="13" s="1"/>
  <c r="D1979" i="13"/>
  <c r="D2250" i="13"/>
  <c r="G138" i="12"/>
  <c r="F193" i="12"/>
  <c r="F62" i="11"/>
  <c r="G75" i="29"/>
  <c r="F1430" i="14"/>
  <c r="E1984" i="16"/>
  <c r="F1984" i="16" s="1"/>
  <c r="F1929" i="16"/>
  <c r="G241" i="12"/>
  <c r="F296" i="12"/>
  <c r="E1986" i="16"/>
  <c r="F1986" i="16"/>
  <c r="F1931" i="16"/>
  <c r="E1985" i="16"/>
  <c r="F1930" i="16"/>
  <c r="G240" i="12"/>
  <c r="F295" i="12"/>
  <c r="C1973" i="13"/>
  <c r="C2244" i="13"/>
  <c r="C1588" i="13"/>
  <c r="C1641" i="13"/>
  <c r="C1695" i="13" s="1"/>
  <c r="C1749" i="13" s="1"/>
  <c r="C1803" i="13" s="1"/>
  <c r="G637" i="36"/>
  <c r="E693" i="36"/>
  <c r="G137" i="12"/>
  <c r="F192" i="12"/>
  <c r="E1923" i="16"/>
  <c r="F1868" i="16"/>
  <c r="F215" i="11"/>
  <c r="G272" i="29" s="1"/>
  <c r="E1601" i="16"/>
  <c r="E124" i="10"/>
  <c r="F303" i="11"/>
  <c r="G368" i="29" s="1"/>
  <c r="E1389" i="16"/>
  <c r="F209" i="11"/>
  <c r="G266" i="29"/>
  <c r="F311" i="11"/>
  <c r="G376" i="29"/>
  <c r="E549" i="10"/>
  <c r="F302" i="11"/>
  <c r="G367" i="29" s="1"/>
  <c r="E71" i="10"/>
  <c r="F291" i="13"/>
  <c r="G291" i="13"/>
  <c r="G347" i="13"/>
  <c r="F404" i="13"/>
  <c r="F218" i="11"/>
  <c r="G275" i="29"/>
  <c r="E1707" i="16"/>
  <c r="F405" i="13"/>
  <c r="G348" i="13"/>
  <c r="E1979" i="16"/>
  <c r="F1979" i="16" s="1"/>
  <c r="F1924" i="16"/>
  <c r="D349" i="13"/>
  <c r="D312" i="31"/>
  <c r="D1870" i="13" s="1"/>
  <c r="D1923" i="13" s="1"/>
  <c r="F286" i="13"/>
  <c r="G286" i="13"/>
  <c r="F399" i="13"/>
  <c r="G342" i="13"/>
  <c r="F258" i="31"/>
  <c r="F23" i="13"/>
  <c r="F444" i="16"/>
  <c r="F449" i="16"/>
  <c r="E438" i="16" s="1"/>
  <c r="F182" i="11" s="1"/>
  <c r="G239" i="29" s="1"/>
  <c r="E1817" i="16"/>
  <c r="D1482" i="13"/>
  <c r="D1427" i="13"/>
  <c r="D1537" i="13" s="1"/>
  <c r="D2030" i="13" s="1"/>
  <c r="G27" i="9"/>
  <c r="F96" i="11"/>
  <c r="F400" i="13"/>
  <c r="G400" i="13"/>
  <c r="G641" i="36"/>
  <c r="G580" i="36"/>
  <c r="E635" i="36"/>
  <c r="G341" i="13"/>
  <c r="F285" i="13"/>
  <c r="G285" i="13"/>
  <c r="F398" i="13"/>
  <c r="F1374" i="13"/>
  <c r="F273" i="31"/>
  <c r="F293" i="31"/>
  <c r="G22" i="13"/>
  <c r="F75" i="13"/>
  <c r="F126" i="13"/>
  <c r="G73" i="13"/>
  <c r="E70" i="16"/>
  <c r="F171" i="11"/>
  <c r="G228" i="29" s="1"/>
  <c r="G81" i="13"/>
  <c r="F134" i="13"/>
  <c r="D346" i="13"/>
  <c r="D309" i="31"/>
  <c r="D1867" i="13"/>
  <c r="D1920" i="13" s="1"/>
  <c r="G1248" i="36"/>
  <c r="F346" i="13"/>
  <c r="F309" i="31"/>
  <c r="F1867" i="13" s="1"/>
  <c r="F292" i="13"/>
  <c r="G292" i="13" s="1"/>
  <c r="G343" i="13"/>
  <c r="D307" i="31"/>
  <c r="D1865" i="13"/>
  <c r="D1918" i="13" s="1"/>
  <c r="D344" i="13"/>
  <c r="E703" i="16"/>
  <c r="F189" i="11"/>
  <c r="G246" i="29" s="1"/>
  <c r="E18" i="10"/>
  <c r="F301" i="11"/>
  <c r="G366" i="29"/>
  <c r="D1426" i="13"/>
  <c r="D1536" i="13"/>
  <c r="D2029" i="13" s="1"/>
  <c r="D1481" i="13"/>
  <c r="D289" i="13"/>
  <c r="D402" i="13"/>
  <c r="D459" i="13" s="1"/>
  <c r="D516" i="13" s="1"/>
  <c r="D573" i="13" s="1"/>
  <c r="D630" i="13" s="1"/>
  <c r="D687" i="13" s="1"/>
  <c r="D744" i="13" s="1"/>
  <c r="D801" i="13" s="1"/>
  <c r="D858" i="13" s="1"/>
  <c r="D915" i="13" s="1"/>
  <c r="D972" i="13" s="1"/>
  <c r="D1029" i="13" s="1"/>
  <c r="D1086" i="13" s="1"/>
  <c r="D1143" i="13" s="1"/>
  <c r="D1200" i="13" s="1"/>
  <c r="D1257" i="13" s="1"/>
  <c r="D1314" i="13" s="1"/>
  <c r="F1921" i="13"/>
  <c r="G1921" i="13"/>
  <c r="G1868" i="13"/>
  <c r="D398" i="13"/>
  <c r="D455" i="13" s="1"/>
  <c r="D512" i="13" s="1"/>
  <c r="D569" i="13" s="1"/>
  <c r="D626" i="13" s="1"/>
  <c r="D683" i="13" s="1"/>
  <c r="D740" i="13" s="1"/>
  <c r="D797" i="13" s="1"/>
  <c r="D854" i="13" s="1"/>
  <c r="D911" i="13" s="1"/>
  <c r="D968" i="13" s="1"/>
  <c r="D1025" i="13" s="1"/>
  <c r="D1082" i="13" s="1"/>
  <c r="D1139" i="13" s="1"/>
  <c r="D1196" i="13" s="1"/>
  <c r="D1253" i="13" s="1"/>
  <c r="D1310" i="13" s="1"/>
  <c r="D285" i="13"/>
  <c r="F402" i="13"/>
  <c r="G345" i="13"/>
  <c r="F289" i="13"/>
  <c r="G289" i="13" s="1"/>
  <c r="E283" i="10"/>
  <c r="F1478" i="13"/>
  <c r="E2241" i="13"/>
  <c r="G2241" i="13" s="1"/>
  <c r="G1970" i="13"/>
  <c r="F1537" i="13"/>
  <c r="G1427" i="13"/>
  <c r="F1977" i="13"/>
  <c r="F1592" i="13"/>
  <c r="F191" i="11"/>
  <c r="G248" i="29"/>
  <c r="E755" i="16"/>
  <c r="C1594" i="13"/>
  <c r="C1647" i="13" s="1"/>
  <c r="C1701" i="13" s="1"/>
  <c r="C1755" i="13" s="1"/>
  <c r="C1809" i="13" s="1"/>
  <c r="C1979" i="13"/>
  <c r="C2250" i="13"/>
  <c r="E1590" i="13"/>
  <c r="E1643" i="13"/>
  <c r="E1697" i="13" s="1"/>
  <c r="E1751" i="13" s="1"/>
  <c r="E1805" i="13" s="1"/>
  <c r="E1975" i="13"/>
  <c r="E2246" i="13" s="1"/>
  <c r="D1592" i="13"/>
  <c r="D1645" i="13" s="1"/>
  <c r="D1699" i="13" s="1"/>
  <c r="D1753" i="13" s="1"/>
  <c r="D1807" i="13" s="1"/>
  <c r="D1977" i="13"/>
  <c r="D2248" i="13"/>
  <c r="E1126" i="16"/>
  <c r="F202" i="11"/>
  <c r="G259" i="29" s="1"/>
  <c r="F17" i="12"/>
  <c r="F126" i="11"/>
  <c r="G156" i="29"/>
  <c r="F148" i="13"/>
  <c r="H148" i="13"/>
  <c r="K325" i="11" s="1"/>
  <c r="L434" i="29"/>
  <c r="D201" i="13"/>
  <c r="E185" i="13"/>
  <c r="G132" i="13"/>
  <c r="F581" i="14"/>
  <c r="F638" i="14" s="1"/>
  <c r="F694" i="14" s="1"/>
  <c r="F752" i="14" s="1"/>
  <c r="F809" i="14" s="1"/>
  <c r="F865" i="14" s="1"/>
  <c r="F923" i="14" s="1"/>
  <c r="F978" i="14" s="1"/>
  <c r="F1033" i="14" s="1"/>
  <c r="F1088" i="14" s="1"/>
  <c r="F1144" i="14" s="1"/>
  <c r="F1201" i="14" s="1"/>
  <c r="F1255" i="14" s="1"/>
  <c r="F1309" i="14" s="1"/>
  <c r="F1365" i="14" s="1"/>
  <c r="F1421" i="14" s="1"/>
  <c r="F1477" i="14" s="1"/>
  <c r="F1534" i="14" s="1"/>
  <c r="F1589" i="14" s="1"/>
  <c r="F162" i="15"/>
  <c r="G1424" i="13"/>
  <c r="E1367" i="13"/>
  <c r="E234" i="13"/>
  <c r="G77" i="13"/>
  <c r="F130" i="13"/>
  <c r="F379" i="11"/>
  <c r="F278" i="15"/>
  <c r="C1971" i="13"/>
  <c r="C2242" i="13" s="1"/>
  <c r="C1586" i="13"/>
  <c r="C1639" i="13" s="1"/>
  <c r="C1693" i="13" s="1"/>
  <c r="C1747" i="13" s="1"/>
  <c r="C1801" i="13" s="1"/>
  <c r="E1976" i="13"/>
  <c r="E2247" i="13" s="1"/>
  <c r="E1591" i="13"/>
  <c r="C565" i="36"/>
  <c r="C542" i="36"/>
  <c r="C514" i="36"/>
  <c r="E543" i="16"/>
  <c r="F2082" i="13"/>
  <c r="F2136" i="13"/>
  <c r="F2191" i="13" s="1"/>
  <c r="F2301" i="13"/>
  <c r="F2358" i="13" s="1"/>
  <c r="F2411" i="13"/>
  <c r="F2466" i="13" s="1"/>
  <c r="F2519" i="13" s="1"/>
  <c r="F295" i="11"/>
  <c r="G214" i="29"/>
  <c r="F186" i="21"/>
  <c r="E1496" i="16"/>
  <c r="G636" i="36"/>
  <c r="F2247" i="13"/>
  <c r="G1576" i="13"/>
  <c r="G1521" i="13"/>
  <c r="G1629" i="13"/>
  <c r="G1737" i="13" s="1"/>
  <c r="G1845" i="13" s="1"/>
  <c r="F151" i="12"/>
  <c r="H151" i="12"/>
  <c r="D206" i="12"/>
  <c r="C177" i="21"/>
  <c r="C153" i="21"/>
  <c r="C126" i="21"/>
  <c r="F371" i="15"/>
  <c r="G180" i="13"/>
  <c r="F6" i="9"/>
  <c r="F308" i="11"/>
  <c r="G373" i="29" s="1"/>
  <c r="E390" i="10"/>
  <c r="F184" i="13"/>
  <c r="G184" i="13"/>
  <c r="G131" i="13"/>
  <c r="E802" i="36"/>
  <c r="G746" i="36"/>
  <c r="F186" i="11"/>
  <c r="G243" i="29" s="1"/>
  <c r="E596" i="16"/>
  <c r="D1973" i="13"/>
  <c r="D2244" i="13"/>
  <c r="D1588" i="13"/>
  <c r="D1641" i="13"/>
  <c r="D1695" i="13" s="1"/>
  <c r="D1749" i="13" s="1"/>
  <c r="D1803" i="13" s="1"/>
  <c r="E1973" i="13"/>
  <c r="E1588" i="13"/>
  <c r="G1479" i="13"/>
  <c r="F739" i="13"/>
  <c r="G625" i="13"/>
  <c r="D1586" i="13"/>
  <c r="D1639" i="13"/>
  <c r="D1693" i="13" s="1"/>
  <c r="D1747" i="13" s="1"/>
  <c r="D1801" i="13" s="1"/>
  <c r="D1971" i="13"/>
  <c r="D2242" i="13" s="1"/>
  <c r="F179" i="11"/>
  <c r="G236" i="29" s="1"/>
  <c r="E333" i="16"/>
  <c r="D2135" i="13"/>
  <c r="D2190" i="13" s="1"/>
  <c r="D2300" i="13"/>
  <c r="D2357" i="13" s="1"/>
  <c r="D2410" i="13" s="1"/>
  <c r="D2465" i="13" s="1"/>
  <c r="F211" i="21"/>
  <c r="H211" i="21" s="1"/>
  <c r="D216" i="21"/>
  <c r="F216" i="21" s="1"/>
  <c r="H216" i="21"/>
  <c r="D156" i="12"/>
  <c r="F156" i="12"/>
  <c r="H156" i="12" s="1"/>
  <c r="F101" i="12"/>
  <c r="H101" i="12" s="1"/>
  <c r="J127" i="11"/>
  <c r="K157" i="29" s="1"/>
  <c r="G234" i="13"/>
  <c r="E1366" i="13"/>
  <c r="E233" i="13"/>
  <c r="E1074" i="16"/>
  <c r="F200" i="11"/>
  <c r="G257" i="29" s="1"/>
  <c r="F682" i="13"/>
  <c r="G568" i="13"/>
  <c r="E638" i="36"/>
  <c r="G583" i="36"/>
  <c r="F2027" i="13"/>
  <c r="E1536" i="13"/>
  <c r="G1426" i="13"/>
  <c r="E175" i="16"/>
  <c r="F174" i="11"/>
  <c r="G231" i="29" s="1"/>
  <c r="D1589" i="13"/>
  <c r="D1642" i="13" s="1"/>
  <c r="D1696" i="13"/>
  <c r="D1750" i="13" s="1"/>
  <c r="D1804" i="13" s="1"/>
  <c r="D1974" i="13"/>
  <c r="D2245" i="13"/>
  <c r="F2026" i="13"/>
  <c r="C173" i="12"/>
  <c r="C122" i="12"/>
  <c r="C149" i="12"/>
  <c r="D290" i="11"/>
  <c r="F70" i="17"/>
  <c r="E290" i="11" s="1"/>
  <c r="F209" i="29" s="1"/>
  <c r="E2135" i="13"/>
  <c r="F16" i="15"/>
  <c r="E374" i="11" s="1"/>
  <c r="D374" i="11"/>
  <c r="F169" i="10"/>
  <c r="G169" i="10"/>
  <c r="I169" i="10" s="1"/>
  <c r="C173" i="10" s="1"/>
  <c r="E173" i="10" s="1"/>
  <c r="J66" i="11"/>
  <c r="G308" i="11"/>
  <c r="H373" i="29" s="1"/>
  <c r="E402" i="10"/>
  <c r="B66" i="16"/>
  <c r="B96" i="16"/>
  <c r="C237" i="14"/>
  <c r="C218" i="14"/>
  <c r="C185" i="14"/>
  <c r="F65" i="11"/>
  <c r="G78" i="29" s="1"/>
  <c r="F1598" i="14"/>
  <c r="F123" i="21"/>
  <c r="C222" i="13"/>
  <c r="C198" i="13"/>
  <c r="C172" i="13"/>
  <c r="F136" i="12"/>
  <c r="G81" i="12"/>
  <c r="G84" i="12" s="1"/>
  <c r="B65" i="16"/>
  <c r="B91" i="16"/>
  <c r="F535" i="15"/>
  <c r="F384" i="11"/>
  <c r="K50" i="29"/>
  <c r="D96" i="13"/>
  <c r="F43" i="13"/>
  <c r="H43" i="13" s="1"/>
  <c r="D48" i="13"/>
  <c r="F48" i="13" s="1"/>
  <c r="H48" i="13" s="1"/>
  <c r="L323" i="11" s="1"/>
  <c r="E43" i="20"/>
  <c r="G43" i="20"/>
  <c r="C48" i="20"/>
  <c r="E48" i="20"/>
  <c r="G48" i="20" s="1"/>
  <c r="F50" i="14"/>
  <c r="H50" i="14" s="1"/>
  <c r="D43" i="36"/>
  <c r="D55" i="14"/>
  <c r="D107" i="14"/>
  <c r="F374" i="11"/>
  <c r="F18" i="15"/>
  <c r="E42" i="16"/>
  <c r="C94" i="16"/>
  <c r="C147" i="16" s="1"/>
  <c r="E47" i="16"/>
  <c r="G47" i="16" s="1"/>
  <c r="K97" i="11"/>
  <c r="E370" i="29"/>
  <c r="E566" i="36"/>
  <c r="D621" i="36"/>
  <c r="D164" i="34"/>
  <c r="F164" i="34" s="1"/>
  <c r="H164" i="34"/>
  <c r="F159" i="34"/>
  <c r="H159" i="34"/>
  <c r="H222" i="13"/>
  <c r="J222" i="13"/>
  <c r="D226" i="13" s="1"/>
  <c r="F226" i="13" s="1"/>
  <c r="E328" i="13"/>
  <c r="F575" i="15"/>
  <c r="E6" i="19"/>
  <c r="C2133" i="12"/>
  <c r="C2083" i="12"/>
  <c r="C2191" i="12"/>
  <c r="C2241" i="12"/>
  <c r="C2246" i="12" s="1"/>
  <c r="D291" i="11"/>
  <c r="F123" i="17"/>
  <c r="E291" i="11" s="1"/>
  <c r="F210" i="29"/>
  <c r="D292" i="13"/>
  <c r="D405" i="13"/>
  <c r="D462" i="13" s="1"/>
  <c r="D519" i="13" s="1"/>
  <c r="D576" i="13" s="1"/>
  <c r="D633" i="13" s="1"/>
  <c r="D690" i="13" s="1"/>
  <c r="D747" i="13" s="1"/>
  <c r="D804" i="13" s="1"/>
  <c r="D861" i="13" s="1"/>
  <c r="D918" i="13" s="1"/>
  <c r="D975" i="13" s="1"/>
  <c r="D1032" i="13" s="1"/>
  <c r="D1089" i="13" s="1"/>
  <c r="D1146" i="13" s="1"/>
  <c r="D1203" i="13" s="1"/>
  <c r="D1260" i="13" s="1"/>
  <c r="D1317" i="13" s="1"/>
  <c r="F1643" i="13"/>
  <c r="G1590" i="13"/>
  <c r="E86" i="16"/>
  <c r="G86" i="16"/>
  <c r="F254" i="9"/>
  <c r="E295" i="10"/>
  <c r="H371" i="29"/>
  <c r="G304" i="11"/>
  <c r="H369" i="29" s="1"/>
  <c r="E189" i="10"/>
  <c r="C284" i="12"/>
  <c r="C233" i="12"/>
  <c r="C264" i="12"/>
  <c r="G67" i="21"/>
  <c r="G123" i="21" s="1"/>
  <c r="G178" i="21" s="1"/>
  <c r="E366" i="29"/>
  <c r="D45" i="17"/>
  <c r="F45" i="17"/>
  <c r="H45" i="17" s="1"/>
  <c r="F40" i="17"/>
  <c r="H40" i="17" s="1"/>
  <c r="D64" i="9"/>
  <c r="F64" i="9" s="1"/>
  <c r="E97" i="11" s="1"/>
  <c r="F119" i="29" s="1"/>
  <c r="D97" i="11"/>
  <c r="C205" i="10"/>
  <c r="E205" i="10"/>
  <c r="G205" i="10" s="1"/>
  <c r="K304" i="11" s="1"/>
  <c r="L369" i="29" s="1"/>
  <c r="E200" i="10"/>
  <c r="G200" i="10" s="1"/>
  <c r="C253" i="10"/>
  <c r="D90" i="9"/>
  <c r="F41" i="9"/>
  <c r="H41" i="9"/>
  <c r="L96" i="11" s="1"/>
  <c r="M118" i="29" s="1"/>
  <c r="D94" i="15"/>
  <c r="F42" i="15"/>
  <c r="H42" i="15" s="1"/>
  <c r="J156" i="29"/>
  <c r="J211" i="29"/>
  <c r="F43" i="12"/>
  <c r="H43" i="12" s="1"/>
  <c r="D48" i="12"/>
  <c r="F48" i="12" s="1"/>
  <c r="H48" i="12"/>
  <c r="D98" i="12"/>
  <c r="E368" i="29"/>
  <c r="D490" i="36"/>
  <c r="D47" i="36"/>
  <c r="F47" i="36" s="1"/>
  <c r="H47" i="36" s="1"/>
  <c r="F42" i="36"/>
  <c r="H42" i="36"/>
  <c r="D98" i="36"/>
  <c r="F2246" i="13"/>
  <c r="G2246" i="13"/>
  <c r="E807" i="36"/>
  <c r="G751" i="36"/>
  <c r="G310" i="11"/>
  <c r="H375" i="29" s="1"/>
  <c r="E508" i="10"/>
  <c r="E349" i="10"/>
  <c r="C223" i="13"/>
  <c r="C173" i="13"/>
  <c r="C203" i="13"/>
  <c r="F374" i="29"/>
  <c r="E308" i="11"/>
  <c r="E118" i="29"/>
  <c r="F1575" i="13"/>
  <c r="F1520" i="13"/>
  <c r="F1628" i="13" s="1"/>
  <c r="F1736" i="13" s="1"/>
  <c r="F1844" i="13" s="1"/>
  <c r="J316" i="11"/>
  <c r="C184" i="14"/>
  <c r="C213" i="14"/>
  <c r="C236" i="14"/>
  <c r="H67" i="34"/>
  <c r="H124" i="34" s="1"/>
  <c r="J10" i="34"/>
  <c r="E230" i="10"/>
  <c r="F305" i="11"/>
  <c r="G370" i="29" s="1"/>
  <c r="E384" i="11"/>
  <c r="F523" i="15"/>
  <c r="F149" i="17"/>
  <c r="H149" i="17" s="1"/>
  <c r="D154" i="17"/>
  <c r="F154" i="17" s="1"/>
  <c r="H154" i="17"/>
  <c r="F47" i="34"/>
  <c r="H47" i="34"/>
  <c r="D104" i="34"/>
  <c r="D52" i="34"/>
  <c r="F52" i="34" s="1"/>
  <c r="H52" i="34"/>
  <c r="E409" i="29"/>
  <c r="F292" i="11"/>
  <c r="G211" i="29" s="1"/>
  <c r="F18" i="21"/>
  <c r="F106" i="14"/>
  <c r="H106" i="14" s="1"/>
  <c r="D160" i="14"/>
  <c r="E274" i="13"/>
  <c r="H274" i="13"/>
  <c r="J274" i="13" s="1"/>
  <c r="D278" i="13"/>
  <c r="F278" i="13" s="1"/>
  <c r="D1354" i="13"/>
  <c r="F352" i="12"/>
  <c r="G297" i="12"/>
  <c r="H316" i="11"/>
  <c r="G578" i="36"/>
  <c r="E633" i="36"/>
  <c r="E2357" i="13"/>
  <c r="C2132" i="12"/>
  <c r="C2082" i="12"/>
  <c r="C2135" i="12"/>
  <c r="C2185" i="12"/>
  <c r="F1803" i="13"/>
  <c r="F36" i="1"/>
  <c r="G36" i="1"/>
  <c r="I36" i="1" s="1"/>
  <c r="E242" i="10"/>
  <c r="H370" i="29"/>
  <c r="E136" i="10"/>
  <c r="H368" i="29"/>
  <c r="F1374" i="14"/>
  <c r="F61" i="11"/>
  <c r="G74" i="29" s="1"/>
  <c r="J209" i="29"/>
  <c r="M290" i="11"/>
  <c r="N209" i="29"/>
  <c r="C45" i="10"/>
  <c r="E45" i="10"/>
  <c r="G45" i="10" s="1"/>
  <c r="C93" i="10"/>
  <c r="E40" i="10"/>
  <c r="G40" i="10"/>
  <c r="D99" i="13"/>
  <c r="F99" i="13"/>
  <c r="H99" i="13" s="1"/>
  <c r="D147" i="13"/>
  <c r="F94" i="13"/>
  <c r="H94" i="13"/>
  <c r="H9" i="5"/>
  <c r="E10" i="5"/>
  <c r="J432" i="29"/>
  <c r="E57" i="23"/>
  <c r="G57" i="23" s="1"/>
  <c r="C62" i="23"/>
  <c r="E62" i="23" s="1"/>
  <c r="G62" i="23"/>
  <c r="G314" i="9"/>
  <c r="E383" i="11"/>
  <c r="G2285" i="13"/>
  <c r="C95" i="10"/>
  <c r="C47" i="10"/>
  <c r="E47" i="10" s="1"/>
  <c r="G47" i="10"/>
  <c r="E42" i="10"/>
  <c r="G42" i="10"/>
  <c r="F44" i="21"/>
  <c r="H44" i="21"/>
  <c r="D49" i="21"/>
  <c r="F49" i="21"/>
  <c r="H49" i="21" s="1"/>
  <c r="D101" i="21"/>
  <c r="D47" i="17"/>
  <c r="F47" i="17"/>
  <c r="H47" i="17" s="1"/>
  <c r="F42" i="17"/>
  <c r="H42" i="17" s="1"/>
  <c r="F170" i="11"/>
  <c r="E17" i="16"/>
  <c r="F367" i="29"/>
  <c r="F54" i="14"/>
  <c r="H54" i="14"/>
  <c r="K37" i="11" s="1"/>
  <c r="L50" i="29"/>
  <c r="D111" i="14"/>
  <c r="H107" i="9"/>
  <c r="J107" i="9"/>
  <c r="D110" i="9" s="1"/>
  <c r="F110" i="9" s="1"/>
  <c r="H156" i="9"/>
  <c r="J156" i="9"/>
  <c r="D159" i="9" s="1"/>
  <c r="F159" i="9"/>
  <c r="G695" i="36"/>
  <c r="D599" i="36"/>
  <c r="D654" i="36" s="1"/>
  <c r="F654" i="36" s="1"/>
  <c r="H654" i="36" s="1"/>
  <c r="G697" i="36"/>
  <c r="F544" i="36"/>
  <c r="H544" i="36"/>
  <c r="J78" i="11" s="1"/>
  <c r="D494" i="36"/>
  <c r="F494" i="36" s="1"/>
  <c r="H494" i="36" s="1"/>
  <c r="E287" i="36"/>
  <c r="E231" i="36"/>
  <c r="C625" i="36"/>
  <c r="C657" i="36"/>
  <c r="E808" i="36"/>
  <c r="G808" i="36"/>
  <c r="C231" i="36"/>
  <c r="C235" i="36"/>
  <c r="C177" i="36"/>
  <c r="F489" i="36"/>
  <c r="H489" i="36" s="1"/>
  <c r="D230" i="36"/>
  <c r="E230" i="36" s="1"/>
  <c r="D102" i="36"/>
  <c r="F102" i="36" s="1"/>
  <c r="H102" i="36" s="1"/>
  <c r="D151" i="36"/>
  <c r="D209" i="36"/>
  <c r="E180" i="14"/>
  <c r="D236" i="14"/>
  <c r="I170" i="11"/>
  <c r="J227" i="29" s="1"/>
  <c r="F122" i="39"/>
  <c r="F78" i="39"/>
  <c r="E69" i="39"/>
  <c r="F233" i="11" s="1"/>
  <c r="G301" i="29" s="1"/>
  <c r="C289" i="39"/>
  <c r="E236" i="39"/>
  <c r="G236" i="39"/>
  <c r="C186" i="39"/>
  <c r="E186" i="39" s="1"/>
  <c r="G186" i="39" s="1"/>
  <c r="E135" i="39"/>
  <c r="G135" i="39"/>
  <c r="F1355" i="39"/>
  <c r="E1407" i="39"/>
  <c r="F1407" i="39" s="1"/>
  <c r="C149" i="36"/>
  <c r="C172" i="36"/>
  <c r="C122" i="36"/>
  <c r="D67" i="21"/>
  <c r="E10" i="21"/>
  <c r="H10" i="21"/>
  <c r="J10" i="21" s="1"/>
  <c r="D14" i="21" s="1"/>
  <c r="F14" i="21" s="1"/>
  <c r="C158" i="21"/>
  <c r="C178" i="21"/>
  <c r="C127" i="21"/>
  <c r="E634" i="39"/>
  <c r="F583" i="39"/>
  <c r="F1715" i="39"/>
  <c r="I324" i="11"/>
  <c r="J433" i="29"/>
  <c r="G49" i="20"/>
  <c r="E36" i="20" s="1"/>
  <c r="G52" i="20" s="1"/>
  <c r="D16" i="14"/>
  <c r="F16" i="14"/>
  <c r="I77" i="11"/>
  <c r="J90" i="29" s="1"/>
  <c r="D286" i="36"/>
  <c r="E380" i="11"/>
  <c r="G64" i="36"/>
  <c r="G452" i="36"/>
  <c r="H10" i="36"/>
  <c r="J10" i="36"/>
  <c r="D14" i="36" s="1"/>
  <c r="F14" i="36" s="1"/>
  <c r="F215" i="14"/>
  <c r="H215" i="14"/>
  <c r="D269" i="14"/>
  <c r="G324" i="11"/>
  <c r="H433" i="29"/>
  <c r="F84" i="13"/>
  <c r="F543" i="36"/>
  <c r="H543" i="36" s="1"/>
  <c r="D548" i="36"/>
  <c r="F548" i="36"/>
  <c r="H548" i="36" s="1"/>
  <c r="D598" i="36"/>
  <c r="D237" i="14"/>
  <c r="E181" i="14"/>
  <c r="F244" i="12"/>
  <c r="G189" i="12"/>
  <c r="D199" i="13"/>
  <c r="F146" i="13"/>
  <c r="H146" i="13" s="1"/>
  <c r="D151" i="13"/>
  <c r="F151" i="13"/>
  <c r="H151" i="13"/>
  <c r="F109" i="14"/>
  <c r="H109" i="14" s="1"/>
  <c r="I38" i="11" s="1"/>
  <c r="J51" i="29" s="1"/>
  <c r="D163" i="14"/>
  <c r="G129" i="12"/>
  <c r="F184" i="12"/>
  <c r="D620" i="36"/>
  <c r="E565" i="36"/>
  <c r="G127" i="14"/>
  <c r="G181" i="14"/>
  <c r="G237" i="14"/>
  <c r="G291" i="14" s="1"/>
  <c r="G347" i="14" s="1"/>
  <c r="G402" i="14" s="1"/>
  <c r="H70" i="14"/>
  <c r="J70" i="14" s="1"/>
  <c r="D74" i="14" s="1"/>
  <c r="F74" i="14" s="1"/>
  <c r="F102" i="12"/>
  <c r="H102" i="12" s="1"/>
  <c r="K127" i="11" s="1"/>
  <c r="L157" i="29" s="1"/>
  <c r="D157" i="12"/>
  <c r="F157" i="12" s="1"/>
  <c r="H157" i="12" s="1"/>
  <c r="K128" i="11" s="1"/>
  <c r="L158" i="29" s="1"/>
  <c r="D193" i="13"/>
  <c r="F140" i="13"/>
  <c r="H140" i="13"/>
  <c r="E174" i="12"/>
  <c r="H174" i="12" s="1"/>
  <c r="J174" i="12" s="1"/>
  <c r="D178" i="12" s="1"/>
  <c r="F178" i="12" s="1"/>
  <c r="D229" i="12"/>
  <c r="G268" i="9"/>
  <c r="G2247" i="13"/>
  <c r="E328" i="29"/>
  <c r="I371" i="29"/>
  <c r="K420" i="29"/>
  <c r="F687" i="39"/>
  <c r="E738" i="39"/>
  <c r="F738" i="39"/>
  <c r="F686" i="39"/>
  <c r="E737" i="39"/>
  <c r="F737" i="39"/>
  <c r="E470" i="39"/>
  <c r="E521" i="39"/>
  <c r="I213" i="39"/>
  <c r="G265" i="39"/>
  <c r="F418" i="39"/>
  <c r="F367" i="39"/>
  <c r="E419" i="39"/>
  <c r="E368" i="39"/>
  <c r="G188" i="12"/>
  <c r="E193" i="39"/>
  <c r="G193" i="39"/>
  <c r="C198" i="39"/>
  <c r="E198" i="39"/>
  <c r="G198" i="39"/>
  <c r="E194" i="39"/>
  <c r="G194" i="39" s="1"/>
  <c r="C199" i="39"/>
  <c r="E199" i="39"/>
  <c r="G199" i="39"/>
  <c r="C200" i="39"/>
  <c r="E200" i="39"/>
  <c r="G200" i="39"/>
  <c r="E195" i="39"/>
  <c r="G195" i="39" s="1"/>
  <c r="C197" i="39"/>
  <c r="E197" i="39"/>
  <c r="G197" i="39"/>
  <c r="E192" i="39"/>
  <c r="G192" i="39"/>
  <c r="E143" i="39"/>
  <c r="G143" i="39"/>
  <c r="C148" i="39"/>
  <c r="E148" i="39"/>
  <c r="G148" i="39"/>
  <c r="C149" i="39"/>
  <c r="E149" i="39" s="1"/>
  <c r="G149" i="39" s="1"/>
  <c r="E144" i="39"/>
  <c r="G144" i="39"/>
  <c r="C146" i="39"/>
  <c r="E146" i="39"/>
  <c r="G146" i="39"/>
  <c r="E141" i="39"/>
  <c r="G141" i="39" s="1"/>
  <c r="C147" i="39"/>
  <c r="E147" i="39"/>
  <c r="G147" i="39"/>
  <c r="E142" i="39"/>
  <c r="G142" i="39"/>
  <c r="L232" i="11"/>
  <c r="M300" i="29"/>
  <c r="E1429" i="13"/>
  <c r="E1484" i="13"/>
  <c r="G1373" i="13"/>
  <c r="G1976" i="13"/>
  <c r="F366" i="9"/>
  <c r="F415" i="9"/>
  <c r="F464" i="9" s="1"/>
  <c r="F513" i="9" s="1"/>
  <c r="F562" i="9" s="1"/>
  <c r="G317" i="9"/>
  <c r="G366" i="9" s="1"/>
  <c r="G415" i="9" s="1"/>
  <c r="G464" i="9" s="1"/>
  <c r="G513" i="9" s="1"/>
  <c r="G118" i="29"/>
  <c r="I118" i="29"/>
  <c r="H96" i="11"/>
  <c r="F17" i="9"/>
  <c r="L170" i="11"/>
  <c r="M227" i="29"/>
  <c r="J170" i="11"/>
  <c r="K227" i="29"/>
  <c r="K232" i="11"/>
  <c r="L300" i="29"/>
  <c r="F164" i="14"/>
  <c r="H164" i="14"/>
  <c r="J39" i="11"/>
  <c r="K52" i="29"/>
  <c r="D220" i="14"/>
  <c r="J232" i="11"/>
  <c r="K300" i="29"/>
  <c r="C203" i="10"/>
  <c r="E203" i="10" s="1"/>
  <c r="G203" i="10" s="1"/>
  <c r="E198" i="10"/>
  <c r="G198" i="10"/>
  <c r="C251" i="10"/>
  <c r="I303" i="11"/>
  <c r="J368" i="29"/>
  <c r="F268" i="14"/>
  <c r="H268" i="14" s="1"/>
  <c r="D323" i="14"/>
  <c r="C146" i="16"/>
  <c r="C98" i="16"/>
  <c r="E98" i="16" s="1"/>
  <c r="G98" i="16" s="1"/>
  <c r="E93" i="16"/>
  <c r="G93" i="16"/>
  <c r="D159" i="21"/>
  <c r="F159" i="21"/>
  <c r="H159" i="21"/>
  <c r="F154" i="21"/>
  <c r="H154" i="21" s="1"/>
  <c r="D209" i="21"/>
  <c r="D155" i="12"/>
  <c r="F155" i="12"/>
  <c r="H155" i="12" s="1"/>
  <c r="F100" i="12"/>
  <c r="H100" i="12"/>
  <c r="I127" i="11"/>
  <c r="J157" i="29" s="1"/>
  <c r="D196" i="15"/>
  <c r="F144" i="15"/>
  <c r="H144" i="15"/>
  <c r="J376" i="11" s="1"/>
  <c r="C96" i="39"/>
  <c r="E96" i="39"/>
  <c r="G96" i="39"/>
  <c r="C243" i="39"/>
  <c r="C296" i="39"/>
  <c r="E91" i="39"/>
  <c r="G91" i="39"/>
  <c r="D160" i="21"/>
  <c r="F160" i="21"/>
  <c r="H160" i="21"/>
  <c r="F155" i="21"/>
  <c r="H155" i="21" s="1"/>
  <c r="D210" i="21"/>
  <c r="I232" i="11"/>
  <c r="G48" i="39"/>
  <c r="E35" i="39" s="1"/>
  <c r="C244" i="39"/>
  <c r="C297" i="39"/>
  <c r="E92" i="39"/>
  <c r="G92" i="39" s="1"/>
  <c r="C97" i="39"/>
  <c r="E97" i="39"/>
  <c r="G97" i="39"/>
  <c r="E93" i="39"/>
  <c r="G93" i="39"/>
  <c r="C98" i="39"/>
  <c r="E98" i="39"/>
  <c r="G98" i="39" s="1"/>
  <c r="C245" i="39"/>
  <c r="C298" i="39"/>
  <c r="K324" i="11"/>
  <c r="L433" i="29" s="1"/>
  <c r="D299" i="15"/>
  <c r="F247" i="15"/>
  <c r="H247" i="15"/>
  <c r="I378" i="11" s="1"/>
  <c r="C95" i="39"/>
  <c r="E95" i="39"/>
  <c r="G95" i="39"/>
  <c r="C242" i="39"/>
  <c r="C295" i="39"/>
  <c r="E90" i="39"/>
  <c r="G90" i="39"/>
  <c r="F150" i="12"/>
  <c r="H150" i="12"/>
  <c r="D205" i="12"/>
  <c r="I293" i="11"/>
  <c r="J212" i="29" s="1"/>
  <c r="D397" i="36"/>
  <c r="E397" i="36"/>
  <c r="E343" i="36"/>
  <c r="E112" i="10"/>
  <c r="D303" i="9"/>
  <c r="E254" i="9"/>
  <c r="H205" i="9"/>
  <c r="J205" i="9"/>
  <c r="D208" i="9"/>
  <c r="F208" i="9" s="1"/>
  <c r="D211" i="9" s="1"/>
  <c r="F211" i="9" s="1"/>
  <c r="E100" i="11" s="1"/>
  <c r="F122" i="29" s="1"/>
  <c r="D69" i="13"/>
  <c r="F69" i="13"/>
  <c r="D324" i="11"/>
  <c r="E433" i="29" s="1"/>
  <c r="D169" i="13"/>
  <c r="E116" i="13"/>
  <c r="H116" i="13"/>
  <c r="J116" i="13" s="1"/>
  <c r="D120" i="13" s="1"/>
  <c r="F120" i="13" s="1"/>
  <c r="E6" i="39"/>
  <c r="F510" i="36"/>
  <c r="G126" i="14"/>
  <c r="H69" i="14"/>
  <c r="J69" i="14" s="1"/>
  <c r="D73" i="14" s="1"/>
  <c r="F73" i="14" s="1"/>
  <c r="F118" i="36"/>
  <c r="G63" i="36"/>
  <c r="G118" i="36"/>
  <c r="G172" i="36"/>
  <c r="G230" i="36"/>
  <c r="G286" i="36" s="1"/>
  <c r="G342" i="36" s="1"/>
  <c r="G396" i="36" s="1"/>
  <c r="H9" i="36"/>
  <c r="J9" i="36" s="1"/>
  <c r="D13" i="36" s="1"/>
  <c r="F13" i="36" s="1"/>
  <c r="G451" i="36"/>
  <c r="G510" i="36" s="1"/>
  <c r="G565" i="36" s="1"/>
  <c r="G620" i="36" s="1"/>
  <c r="G676" i="36" s="1"/>
  <c r="G732" i="36" s="1"/>
  <c r="G788" i="36" s="1"/>
  <c r="G844" i="36" s="1"/>
  <c r="G900" i="36" s="1"/>
  <c r="G956" i="36" s="1"/>
  <c r="G1012" i="36" s="1"/>
  <c r="G1068" i="36" s="1"/>
  <c r="G1124" i="36" s="1"/>
  <c r="G1180" i="36" s="1"/>
  <c r="G1236" i="36" s="1"/>
  <c r="G1292" i="36" s="1"/>
  <c r="G1348" i="36" s="1"/>
  <c r="J123" i="34"/>
  <c r="D127" i="34"/>
  <c r="F127" i="34"/>
  <c r="D70" i="34"/>
  <c r="F70" i="34" s="1"/>
  <c r="D127" i="11"/>
  <c r="E157" i="29"/>
  <c r="D70" i="12"/>
  <c r="F70" i="12" s="1"/>
  <c r="D173" i="12"/>
  <c r="E118" i="12"/>
  <c r="H118" i="12"/>
  <c r="J118" i="12" s="1"/>
  <c r="D122" i="12" s="1"/>
  <c r="F122" i="12" s="1"/>
  <c r="D120" i="15"/>
  <c r="F120" i="15" s="1"/>
  <c r="E376" i="11" s="1"/>
  <c r="H376" i="11" s="1"/>
  <c r="D186" i="9"/>
  <c r="F137" i="9"/>
  <c r="H137" i="9"/>
  <c r="J98" i="11" s="1"/>
  <c r="K120" i="29" s="1"/>
  <c r="D419" i="12"/>
  <c r="F364" i="12"/>
  <c r="H364" i="12" s="1"/>
  <c r="L289" i="11"/>
  <c r="M208" i="29"/>
  <c r="D197" i="15"/>
  <c r="F145" i="15"/>
  <c r="H145" i="15"/>
  <c r="K376" i="11"/>
  <c r="D262" i="12"/>
  <c r="F207" i="12"/>
  <c r="H207" i="12"/>
  <c r="D212" i="12"/>
  <c r="F212" i="12"/>
  <c r="H212" i="12" s="1"/>
  <c r="F306" i="12"/>
  <c r="G131" i="11"/>
  <c r="H161" i="29"/>
  <c r="H53" i="34"/>
  <c r="F40" i="34"/>
  <c r="F283" i="9"/>
  <c r="H283" i="9"/>
  <c r="I101" i="11" s="1"/>
  <c r="J123" i="29" s="1"/>
  <c r="D332" i="9"/>
  <c r="L316" i="11"/>
  <c r="M398" i="29"/>
  <c r="C455" i="16"/>
  <c r="C507" i="16" s="1"/>
  <c r="F325" i="16"/>
  <c r="F378" i="16"/>
  <c r="F430" i="16"/>
  <c r="F324" i="16"/>
  <c r="F377" i="16"/>
  <c r="F429" i="16"/>
  <c r="E324" i="16"/>
  <c r="E377" i="16" s="1"/>
  <c r="E429" i="16" s="1"/>
  <c r="E325" i="16"/>
  <c r="E378" i="16"/>
  <c r="E430" i="16" s="1"/>
  <c r="I171" i="11"/>
  <c r="J228" i="29"/>
  <c r="L171" i="11"/>
  <c r="M228" i="29" s="1"/>
  <c r="C166" i="16"/>
  <c r="C218" i="16"/>
  <c r="D113" i="16"/>
  <c r="G113" i="16" s="1"/>
  <c r="I113" i="16" s="1"/>
  <c r="C117" i="16" s="1"/>
  <c r="E117" i="16" s="1"/>
  <c r="D114" i="16"/>
  <c r="G114" i="16"/>
  <c r="I114" i="16"/>
  <c r="C118" i="16"/>
  <c r="E118" i="16" s="1"/>
  <c r="C167" i="16"/>
  <c r="C219" i="16"/>
  <c r="G42" i="16"/>
  <c r="G49" i="16" s="1"/>
  <c r="E36" i="16" s="1"/>
  <c r="F1985" i="16"/>
  <c r="H306" i="11"/>
  <c r="F1923" i="16"/>
  <c r="E1978" i="16"/>
  <c r="F1978" i="16" s="1"/>
  <c r="G193" i="12"/>
  <c r="F248" i="12"/>
  <c r="F1928" i="16"/>
  <c r="E1983" i="16"/>
  <c r="F1983" i="16"/>
  <c r="E749" i="36"/>
  <c r="G693" i="36"/>
  <c r="F350" i="12"/>
  <c r="G295" i="12"/>
  <c r="G296" i="12"/>
  <c r="F351" i="12"/>
  <c r="G190" i="12"/>
  <c r="F245" i="12"/>
  <c r="G192" i="12"/>
  <c r="F247" i="12"/>
  <c r="F1587" i="13"/>
  <c r="F1640" i="13"/>
  <c r="F1972" i="13"/>
  <c r="F2243" i="13"/>
  <c r="D1975" i="13"/>
  <c r="D2246" i="13"/>
  <c r="D1590" i="13"/>
  <c r="D1643" i="13"/>
  <c r="D1697" i="13" s="1"/>
  <c r="D1751" i="13" s="1"/>
  <c r="D1805" i="13" s="1"/>
  <c r="G346" i="13"/>
  <c r="F403" i="13"/>
  <c r="F290" i="13"/>
  <c r="G290" i="13"/>
  <c r="F187" i="13"/>
  <c r="G187" i="13" s="1"/>
  <c r="G134" i="13"/>
  <c r="F312" i="31"/>
  <c r="F1870" i="13"/>
  <c r="F349" i="13"/>
  <c r="D2083" i="13"/>
  <c r="D2137" i="13"/>
  <c r="D2192" i="13"/>
  <c r="D2302" i="13"/>
  <c r="D2359" i="13"/>
  <c r="D2412" i="13"/>
  <c r="D2467" i="13"/>
  <c r="G23" i="13"/>
  <c r="G29" i="13"/>
  <c r="F76" i="13"/>
  <c r="F457" i="13"/>
  <c r="G457" i="13" s="1"/>
  <c r="F179" i="13"/>
  <c r="G126" i="13"/>
  <c r="F461" i="13"/>
  <c r="G404" i="13"/>
  <c r="G1867" i="13"/>
  <c r="F1920" i="13"/>
  <c r="G1920" i="13"/>
  <c r="D403" i="13"/>
  <c r="D460" i="13"/>
  <c r="D517" i="13"/>
  <c r="D574" i="13"/>
  <c r="D631" i="13" s="1"/>
  <c r="D688" i="13" s="1"/>
  <c r="D745" i="13" s="1"/>
  <c r="D802" i="13"/>
  <c r="D859" i="13" s="1"/>
  <c r="D916" i="13" s="1"/>
  <c r="D973" i="13" s="1"/>
  <c r="D1030" i="13" s="1"/>
  <c r="D1087" i="13" s="1"/>
  <c r="D1144" i="13" s="1"/>
  <c r="D1201" i="13" s="1"/>
  <c r="D1258" i="13" s="1"/>
  <c r="D1315" i="13" s="1"/>
  <c r="D290" i="13"/>
  <c r="F456" i="13"/>
  <c r="G399" i="13"/>
  <c r="G402" i="13"/>
  <c r="F459" i="13"/>
  <c r="D2301" i="13"/>
  <c r="D2358" i="13"/>
  <c r="D2411" i="13" s="1"/>
  <c r="D2466" i="13" s="1"/>
  <c r="D2519" i="13" s="1"/>
  <c r="D2082" i="13"/>
  <c r="D2136" i="13" s="1"/>
  <c r="D2191" i="13" s="1"/>
  <c r="F1485" i="13"/>
  <c r="G1374" i="13"/>
  <c r="F1430" i="13"/>
  <c r="E691" i="36"/>
  <c r="G635" i="36"/>
  <c r="D1976" i="13"/>
  <c r="D2247" i="13" s="1"/>
  <c r="D1591" i="13"/>
  <c r="D1644" i="13"/>
  <c r="D1698" i="13"/>
  <c r="D1752" i="13" s="1"/>
  <c r="D1806" i="13" s="1"/>
  <c r="F268" i="31"/>
  <c r="F288" i="31" s="1"/>
  <c r="F1369" i="13"/>
  <c r="D288" i="13"/>
  <c r="D401" i="13"/>
  <c r="D458" i="13" s="1"/>
  <c r="D515" i="13" s="1"/>
  <c r="D572" i="13" s="1"/>
  <c r="D629" i="13" s="1"/>
  <c r="D686" i="13" s="1"/>
  <c r="D743" i="13" s="1"/>
  <c r="D800" i="13" s="1"/>
  <c r="D857" i="13" s="1"/>
  <c r="D914" i="13" s="1"/>
  <c r="D971" i="13" s="1"/>
  <c r="D1028" i="13" s="1"/>
  <c r="D1085" i="13" s="1"/>
  <c r="D1142" i="13" s="1"/>
  <c r="D1199" i="13" s="1"/>
  <c r="D1256" i="13" s="1"/>
  <c r="D1313" i="13" s="1"/>
  <c r="G75" i="13"/>
  <c r="F128" i="13"/>
  <c r="G398" i="13"/>
  <c r="F455" i="13"/>
  <c r="F1817" i="16"/>
  <c r="F1822" i="16" s="1"/>
  <c r="E1811" i="16" s="1"/>
  <c r="F222" i="11"/>
  <c r="G280" i="29"/>
  <c r="E1872" i="16"/>
  <c r="D293" i="13"/>
  <c r="D406" i="13"/>
  <c r="D463" i="13"/>
  <c r="D520" i="13" s="1"/>
  <c r="D577" i="13" s="1"/>
  <c r="D634" i="13"/>
  <c r="D691" i="13" s="1"/>
  <c r="D748" i="13" s="1"/>
  <c r="D805" i="13" s="1"/>
  <c r="D862" i="13" s="1"/>
  <c r="D919" i="13" s="1"/>
  <c r="D976" i="13" s="1"/>
  <c r="D1033" i="13" s="1"/>
  <c r="D1090" i="13" s="1"/>
  <c r="D1147" i="13" s="1"/>
  <c r="D1204" i="13" s="1"/>
  <c r="D1261" i="13" s="1"/>
  <c r="D1318" i="13" s="1"/>
  <c r="G405" i="13"/>
  <c r="F462" i="13"/>
  <c r="F2299" i="13"/>
  <c r="F2080" i="13"/>
  <c r="F796" i="13"/>
  <c r="G682" i="13"/>
  <c r="E1641" i="13"/>
  <c r="G1588" i="13"/>
  <c r="E1644" i="13"/>
  <c r="G1591" i="13"/>
  <c r="E1423" i="13"/>
  <c r="E1478" i="13"/>
  <c r="G1367" i="13"/>
  <c r="F1645" i="13"/>
  <c r="G1537" i="13"/>
  <c r="G2030" i="13" s="1"/>
  <c r="F2030" i="13"/>
  <c r="K295" i="11"/>
  <c r="L214" i="29" s="1"/>
  <c r="F2079" i="13"/>
  <c r="F2298" i="13"/>
  <c r="E1422" i="13"/>
  <c r="E1477" i="13"/>
  <c r="G692" i="36"/>
  <c r="E748" i="36"/>
  <c r="C287" i="36"/>
  <c r="C267" i="36"/>
  <c r="C597" i="36"/>
  <c r="C569" i="36"/>
  <c r="C620" i="36"/>
  <c r="E1372" i="13"/>
  <c r="E236" i="13"/>
  <c r="G236" i="13"/>
  <c r="G185" i="13"/>
  <c r="F55" i="9"/>
  <c r="J128" i="11"/>
  <c r="K158" i="29"/>
  <c r="E2029" i="13"/>
  <c r="G1536" i="13"/>
  <c r="G2029" i="13" s="1"/>
  <c r="E694" i="36"/>
  <c r="G638" i="36"/>
  <c r="F1806" i="13"/>
  <c r="F853" i="13"/>
  <c r="G739" i="13"/>
  <c r="D261" i="12"/>
  <c r="D211" i="12"/>
  <c r="F211" i="12" s="1"/>
  <c r="H211" i="12" s="1"/>
  <c r="F206" i="12"/>
  <c r="H206" i="12"/>
  <c r="J129" i="11" s="1"/>
  <c r="K159" i="29" s="1"/>
  <c r="D252" i="13"/>
  <c r="F201" i="13"/>
  <c r="H201" i="13"/>
  <c r="D206" i="13"/>
  <c r="F206" i="13"/>
  <c r="H206" i="13"/>
  <c r="F2248" i="13"/>
  <c r="F6" i="15"/>
  <c r="C228" i="12"/>
  <c r="C177" i="12"/>
  <c r="C204" i="12"/>
  <c r="E2244" i="13"/>
  <c r="G2244" i="13"/>
  <c r="G1973" i="13"/>
  <c r="E858" i="36"/>
  <c r="G802" i="36"/>
  <c r="C181" i="21"/>
  <c r="C208" i="21"/>
  <c r="G1905" i="13"/>
  <c r="G1960" i="13" s="1"/>
  <c r="G1683" i="13"/>
  <c r="G1791" i="13"/>
  <c r="E809" i="36"/>
  <c r="G753" i="36"/>
  <c r="F183" i="13"/>
  <c r="G130" i="13"/>
  <c r="L313" i="11"/>
  <c r="G63" i="23"/>
  <c r="E50" i="23" s="1"/>
  <c r="J301" i="11"/>
  <c r="G48" i="10"/>
  <c r="E35" i="10"/>
  <c r="C2240" i="12"/>
  <c r="C2245" i="12"/>
  <c r="C2190" i="12"/>
  <c r="F407" i="12"/>
  <c r="G352" i="12"/>
  <c r="G614" i="12"/>
  <c r="K80" i="29"/>
  <c r="D109" i="34"/>
  <c r="F109" i="34" s="1"/>
  <c r="H109" i="34" s="1"/>
  <c r="D161" i="34"/>
  <c r="F104" i="34"/>
  <c r="H104" i="34" s="1"/>
  <c r="C290" i="14"/>
  <c r="C240" i="14"/>
  <c r="C267" i="14"/>
  <c r="K398" i="29"/>
  <c r="D545" i="36"/>
  <c r="F490" i="36"/>
  <c r="H490" i="36" s="1"/>
  <c r="D495" i="36"/>
  <c r="F495" i="36"/>
  <c r="H495" i="36"/>
  <c r="D659" i="36"/>
  <c r="F659" i="36"/>
  <c r="H659" i="36"/>
  <c r="L374" i="11"/>
  <c r="M374" i="11" s="1"/>
  <c r="N374" i="11" s="1"/>
  <c r="P374" i="11" s="1"/>
  <c r="H47" i="15"/>
  <c r="F35" i="15"/>
  <c r="F191" i="12"/>
  <c r="G136" i="12"/>
  <c r="C681" i="36"/>
  <c r="C733" i="36"/>
  <c r="C713" i="36"/>
  <c r="E209" i="29"/>
  <c r="H290" i="11"/>
  <c r="L301" i="11"/>
  <c r="M366" i="29"/>
  <c r="D162" i="9"/>
  <c r="F162" i="9"/>
  <c r="E99" i="11"/>
  <c r="F121" i="29" s="1"/>
  <c r="D99" i="11"/>
  <c r="D165" i="14"/>
  <c r="F111" i="14"/>
  <c r="H111" i="14" s="1"/>
  <c r="K38" i="11" s="1"/>
  <c r="L51" i="29" s="1"/>
  <c r="L292" i="11"/>
  <c r="H50" i="21"/>
  <c r="F37" i="21"/>
  <c r="G363" i="9"/>
  <c r="H10" i="5"/>
  <c r="E11" i="5"/>
  <c r="F1694" i="13"/>
  <c r="D1410" i="13"/>
  <c r="D1465" i="13"/>
  <c r="E1354" i="13"/>
  <c r="H155" i="17"/>
  <c r="F142" i="17"/>
  <c r="L291" i="11"/>
  <c r="C254" i="13"/>
  <c r="C227" i="13"/>
  <c r="C275" i="13"/>
  <c r="C329" i="13"/>
  <c r="H372" i="29"/>
  <c r="I372" i="29"/>
  <c r="H307" i="11"/>
  <c r="F98" i="12"/>
  <c r="H98" i="12"/>
  <c r="D103" i="12"/>
  <c r="D153" i="12"/>
  <c r="F90" i="9"/>
  <c r="H90" i="9"/>
  <c r="D139" i="9"/>
  <c r="E119" i="29"/>
  <c r="H291" i="11"/>
  <c r="E210" i="29"/>
  <c r="H328" i="13"/>
  <c r="J328" i="13"/>
  <c r="D332" i="13" s="1"/>
  <c r="F332" i="13" s="1"/>
  <c r="E385" i="13"/>
  <c r="E621" i="36"/>
  <c r="D677" i="36"/>
  <c r="D99" i="36"/>
  <c r="F43" i="36"/>
  <c r="H43" i="36" s="1"/>
  <c r="D491" i="36"/>
  <c r="D48" i="36"/>
  <c r="F48" i="36"/>
  <c r="H48" i="36" s="1"/>
  <c r="F298" i="12"/>
  <c r="G243" i="12"/>
  <c r="F72" i="12"/>
  <c r="F127" i="11"/>
  <c r="C274" i="13"/>
  <c r="C328" i="13"/>
  <c r="C249" i="13"/>
  <c r="C226" i="13"/>
  <c r="K79" i="29"/>
  <c r="H374" i="11"/>
  <c r="J67" i="34"/>
  <c r="D14" i="34"/>
  <c r="F14" i="34"/>
  <c r="F1682" i="13"/>
  <c r="F1790" i="13" s="1"/>
  <c r="F1904" i="13"/>
  <c r="F1959" i="13"/>
  <c r="F373" i="29"/>
  <c r="K69" i="11"/>
  <c r="D292" i="11"/>
  <c r="D16" i="21"/>
  <c r="F16" i="21"/>
  <c r="C339" i="12"/>
  <c r="C319" i="12"/>
  <c r="C288" i="12"/>
  <c r="G254" i="9"/>
  <c r="G303" i="9" s="1"/>
  <c r="G352" i="9"/>
  <c r="F303" i="9"/>
  <c r="G1643" i="13"/>
  <c r="F1697" i="13"/>
  <c r="L119" i="29"/>
  <c r="F55" i="14"/>
  <c r="H55" i="14" s="1"/>
  <c r="D112" i="14"/>
  <c r="C291" i="14"/>
  <c r="C241" i="14"/>
  <c r="C272" i="14"/>
  <c r="D304" i="11"/>
  <c r="C175" i="10"/>
  <c r="E175" i="10" s="1"/>
  <c r="E2190" i="13"/>
  <c r="I368" i="29"/>
  <c r="F60" i="17"/>
  <c r="G227" i="29"/>
  <c r="C100" i="10"/>
  <c r="E100" i="10" s="1"/>
  <c r="G100" i="10"/>
  <c r="E95" i="10"/>
  <c r="G95" i="10" s="1"/>
  <c r="C148" i="10"/>
  <c r="F147" i="13"/>
  <c r="H147" i="13"/>
  <c r="D152" i="13"/>
  <c r="F152" i="13" s="1"/>
  <c r="H152" i="13"/>
  <c r="D200" i="13"/>
  <c r="E689" i="36"/>
  <c r="G633" i="36"/>
  <c r="D106" i="21"/>
  <c r="F106" i="21"/>
  <c r="H106" i="21"/>
  <c r="D157" i="21"/>
  <c r="F101" i="21"/>
  <c r="H101" i="21"/>
  <c r="J324" i="11"/>
  <c r="C146" i="10"/>
  <c r="E93" i="10"/>
  <c r="G93" i="10"/>
  <c r="C98" i="10"/>
  <c r="E98" i="10" s="1"/>
  <c r="G98" i="10" s="1"/>
  <c r="J302" i="11" s="1"/>
  <c r="C2187" i="12"/>
  <c r="C2137" i="12"/>
  <c r="E2410" i="13"/>
  <c r="D216" i="14"/>
  <c r="F160" i="14"/>
  <c r="H160" i="14" s="1"/>
  <c r="K91" i="29"/>
  <c r="G807" i="36"/>
  <c r="E863" i="36"/>
  <c r="D103" i="36"/>
  <c r="F98" i="36"/>
  <c r="H98" i="36" s="1"/>
  <c r="K70" i="11" s="1"/>
  <c r="L83" i="29" s="1"/>
  <c r="D152" i="36"/>
  <c r="L126" i="11"/>
  <c r="F94" i="15"/>
  <c r="H94" i="15"/>
  <c r="D146" i="15"/>
  <c r="C258" i="10"/>
  <c r="E258" i="10" s="1"/>
  <c r="G258" i="10"/>
  <c r="E253" i="10"/>
  <c r="G253" i="10" s="1"/>
  <c r="K305" i="11" s="1"/>
  <c r="L370" i="29" s="1"/>
  <c r="C306" i="10"/>
  <c r="J289" i="11"/>
  <c r="H48" i="17"/>
  <c r="F35" i="17" s="1"/>
  <c r="C2138" i="12"/>
  <c r="C2188" i="12"/>
  <c r="J68" i="11"/>
  <c r="C153" i="16"/>
  <c r="E153" i="16" s="1"/>
  <c r="G153" i="16"/>
  <c r="C200" i="16"/>
  <c r="C253" i="16"/>
  <c r="E148" i="16"/>
  <c r="G148" i="16"/>
  <c r="C99" i="16"/>
  <c r="E99" i="16"/>
  <c r="G99" i="16" s="1"/>
  <c r="E94" i="16"/>
  <c r="G94" i="16"/>
  <c r="D161" i="14"/>
  <c r="F161" i="14" s="1"/>
  <c r="H161" i="14" s="1"/>
  <c r="F107" i="14"/>
  <c r="H107" i="14"/>
  <c r="D149" i="13"/>
  <c r="F96" i="13"/>
  <c r="H96" i="13" s="1"/>
  <c r="D101" i="13"/>
  <c r="F101" i="13"/>
  <c r="H101" i="13"/>
  <c r="F178" i="21"/>
  <c r="L66" i="11"/>
  <c r="M79" i="29"/>
  <c r="H303" i="11"/>
  <c r="F113" i="17"/>
  <c r="D156" i="36"/>
  <c r="F156" i="36"/>
  <c r="H156" i="36" s="1"/>
  <c r="J71" i="11" s="1"/>
  <c r="K84" i="29" s="1"/>
  <c r="D710" i="36"/>
  <c r="D715" i="36"/>
  <c r="F715" i="36"/>
  <c r="H715" i="36" s="1"/>
  <c r="J81" i="11" s="1"/>
  <c r="D604" i="36"/>
  <c r="F604" i="36"/>
  <c r="H604" i="36"/>
  <c r="F599" i="36"/>
  <c r="H599" i="36"/>
  <c r="F151" i="36"/>
  <c r="H151" i="36"/>
  <c r="E864" i="36"/>
  <c r="G864" i="36"/>
  <c r="D290" i="14"/>
  <c r="E236" i="14"/>
  <c r="H158" i="17"/>
  <c r="I78" i="11"/>
  <c r="J91" i="29"/>
  <c r="H451" i="36"/>
  <c r="J451" i="36"/>
  <c r="D455" i="36"/>
  <c r="F455" i="36"/>
  <c r="C182" i="21"/>
  <c r="C213" i="21"/>
  <c r="F173" i="39"/>
  <c r="F634" i="39"/>
  <c r="E685" i="39"/>
  <c r="D123" i="21"/>
  <c r="E67" i="21"/>
  <c r="H67" i="21"/>
  <c r="J67" i="21" s="1"/>
  <c r="D71" i="21" s="1"/>
  <c r="F71" i="21" s="1"/>
  <c r="C207" i="36"/>
  <c r="C230" i="36"/>
  <c r="C176" i="36"/>
  <c r="E37" i="11"/>
  <c r="F6" i="14"/>
  <c r="D100" i="11"/>
  <c r="E122" i="29" s="1"/>
  <c r="I325" i="11"/>
  <c r="J434" i="29"/>
  <c r="E286" i="36"/>
  <c r="D342" i="36"/>
  <c r="I128" i="11"/>
  <c r="J158" i="29"/>
  <c r="K170" i="11"/>
  <c r="L227" i="29" s="1"/>
  <c r="N227" i="29" s="1"/>
  <c r="G139" i="12"/>
  <c r="D244" i="13"/>
  <c r="F193" i="13"/>
  <c r="H193" i="13"/>
  <c r="F199" i="13"/>
  <c r="H199" i="13"/>
  <c r="D204" i="13"/>
  <c r="F204" i="13"/>
  <c r="H204" i="13" s="1"/>
  <c r="I326" i="11" s="1"/>
  <c r="J435" i="29" s="1"/>
  <c r="D250" i="13"/>
  <c r="D324" i="14"/>
  <c r="F269" i="14"/>
  <c r="H269" i="14" s="1"/>
  <c r="J41" i="11" s="1"/>
  <c r="K54" i="29" s="1"/>
  <c r="G119" i="36"/>
  <c r="H64" i="36"/>
  <c r="J64" i="36"/>
  <c r="D68" i="36" s="1"/>
  <c r="F68" i="36" s="1"/>
  <c r="G325" i="11"/>
  <c r="H434" i="29"/>
  <c r="F137" i="13"/>
  <c r="F239" i="12"/>
  <c r="G184" i="12"/>
  <c r="D603" i="36"/>
  <c r="F603" i="36" s="1"/>
  <c r="H603" i="36" s="1"/>
  <c r="I79" i="11" s="1"/>
  <c r="J92" i="29" s="1"/>
  <c r="F598" i="36"/>
  <c r="H598" i="36"/>
  <c r="D653" i="36"/>
  <c r="G511" i="36"/>
  <c r="H452" i="36"/>
  <c r="J452" i="36"/>
  <c r="D456" i="36" s="1"/>
  <c r="F456" i="36" s="1"/>
  <c r="H127" i="14"/>
  <c r="J127" i="14"/>
  <c r="D131" i="14" s="1"/>
  <c r="F131" i="14" s="1"/>
  <c r="D39" i="11" s="1"/>
  <c r="D676" i="36"/>
  <c r="E620" i="36"/>
  <c r="F299" i="12"/>
  <c r="G244" i="12"/>
  <c r="E237" i="14"/>
  <c r="H237" i="14"/>
  <c r="J237" i="14" s="1"/>
  <c r="D241" i="14" s="1"/>
  <c r="F241" i="14" s="1"/>
  <c r="D291" i="14"/>
  <c r="D284" i="12"/>
  <c r="E229" i="12"/>
  <c r="H229" i="12"/>
  <c r="J229" i="12"/>
  <c r="D233" i="12" s="1"/>
  <c r="F233" i="12" s="1"/>
  <c r="F163" i="14"/>
  <c r="H163" i="14"/>
  <c r="I39" i="11" s="1"/>
  <c r="J52" i="29" s="1"/>
  <c r="D219" i="14"/>
  <c r="H181" i="14"/>
  <c r="J181" i="14" s="1"/>
  <c r="D185" i="14" s="1"/>
  <c r="F185" i="14" s="1"/>
  <c r="F328" i="29"/>
  <c r="H328" i="29"/>
  <c r="M316" i="11"/>
  <c r="N316" i="11"/>
  <c r="P316" i="11"/>
  <c r="E572" i="39"/>
  <c r="E623" i="39" s="1"/>
  <c r="E674" i="39" s="1"/>
  <c r="E725" i="39" s="1"/>
  <c r="E776" i="39"/>
  <c r="E471" i="39"/>
  <c r="E522" i="39"/>
  <c r="F470" i="39"/>
  <c r="F521" i="39" s="1"/>
  <c r="C217" i="39"/>
  <c r="E217" i="39"/>
  <c r="I265" i="39"/>
  <c r="K235" i="11"/>
  <c r="L303" i="29"/>
  <c r="K234" i="11"/>
  <c r="L302" i="29" s="1"/>
  <c r="J235" i="11"/>
  <c r="K303" i="29"/>
  <c r="J234" i="11"/>
  <c r="K302" i="29"/>
  <c r="L234" i="11"/>
  <c r="M302" i="29"/>
  <c r="I235" i="11"/>
  <c r="J303" i="29"/>
  <c r="I234" i="11"/>
  <c r="J302" i="29"/>
  <c r="L235" i="11"/>
  <c r="M303" i="29"/>
  <c r="N398" i="29"/>
  <c r="P398" i="29"/>
  <c r="Q398" i="29"/>
  <c r="S398" i="29"/>
  <c r="G201" i="39"/>
  <c r="E188" i="39"/>
  <c r="G150" i="39"/>
  <c r="E137" i="39"/>
  <c r="G54" i="20"/>
  <c r="E4" i="20"/>
  <c r="Q316" i="11"/>
  <c r="H160" i="17"/>
  <c r="F111" i="17" s="1"/>
  <c r="F611" i="9"/>
  <c r="F660" i="9"/>
  <c r="F709" i="9" s="1"/>
  <c r="G562" i="9"/>
  <c r="G611" i="9"/>
  <c r="G660" i="9"/>
  <c r="G1429" i="13"/>
  <c r="E1539" i="13"/>
  <c r="I294" i="11"/>
  <c r="J213" i="29"/>
  <c r="E1593" i="13"/>
  <c r="E1978" i="13"/>
  <c r="G1484" i="13"/>
  <c r="J294" i="11"/>
  <c r="K213" i="29"/>
  <c r="J171" i="11"/>
  <c r="K228" i="29"/>
  <c r="D274" i="14"/>
  <c r="F220" i="14"/>
  <c r="H220" i="14" s="1"/>
  <c r="J40" i="11" s="1"/>
  <c r="K53" i="29" s="1"/>
  <c r="I304" i="11"/>
  <c r="J369" i="29" s="1"/>
  <c r="C304" i="10"/>
  <c r="E251" i="10"/>
  <c r="G251" i="10"/>
  <c r="C256" i="10"/>
  <c r="E256" i="10"/>
  <c r="G256" i="10"/>
  <c r="C249" i="39"/>
  <c r="E249" i="39" s="1"/>
  <c r="G249" i="39" s="1"/>
  <c r="K236" i="11" s="1"/>
  <c r="L304" i="29" s="1"/>
  <c r="E244" i="39"/>
  <c r="G244" i="39"/>
  <c r="F196" i="15"/>
  <c r="H196" i="15"/>
  <c r="J377" i="11"/>
  <c r="D248" i="15"/>
  <c r="D210" i="12"/>
  <c r="F210" i="12"/>
  <c r="H210" i="12"/>
  <c r="D260" i="12"/>
  <c r="F205" i="12"/>
  <c r="H205" i="12"/>
  <c r="E245" i="39"/>
  <c r="G245" i="39"/>
  <c r="C250" i="39"/>
  <c r="E250" i="39"/>
  <c r="G250" i="39"/>
  <c r="D215" i="21"/>
  <c r="F215" i="21" s="1"/>
  <c r="H215" i="21" s="1"/>
  <c r="J295" i="11" s="1"/>
  <c r="F210" i="21"/>
  <c r="H210" i="21"/>
  <c r="C248" i="39"/>
  <c r="E248" i="39"/>
  <c r="G248" i="39"/>
  <c r="E243" i="39"/>
  <c r="G243" i="39" s="1"/>
  <c r="F323" i="14"/>
  <c r="H323" i="14"/>
  <c r="D379" i="14"/>
  <c r="K233" i="11"/>
  <c r="L301" i="29"/>
  <c r="E242" i="39"/>
  <c r="G242" i="39"/>
  <c r="C247" i="39"/>
  <c r="E247" i="39"/>
  <c r="G247" i="39" s="1"/>
  <c r="I236" i="11" s="1"/>
  <c r="J304" i="29" s="1"/>
  <c r="J300" i="29"/>
  <c r="M232" i="11"/>
  <c r="N300" i="29"/>
  <c r="E146" i="16"/>
  <c r="G146" i="16"/>
  <c r="C198" i="16"/>
  <c r="C151" i="16"/>
  <c r="E151" i="16" s="1"/>
  <c r="G151" i="16" s="1"/>
  <c r="J173" i="11" s="1"/>
  <c r="K230" i="29" s="1"/>
  <c r="J233" i="11"/>
  <c r="K301" i="29"/>
  <c r="I233" i="11"/>
  <c r="J301" i="29"/>
  <c r="G99" i="39"/>
  <c r="E86" i="39"/>
  <c r="D352" i="15"/>
  <c r="F299" i="15"/>
  <c r="H299" i="15"/>
  <c r="I379" i="11" s="1"/>
  <c r="F209" i="36"/>
  <c r="H209" i="36"/>
  <c r="D264" i="36"/>
  <c r="D214" i="21"/>
  <c r="F214" i="21"/>
  <c r="H214" i="21"/>
  <c r="F209" i="21"/>
  <c r="H209" i="21" s="1"/>
  <c r="I295" i="11" s="1"/>
  <c r="H50" i="15"/>
  <c r="H52" i="15"/>
  <c r="F4" i="15"/>
  <c r="K5" i="15" s="1"/>
  <c r="K326" i="11"/>
  <c r="L435" i="29"/>
  <c r="L233" i="11"/>
  <c r="M301" i="29" s="1"/>
  <c r="E303" i="9"/>
  <c r="H303" i="9"/>
  <c r="J303" i="9" s="1"/>
  <c r="D306" i="9" s="1"/>
  <c r="F306" i="9" s="1"/>
  <c r="D352" i="9"/>
  <c r="D223" i="13"/>
  <c r="E169" i="13"/>
  <c r="H169" i="13"/>
  <c r="J169" i="13"/>
  <c r="D173" i="13" s="1"/>
  <c r="F173" i="13" s="1"/>
  <c r="E324" i="11"/>
  <c r="F433" i="29"/>
  <c r="F59" i="13"/>
  <c r="D325" i="11"/>
  <c r="E434" i="29"/>
  <c r="D122" i="13"/>
  <c r="F122" i="13" s="1"/>
  <c r="E325" i="11" s="1"/>
  <c r="F434" i="29" s="1"/>
  <c r="D16" i="36"/>
  <c r="F16" i="36"/>
  <c r="E69" i="11"/>
  <c r="F82" i="29" s="1"/>
  <c r="I82" i="29" s="1"/>
  <c r="D69" i="11"/>
  <c r="D38" i="11"/>
  <c r="D76" i="14"/>
  <c r="F76" i="14" s="1"/>
  <c r="F565" i="36"/>
  <c r="H510" i="36"/>
  <c r="J510" i="36"/>
  <c r="D514" i="36"/>
  <c r="F514" i="36"/>
  <c r="F172" i="36"/>
  <c r="H118" i="36"/>
  <c r="J118" i="36"/>
  <c r="D122" i="36"/>
  <c r="F122" i="36" s="1"/>
  <c r="G180" i="14"/>
  <c r="H126" i="14"/>
  <c r="J126" i="14"/>
  <c r="D130" i="14" s="1"/>
  <c r="F130" i="14" s="1"/>
  <c r="H63" i="36"/>
  <c r="J63" i="36"/>
  <c r="D67" i="36" s="1"/>
  <c r="F67" i="36" s="1"/>
  <c r="E127" i="11"/>
  <c r="F157" i="29"/>
  <c r="F60" i="12"/>
  <c r="E173" i="12"/>
  <c r="H173" i="12"/>
  <c r="J173" i="12"/>
  <c r="D177" i="12"/>
  <c r="F177" i="12" s="1"/>
  <c r="D129" i="11" s="1"/>
  <c r="E159" i="29" s="1"/>
  <c r="D228" i="12"/>
  <c r="D125" i="12"/>
  <c r="F125" i="12"/>
  <c r="E128" i="11" s="1"/>
  <c r="D128" i="11"/>
  <c r="E158" i="29"/>
  <c r="F110" i="15"/>
  <c r="D317" i="12"/>
  <c r="F262" i="12"/>
  <c r="H262" i="12"/>
  <c r="D267" i="12"/>
  <c r="F267" i="12" s="1"/>
  <c r="H267" i="12" s="1"/>
  <c r="K130" i="11" s="1"/>
  <c r="L160" i="29" s="1"/>
  <c r="D474" i="12"/>
  <c r="F419" i="12"/>
  <c r="H419" i="12" s="1"/>
  <c r="G133" i="11" s="1"/>
  <c r="F332" i="9"/>
  <c r="H332" i="9"/>
  <c r="I102" i="11"/>
  <c r="J124" i="29" s="1"/>
  <c r="D381" i="9"/>
  <c r="F197" i="15"/>
  <c r="H197" i="15"/>
  <c r="K377" i="11" s="1"/>
  <c r="D249" i="15"/>
  <c r="G132" i="11"/>
  <c r="H162" i="29"/>
  <c r="F361" i="12"/>
  <c r="K129" i="11"/>
  <c r="L159" i="29"/>
  <c r="F186" i="9"/>
  <c r="H186" i="9" s="1"/>
  <c r="J99" i="11" s="1"/>
  <c r="K121" i="29" s="1"/>
  <c r="D235" i="9"/>
  <c r="C560" i="16"/>
  <c r="C612" i="16"/>
  <c r="E1802" i="16"/>
  <c r="E1857" i="16" s="1"/>
  <c r="E1912" i="16" s="1"/>
  <c r="E1967" i="16" s="1"/>
  <c r="E482" i="16"/>
  <c r="F483" i="16"/>
  <c r="F1803" i="16"/>
  <c r="F1858" i="16"/>
  <c r="F1913" i="16"/>
  <c r="F1968" i="16" s="1"/>
  <c r="E483" i="16"/>
  <c r="E1803" i="16"/>
  <c r="E1858" i="16"/>
  <c r="E1913" i="16" s="1"/>
  <c r="E1968" i="16" s="1"/>
  <c r="F1802" i="16"/>
  <c r="F1857" i="16"/>
  <c r="F1912" i="16" s="1"/>
  <c r="F1967" i="16" s="1"/>
  <c r="F482" i="16"/>
  <c r="D166" i="16"/>
  <c r="D167" i="16"/>
  <c r="C150" i="16"/>
  <c r="E150" i="16"/>
  <c r="G150" i="16" s="1"/>
  <c r="C197" i="16"/>
  <c r="C250" i="16"/>
  <c r="E145" i="16"/>
  <c r="L173" i="11"/>
  <c r="M230" i="29"/>
  <c r="D173" i="11"/>
  <c r="E230" i="29"/>
  <c r="C120" i="16"/>
  <c r="E120" i="16"/>
  <c r="F300" i="12"/>
  <c r="G245" i="12"/>
  <c r="F405" i="12"/>
  <c r="G350" i="12"/>
  <c r="G247" i="12"/>
  <c r="F302" i="12"/>
  <c r="G351" i="12"/>
  <c r="F406" i="12"/>
  <c r="G749" i="36"/>
  <c r="E805" i="36"/>
  <c r="G248" i="12"/>
  <c r="F303" i="12"/>
  <c r="F18" i="13"/>
  <c r="F323" i="11"/>
  <c r="F460" i="13"/>
  <c r="G403" i="13"/>
  <c r="G459" i="13"/>
  <c r="F516" i="13"/>
  <c r="F513" i="13"/>
  <c r="G456" i="13"/>
  <c r="F233" i="13"/>
  <c r="G233" i="13" s="1"/>
  <c r="G179" i="13"/>
  <c r="F129" i="13"/>
  <c r="G76" i="13"/>
  <c r="G82" i="13" s="1"/>
  <c r="F324" i="11" s="1"/>
  <c r="G349" i="13"/>
  <c r="F293" i="13"/>
  <c r="G293" i="13"/>
  <c r="F406" i="13"/>
  <c r="G1870" i="13"/>
  <c r="F1923" i="13"/>
  <c r="G1923" i="13"/>
  <c r="G455" i="13"/>
  <c r="F512" i="13"/>
  <c r="G1430" i="13"/>
  <c r="F1540" i="13"/>
  <c r="F519" i="13"/>
  <c r="G462" i="13"/>
  <c r="F1872" i="16"/>
  <c r="F1877" i="16"/>
  <c r="E1866" i="16" s="1"/>
  <c r="F224" i="11" s="1"/>
  <c r="G282" i="29" s="1"/>
  <c r="E1927" i="16"/>
  <c r="F181" i="13"/>
  <c r="G181" i="13"/>
  <c r="G128" i="13"/>
  <c r="F1425" i="13"/>
  <c r="F1480" i="13"/>
  <c r="G1369" i="13"/>
  <c r="F1979" i="13"/>
  <c r="F1594" i="13"/>
  <c r="G1485" i="13"/>
  <c r="E747" i="36"/>
  <c r="G691" i="36"/>
  <c r="G461" i="13"/>
  <c r="F518" i="13"/>
  <c r="G642" i="36"/>
  <c r="F629" i="36"/>
  <c r="F80" i="11"/>
  <c r="G93" i="29"/>
  <c r="C232" i="12"/>
  <c r="C259" i="12"/>
  <c r="C283" i="12"/>
  <c r="D266" i="12"/>
  <c r="F266" i="12" s="1"/>
  <c r="H266" i="12" s="1"/>
  <c r="F261" i="12"/>
  <c r="H261" i="12"/>
  <c r="D316" i="12"/>
  <c r="E750" i="36"/>
  <c r="G694" i="36"/>
  <c r="C624" i="36"/>
  <c r="C676" i="36"/>
  <c r="C652" i="36"/>
  <c r="G748" i="36"/>
  <c r="E804" i="36"/>
  <c r="F2133" i="13"/>
  <c r="F2302" i="13"/>
  <c r="F2083" i="13"/>
  <c r="E1533" i="13"/>
  <c r="G1423" i="13"/>
  <c r="E1695" i="13"/>
  <c r="G1641" i="13"/>
  <c r="F2356" i="13"/>
  <c r="F235" i="13"/>
  <c r="G235" i="13"/>
  <c r="G183" i="13"/>
  <c r="G2068" i="13"/>
  <c r="G2122" i="13"/>
  <c r="G2177" i="13"/>
  <c r="G2231" i="13"/>
  <c r="G2014" i="13"/>
  <c r="E1483" i="13"/>
  <c r="E1428" i="13"/>
  <c r="G1372" i="13"/>
  <c r="C291" i="36"/>
  <c r="C343" i="36"/>
  <c r="C323" i="36"/>
  <c r="F2355" i="13"/>
  <c r="F1699" i="13"/>
  <c r="E1972" i="13"/>
  <c r="E1587" i="13"/>
  <c r="G1478" i="13"/>
  <c r="F2134" i="13"/>
  <c r="D307" i="13"/>
  <c r="D257" i="13"/>
  <c r="F257" i="13"/>
  <c r="H257" i="13"/>
  <c r="F252" i="13"/>
  <c r="H252" i="13" s="1"/>
  <c r="K327" i="11" s="1"/>
  <c r="L436" i="29" s="1"/>
  <c r="F967" i="13"/>
  <c r="G853" i="13"/>
  <c r="E2301" i="13"/>
  <c r="E2082" i="13"/>
  <c r="E1532" i="13"/>
  <c r="E1698" i="13"/>
  <c r="G1644" i="13"/>
  <c r="F910" i="13"/>
  <c r="G796" i="13"/>
  <c r="G809" i="36"/>
  <c r="E865" i="36"/>
  <c r="G858" i="36"/>
  <c r="E914" i="36"/>
  <c r="E1586" i="13"/>
  <c r="E1971" i="13"/>
  <c r="D217" i="14"/>
  <c r="C2243" i="12"/>
  <c r="C2248" i="12" s="1"/>
  <c r="C2193" i="12"/>
  <c r="L375" i="11"/>
  <c r="M375" i="11"/>
  <c r="H99" i="15"/>
  <c r="F87" i="15"/>
  <c r="C151" i="10"/>
  <c r="E151" i="10" s="1"/>
  <c r="G151" i="10" s="1"/>
  <c r="C199" i="10"/>
  <c r="E146" i="10"/>
  <c r="G146" i="10" s="1"/>
  <c r="G154" i="10" s="1"/>
  <c r="D162" i="21"/>
  <c r="F162" i="21"/>
  <c r="H162" i="21"/>
  <c r="F157" i="21"/>
  <c r="H157" i="21"/>
  <c r="D212" i="21"/>
  <c r="J325" i="11"/>
  <c r="F112" i="14"/>
  <c r="H112" i="14"/>
  <c r="H113" i="14"/>
  <c r="F100" i="14"/>
  <c r="D166" i="14"/>
  <c r="F6" i="21"/>
  <c r="E292" i="11"/>
  <c r="F211" i="29" s="1"/>
  <c r="D16" i="34"/>
  <c r="F16" i="34"/>
  <c r="D66" i="11"/>
  <c r="D546" i="36"/>
  <c r="F491" i="36"/>
  <c r="H491" i="36"/>
  <c r="L77" i="11" s="1"/>
  <c r="M90" i="29" s="1"/>
  <c r="D496" i="36"/>
  <c r="F496" i="36"/>
  <c r="H496" i="36"/>
  <c r="E139" i="16"/>
  <c r="C1355" i="13"/>
  <c r="C279" i="13"/>
  <c r="C309" i="13"/>
  <c r="D1520" i="13"/>
  <c r="D1628" i="13" s="1"/>
  <c r="E1628" i="13" s="1"/>
  <c r="H1628" i="13" s="1"/>
  <c r="J1628" i="13" s="1"/>
  <c r="D1632" i="13" s="1"/>
  <c r="F1632" i="13" s="1"/>
  <c r="D1575" i="13"/>
  <c r="E1465" i="13"/>
  <c r="M211" i="29"/>
  <c r="M292" i="11"/>
  <c r="N211" i="29"/>
  <c r="G191" i="12"/>
  <c r="G194" i="12"/>
  <c r="F246" i="12"/>
  <c r="D766" i="36"/>
  <c r="F710" i="36"/>
  <c r="H710" i="36"/>
  <c r="D550" i="36"/>
  <c r="F550" i="36"/>
  <c r="H550" i="36"/>
  <c r="D600" i="36"/>
  <c r="F545" i="36"/>
  <c r="H545" i="36"/>
  <c r="L67" i="11"/>
  <c r="H110" i="34"/>
  <c r="F97" i="34" s="1"/>
  <c r="M387" i="29"/>
  <c r="M313" i="11"/>
  <c r="N387" i="29"/>
  <c r="H254" i="9"/>
  <c r="J254" i="9"/>
  <c r="D257" i="9"/>
  <c r="F257" i="9"/>
  <c r="C205" i="16"/>
  <c r="E205" i="16"/>
  <c r="G205" i="16"/>
  <c r="E200" i="16"/>
  <c r="G200" i="16"/>
  <c r="D198" i="15"/>
  <c r="F146" i="15"/>
  <c r="H146" i="15" s="1"/>
  <c r="D210" i="36"/>
  <c r="F152" i="36"/>
  <c r="H152" i="36"/>
  <c r="C2192" i="12"/>
  <c r="C2242" i="12"/>
  <c r="C2247" i="12"/>
  <c r="L293" i="11"/>
  <c r="G689" i="36"/>
  <c r="E745" i="36"/>
  <c r="C153" i="10"/>
  <c r="E153" i="10"/>
  <c r="G153" i="10"/>
  <c r="E148" i="10"/>
  <c r="G148" i="10" s="1"/>
  <c r="L303" i="11" s="1"/>
  <c r="M368" i="29" s="1"/>
  <c r="C201" i="10"/>
  <c r="C343" i="12"/>
  <c r="C374" i="12"/>
  <c r="C394" i="12"/>
  <c r="L82" i="29"/>
  <c r="G462" i="14"/>
  <c r="G157" i="29"/>
  <c r="D733" i="36"/>
  <c r="E677" i="36"/>
  <c r="I210" i="29"/>
  <c r="L97" i="11"/>
  <c r="H91" i="9"/>
  <c r="F83" i="9"/>
  <c r="D158" i="12"/>
  <c r="F158" i="12"/>
  <c r="H158" i="12"/>
  <c r="F103" i="12"/>
  <c r="H103" i="12"/>
  <c r="H104" i="12"/>
  <c r="F91" i="12"/>
  <c r="H107" i="12" s="1"/>
  <c r="H109" i="12" s="1"/>
  <c r="C386" i="13"/>
  <c r="C333" i="13"/>
  <c r="C365" i="13"/>
  <c r="M210" i="29"/>
  <c r="H1354" i="13"/>
  <c r="J1354" i="13" s="1"/>
  <c r="D1358" i="13" s="1"/>
  <c r="F1358" i="13" s="1"/>
  <c r="E1410" i="13"/>
  <c r="H1410" i="13" s="1"/>
  <c r="J1410" i="13" s="1"/>
  <c r="D1414" i="13" s="1"/>
  <c r="F1414" i="13" s="1"/>
  <c r="H11" i="5"/>
  <c r="E12" i="5"/>
  <c r="F127" i="12"/>
  <c r="F128" i="11"/>
  <c r="J80" i="11"/>
  <c r="K77" i="11"/>
  <c r="G407" i="12"/>
  <c r="F462" i="12"/>
  <c r="B167" i="16"/>
  <c r="B219" i="16" s="1"/>
  <c r="B149" i="16"/>
  <c r="B118" i="16"/>
  <c r="K433" i="29"/>
  <c r="F200" i="13"/>
  <c r="H200" i="13"/>
  <c r="D251" i="13"/>
  <c r="D205" i="13"/>
  <c r="F205" i="13" s="1"/>
  <c r="H205" i="13" s="1"/>
  <c r="J326" i="11" s="1"/>
  <c r="Q374" i="11"/>
  <c r="E369" i="29"/>
  <c r="F1751" i="13"/>
  <c r="G1697" i="13"/>
  <c r="F2013" i="13"/>
  <c r="F2067" i="13"/>
  <c r="F2121" i="13"/>
  <c r="F2176" i="13" s="1"/>
  <c r="F2230" i="13" s="1"/>
  <c r="C1354" i="13"/>
  <c r="C304" i="13"/>
  <c r="C278" i="13"/>
  <c r="F353" i="12"/>
  <c r="G298" i="12"/>
  <c r="D104" i="36"/>
  <c r="F99" i="36"/>
  <c r="H99" i="36"/>
  <c r="D153" i="36"/>
  <c r="F139" i="9"/>
  <c r="H139" i="9" s="1"/>
  <c r="D188" i="9"/>
  <c r="F153" i="12"/>
  <c r="H153" i="12"/>
  <c r="D208" i="12"/>
  <c r="F1748" i="13"/>
  <c r="G412" i="9"/>
  <c r="E121" i="29"/>
  <c r="N290" i="11"/>
  <c r="I209" i="29"/>
  <c r="P209" i="29"/>
  <c r="M432" i="29"/>
  <c r="C294" i="14"/>
  <c r="C346" i="14"/>
  <c r="C322" i="14"/>
  <c r="K366" i="29"/>
  <c r="N366" i="29"/>
  <c r="M301" i="11"/>
  <c r="N79" i="29"/>
  <c r="D202" i="13"/>
  <c r="F149" i="13"/>
  <c r="H149" i="13" s="1"/>
  <c r="D154" i="13"/>
  <c r="F154" i="13"/>
  <c r="H154" i="13"/>
  <c r="K81" i="29"/>
  <c r="C311" i="10"/>
  <c r="E311" i="10"/>
  <c r="G311" i="10"/>
  <c r="C360" i="10"/>
  <c r="E306" i="10"/>
  <c r="G306" i="10"/>
  <c r="M156" i="29"/>
  <c r="F216" i="14"/>
  <c r="H216" i="14"/>
  <c r="D270" i="14"/>
  <c r="B166" i="16"/>
  <c r="B218" i="16" s="1"/>
  <c r="B144" i="16"/>
  <c r="B117" i="16"/>
  <c r="K208" i="29"/>
  <c r="M289" i="11"/>
  <c r="N208" i="29"/>
  <c r="F103" i="36"/>
  <c r="H103" i="36"/>
  <c r="D157" i="36"/>
  <c r="G863" i="36"/>
  <c r="E919" i="36"/>
  <c r="E2465" i="13"/>
  <c r="E304" i="11"/>
  <c r="F369" i="29"/>
  <c r="E165" i="10"/>
  <c r="C327" i="14"/>
  <c r="C347" i="14"/>
  <c r="C295" i="14"/>
  <c r="F352" i="9"/>
  <c r="E211" i="29"/>
  <c r="D71" i="34"/>
  <c r="F71" i="34"/>
  <c r="J124" i="34"/>
  <c r="D128" i="34" s="1"/>
  <c r="F128" i="34" s="1"/>
  <c r="D130" i="34" s="1"/>
  <c r="F130" i="34" s="1"/>
  <c r="C385" i="13"/>
  <c r="C360" i="13"/>
  <c r="C332" i="13"/>
  <c r="H385" i="13"/>
  <c r="J385" i="13"/>
  <c r="D389" i="13"/>
  <c r="F389" i="13" s="1"/>
  <c r="E442" i="13"/>
  <c r="F165" i="14"/>
  <c r="H165" i="14"/>
  <c r="K39" i="11"/>
  <c r="L52" i="29" s="1"/>
  <c r="D221" i="14"/>
  <c r="F221" i="14" s="1"/>
  <c r="H221" i="14" s="1"/>
  <c r="C769" i="36"/>
  <c r="C789" i="36"/>
  <c r="C737" i="36"/>
  <c r="F161" i="34"/>
  <c r="H161" i="34"/>
  <c r="D166" i="34"/>
  <c r="F166" i="34"/>
  <c r="H166" i="34" s="1"/>
  <c r="H167" i="34" s="1"/>
  <c r="F154" i="34" s="1"/>
  <c r="H169" i="34" s="1"/>
  <c r="H171" i="34" s="1"/>
  <c r="F118" i="34" s="1"/>
  <c r="Q68" i="11" s="1"/>
  <c r="G669" i="12"/>
  <c r="M66" i="11"/>
  <c r="F153" i="9"/>
  <c r="F202" i="9"/>
  <c r="J79" i="11"/>
  <c r="K92" i="29" s="1"/>
  <c r="D214" i="36"/>
  <c r="D269" i="36"/>
  <c r="F269" i="36"/>
  <c r="H269" i="36" s="1"/>
  <c r="E920" i="36"/>
  <c r="G920" i="36" s="1"/>
  <c r="G698" i="36"/>
  <c r="F685" i="36"/>
  <c r="F81" i="11" s="1"/>
  <c r="G94" i="29" s="1"/>
  <c r="E290" i="14"/>
  <c r="D346" i="14"/>
  <c r="L38" i="11"/>
  <c r="M51" i="29"/>
  <c r="C286" i="36"/>
  <c r="C262" i="36"/>
  <c r="C234" i="36"/>
  <c r="E736" i="39"/>
  <c r="F736" i="39"/>
  <c r="F685" i="39"/>
  <c r="D178" i="21"/>
  <c r="E178" i="21" s="1"/>
  <c r="H178" i="21" s="1"/>
  <c r="J178" i="21" s="1"/>
  <c r="D182" i="21" s="1"/>
  <c r="F182" i="21" s="1"/>
  <c r="E123" i="21"/>
  <c r="H123" i="21"/>
  <c r="J123" i="21"/>
  <c r="D127" i="21" s="1"/>
  <c r="F127" i="21" s="1"/>
  <c r="F50" i="29"/>
  <c r="H127" i="11"/>
  <c r="D396" i="36"/>
  <c r="E396" i="36"/>
  <c r="E342" i="36"/>
  <c r="E284" i="12"/>
  <c r="H284" i="12"/>
  <c r="D339" i="12"/>
  <c r="G299" i="12"/>
  <c r="F354" i="12"/>
  <c r="D255" i="13"/>
  <c r="F255" i="13" s="1"/>
  <c r="H255" i="13" s="1"/>
  <c r="F250" i="13"/>
  <c r="H250" i="13"/>
  <c r="D305" i="13"/>
  <c r="F244" i="13"/>
  <c r="H244" i="13"/>
  <c r="D1380" i="13"/>
  <c r="D299" i="13"/>
  <c r="D709" i="36"/>
  <c r="F653" i="36"/>
  <c r="H653" i="36"/>
  <c r="D658" i="36"/>
  <c r="F658" i="36"/>
  <c r="H658" i="36"/>
  <c r="F294" i="12"/>
  <c r="G239" i="12"/>
  <c r="D380" i="14"/>
  <c r="F324" i="14"/>
  <c r="H324" i="14"/>
  <c r="G326" i="11"/>
  <c r="H435" i="29"/>
  <c r="F190" i="13"/>
  <c r="E676" i="36"/>
  <c r="D732" i="36"/>
  <c r="G566" i="36"/>
  <c r="H511" i="36"/>
  <c r="J511" i="36"/>
  <c r="D515" i="36" s="1"/>
  <c r="F515" i="36" s="1"/>
  <c r="D517" i="36" s="1"/>
  <c r="F517" i="36" s="1"/>
  <c r="E78" i="11" s="1"/>
  <c r="F91" i="29" s="1"/>
  <c r="D273" i="14"/>
  <c r="F219" i="14"/>
  <c r="H219" i="14" s="1"/>
  <c r="I40" i="11" s="1"/>
  <c r="J53" i="29" s="1"/>
  <c r="E291" i="14"/>
  <c r="H291" i="14" s="1"/>
  <c r="J291" i="14" s="1"/>
  <c r="D295" i="14" s="1"/>
  <c r="F295" i="14" s="1"/>
  <c r="D347" i="14"/>
  <c r="G173" i="36"/>
  <c r="H119" i="36"/>
  <c r="J119" i="36"/>
  <c r="D123" i="36" s="1"/>
  <c r="F123" i="36" s="1"/>
  <c r="R316" i="11"/>
  <c r="E828" i="39"/>
  <c r="E880" i="39"/>
  <c r="E777" i="39"/>
  <c r="E573" i="39"/>
  <c r="E624" i="39"/>
  <c r="E675" i="39" s="1"/>
  <c r="E726" i="39" s="1"/>
  <c r="M235" i="11"/>
  <c r="N303" i="29"/>
  <c r="L236" i="11"/>
  <c r="M304" i="29" s="1"/>
  <c r="M234" i="11"/>
  <c r="N302" i="29"/>
  <c r="G148" i="31"/>
  <c r="U398" i="29"/>
  <c r="G1539" i="13"/>
  <c r="G2032" i="13" s="1"/>
  <c r="E2032" i="13"/>
  <c r="P290" i="11"/>
  <c r="Q209" i="29"/>
  <c r="S209" i="29"/>
  <c r="U209" i="29" s="1"/>
  <c r="E1646" i="13"/>
  <c r="G1593" i="13"/>
  <c r="I305" i="11"/>
  <c r="J370" i="29"/>
  <c r="G1978" i="13"/>
  <c r="E2249" i="13"/>
  <c r="G2249" i="13"/>
  <c r="H497" i="36"/>
  <c r="F484" i="36" s="1"/>
  <c r="F274" i="14"/>
  <c r="H274" i="14"/>
  <c r="D329" i="14"/>
  <c r="K214" i="29"/>
  <c r="E304" i="10"/>
  <c r="G304" i="10"/>
  <c r="C358" i="10"/>
  <c r="C309" i="10"/>
  <c r="E309" i="10" s="1"/>
  <c r="G309" i="10" s="1"/>
  <c r="F264" i="36"/>
  <c r="H264" i="36"/>
  <c r="D320" i="36"/>
  <c r="F248" i="15"/>
  <c r="H248" i="15" s="1"/>
  <c r="J378" i="11" s="1"/>
  <c r="D300" i="15"/>
  <c r="D404" i="15"/>
  <c r="F352" i="15"/>
  <c r="H352" i="15"/>
  <c r="I380" i="11"/>
  <c r="D661" i="15"/>
  <c r="F661" i="15" s="1"/>
  <c r="H661" i="15" s="1"/>
  <c r="D315" i="12"/>
  <c r="F260" i="12"/>
  <c r="H260" i="12"/>
  <c r="D265" i="12"/>
  <c r="F265" i="12" s="1"/>
  <c r="H265" i="12" s="1"/>
  <c r="J214" i="29"/>
  <c r="M233" i="11"/>
  <c r="N301" i="29"/>
  <c r="C251" i="16"/>
  <c r="C256" i="16"/>
  <c r="E256" i="16"/>
  <c r="G256" i="16"/>
  <c r="C203" i="16"/>
  <c r="E203" i="16"/>
  <c r="G203" i="16"/>
  <c r="E198" i="16"/>
  <c r="G198" i="16" s="1"/>
  <c r="F379" i="14"/>
  <c r="H379" i="14"/>
  <c r="D439" i="14"/>
  <c r="I129" i="11"/>
  <c r="J159" i="29"/>
  <c r="F115" i="12"/>
  <c r="D401" i="9"/>
  <c r="E352" i="9"/>
  <c r="H292" i="11"/>
  <c r="N292" i="11" s="1"/>
  <c r="F112" i="13"/>
  <c r="E223" i="13"/>
  <c r="D275" i="13"/>
  <c r="D329" i="13"/>
  <c r="D386" i="13"/>
  <c r="D443" i="13" s="1"/>
  <c r="D500" i="13" s="1"/>
  <c r="D557" i="13" s="1"/>
  <c r="D614" i="13" s="1"/>
  <c r="D671" i="13" s="1"/>
  <c r="D728" i="13" s="1"/>
  <c r="D785" i="13" s="1"/>
  <c r="D842" i="13" s="1"/>
  <c r="D899" i="13" s="1"/>
  <c r="D956" i="13" s="1"/>
  <c r="D1013" i="13" s="1"/>
  <c r="D1070" i="13" s="1"/>
  <c r="D1127" i="13" s="1"/>
  <c r="D1184" i="13" s="1"/>
  <c r="D1241" i="13" s="1"/>
  <c r="D1298" i="13" s="1"/>
  <c r="H69" i="11"/>
  <c r="E82" i="29"/>
  <c r="F230" i="36"/>
  <c r="H172" i="36"/>
  <c r="J172" i="36"/>
  <c r="D176" i="36"/>
  <c r="F176" i="36" s="1"/>
  <c r="F620" i="36"/>
  <c r="H565" i="36"/>
  <c r="J565" i="36" s="1"/>
  <c r="D569" i="36" s="1"/>
  <c r="F569" i="36"/>
  <c r="F6" i="36"/>
  <c r="G236" i="14"/>
  <c r="H180" i="14"/>
  <c r="J180" i="14"/>
  <c r="D184" i="14" s="1"/>
  <c r="F184" i="14" s="1"/>
  <c r="E51" i="29"/>
  <c r="D180" i="12"/>
  <c r="F180" i="12"/>
  <c r="E129" i="11" s="1"/>
  <c r="F159" i="29" s="1"/>
  <c r="F58" i="12"/>
  <c r="Q127" i="11"/>
  <c r="D283" i="12"/>
  <c r="E228" i="12"/>
  <c r="H228" i="12"/>
  <c r="J228" i="12"/>
  <c r="D232" i="12" s="1"/>
  <c r="F232" i="12" s="1"/>
  <c r="I157" i="29"/>
  <c r="D529" i="12"/>
  <c r="F474" i="12"/>
  <c r="H474" i="12" s="1"/>
  <c r="F235" i="9"/>
  <c r="H235" i="9"/>
  <c r="J100" i="11"/>
  <c r="K122" i="29" s="1"/>
  <c r="D284" i="9"/>
  <c r="D301" i="15"/>
  <c r="F249" i="15"/>
  <c r="H249" i="15" s="1"/>
  <c r="H163" i="29"/>
  <c r="F416" i="12"/>
  <c r="D322" i="12"/>
  <c r="D372" i="12"/>
  <c r="F317" i="12"/>
  <c r="H317" i="12"/>
  <c r="F381" i="9"/>
  <c r="H381" i="9"/>
  <c r="I103" i="11"/>
  <c r="J125" i="29"/>
  <c r="D430" i="9"/>
  <c r="C666" i="16"/>
  <c r="C719" i="16"/>
  <c r="E535" i="16"/>
  <c r="E588" i="16" s="1"/>
  <c r="E641" i="16" s="1"/>
  <c r="E534" i="16"/>
  <c r="E587" i="16" s="1"/>
  <c r="E640" i="16" s="1"/>
  <c r="E694" i="16" s="1"/>
  <c r="E746" i="16" s="1"/>
  <c r="F535" i="16"/>
  <c r="F588" i="16"/>
  <c r="F534" i="16"/>
  <c r="F587" i="16" s="1"/>
  <c r="F640" i="16" s="1"/>
  <c r="F694" i="16" s="1"/>
  <c r="F746" i="16" s="1"/>
  <c r="F799" i="16" s="1"/>
  <c r="F853" i="16" s="1"/>
  <c r="G166" i="16"/>
  <c r="I166" i="16" s="1"/>
  <c r="C170" i="16" s="1"/>
  <c r="E170" i="16" s="1"/>
  <c r="D218" i="16"/>
  <c r="G167" i="16"/>
  <c r="I167" i="16"/>
  <c r="C171" i="16"/>
  <c r="E171" i="16" s="1"/>
  <c r="D219" i="16"/>
  <c r="G145" i="16"/>
  <c r="I173" i="11"/>
  <c r="J230" i="29" s="1"/>
  <c r="E173" i="11"/>
  <c r="F230" i="29"/>
  <c r="E110" i="16"/>
  <c r="E197" i="16"/>
  <c r="G197" i="16" s="1"/>
  <c r="C202" i="16"/>
  <c r="E202" i="16"/>
  <c r="G202" i="16" s="1"/>
  <c r="I174" i="11" s="1"/>
  <c r="J231" i="29" s="1"/>
  <c r="C340" i="39"/>
  <c r="C391" i="39"/>
  <c r="E391" i="39"/>
  <c r="G391" i="39"/>
  <c r="C316" i="39"/>
  <c r="C367" i="39"/>
  <c r="D367" i="39"/>
  <c r="G367" i="39"/>
  <c r="I367" i="39" s="1"/>
  <c r="C371" i="39" s="1"/>
  <c r="E371" i="39"/>
  <c r="C269" i="39"/>
  <c r="E269" i="39" s="1"/>
  <c r="R374" i="11"/>
  <c r="G139" i="16"/>
  <c r="E135" i="16" s="1"/>
  <c r="G405" i="12"/>
  <c r="F460" i="12"/>
  <c r="F355" i="12"/>
  <c r="G300" i="12"/>
  <c r="G303" i="12"/>
  <c r="F358" i="12"/>
  <c r="G406" i="12"/>
  <c r="F461" i="12"/>
  <c r="E861" i="36"/>
  <c r="G805" i="36"/>
  <c r="F357" i="12"/>
  <c r="G302" i="12"/>
  <c r="F570" i="13"/>
  <c r="G513" i="13"/>
  <c r="G518" i="13"/>
  <c r="F575" i="13"/>
  <c r="F2250" i="13"/>
  <c r="G2250" i="13"/>
  <c r="G1979" i="13"/>
  <c r="F569" i="13"/>
  <c r="G512" i="13"/>
  <c r="G432" i="29"/>
  <c r="G406" i="13"/>
  <c r="F463" i="13"/>
  <c r="G129" i="13"/>
  <c r="G135" i="13"/>
  <c r="F182" i="13"/>
  <c r="G182" i="13" s="1"/>
  <c r="G188" i="13" s="1"/>
  <c r="E803" i="36"/>
  <c r="G747" i="36"/>
  <c r="F1647" i="13"/>
  <c r="G1594" i="13"/>
  <c r="F1535" i="13"/>
  <c r="G1425" i="13"/>
  <c r="F576" i="13"/>
  <c r="G519" i="13"/>
  <c r="G460" i="13"/>
  <c r="F517" i="13"/>
  <c r="G1480" i="13"/>
  <c r="F1974" i="13"/>
  <c r="F1589" i="13"/>
  <c r="E1982" i="16"/>
  <c r="F1982" i="16"/>
  <c r="F1987" i="16"/>
  <c r="E1976" i="16" s="1"/>
  <c r="F228" i="11" s="1"/>
  <c r="G286" i="29" s="1"/>
  <c r="F1927" i="16"/>
  <c r="F1932" i="16" s="1"/>
  <c r="E1921" i="16" s="1"/>
  <c r="F226" i="11"/>
  <c r="G284" i="29"/>
  <c r="G1540" i="13"/>
  <c r="G2033" i="13"/>
  <c r="F2033" i="13"/>
  <c r="G516" i="13"/>
  <c r="F573" i="13"/>
  <c r="E2242" i="13"/>
  <c r="E1538" i="13"/>
  <c r="G1428" i="13"/>
  <c r="E2026" i="13"/>
  <c r="G1533" i="13"/>
  <c r="G2026" i="13"/>
  <c r="F2188" i="13"/>
  <c r="C680" i="36"/>
  <c r="C708" i="36"/>
  <c r="C732" i="36"/>
  <c r="D371" i="12"/>
  <c r="D321" i="12"/>
  <c r="F316" i="12"/>
  <c r="H316" i="12"/>
  <c r="E921" i="36"/>
  <c r="G865" i="36"/>
  <c r="E2243" i="13"/>
  <c r="G2243" i="13" s="1"/>
  <c r="G1972" i="13"/>
  <c r="F1753" i="13"/>
  <c r="G2341" i="13"/>
  <c r="G2286" i="13"/>
  <c r="E1749" i="13"/>
  <c r="G1695" i="13"/>
  <c r="E860" i="36"/>
  <c r="G804" i="36"/>
  <c r="C314" i="12"/>
  <c r="C338" i="12"/>
  <c r="C287" i="12"/>
  <c r="H155" i="13"/>
  <c r="F142" i="13" s="1"/>
  <c r="F1024" i="13"/>
  <c r="G910" i="13"/>
  <c r="E1752" i="13"/>
  <c r="G1698" i="13"/>
  <c r="E2025" i="13"/>
  <c r="G2301" i="13"/>
  <c r="E2358" i="13"/>
  <c r="F1081" i="13"/>
  <c r="G967" i="13"/>
  <c r="F2189" i="13"/>
  <c r="E1640" i="13"/>
  <c r="G1587" i="13"/>
  <c r="F2359" i="13"/>
  <c r="K306" i="11"/>
  <c r="L371" i="29" s="1"/>
  <c r="E1639" i="13"/>
  <c r="E970" i="36"/>
  <c r="G914" i="36"/>
  <c r="E2136" i="13"/>
  <c r="G2082" i="13"/>
  <c r="D363" i="13"/>
  <c r="D1388" i="13"/>
  <c r="F307" i="13"/>
  <c r="H307" i="13"/>
  <c r="K328" i="11" s="1"/>
  <c r="L437" i="29" s="1"/>
  <c r="D312" i="13"/>
  <c r="F312" i="13" s="1"/>
  <c r="H312" i="13" s="1"/>
  <c r="D420" i="13"/>
  <c r="F2408" i="13"/>
  <c r="C397" i="36"/>
  <c r="C378" i="36"/>
  <c r="C347" i="36"/>
  <c r="E1592" i="13"/>
  <c r="E1977" i="13"/>
  <c r="G1483" i="13"/>
  <c r="F2409" i="13"/>
  <c r="F2137" i="13"/>
  <c r="E806" i="36"/>
  <c r="G750" i="36"/>
  <c r="J130" i="11"/>
  <c r="K160" i="29"/>
  <c r="D73" i="34"/>
  <c r="F73" i="34" s="1"/>
  <c r="D67" i="11"/>
  <c r="F157" i="36"/>
  <c r="H157" i="36" s="1"/>
  <c r="K71" i="11" s="1"/>
  <c r="L84" i="29" s="1"/>
  <c r="D215" i="36"/>
  <c r="D325" i="14"/>
  <c r="F270" i="14"/>
  <c r="H270" i="14"/>
  <c r="C365" i="10"/>
  <c r="E365" i="10" s="1"/>
  <c r="G365" i="10" s="1"/>
  <c r="E360" i="10"/>
  <c r="G360" i="10"/>
  <c r="C413" i="10"/>
  <c r="L98" i="11"/>
  <c r="C1410" i="13"/>
  <c r="C1358" i="13"/>
  <c r="C1465" i="13"/>
  <c r="C1385" i="13"/>
  <c r="F1805" i="13"/>
  <c r="G1805" i="13" s="1"/>
  <c r="G1751" i="13"/>
  <c r="B201" i="16"/>
  <c r="B171" i="16"/>
  <c r="K93" i="29"/>
  <c r="H12" i="5"/>
  <c r="E13" i="5"/>
  <c r="C443" i="13"/>
  <c r="C390" i="13"/>
  <c r="C422" i="13"/>
  <c r="D789" i="36"/>
  <c r="E733" i="36"/>
  <c r="C429" i="12"/>
  <c r="C449" i="12"/>
  <c r="C398" i="12"/>
  <c r="G745" i="36"/>
  <c r="E801" i="36"/>
  <c r="M80" i="29"/>
  <c r="N80" i="29" s="1"/>
  <c r="M67" i="11"/>
  <c r="F129" i="11"/>
  <c r="F182" i="12"/>
  <c r="D1682" i="13"/>
  <c r="D1904" i="13"/>
  <c r="E1575" i="13"/>
  <c r="H1575" i="13"/>
  <c r="J1575" i="13" s="1"/>
  <c r="D1579" i="13" s="1"/>
  <c r="F1579" i="13" s="1"/>
  <c r="C1466" i="13"/>
  <c r="C1411" i="13"/>
  <c r="C1390" i="13"/>
  <c r="C1359" i="13"/>
  <c r="K434" i="29"/>
  <c r="L294" i="11"/>
  <c r="H163" i="21"/>
  <c r="F150" i="21"/>
  <c r="H304" i="11"/>
  <c r="G724" i="12"/>
  <c r="L68" i="11"/>
  <c r="C845" i="36"/>
  <c r="C825" i="36"/>
  <c r="C793" i="36"/>
  <c r="K40" i="11"/>
  <c r="D275" i="14"/>
  <c r="D68" i="11"/>
  <c r="B196" i="16"/>
  <c r="F188" i="9"/>
  <c r="H188" i="9" s="1"/>
  <c r="L99" i="11" s="1"/>
  <c r="M121" i="29" s="1"/>
  <c r="D237" i="9"/>
  <c r="F104" i="36"/>
  <c r="H104" i="36"/>
  <c r="D158" i="36"/>
  <c r="K367" i="29"/>
  <c r="D265" i="36"/>
  <c r="F210" i="36"/>
  <c r="H210" i="36"/>
  <c r="C199" i="16"/>
  <c r="C252" i="16"/>
  <c r="E147" i="16"/>
  <c r="C152" i="16"/>
  <c r="E152" i="16"/>
  <c r="G152" i="16"/>
  <c r="G246" i="12"/>
  <c r="G249" i="12" s="1"/>
  <c r="F301" i="12"/>
  <c r="E1520" i="13"/>
  <c r="H1520" i="13"/>
  <c r="J1520" i="13" s="1"/>
  <c r="D1524" i="13" s="1"/>
  <c r="F1524" i="13" s="1"/>
  <c r="H1465" i="13"/>
  <c r="J1465" i="13" s="1"/>
  <c r="D1469" i="13" s="1"/>
  <c r="F1469" i="13"/>
  <c r="E191" i="16"/>
  <c r="G191" i="16" s="1"/>
  <c r="D601" i="36"/>
  <c r="F546" i="36"/>
  <c r="H546" i="36" s="1"/>
  <c r="D551" i="36"/>
  <c r="F551" i="36"/>
  <c r="H551" i="36" s="1"/>
  <c r="E66" i="11"/>
  <c r="F79" i="29"/>
  <c r="F6" i="34"/>
  <c r="H55" i="34" s="1"/>
  <c r="H57" i="34" s="1"/>
  <c r="F4" i="34" s="1"/>
  <c r="Q66" i="11" s="1"/>
  <c r="F212" i="21"/>
  <c r="H212" i="21"/>
  <c r="D217" i="21"/>
  <c r="F217" i="21" s="1"/>
  <c r="H217" i="21" s="1"/>
  <c r="C204" i="10"/>
  <c r="E204" i="10"/>
  <c r="G204" i="10" s="1"/>
  <c r="E199" i="10"/>
  <c r="G199" i="10"/>
  <c r="C252" i="10"/>
  <c r="F217" i="14"/>
  <c r="H217" i="14" s="1"/>
  <c r="D271" i="14"/>
  <c r="G919" i="36"/>
  <c r="E975" i="36"/>
  <c r="F1802" i="13"/>
  <c r="H159" i="12"/>
  <c r="F146" i="12" s="1"/>
  <c r="L128" i="11"/>
  <c r="D161" i="37"/>
  <c r="D233" i="18"/>
  <c r="D176" i="18"/>
  <c r="D138" i="18"/>
  <c r="D119" i="18"/>
  <c r="D251" i="18"/>
  <c r="D196" i="18"/>
  <c r="D52" i="18"/>
  <c r="D270" i="18"/>
  <c r="D8" i="18"/>
  <c r="D105" i="37"/>
  <c r="D74" i="18"/>
  <c r="L90" i="29"/>
  <c r="M119" i="29"/>
  <c r="N119" i="29" s="1"/>
  <c r="M97" i="11"/>
  <c r="D260" i="9"/>
  <c r="F260" i="9" s="1"/>
  <c r="E101" i="11" s="1"/>
  <c r="F123" i="29"/>
  <c r="D101" i="11"/>
  <c r="D605" i="36"/>
  <c r="F605" i="36"/>
  <c r="H605" i="36"/>
  <c r="D655" i="36"/>
  <c r="F600" i="36"/>
  <c r="H600" i="36"/>
  <c r="E79" i="29"/>
  <c r="D222" i="14"/>
  <c r="D276" i="14" s="1"/>
  <c r="F166" i="14"/>
  <c r="H166" i="14"/>
  <c r="H167" i="14"/>
  <c r="F154" i="14"/>
  <c r="E141" i="10"/>
  <c r="G157" i="10" s="1"/>
  <c r="G159" i="10" s="1"/>
  <c r="E110" i="10" s="1"/>
  <c r="Q303" i="11" s="1"/>
  <c r="J303" i="11"/>
  <c r="L127" i="11"/>
  <c r="F401" i="9"/>
  <c r="H352" i="9"/>
  <c r="J352" i="9" s="1"/>
  <c r="D355" i="9" s="1"/>
  <c r="F355" i="9" s="1"/>
  <c r="C351" i="14"/>
  <c r="C383" i="14"/>
  <c r="C402" i="14"/>
  <c r="D207" i="13"/>
  <c r="F207" i="13"/>
  <c r="H207" i="13" s="1"/>
  <c r="F202" i="13"/>
  <c r="H202" i="13" s="1"/>
  <c r="D253" i="13"/>
  <c r="H442" i="13"/>
  <c r="J442" i="13"/>
  <c r="D446" i="13" s="1"/>
  <c r="F446" i="13" s="1"/>
  <c r="E499" i="13"/>
  <c r="C442" i="13"/>
  <c r="C417" i="13"/>
  <c r="C389" i="13"/>
  <c r="C350" i="14"/>
  <c r="C378" i="14"/>
  <c r="C401" i="14"/>
  <c r="G461" i="9"/>
  <c r="F208" i="12"/>
  <c r="H208" i="12"/>
  <c r="H214" i="12" s="1"/>
  <c r="F201" i="12" s="1"/>
  <c r="D263" i="12"/>
  <c r="D213" i="12"/>
  <c r="F213" i="12"/>
  <c r="H213" i="12"/>
  <c r="F153" i="36"/>
  <c r="H153" i="36"/>
  <c r="D211" i="36"/>
  <c r="F408" i="12"/>
  <c r="F463" i="12" s="1"/>
  <c r="G353" i="12"/>
  <c r="F2340" i="13"/>
  <c r="F2396" i="13"/>
  <c r="F2451" i="13"/>
  <c r="F2506" i="13" s="1"/>
  <c r="F2285" i="13"/>
  <c r="F251" i="13"/>
  <c r="H251" i="13"/>
  <c r="D306" i="13"/>
  <c r="D256" i="13"/>
  <c r="F256" i="13" s="1"/>
  <c r="H256" i="13" s="1"/>
  <c r="J327" i="11" s="1"/>
  <c r="G462" i="12"/>
  <c r="F517" i="12"/>
  <c r="G158" i="29"/>
  <c r="G526" i="14"/>
  <c r="C254" i="10"/>
  <c r="C206" i="10"/>
  <c r="E206" i="10" s="1"/>
  <c r="G206" i="10" s="1"/>
  <c r="E201" i="10"/>
  <c r="G201" i="10"/>
  <c r="M212" i="29"/>
  <c r="D250" i="15"/>
  <c r="F198" i="15"/>
  <c r="H198" i="15"/>
  <c r="K78" i="11"/>
  <c r="F766" i="36"/>
  <c r="H766" i="36" s="1"/>
  <c r="D771" i="36"/>
  <c r="F771" i="36" s="1"/>
  <c r="H771" i="36" s="1"/>
  <c r="D822" i="36"/>
  <c r="D1736" i="13"/>
  <c r="L325" i="11"/>
  <c r="M434" i="29" s="1"/>
  <c r="I369" i="29"/>
  <c r="L174" i="11"/>
  <c r="M231" i="29" s="1"/>
  <c r="F214" i="36"/>
  <c r="H214" i="36"/>
  <c r="J72" i="11"/>
  <c r="K85" i="29" s="1"/>
  <c r="G754" i="36"/>
  <c r="F741" i="36" s="1"/>
  <c r="F82" i="11"/>
  <c r="G95" i="29"/>
  <c r="D71" i="11"/>
  <c r="E84" i="29" s="1"/>
  <c r="D78" i="11"/>
  <c r="E346" i="14"/>
  <c r="D401" i="14"/>
  <c r="D184" i="21"/>
  <c r="F184" i="21" s="1"/>
  <c r="D295" i="11"/>
  <c r="E214" i="29" s="1"/>
  <c r="D294" i="11"/>
  <c r="E213" i="29"/>
  <c r="D129" i="21"/>
  <c r="F129" i="21" s="1"/>
  <c r="C318" i="36"/>
  <c r="C342" i="36"/>
  <c r="C290" i="36"/>
  <c r="G231" i="36"/>
  <c r="H173" i="36"/>
  <c r="J173" i="36" s="1"/>
  <c r="D177" i="36" s="1"/>
  <c r="F177" i="36" s="1"/>
  <c r="F273" i="14"/>
  <c r="H273" i="14"/>
  <c r="I41" i="11"/>
  <c r="J54" i="29" s="1"/>
  <c r="D328" i="14"/>
  <c r="E732" i="36"/>
  <c r="D788" i="36"/>
  <c r="D1491" i="13"/>
  <c r="F1380" i="13"/>
  <c r="D1436" i="13"/>
  <c r="H339" i="12"/>
  <c r="J339" i="12" s="1"/>
  <c r="D343" i="12"/>
  <c r="F343" i="12" s="1"/>
  <c r="J284" i="12"/>
  <c r="D288" i="12" s="1"/>
  <c r="F288" i="12"/>
  <c r="G621" i="36"/>
  <c r="H566" i="36"/>
  <c r="J566" i="36"/>
  <c r="D570" i="36" s="1"/>
  <c r="F570" i="36" s="1"/>
  <c r="F349" i="12"/>
  <c r="G294" i="12"/>
  <c r="F299" i="13"/>
  <c r="H299" i="13" s="1"/>
  <c r="D355" i="13"/>
  <c r="D412" i="13"/>
  <c r="E339" i="12"/>
  <c r="D394" i="12"/>
  <c r="I327" i="11"/>
  <c r="J436" i="29"/>
  <c r="F709" i="36"/>
  <c r="H709" i="36" s="1"/>
  <c r="I81" i="11" s="1"/>
  <c r="J94" i="29" s="1"/>
  <c r="D714" i="36"/>
  <c r="F714" i="36"/>
  <c r="H714" i="36" s="1"/>
  <c r="D765" i="36"/>
  <c r="D310" i="13"/>
  <c r="F310" i="13"/>
  <c r="H310" i="13" s="1"/>
  <c r="I328" i="11" s="1"/>
  <c r="D1386" i="13"/>
  <c r="F305" i="13"/>
  <c r="H305" i="13"/>
  <c r="D361" i="13"/>
  <c r="D418" i="13"/>
  <c r="D402" i="14"/>
  <c r="E347" i="14"/>
  <c r="H347" i="14" s="1"/>
  <c r="J347" i="14" s="1"/>
  <c r="D351" i="14" s="1"/>
  <c r="F351" i="14" s="1"/>
  <c r="D440" i="14"/>
  <c r="F380" i="14"/>
  <c r="H380" i="14"/>
  <c r="F241" i="13"/>
  <c r="G327" i="11"/>
  <c r="H436" i="29" s="1"/>
  <c r="G354" i="12"/>
  <c r="F409" i="12"/>
  <c r="I80" i="11"/>
  <c r="J93" i="29" s="1"/>
  <c r="I130" i="11"/>
  <c r="J160" i="29" s="1"/>
  <c r="E334" i="29"/>
  <c r="E985" i="39"/>
  <c r="E1037" i="39"/>
  <c r="E1088" i="39"/>
  <c r="E933" i="39"/>
  <c r="E829" i="39"/>
  <c r="E881" i="39"/>
  <c r="E934" i="39"/>
  <c r="E2304" i="13"/>
  <c r="E2085" i="13"/>
  <c r="E1700" i="13"/>
  <c r="G1646" i="13"/>
  <c r="P292" i="11"/>
  <c r="F329" i="14"/>
  <c r="H329" i="14" s="1"/>
  <c r="J42" i="11" s="1"/>
  <c r="K55" i="29" s="1"/>
  <c r="D385" i="14"/>
  <c r="J174" i="11"/>
  <c r="K231" i="29" s="1"/>
  <c r="J73" i="11"/>
  <c r="K86" i="29"/>
  <c r="C411" i="10"/>
  <c r="C363" i="10"/>
  <c r="E363" i="10" s="1"/>
  <c r="G363" i="10" s="1"/>
  <c r="E358" i="10"/>
  <c r="G358" i="10" s="1"/>
  <c r="I306" i="11"/>
  <c r="J371" i="29"/>
  <c r="D370" i="12"/>
  <c r="D320" i="12"/>
  <c r="F315" i="12"/>
  <c r="H315" i="12"/>
  <c r="D375" i="36"/>
  <c r="D325" i="36"/>
  <c r="F325" i="36" s="1"/>
  <c r="H325" i="36" s="1"/>
  <c r="F320" i="36"/>
  <c r="H320" i="36" s="1"/>
  <c r="L70" i="11"/>
  <c r="M83" i="29"/>
  <c r="E251" i="16"/>
  <c r="G251" i="16" s="1"/>
  <c r="J176" i="11" s="1"/>
  <c r="K233" i="29" s="1"/>
  <c r="C303" i="16"/>
  <c r="C357" i="16"/>
  <c r="D456" i="15"/>
  <c r="F404" i="15"/>
  <c r="H404" i="15" s="1"/>
  <c r="I381" i="11" s="1"/>
  <c r="D503" i="14"/>
  <c r="F439" i="14"/>
  <c r="H439" i="14" s="1"/>
  <c r="D353" i="15"/>
  <c r="F300" i="15"/>
  <c r="H300" i="15"/>
  <c r="J379" i="11"/>
  <c r="D450" i="9"/>
  <c r="E401" i="9"/>
  <c r="I211" i="29"/>
  <c r="P211" i="29"/>
  <c r="H223" i="13"/>
  <c r="J223" i="13" s="1"/>
  <c r="D227" i="13" s="1"/>
  <c r="F227" i="13" s="1"/>
  <c r="D327" i="11" s="1"/>
  <c r="E329" i="13"/>
  <c r="E275" i="13"/>
  <c r="D1355" i="13"/>
  <c r="F286" i="36"/>
  <c r="H230" i="36"/>
  <c r="J230" i="36" s="1"/>
  <c r="D234" i="36" s="1"/>
  <c r="F234" i="36" s="1"/>
  <c r="E91" i="29"/>
  <c r="G290" i="14"/>
  <c r="H236" i="14"/>
  <c r="J236" i="14" s="1"/>
  <c r="D240" i="14" s="1"/>
  <c r="F240" i="14" s="1"/>
  <c r="D41" i="11" s="1"/>
  <c r="F676" i="36"/>
  <c r="H620" i="36"/>
  <c r="J620" i="36"/>
  <c r="D624" i="36"/>
  <c r="F624" i="36" s="1"/>
  <c r="F507" i="36"/>
  <c r="D130" i="11"/>
  <c r="E160" i="29"/>
  <c r="D235" i="12"/>
  <c r="F235" i="12" s="1"/>
  <c r="F170" i="12"/>
  <c r="D338" i="12"/>
  <c r="E283" i="12"/>
  <c r="H283" i="12" s="1"/>
  <c r="D584" i="12"/>
  <c r="F529" i="12"/>
  <c r="H529" i="12" s="1"/>
  <c r="G135" i="11" s="1"/>
  <c r="H165" i="29" s="1"/>
  <c r="D377" i="12"/>
  <c r="F322" i="12"/>
  <c r="H322" i="12"/>
  <c r="K131" i="11" s="1"/>
  <c r="L161" i="29" s="1"/>
  <c r="B316" i="39"/>
  <c r="B367" i="39"/>
  <c r="B269" i="39"/>
  <c r="B294" i="39"/>
  <c r="F430" i="9"/>
  <c r="H430" i="9"/>
  <c r="I104" i="11"/>
  <c r="J126" i="29" s="1"/>
  <c r="D479" i="9"/>
  <c r="D427" i="12"/>
  <c r="F372" i="12"/>
  <c r="H372" i="12" s="1"/>
  <c r="F284" i="9"/>
  <c r="H284" i="9"/>
  <c r="J101" i="11"/>
  <c r="K123" i="29" s="1"/>
  <c r="D333" i="9"/>
  <c r="F301" i="15"/>
  <c r="H301" i="15"/>
  <c r="K379" i="11" s="1"/>
  <c r="D354" i="15"/>
  <c r="C772" i="16"/>
  <c r="C824" i="16"/>
  <c r="C878" i="16" s="1"/>
  <c r="F641" i="16"/>
  <c r="F695" i="16"/>
  <c r="G218" i="16"/>
  <c r="I218" i="16"/>
  <c r="C222" i="16"/>
  <c r="E222" i="16" s="1"/>
  <c r="C271" i="16"/>
  <c r="C324" i="16"/>
  <c r="C272" i="16"/>
  <c r="C325" i="16"/>
  <c r="G219" i="16"/>
  <c r="I219" i="16" s="1"/>
  <c r="C223" i="16" s="1"/>
  <c r="E223" i="16" s="1"/>
  <c r="G147" i="16"/>
  <c r="G154" i="16" s="1"/>
  <c r="E141" i="16" s="1"/>
  <c r="G157" i="16" s="1"/>
  <c r="G159" i="16" s="1"/>
  <c r="E108" i="16" s="1"/>
  <c r="Q173" i="11" s="1"/>
  <c r="G173" i="11"/>
  <c r="H230" i="29" s="1"/>
  <c r="I230" i="29" s="1"/>
  <c r="E340" i="39"/>
  <c r="G340" i="39"/>
  <c r="C441" i="39"/>
  <c r="C494" i="39"/>
  <c r="D316" i="39"/>
  <c r="G316" i="39"/>
  <c r="I316" i="39" s="1"/>
  <c r="C320" i="39" s="1"/>
  <c r="E320" i="39" s="1"/>
  <c r="C418" i="39"/>
  <c r="C470" i="39" s="1"/>
  <c r="G861" i="36"/>
  <c r="E917" i="36"/>
  <c r="G358" i="12"/>
  <c r="F413" i="12"/>
  <c r="G460" i="12"/>
  <c r="F515" i="12"/>
  <c r="G357" i="12"/>
  <c r="F412" i="12"/>
  <c r="G355" i="12"/>
  <c r="F410" i="12"/>
  <c r="G461" i="12"/>
  <c r="F516" i="12"/>
  <c r="F177" i="13"/>
  <c r="F326" i="11"/>
  <c r="G435" i="29"/>
  <c r="F2305" i="13"/>
  <c r="F2086" i="13"/>
  <c r="F1642" i="13"/>
  <c r="G1589" i="13"/>
  <c r="G569" i="13"/>
  <c r="F626" i="13"/>
  <c r="F124" i="13"/>
  <c r="H157" i="13"/>
  <c r="F325" i="11"/>
  <c r="F574" i="13"/>
  <c r="G517" i="13"/>
  <c r="F2028" i="13"/>
  <c r="G1535" i="13"/>
  <c r="G2028" i="13" s="1"/>
  <c r="G803" i="36"/>
  <c r="E859" i="36"/>
  <c r="H324" i="11"/>
  <c r="G433" i="29"/>
  <c r="I433" i="29" s="1"/>
  <c r="G573" i="13"/>
  <c r="F630" i="13"/>
  <c r="G576" i="13"/>
  <c r="F633" i="13"/>
  <c r="G463" i="13"/>
  <c r="F520" i="13"/>
  <c r="G575" i="13"/>
  <c r="F632" i="13"/>
  <c r="F2245" i="13"/>
  <c r="G2245" i="13" s="1"/>
  <c r="G1974" i="13"/>
  <c r="G1647" i="13"/>
  <c r="F1701" i="13"/>
  <c r="G570" i="13"/>
  <c r="F627" i="13"/>
  <c r="F2192" i="13"/>
  <c r="F2464" i="13"/>
  <c r="G2136" i="13"/>
  <c r="G2191" i="13" s="1"/>
  <c r="E2191" i="13"/>
  <c r="E1806" i="13"/>
  <c r="G1806" i="13" s="1"/>
  <c r="G1752" i="13"/>
  <c r="F1807" i="13"/>
  <c r="F321" i="12"/>
  <c r="H321" i="12" s="1"/>
  <c r="J131" i="11" s="1"/>
  <c r="K161" i="29" s="1"/>
  <c r="D376" i="12"/>
  <c r="F2463" i="13"/>
  <c r="G2358" i="13"/>
  <c r="E2411" i="13"/>
  <c r="G860" i="36"/>
  <c r="E916" i="36"/>
  <c r="F251" i="9"/>
  <c r="E862" i="36"/>
  <c r="G806" i="36"/>
  <c r="E1645" i="13"/>
  <c r="G1592" i="13"/>
  <c r="D534" i="13"/>
  <c r="F420" i="13"/>
  <c r="H420" i="13"/>
  <c r="D425" i="13"/>
  <c r="F425" i="13" s="1"/>
  <c r="H425" i="13" s="1"/>
  <c r="K330" i="11" s="1"/>
  <c r="F363" i="13"/>
  <c r="H363" i="13" s="1"/>
  <c r="K329" i="11" s="1"/>
  <c r="D368" i="13"/>
  <c r="F368" i="13"/>
  <c r="H368" i="13"/>
  <c r="D477" i="13"/>
  <c r="G970" i="36"/>
  <c r="E1026" i="36"/>
  <c r="E1693" i="13"/>
  <c r="F2412" i="13"/>
  <c r="E1694" i="13"/>
  <c r="G1640" i="13"/>
  <c r="F1195" i="13"/>
  <c r="G1081" i="13"/>
  <c r="E2078" i="13"/>
  <c r="E2297" i="13"/>
  <c r="F1138" i="13"/>
  <c r="G1024" i="13"/>
  <c r="C736" i="36"/>
  <c r="C764" i="36"/>
  <c r="C788" i="36"/>
  <c r="E2079" i="13"/>
  <c r="E2298" i="13"/>
  <c r="E2031" i="13"/>
  <c r="G1538" i="13"/>
  <c r="G2031" i="13" s="1"/>
  <c r="E2248" i="13"/>
  <c r="G2248" i="13" s="1"/>
  <c r="G1977" i="13"/>
  <c r="C401" i="36"/>
  <c r="C433" i="36"/>
  <c r="D1444" i="13"/>
  <c r="D1499" i="13"/>
  <c r="D1393" i="13"/>
  <c r="F1393" i="13"/>
  <c r="H1393" i="13" s="1"/>
  <c r="F1388" i="13"/>
  <c r="H1388" i="13"/>
  <c r="C342" i="12"/>
  <c r="C369" i="12"/>
  <c r="C393" i="12"/>
  <c r="E1803" i="13"/>
  <c r="G1803" i="13" s="1"/>
  <c r="G1749" i="13"/>
  <c r="E977" i="36"/>
  <c r="G921" i="36"/>
  <c r="D426" i="12"/>
  <c r="F371" i="12"/>
  <c r="H371" i="12"/>
  <c r="G582" i="14"/>
  <c r="D8" i="37"/>
  <c r="D4" i="11"/>
  <c r="D8" i="11"/>
  <c r="D52" i="37"/>
  <c r="D13" i="11"/>
  <c r="D326" i="14"/>
  <c r="F271" i="14"/>
  <c r="H271" i="14" s="1"/>
  <c r="J304" i="11"/>
  <c r="F356" i="12"/>
  <c r="G301" i="12"/>
  <c r="G304" i="12"/>
  <c r="F158" i="36"/>
  <c r="H158" i="36" s="1"/>
  <c r="L71" i="11" s="1"/>
  <c r="D216" i="36"/>
  <c r="G779" i="12"/>
  <c r="F822" i="36"/>
  <c r="H822" i="36"/>
  <c r="D878" i="36"/>
  <c r="D827" i="36"/>
  <c r="F827" i="36"/>
  <c r="H827" i="36"/>
  <c r="F250" i="15"/>
  <c r="H250" i="15"/>
  <c r="D302" i="15"/>
  <c r="G517" i="12"/>
  <c r="F572" i="12"/>
  <c r="G510" i="9"/>
  <c r="C461" i="14"/>
  <c r="C405" i="14"/>
  <c r="C438" i="14"/>
  <c r="L53" i="29"/>
  <c r="F222" i="14"/>
  <c r="H222" i="14"/>
  <c r="H223" i="14" s="1"/>
  <c r="F210" i="14" s="1"/>
  <c r="E123" i="29"/>
  <c r="D20" i="11"/>
  <c r="D23" i="11"/>
  <c r="D18" i="11"/>
  <c r="D12" i="11"/>
  <c r="D16" i="11"/>
  <c r="D33" i="11"/>
  <c r="F130" i="11"/>
  <c r="F237" i="12"/>
  <c r="F237" i="9"/>
  <c r="H237" i="9" s="1"/>
  <c r="D286" i="9"/>
  <c r="F275" i="14"/>
  <c r="H275" i="14"/>
  <c r="K41" i="11" s="1"/>
  <c r="D330" i="14"/>
  <c r="C849" i="36"/>
  <c r="C881" i="36"/>
  <c r="C901" i="36"/>
  <c r="G159" i="29"/>
  <c r="E789" i="36"/>
  <c r="D845" i="36"/>
  <c r="C1575" i="13"/>
  <c r="C1520" i="13"/>
  <c r="C1496" i="13"/>
  <c r="C1469" i="13"/>
  <c r="E695" i="16"/>
  <c r="E747" i="16"/>
  <c r="D381" i="14"/>
  <c r="F325" i="14"/>
  <c r="H325" i="14" s="1"/>
  <c r="L39" i="11"/>
  <c r="M325" i="11"/>
  <c r="M213" i="29"/>
  <c r="M294" i="11"/>
  <c r="N213" i="29" s="1"/>
  <c r="C1521" i="13"/>
  <c r="C1501" i="13"/>
  <c r="C1576" i="13"/>
  <c r="C1470" i="13"/>
  <c r="C258" i="16"/>
  <c r="E258" i="16"/>
  <c r="G258" i="16"/>
  <c r="C305" i="16"/>
  <c r="C359" i="16" s="1"/>
  <c r="E253" i="16"/>
  <c r="G253" i="16"/>
  <c r="E67" i="11"/>
  <c r="F80" i="29" s="1"/>
  <c r="F63" i="34"/>
  <c r="H112" i="34"/>
  <c r="L129" i="11"/>
  <c r="H499" i="13"/>
  <c r="J499" i="13" s="1"/>
  <c r="D503" i="13" s="1"/>
  <c r="F503" i="13" s="1"/>
  <c r="E556" i="13"/>
  <c r="E68" i="11"/>
  <c r="F81" i="29" s="1"/>
  <c r="F120" i="34"/>
  <c r="L91" i="29"/>
  <c r="G408" i="12"/>
  <c r="K368" i="29"/>
  <c r="N368" i="29" s="1"/>
  <c r="P368" i="29" s="1"/>
  <c r="Q368" i="29" s="1"/>
  <c r="S368" i="29" s="1"/>
  <c r="U368" i="29" s="1"/>
  <c r="M303" i="11"/>
  <c r="N303" i="11"/>
  <c r="E1031" i="36"/>
  <c r="G975" i="36"/>
  <c r="E252" i="10"/>
  <c r="G252" i="10" s="1"/>
  <c r="C257" i="10"/>
  <c r="E257" i="10"/>
  <c r="G257" i="10"/>
  <c r="C305" i="10"/>
  <c r="L295" i="11"/>
  <c r="H218" i="21"/>
  <c r="F205" i="21"/>
  <c r="D606" i="36"/>
  <c r="F606" i="36" s="1"/>
  <c r="H606" i="36" s="1"/>
  <c r="D656" i="36"/>
  <c r="F601" i="36"/>
  <c r="H601" i="36" s="1"/>
  <c r="E81" i="29"/>
  <c r="M81" i="29"/>
  <c r="N81" i="29" s="1"/>
  <c r="M68" i="11"/>
  <c r="C1446" i="13"/>
  <c r="C1415" i="13"/>
  <c r="E1682" i="13"/>
  <c r="H1682" i="13"/>
  <c r="J1682" i="13"/>
  <c r="D1686" i="13" s="1"/>
  <c r="F1686" i="13" s="1"/>
  <c r="D1790" i="13"/>
  <c r="E1790" i="13"/>
  <c r="H1790" i="13" s="1"/>
  <c r="J1790" i="13" s="1"/>
  <c r="D1794" i="13" s="1"/>
  <c r="F1794" i="13" s="1"/>
  <c r="K94" i="29"/>
  <c r="E857" i="36"/>
  <c r="G801" i="36"/>
  <c r="E14" i="5"/>
  <c r="H13" i="5"/>
  <c r="C1441" i="13"/>
  <c r="C1414" i="13"/>
  <c r="M120" i="29"/>
  <c r="F215" i="36"/>
  <c r="H215" i="36" s="1"/>
  <c r="K72" i="11" s="1"/>
  <c r="L85" i="29" s="1"/>
  <c r="D270" i="36"/>
  <c r="F270" i="36"/>
  <c r="H270" i="36" s="1"/>
  <c r="E80" i="29"/>
  <c r="H66" i="11"/>
  <c r="N66" i="11" s="1"/>
  <c r="P66" i="11" s="1"/>
  <c r="L377" i="11"/>
  <c r="M377" i="11"/>
  <c r="N377" i="11" s="1"/>
  <c r="P377" i="11" s="1"/>
  <c r="H203" i="15"/>
  <c r="F191" i="15"/>
  <c r="H206" i="15" s="1"/>
  <c r="H208" i="15" s="1"/>
  <c r="F160" i="15" s="1"/>
  <c r="Q377" i="11" s="1"/>
  <c r="E254" i="10"/>
  <c r="G254" i="10" s="1"/>
  <c r="C307" i="10"/>
  <c r="C259" i="10"/>
  <c r="E259" i="10"/>
  <c r="G259" i="10" s="1"/>
  <c r="F211" i="36"/>
  <c r="H211" i="36"/>
  <c r="D266" i="36"/>
  <c r="D711" i="36"/>
  <c r="F655" i="36"/>
  <c r="H655" i="36"/>
  <c r="D660" i="36"/>
  <c r="F660" i="36" s="1"/>
  <c r="H660" i="36" s="1"/>
  <c r="D10" i="11"/>
  <c r="D22" i="11"/>
  <c r="D21" i="11"/>
  <c r="D318" i="12"/>
  <c r="F263" i="12"/>
  <c r="H263" i="12" s="1"/>
  <c r="D268" i="12"/>
  <c r="F268" i="12"/>
  <c r="H268" i="12"/>
  <c r="C474" i="13"/>
  <c r="C446" i="13"/>
  <c r="C499" i="13"/>
  <c r="F253" i="13"/>
  <c r="H253" i="13" s="1"/>
  <c r="D258" i="13"/>
  <c r="F258" i="13"/>
  <c r="H258" i="13"/>
  <c r="D308" i="13"/>
  <c r="K79" i="11"/>
  <c r="K435" i="29"/>
  <c r="E1736" i="13"/>
  <c r="H1736" i="13" s="1"/>
  <c r="J1736" i="13" s="1"/>
  <c r="D1740" i="13" s="1"/>
  <c r="F1740" i="13" s="1"/>
  <c r="D1844" i="13"/>
  <c r="E1844" i="13" s="1"/>
  <c r="H1844" i="13" s="1"/>
  <c r="J1844" i="13" s="1"/>
  <c r="D1848" i="13" s="1"/>
  <c r="F1848" i="13" s="1"/>
  <c r="F306" i="13"/>
  <c r="H306" i="13"/>
  <c r="D1387" i="13"/>
  <c r="D1443" i="13" s="1"/>
  <c r="D362" i="13"/>
  <c r="D419" i="13"/>
  <c r="D311" i="13"/>
  <c r="F311" i="13"/>
  <c r="H311" i="13" s="1"/>
  <c r="C443" i="14"/>
  <c r="C462" i="14"/>
  <c r="C406" i="14"/>
  <c r="F450" i="9"/>
  <c r="G401" i="9"/>
  <c r="G450" i="9" s="1"/>
  <c r="G499" i="9" s="1"/>
  <c r="G548" i="9" s="1"/>
  <c r="G597" i="9" s="1"/>
  <c r="G646" i="9" s="1"/>
  <c r="G695" i="9" s="1"/>
  <c r="G744" i="9" s="1"/>
  <c r="G793" i="9" s="1"/>
  <c r="G842" i="9" s="1"/>
  <c r="G891" i="9" s="1"/>
  <c r="G940" i="9" s="1"/>
  <c r="G989" i="9" s="1"/>
  <c r="G1038" i="9" s="1"/>
  <c r="G1087" i="9" s="1"/>
  <c r="G1136" i="9" s="1"/>
  <c r="G1185" i="9" s="1"/>
  <c r="G1234" i="9" s="1"/>
  <c r="G1283" i="9" s="1"/>
  <c r="M157" i="29"/>
  <c r="N157" i="29"/>
  <c r="P157" i="29" s="1"/>
  <c r="Q157" i="29" s="1"/>
  <c r="S157" i="29" s="1"/>
  <c r="U157" i="29" s="1"/>
  <c r="M127" i="11"/>
  <c r="N127" i="11"/>
  <c r="P127" i="11" s="1"/>
  <c r="R127" i="11" s="1"/>
  <c r="M158" i="29"/>
  <c r="N158" i="29" s="1"/>
  <c r="M128" i="11"/>
  <c r="C204" i="16"/>
  <c r="E204" i="16"/>
  <c r="G204" i="16"/>
  <c r="E199" i="16"/>
  <c r="G199" i="16" s="1"/>
  <c r="D321" i="36"/>
  <c r="F265" i="36"/>
  <c r="H265" i="36" s="1"/>
  <c r="D1959" i="13"/>
  <c r="E1904" i="13"/>
  <c r="H1904" i="13"/>
  <c r="J1904" i="13" s="1"/>
  <c r="D1908" i="13" s="1"/>
  <c r="F1908" i="13" s="1"/>
  <c r="C453" i="12"/>
  <c r="C484" i="12"/>
  <c r="C504" i="12"/>
  <c r="C500" i="13"/>
  <c r="C479" i="13"/>
  <c r="C447" i="13"/>
  <c r="E413" i="10"/>
  <c r="G413" i="10"/>
  <c r="K308" i="11" s="1"/>
  <c r="L373" i="29" s="1"/>
  <c r="C418" i="10"/>
  <c r="E418" i="10" s="1"/>
  <c r="G418" i="10" s="1"/>
  <c r="C466" i="10"/>
  <c r="I79" i="29"/>
  <c r="O79" i="29"/>
  <c r="N434" i="29"/>
  <c r="D461" i="14"/>
  <c r="E401" i="14"/>
  <c r="C373" i="36"/>
  <c r="C346" i="36"/>
  <c r="C396" i="36"/>
  <c r="E294" i="11"/>
  <c r="F119" i="21"/>
  <c r="H166" i="21"/>
  <c r="H168" i="21" s="1"/>
  <c r="F117" i="21" s="1"/>
  <c r="Q294" i="11" s="1"/>
  <c r="G810" i="36"/>
  <c r="F797" i="36" s="1"/>
  <c r="F83" i="11" s="1"/>
  <c r="G96" i="29" s="1"/>
  <c r="F440" i="14"/>
  <c r="H440" i="14" s="1"/>
  <c r="D504" i="14"/>
  <c r="D366" i="13"/>
  <c r="F366" i="13"/>
  <c r="H366" i="13" s="1"/>
  <c r="F361" i="13"/>
  <c r="H361" i="13"/>
  <c r="D475" i="13"/>
  <c r="D821" i="36"/>
  <c r="F765" i="36"/>
  <c r="H765" i="36"/>
  <c r="D770" i="36"/>
  <c r="F770" i="36" s="1"/>
  <c r="D449" i="12"/>
  <c r="E394" i="12"/>
  <c r="H394" i="12" s="1"/>
  <c r="J394" i="12" s="1"/>
  <c r="D398" i="12" s="1"/>
  <c r="F398" i="12" s="1"/>
  <c r="G677" i="36"/>
  <c r="H621" i="36"/>
  <c r="J621" i="36" s="1"/>
  <c r="D625" i="36" s="1"/>
  <c r="F625" i="36" s="1"/>
  <c r="G287" i="36"/>
  <c r="H231" i="36"/>
  <c r="J231" i="36"/>
  <c r="D235" i="36"/>
  <c r="F235" i="36" s="1"/>
  <c r="G409" i="12"/>
  <c r="F464" i="12"/>
  <c r="D532" i="13"/>
  <c r="F418" i="13"/>
  <c r="H418" i="13"/>
  <c r="D423" i="13"/>
  <c r="F423" i="13" s="1"/>
  <c r="H423" i="13" s="1"/>
  <c r="D469" i="13"/>
  <c r="F355" i="13"/>
  <c r="H355" i="13" s="1"/>
  <c r="F352" i="13" s="1"/>
  <c r="G329" i="11"/>
  <c r="H438" i="29" s="1"/>
  <c r="D844" i="36"/>
  <c r="E788" i="36"/>
  <c r="E402" i="14"/>
  <c r="H402" i="14" s="1"/>
  <c r="J402" i="14" s="1"/>
  <c r="D406" i="14" s="1"/>
  <c r="F406" i="14"/>
  <c r="D462" i="14"/>
  <c r="D1391" i="13"/>
  <c r="F1391" i="13"/>
  <c r="H1391" i="13"/>
  <c r="D1442" i="13"/>
  <c r="D1497" i="13"/>
  <c r="F1386" i="13"/>
  <c r="H1386" i="13"/>
  <c r="D526" i="13"/>
  <c r="F412" i="13"/>
  <c r="H412" i="13"/>
  <c r="F409" i="13"/>
  <c r="G330" i="11" s="1"/>
  <c r="H439" i="29" s="1"/>
  <c r="F404" i="12"/>
  <c r="G349" i="12"/>
  <c r="G359" i="12" s="1"/>
  <c r="D1600" i="13"/>
  <c r="D1546" i="13"/>
  <c r="F1491" i="13"/>
  <c r="H1491" i="13"/>
  <c r="F1488" i="13" s="1"/>
  <c r="G349" i="11" s="1"/>
  <c r="H458" i="29" s="1"/>
  <c r="F1436" i="13"/>
  <c r="H1380" i="13"/>
  <c r="F328" i="14"/>
  <c r="H328" i="14"/>
  <c r="I42" i="11"/>
  <c r="J55" i="29" s="1"/>
  <c r="D384" i="14"/>
  <c r="J437" i="29"/>
  <c r="L40" i="11"/>
  <c r="M53" i="29" s="1"/>
  <c r="H401" i="9"/>
  <c r="J401" i="9" s="1"/>
  <c r="D404" i="9" s="1"/>
  <c r="F404" i="9" s="1"/>
  <c r="D407" i="9" s="1"/>
  <c r="F407" i="9" s="1"/>
  <c r="F334" i="29"/>
  <c r="H334" i="29"/>
  <c r="E1190" i="39"/>
  <c r="E1242" i="39" s="1"/>
  <c r="E1293" i="39" s="1"/>
  <c r="E1139" i="39"/>
  <c r="E986" i="39"/>
  <c r="E1038" i="39" s="1"/>
  <c r="E1089" i="39" s="1"/>
  <c r="B371" i="39"/>
  <c r="B396" i="39"/>
  <c r="P303" i="11"/>
  <c r="R303" i="11" s="1"/>
  <c r="G2304" i="13"/>
  <c r="E2361" i="13"/>
  <c r="H159" i="13"/>
  <c r="F110" i="13"/>
  <c r="M6" i="13" s="1"/>
  <c r="Q325" i="11" s="1"/>
  <c r="G2085" i="13"/>
  <c r="E2139" i="13"/>
  <c r="Q211" i="29"/>
  <c r="S211" i="29"/>
  <c r="U211" i="29"/>
  <c r="G1700" i="13"/>
  <c r="E1754" i="13"/>
  <c r="C308" i="16"/>
  <c r="E308" i="16" s="1"/>
  <c r="G308" i="16" s="1"/>
  <c r="E303" i="16"/>
  <c r="G303" i="16" s="1"/>
  <c r="F385" i="14"/>
  <c r="H385" i="14" s="1"/>
  <c r="J43" i="11" s="1"/>
  <c r="K56" i="29" s="1"/>
  <c r="D445" i="14"/>
  <c r="C416" i="10"/>
  <c r="E416" i="10"/>
  <c r="G416" i="10" s="1"/>
  <c r="E411" i="10"/>
  <c r="G411" i="10"/>
  <c r="C464" i="10"/>
  <c r="D504" i="15"/>
  <c r="F456" i="15"/>
  <c r="H456" i="15" s="1"/>
  <c r="I382" i="11" s="1"/>
  <c r="D380" i="36"/>
  <c r="F375" i="36"/>
  <c r="H375" i="36" s="1"/>
  <c r="D430" i="36"/>
  <c r="F430" i="36"/>
  <c r="H430" i="36"/>
  <c r="D425" i="12"/>
  <c r="F370" i="12"/>
  <c r="H370" i="12"/>
  <c r="F503" i="14"/>
  <c r="H503" i="14" s="1"/>
  <c r="D559" i="14"/>
  <c r="F320" i="12"/>
  <c r="H320" i="12" s="1"/>
  <c r="I131" i="11" s="1"/>
  <c r="J161" i="29" s="1"/>
  <c r="D375" i="12"/>
  <c r="D405" i="15"/>
  <c r="D662" i="15"/>
  <c r="F662" i="15"/>
  <c r="H662" i="15" s="1"/>
  <c r="F353" i="15"/>
  <c r="H353" i="15"/>
  <c r="J380" i="11"/>
  <c r="D499" i="9"/>
  <c r="E450" i="9"/>
  <c r="H450" i="9"/>
  <c r="J450" i="9" s="1"/>
  <c r="D453" i="9" s="1"/>
  <c r="F453" i="9" s="1"/>
  <c r="E386" i="13"/>
  <c r="D229" i="13"/>
  <c r="F229" i="13" s="1"/>
  <c r="D1411" i="13"/>
  <c r="D1466" i="13"/>
  <c r="E1355" i="13"/>
  <c r="F732" i="36"/>
  <c r="H676" i="36"/>
  <c r="J676" i="36"/>
  <c r="D680" i="36"/>
  <c r="F680" i="36" s="1"/>
  <c r="F342" i="36"/>
  <c r="H286" i="36"/>
  <c r="J286" i="36" s="1"/>
  <c r="D290" i="36" s="1"/>
  <c r="F290" i="36"/>
  <c r="G346" i="14"/>
  <c r="H290" i="14"/>
  <c r="J290" i="14" s="1"/>
  <c r="D294" i="14" s="1"/>
  <c r="F294" i="14"/>
  <c r="Q79" i="29"/>
  <c r="S79" i="29" s="1"/>
  <c r="U79" i="29" s="1"/>
  <c r="H114" i="34"/>
  <c r="F61" i="34"/>
  <c r="Q67" i="11" s="1"/>
  <c r="D393" i="12"/>
  <c r="E338" i="12"/>
  <c r="D406" i="15"/>
  <c r="F354" i="15"/>
  <c r="H354" i="15"/>
  <c r="K380" i="11"/>
  <c r="D663" i="15"/>
  <c r="F663" i="15" s="1"/>
  <c r="H663" i="15" s="1"/>
  <c r="D639" i="12"/>
  <c r="F584" i="12"/>
  <c r="H584" i="12" s="1"/>
  <c r="B418" i="39"/>
  <c r="B470" i="39"/>
  <c r="B345" i="39"/>
  <c r="B320" i="39"/>
  <c r="F377" i="12"/>
  <c r="H377" i="12"/>
  <c r="D432" i="12"/>
  <c r="F526" i="12"/>
  <c r="F333" i="9"/>
  <c r="H333" i="9"/>
  <c r="J102" i="11" s="1"/>
  <c r="K124" i="29" s="1"/>
  <c r="D382" i="9"/>
  <c r="D482" i="12"/>
  <c r="F427" i="12"/>
  <c r="H427" i="12"/>
  <c r="D528" i="9"/>
  <c r="F479" i="9"/>
  <c r="H479" i="9" s="1"/>
  <c r="I105" i="11" s="1"/>
  <c r="I80" i="29"/>
  <c r="O80" i="29" s="1"/>
  <c r="H67" i="11"/>
  <c r="N67" i="11"/>
  <c r="P67" i="11"/>
  <c r="V80" i="29" s="1"/>
  <c r="K173" i="11"/>
  <c r="M173" i="11"/>
  <c r="E799" i="16"/>
  <c r="E853" i="16" s="1"/>
  <c r="F747" i="16"/>
  <c r="F800" i="16"/>
  <c r="F854" i="16"/>
  <c r="D271" i="16"/>
  <c r="D272" i="16"/>
  <c r="C302" i="16"/>
  <c r="C356" i="16"/>
  <c r="E250" i="16"/>
  <c r="C255" i="16"/>
  <c r="E255" i="16"/>
  <c r="G255" i="16"/>
  <c r="D418" i="39"/>
  <c r="E441" i="39"/>
  <c r="G441" i="39" s="1"/>
  <c r="F571" i="12"/>
  <c r="G516" i="12"/>
  <c r="G412" i="12"/>
  <c r="F467" i="12"/>
  <c r="F468" i="12"/>
  <c r="G413" i="12"/>
  <c r="E973" i="36"/>
  <c r="G917" i="36"/>
  <c r="F465" i="12"/>
  <c r="G410" i="12"/>
  <c r="F570" i="12"/>
  <c r="G515" i="12"/>
  <c r="G632" i="13"/>
  <c r="F689" i="13"/>
  <c r="G633" i="13"/>
  <c r="F690" i="13"/>
  <c r="G434" i="29"/>
  <c r="I434" i="29" s="1"/>
  <c r="O434" i="29" s="1"/>
  <c r="H325" i="11"/>
  <c r="N325" i="11"/>
  <c r="F1696" i="13"/>
  <c r="G1642" i="13"/>
  <c r="G574" i="13"/>
  <c r="F631" i="13"/>
  <c r="F2362" i="13"/>
  <c r="G2305" i="13"/>
  <c r="F2300" i="13"/>
  <c r="F2081" i="13"/>
  <c r="G627" i="13"/>
  <c r="F684" i="13"/>
  <c r="F1755" i="13"/>
  <c r="G1701" i="13"/>
  <c r="F577" i="13"/>
  <c r="G520" i="13"/>
  <c r="G630" i="13"/>
  <c r="F687" i="13"/>
  <c r="E915" i="36"/>
  <c r="G859" i="36"/>
  <c r="G626" i="13"/>
  <c r="F683" i="13"/>
  <c r="F2140" i="13"/>
  <c r="G2086" i="13"/>
  <c r="C424" i="12"/>
  <c r="C397" i="12"/>
  <c r="C448" i="12"/>
  <c r="E2133" i="13"/>
  <c r="G2079" i="13"/>
  <c r="E1082" i="36"/>
  <c r="G1026" i="36"/>
  <c r="F2518" i="13"/>
  <c r="G977" i="36"/>
  <c r="E1033" i="36"/>
  <c r="E2355" i="13"/>
  <c r="G2298" i="13"/>
  <c r="E2132" i="13"/>
  <c r="E1748" i="13"/>
  <c r="G1694" i="13"/>
  <c r="E1747" i="13"/>
  <c r="F534" i="13"/>
  <c r="H534" i="13" s="1"/>
  <c r="D648" i="13"/>
  <c r="D539" i="13"/>
  <c r="F539" i="13"/>
  <c r="H539" i="13" s="1"/>
  <c r="K347" i="11"/>
  <c r="L456" i="29" s="1"/>
  <c r="L438" i="29"/>
  <c r="F1444" i="13"/>
  <c r="H1444" i="13" s="1"/>
  <c r="D1449" i="13"/>
  <c r="F1449" i="13"/>
  <c r="H1449" i="13"/>
  <c r="E2084" i="13"/>
  <c r="E2303" i="13"/>
  <c r="E2354" i="13"/>
  <c r="F477" i="13"/>
  <c r="H477" i="13" s="1"/>
  <c r="D482" i="13"/>
  <c r="F482" i="13"/>
  <c r="H482" i="13" s="1"/>
  <c r="D591" i="13"/>
  <c r="E918" i="36"/>
  <c r="G862" i="36"/>
  <c r="L439" i="29"/>
  <c r="F426" i="12"/>
  <c r="H426" i="12" s="1"/>
  <c r="D481" i="12"/>
  <c r="D1554" i="13"/>
  <c r="F1499" i="13"/>
  <c r="H1499" i="13" s="1"/>
  <c r="D1608" i="13"/>
  <c r="D1504" i="13"/>
  <c r="F1504" i="13" s="1"/>
  <c r="H1504" i="13" s="1"/>
  <c r="K349" i="11" s="1"/>
  <c r="L458" i="29" s="1"/>
  <c r="C820" i="36"/>
  <c r="C844" i="36"/>
  <c r="C792" i="36"/>
  <c r="F1252" i="13"/>
  <c r="G1252" i="13" s="1"/>
  <c r="G1138" i="13"/>
  <c r="F1309" i="13"/>
  <c r="G1309" i="13" s="1"/>
  <c r="G1195" i="13"/>
  <c r="F2467" i="13"/>
  <c r="E1699" i="13"/>
  <c r="G1645" i="13"/>
  <c r="G916" i="36"/>
  <c r="E972" i="36"/>
  <c r="G2411" i="13"/>
  <c r="E2466" i="13"/>
  <c r="D431" i="12"/>
  <c r="F376" i="12"/>
  <c r="H376" i="12" s="1"/>
  <c r="J132" i="11"/>
  <c r="K162" i="29" s="1"/>
  <c r="D1498" i="13"/>
  <c r="F1387" i="13"/>
  <c r="H1387" i="13" s="1"/>
  <c r="C519" i="10"/>
  <c r="C471" i="10"/>
  <c r="E471" i="10"/>
  <c r="G471" i="10" s="1"/>
  <c r="K309" i="11" s="1"/>
  <c r="L374" i="29" s="1"/>
  <c r="E466" i="10"/>
  <c r="G466" i="10" s="1"/>
  <c r="C559" i="12"/>
  <c r="C539" i="12"/>
  <c r="C508" i="12"/>
  <c r="D2067" i="13"/>
  <c r="D2013" i="13"/>
  <c r="E1959" i="13"/>
  <c r="D533" i="13"/>
  <c r="D424" i="13"/>
  <c r="F424" i="13" s="1"/>
  <c r="H424" i="13"/>
  <c r="F419" i="13"/>
  <c r="H419" i="13" s="1"/>
  <c r="R377" i="11"/>
  <c r="K8" i="15"/>
  <c r="F656" i="36"/>
  <c r="H656" i="36" s="1"/>
  <c r="D712" i="36"/>
  <c r="D661" i="36"/>
  <c r="F661" i="36" s="1"/>
  <c r="H661" i="36" s="1"/>
  <c r="C310" i="10"/>
  <c r="E310" i="10"/>
  <c r="G310" i="10" s="1"/>
  <c r="E305" i="10"/>
  <c r="G305" i="10"/>
  <c r="C359" i="10"/>
  <c r="M159" i="29"/>
  <c r="N159" i="29" s="1"/>
  <c r="M129" i="11"/>
  <c r="C1556" i="13"/>
  <c r="C1629" i="13"/>
  <c r="C1525" i="13"/>
  <c r="D441" i="14"/>
  <c r="F381" i="14"/>
  <c r="H381" i="14" s="1"/>
  <c r="C1605" i="13"/>
  <c r="C1682" i="13"/>
  <c r="C1904" i="13"/>
  <c r="C1579" i="13"/>
  <c r="C502" i="14"/>
  <c r="C525" i="14"/>
  <c r="C465" i="14"/>
  <c r="D355" i="15"/>
  <c r="F302" i="15"/>
  <c r="H302" i="15" s="1"/>
  <c r="F878" i="36"/>
  <c r="H878" i="36" s="1"/>
  <c r="J84" i="11" s="1"/>
  <c r="K97" i="29" s="1"/>
  <c r="D934" i="36"/>
  <c r="D883" i="36"/>
  <c r="F883" i="36"/>
  <c r="H883" i="36" s="1"/>
  <c r="F216" i="36"/>
  <c r="H216" i="36" s="1"/>
  <c r="D271" i="36"/>
  <c r="F271" i="36" s="1"/>
  <c r="H271" i="36" s="1"/>
  <c r="F411" i="12"/>
  <c r="G356" i="12"/>
  <c r="K369" i="29"/>
  <c r="H68" i="11"/>
  <c r="N68" i="11" s="1"/>
  <c r="P68" i="11" s="1"/>
  <c r="L176" i="11"/>
  <c r="M233" i="29" s="1"/>
  <c r="C557" i="13"/>
  <c r="C536" i="13"/>
  <c r="C504" i="13"/>
  <c r="D104" i="11"/>
  <c r="E104" i="11"/>
  <c r="F126" i="29" s="1"/>
  <c r="C507" i="14"/>
  <c r="C466" i="14"/>
  <c r="C526" i="14"/>
  <c r="J328" i="11"/>
  <c r="D373" i="12"/>
  <c r="D323" i="12"/>
  <c r="F318" i="12"/>
  <c r="H318" i="12" s="1"/>
  <c r="H14" i="5"/>
  <c r="E15" i="5"/>
  <c r="M214" i="29"/>
  <c r="M295" i="11"/>
  <c r="N214" i="29" s="1"/>
  <c r="H556" i="13"/>
  <c r="J556" i="13" s="1"/>
  <c r="D560" i="13" s="1"/>
  <c r="F560" i="13" s="1"/>
  <c r="E613" i="13"/>
  <c r="C1551" i="13"/>
  <c r="C1628" i="13"/>
  <c r="C1524" i="13"/>
  <c r="E845" i="36"/>
  <c r="D901" i="36"/>
  <c r="F131" i="11"/>
  <c r="F292" i="12"/>
  <c r="L305" i="11"/>
  <c r="M370" i="29" s="1"/>
  <c r="L92" i="29"/>
  <c r="D716" i="36"/>
  <c r="F716" i="36" s="1"/>
  <c r="H716" i="36" s="1"/>
  <c r="F711" i="36"/>
  <c r="H711" i="36" s="1"/>
  <c r="D767" i="36"/>
  <c r="E307" i="10"/>
  <c r="G307" i="10" s="1"/>
  <c r="C312" i="10"/>
  <c r="E312" i="10" s="1"/>
  <c r="G312" i="10"/>
  <c r="C361" i="10"/>
  <c r="J305" i="11"/>
  <c r="G1031" i="36"/>
  <c r="E1087" i="36"/>
  <c r="B223" i="16"/>
  <c r="B272" i="16"/>
  <c r="B325" i="16" s="1"/>
  <c r="B254" i="16"/>
  <c r="C1683" i="13"/>
  <c r="C1610" i="13"/>
  <c r="C1580" i="13"/>
  <c r="C1905" i="13"/>
  <c r="M52" i="29"/>
  <c r="N52" i="29"/>
  <c r="M39" i="11"/>
  <c r="C937" i="36"/>
  <c r="C905" i="36"/>
  <c r="C957" i="36"/>
  <c r="L100" i="11"/>
  <c r="F276" i="14"/>
  <c r="H276" i="14"/>
  <c r="D331" i="14"/>
  <c r="G559" i="9"/>
  <c r="F627" i="12"/>
  <c r="G572" i="12"/>
  <c r="E244" i="16"/>
  <c r="D382" i="14"/>
  <c r="F326" i="14"/>
  <c r="H326" i="14"/>
  <c r="D9" i="11"/>
  <c r="D5" i="11"/>
  <c r="G639" i="14"/>
  <c r="D376" i="36"/>
  <c r="D326" i="36"/>
  <c r="F326" i="36"/>
  <c r="H326" i="36"/>
  <c r="F321" i="36"/>
  <c r="H321" i="36" s="1"/>
  <c r="C556" i="13"/>
  <c r="C531" i="13"/>
  <c r="C503" i="13"/>
  <c r="B222" i="16"/>
  <c r="B249" i="16"/>
  <c r="B271" i="16"/>
  <c r="B324" i="16" s="1"/>
  <c r="F499" i="9"/>
  <c r="F362" i="13"/>
  <c r="H362" i="13"/>
  <c r="D476" i="13"/>
  <c r="D367" i="13"/>
  <c r="F367" i="13" s="1"/>
  <c r="H367" i="13"/>
  <c r="D1389" i="13"/>
  <c r="D364" i="13"/>
  <c r="D313" i="13"/>
  <c r="F313" i="13"/>
  <c r="H313" i="13" s="1"/>
  <c r="D421" i="13"/>
  <c r="F308" i="13"/>
  <c r="H308" i="13"/>
  <c r="K436" i="29"/>
  <c r="K80" i="11"/>
  <c r="D322" i="36"/>
  <c r="F266" i="36"/>
  <c r="H266" i="36" s="1"/>
  <c r="J127" i="29"/>
  <c r="E913" i="36"/>
  <c r="G857" i="36"/>
  <c r="L54" i="29"/>
  <c r="C310" i="16"/>
  <c r="E310" i="16" s="1"/>
  <c r="G310" i="16"/>
  <c r="E305" i="16"/>
  <c r="D386" i="14"/>
  <c r="F330" i="14"/>
  <c r="H330" i="14"/>
  <c r="K42" i="11"/>
  <c r="F286" i="9"/>
  <c r="H286" i="9" s="1"/>
  <c r="D335" i="9"/>
  <c r="G160" i="29"/>
  <c r="L378" i="11"/>
  <c r="J83" i="11"/>
  <c r="G834" i="12"/>
  <c r="I81" i="29"/>
  <c r="O81" i="29" s="1"/>
  <c r="L72" i="11"/>
  <c r="M85" i="29" s="1"/>
  <c r="D525" i="14"/>
  <c r="E461" i="14"/>
  <c r="M40" i="11"/>
  <c r="C400" i="36"/>
  <c r="C428" i="36"/>
  <c r="F213" i="29"/>
  <c r="H294" i="11"/>
  <c r="L230" i="29"/>
  <c r="N230" i="29"/>
  <c r="P230" i="29"/>
  <c r="Q230" i="29" s="1"/>
  <c r="S230" i="29" s="1"/>
  <c r="U230" i="29" s="1"/>
  <c r="H1436" i="13"/>
  <c r="F1433" i="13"/>
  <c r="G348" i="11"/>
  <c r="H457" i="29"/>
  <c r="F1377" i="13"/>
  <c r="G347" i="11"/>
  <c r="H456" i="29"/>
  <c r="D1930" i="13"/>
  <c r="F1600" i="13"/>
  <c r="H1600" i="13"/>
  <c r="F1597" i="13"/>
  <c r="G351" i="11"/>
  <c r="H460" i="29" s="1"/>
  <c r="D640" i="13"/>
  <c r="F526" i="13"/>
  <c r="H526" i="13"/>
  <c r="F523" i="13"/>
  <c r="G332" i="11" s="1"/>
  <c r="H441" i="29" s="1"/>
  <c r="E844" i="36"/>
  <c r="D900" i="36"/>
  <c r="G733" i="36"/>
  <c r="H677" i="36"/>
  <c r="J677" i="36"/>
  <c r="D681" i="36"/>
  <c r="F681" i="36" s="1"/>
  <c r="D504" i="12"/>
  <c r="E449" i="12"/>
  <c r="H449" i="12" s="1"/>
  <c r="J449" i="12" s="1"/>
  <c r="D453" i="12" s="1"/>
  <c r="F453" i="12" s="1"/>
  <c r="D589" i="13"/>
  <c r="D480" i="13"/>
  <c r="F480" i="13"/>
  <c r="H480" i="13"/>
  <c r="F475" i="13"/>
  <c r="H475" i="13" s="1"/>
  <c r="I330" i="11"/>
  <c r="J439" i="29"/>
  <c r="F1546" i="13"/>
  <c r="H1546" i="13" s="1"/>
  <c r="F1543" i="13" s="1"/>
  <c r="G350" i="11" s="1"/>
  <c r="H459" i="29" s="1"/>
  <c r="D1654" i="13"/>
  <c r="F1442" i="13"/>
  <c r="H1442" i="13"/>
  <c r="D1447" i="13"/>
  <c r="F1447" i="13" s="1"/>
  <c r="H1447" i="13" s="1"/>
  <c r="I348" i="11" s="1"/>
  <c r="J457" i="29" s="1"/>
  <c r="D826" i="36"/>
  <c r="F826" i="36" s="1"/>
  <c r="H826" i="36" s="1"/>
  <c r="D877" i="36"/>
  <c r="F821" i="36"/>
  <c r="H821" i="36" s="1"/>
  <c r="D560" i="14"/>
  <c r="F504" i="14"/>
  <c r="H504" i="14"/>
  <c r="D444" i="14"/>
  <c r="F384" i="14"/>
  <c r="H384" i="14"/>
  <c r="I43" i="11"/>
  <c r="J56" i="29" s="1"/>
  <c r="G404" i="12"/>
  <c r="F459" i="12"/>
  <c r="D1502" i="13"/>
  <c r="F1502" i="13" s="1"/>
  <c r="H1502" i="13" s="1"/>
  <c r="D1552" i="13"/>
  <c r="F1497" i="13"/>
  <c r="H1497" i="13" s="1"/>
  <c r="D1606" i="13"/>
  <c r="D583" i="13"/>
  <c r="F469" i="13"/>
  <c r="H469" i="13" s="1"/>
  <c r="F466" i="13" s="1"/>
  <c r="G331" i="11" s="1"/>
  <c r="H440" i="29" s="1"/>
  <c r="F519" i="12"/>
  <c r="G464" i="12"/>
  <c r="G343" i="36"/>
  <c r="H287" i="36"/>
  <c r="J287" i="36" s="1"/>
  <c r="D291" i="36" s="1"/>
  <c r="F291" i="36" s="1"/>
  <c r="E462" i="14"/>
  <c r="H462" i="14" s="1"/>
  <c r="J462" i="14" s="1"/>
  <c r="D466" i="14" s="1"/>
  <c r="F466" i="14" s="1"/>
  <c r="D526" i="14"/>
  <c r="D537" i="13"/>
  <c r="F537" i="13"/>
  <c r="H537" i="13"/>
  <c r="F532" i="13"/>
  <c r="H532" i="13" s="1"/>
  <c r="D646" i="13"/>
  <c r="I347" i="11"/>
  <c r="J456" i="29" s="1"/>
  <c r="I329" i="11"/>
  <c r="J438" i="29"/>
  <c r="F339" i="29"/>
  <c r="E339" i="29"/>
  <c r="E1447" i="39"/>
  <c r="E1344" i="39"/>
  <c r="E1396" i="39" s="1"/>
  <c r="E1191" i="39"/>
  <c r="E1243" i="39"/>
  <c r="E1294" i="39" s="1"/>
  <c r="E1140" i="39"/>
  <c r="G418" i="39"/>
  <c r="D470" i="39"/>
  <c r="P325" i="11"/>
  <c r="R325" i="11" s="1"/>
  <c r="E1808" i="13"/>
  <c r="G1808" i="13"/>
  <c r="G1754" i="13"/>
  <c r="G2139" i="13"/>
  <c r="G2194" i="13" s="1"/>
  <c r="E2194" i="13"/>
  <c r="H662" i="36"/>
  <c r="F649" i="36"/>
  <c r="G2361" i="13"/>
  <c r="E2414" i="13"/>
  <c r="Q434" i="29"/>
  <c r="S434" i="29"/>
  <c r="U434" i="29"/>
  <c r="J177" i="11"/>
  <c r="K234" i="29"/>
  <c r="K332" i="11"/>
  <c r="L441" i="29" s="1"/>
  <c r="F445" i="14"/>
  <c r="H445" i="14"/>
  <c r="J44" i="11"/>
  <c r="K57" i="29" s="1"/>
  <c r="D509" i="14"/>
  <c r="I308" i="11"/>
  <c r="J373" i="29"/>
  <c r="E464" i="10"/>
  <c r="G464" i="10" s="1"/>
  <c r="C517" i="10"/>
  <c r="C469" i="10"/>
  <c r="E469" i="10" s="1"/>
  <c r="G469" i="10" s="1"/>
  <c r="D457" i="15"/>
  <c r="F405" i="15"/>
  <c r="H405" i="15" s="1"/>
  <c r="D480" i="12"/>
  <c r="F425" i="12"/>
  <c r="H425" i="12" s="1"/>
  <c r="I133" i="11" s="1"/>
  <c r="J163" i="29" s="1"/>
  <c r="C302" i="39"/>
  <c r="E297" i="39"/>
  <c r="G297" i="39" s="1"/>
  <c r="C348" i="39"/>
  <c r="C399" i="39"/>
  <c r="D616" i="14"/>
  <c r="F559" i="14"/>
  <c r="H559" i="14"/>
  <c r="K348" i="11"/>
  <c r="L457" i="29" s="1"/>
  <c r="C349" i="39"/>
  <c r="C400" i="39"/>
  <c r="C303" i="39"/>
  <c r="E298" i="39"/>
  <c r="G298" i="39"/>
  <c r="D556" i="15"/>
  <c r="F504" i="15"/>
  <c r="H504" i="15"/>
  <c r="I383" i="11"/>
  <c r="D435" i="36"/>
  <c r="F435" i="36" s="1"/>
  <c r="H435" i="36" s="1"/>
  <c r="J76" i="11" s="1"/>
  <c r="K89" i="29" s="1"/>
  <c r="F380" i="36"/>
  <c r="H380" i="36"/>
  <c r="J75" i="11"/>
  <c r="K88" i="29" s="1"/>
  <c r="E295" i="39"/>
  <c r="G295" i="39"/>
  <c r="C346" i="39"/>
  <c r="C397" i="39" s="1"/>
  <c r="C300" i="39"/>
  <c r="C301" i="39"/>
  <c r="C347" i="39"/>
  <c r="C398" i="39" s="1"/>
  <c r="E296" i="39"/>
  <c r="G296" i="39"/>
  <c r="M84" i="29"/>
  <c r="F375" i="12"/>
  <c r="H375" i="12" s="1"/>
  <c r="I132" i="11" s="1"/>
  <c r="D430" i="12"/>
  <c r="K331" i="11"/>
  <c r="L440" i="29" s="1"/>
  <c r="E499" i="9"/>
  <c r="D548" i="9"/>
  <c r="E327" i="11"/>
  <c r="F436" i="29"/>
  <c r="F219" i="13"/>
  <c r="E443" i="13"/>
  <c r="D1521" i="13"/>
  <c r="D1629" i="13"/>
  <c r="D1576" i="13"/>
  <c r="E1466" i="13"/>
  <c r="E1411" i="13"/>
  <c r="E436" i="29"/>
  <c r="F396" i="36"/>
  <c r="H396" i="36" s="1"/>
  <c r="J396" i="36" s="1"/>
  <c r="D400" i="36" s="1"/>
  <c r="F400" i="36" s="1"/>
  <c r="H342" i="36"/>
  <c r="J342" i="36"/>
  <c r="D346" i="36"/>
  <c r="F346" i="36" s="1"/>
  <c r="F788" i="36"/>
  <c r="H732" i="36"/>
  <c r="J732" i="36"/>
  <c r="D736" i="36"/>
  <c r="F736" i="36" s="1"/>
  <c r="G401" i="14"/>
  <c r="H346" i="14"/>
  <c r="J346" i="14"/>
  <c r="D350" i="14" s="1"/>
  <c r="F350" i="14" s="1"/>
  <c r="E54" i="29"/>
  <c r="D42" i="11"/>
  <c r="D297" i="14"/>
  <c r="F297" i="14"/>
  <c r="R67" i="11"/>
  <c r="Q80" i="29"/>
  <c r="S80" i="29" s="1"/>
  <c r="U80" i="29" s="1"/>
  <c r="Q81" i="29"/>
  <c r="S81" i="29"/>
  <c r="U81" i="29" s="1"/>
  <c r="D448" i="12"/>
  <c r="E393" i="12"/>
  <c r="H393" i="12"/>
  <c r="J393" i="12" s="1"/>
  <c r="D397" i="12" s="1"/>
  <c r="F397" i="12" s="1"/>
  <c r="G136" i="11"/>
  <c r="H166" i="29" s="1"/>
  <c r="F581" i="12"/>
  <c r="F406" i="15"/>
  <c r="H406" i="15" s="1"/>
  <c r="K381" i="11" s="1"/>
  <c r="D458" i="15"/>
  <c r="F528" i="9"/>
  <c r="H528" i="9"/>
  <c r="I106" i="11"/>
  <c r="J128" i="29" s="1"/>
  <c r="D577" i="9"/>
  <c r="F432" i="12"/>
  <c r="H432" i="12"/>
  <c r="K133" i="11" s="1"/>
  <c r="L163" i="29" s="1"/>
  <c r="D487" i="12"/>
  <c r="B422" i="39"/>
  <c r="B446" i="39"/>
  <c r="D537" i="12"/>
  <c r="F482" i="12"/>
  <c r="H482" i="12" s="1"/>
  <c r="F382" i="9"/>
  <c r="H382" i="9"/>
  <c r="J103" i="11" s="1"/>
  <c r="K125" i="29" s="1"/>
  <c r="D431" i="9"/>
  <c r="D694" i="12"/>
  <c r="F639" i="12"/>
  <c r="H639" i="12" s="1"/>
  <c r="F907" i="16"/>
  <c r="F960" i="16"/>
  <c r="F906" i="16"/>
  <c r="F959" i="16" s="1"/>
  <c r="F1011" i="16" s="1"/>
  <c r="F1065" i="16" s="1"/>
  <c r="E906" i="16"/>
  <c r="E959" i="16"/>
  <c r="G271" i="16"/>
  <c r="I271" i="16"/>
  <c r="C275" i="16" s="1"/>
  <c r="E275" i="16" s="1"/>
  <c r="D324" i="16"/>
  <c r="G272" i="16"/>
  <c r="I272" i="16"/>
  <c r="C276" i="16"/>
  <c r="E276" i="16" s="1"/>
  <c r="D325" i="16"/>
  <c r="C307" i="16"/>
  <c r="E307" i="16"/>
  <c r="G307" i="16"/>
  <c r="E302" i="16"/>
  <c r="G302" i="16" s="1"/>
  <c r="G250" i="16"/>
  <c r="I176" i="11"/>
  <c r="J233" i="29" s="1"/>
  <c r="G305" i="16"/>
  <c r="L177" i="11"/>
  <c r="M234" i="29"/>
  <c r="G244" i="16"/>
  <c r="G570" i="12"/>
  <c r="F625" i="12"/>
  <c r="G468" i="12"/>
  <c r="F523" i="12"/>
  <c r="F626" i="12"/>
  <c r="G571" i="12"/>
  <c r="G465" i="12"/>
  <c r="F520" i="12"/>
  <c r="E1029" i="36"/>
  <c r="G973" i="36"/>
  <c r="G467" i="12"/>
  <c r="F522" i="12"/>
  <c r="F746" i="13"/>
  <c r="G689" i="13"/>
  <c r="G683" i="13"/>
  <c r="F740" i="13"/>
  <c r="G687" i="13"/>
  <c r="F744" i="13"/>
  <c r="F741" i="13"/>
  <c r="G684" i="13"/>
  <c r="F688" i="13"/>
  <c r="G631" i="13"/>
  <c r="G866" i="36"/>
  <c r="F853" i="36" s="1"/>
  <c r="F84" i="11" s="1"/>
  <c r="G97" i="29" s="1"/>
  <c r="F2135" i="13"/>
  <c r="G2081" i="13"/>
  <c r="F2195" i="13"/>
  <c r="G2140" i="13"/>
  <c r="G2195" i="13"/>
  <c r="G915" i="36"/>
  <c r="E971" i="36"/>
  <c r="G577" i="13"/>
  <c r="F634" i="13"/>
  <c r="G1755" i="13"/>
  <c r="F1809" i="13"/>
  <c r="G1809" i="13"/>
  <c r="F2357" i="13"/>
  <c r="G2300" i="13"/>
  <c r="G2362" i="13"/>
  <c r="F2415" i="13"/>
  <c r="F1750" i="13"/>
  <c r="G1696" i="13"/>
  <c r="G690" i="13"/>
  <c r="F747" i="13"/>
  <c r="E1028" i="36"/>
  <c r="G972" i="36"/>
  <c r="D1662" i="13"/>
  <c r="F1554" i="13"/>
  <c r="H1554" i="13"/>
  <c r="D1559" i="13"/>
  <c r="F1559" i="13" s="1"/>
  <c r="H1559" i="13" s="1"/>
  <c r="K350" i="11" s="1"/>
  <c r="L459" i="29" s="1"/>
  <c r="D705" i="13"/>
  <c r="D596" i="13"/>
  <c r="F596" i="13" s="1"/>
  <c r="H596" i="13" s="1"/>
  <c r="F591" i="13"/>
  <c r="H591" i="13" s="1"/>
  <c r="E2407" i="13"/>
  <c r="D653" i="13"/>
  <c r="F653" i="13" s="1"/>
  <c r="H653" i="13" s="1"/>
  <c r="D762" i="13"/>
  <c r="F648" i="13"/>
  <c r="H648" i="13" s="1"/>
  <c r="G1033" i="36"/>
  <c r="E1089" i="36"/>
  <c r="C503" i="12"/>
  <c r="C452" i="12"/>
  <c r="C479" i="12"/>
  <c r="C848" i="36"/>
  <c r="C900" i="36"/>
  <c r="C876" i="36"/>
  <c r="E974" i="36"/>
  <c r="G918" i="36"/>
  <c r="E1801" i="13"/>
  <c r="E1802" i="13"/>
  <c r="G1802" i="13"/>
  <c r="G1748" i="13"/>
  <c r="E2408" i="13"/>
  <c r="G2355" i="13"/>
  <c r="C409" i="16"/>
  <c r="C462" i="16" s="1"/>
  <c r="E357" i="16"/>
  <c r="G357" i="16"/>
  <c r="C362" i="16"/>
  <c r="E362" i="16" s="1"/>
  <c r="G362" i="16" s="1"/>
  <c r="J179" i="11" s="1"/>
  <c r="K236" i="29" s="1"/>
  <c r="E2188" i="13"/>
  <c r="G2133" i="13"/>
  <c r="G2188" i="13" s="1"/>
  <c r="G2466" i="13"/>
  <c r="E2519" i="13"/>
  <c r="G2519" i="13" s="1"/>
  <c r="D1613" i="13"/>
  <c r="F1613" i="13"/>
  <c r="H1613" i="13" s="1"/>
  <c r="K351" i="11" s="1"/>
  <c r="L460" i="29" s="1"/>
  <c r="F1608" i="13"/>
  <c r="H1608" i="13"/>
  <c r="D1938" i="13"/>
  <c r="E2138" i="13"/>
  <c r="G2084" i="13"/>
  <c r="D486" i="12"/>
  <c r="F431" i="12"/>
  <c r="H431" i="12"/>
  <c r="J133" i="11" s="1"/>
  <c r="K163" i="29" s="1"/>
  <c r="E1753" i="13"/>
  <c r="G1699" i="13"/>
  <c r="F481" i="12"/>
  <c r="H481" i="12" s="1"/>
  <c r="D536" i="12"/>
  <c r="G2303" i="13"/>
  <c r="E2360" i="13"/>
  <c r="E2187" i="13"/>
  <c r="G1082" i="36"/>
  <c r="E1138" i="36"/>
  <c r="L55" i="29"/>
  <c r="F335" i="9"/>
  <c r="H335" i="9"/>
  <c r="D384" i="9"/>
  <c r="D105" i="11"/>
  <c r="D456" i="9"/>
  <c r="F456" i="9"/>
  <c r="E105" i="11"/>
  <c r="F127" i="29" s="1"/>
  <c r="D446" i="14"/>
  <c r="F386" i="14"/>
  <c r="H386" i="14"/>
  <c r="K43" i="11"/>
  <c r="K96" i="29"/>
  <c r="E969" i="36"/>
  <c r="G913" i="36"/>
  <c r="D377" i="36"/>
  <c r="F322" i="36"/>
  <c r="H322" i="36" s="1"/>
  <c r="D327" i="36"/>
  <c r="F327" i="36"/>
  <c r="H327" i="36" s="1"/>
  <c r="F364" i="13"/>
  <c r="H364" i="13"/>
  <c r="D478" i="13"/>
  <c r="D369" i="13"/>
  <c r="F369" i="13" s="1"/>
  <c r="H369" i="13" s="1"/>
  <c r="L329" i="11" s="1"/>
  <c r="M122" i="29"/>
  <c r="C1960" i="13"/>
  <c r="C1940" i="13"/>
  <c r="C1909" i="13"/>
  <c r="G1087" i="36"/>
  <c r="E1143" i="36"/>
  <c r="C366" i="10"/>
  <c r="E366" i="10"/>
  <c r="G366" i="10" s="1"/>
  <c r="L307" i="11" s="1"/>
  <c r="M372" i="29" s="1"/>
  <c r="E361" i="10"/>
  <c r="G361" i="10"/>
  <c r="C414" i="10"/>
  <c r="D957" i="36"/>
  <c r="E901" i="36"/>
  <c r="H613" i="13"/>
  <c r="J613" i="13" s="1"/>
  <c r="D617" i="13" s="1"/>
  <c r="F617" i="13" s="1"/>
  <c r="E670" i="13"/>
  <c r="F323" i="12"/>
  <c r="H323" i="12"/>
  <c r="D378" i="12"/>
  <c r="C530" i="14"/>
  <c r="C582" i="14"/>
  <c r="C563" i="14"/>
  <c r="E126" i="29"/>
  <c r="D939" i="36"/>
  <c r="F939" i="36"/>
  <c r="H939" i="36"/>
  <c r="F934" i="36"/>
  <c r="H934" i="36" s="1"/>
  <c r="J85" i="11" s="1"/>
  <c r="D990" i="36"/>
  <c r="L379" i="11"/>
  <c r="M379" i="11" s="1"/>
  <c r="H307" i="15"/>
  <c r="F295" i="15" s="1"/>
  <c r="C1908" i="13"/>
  <c r="C1959" i="13"/>
  <c r="C1935" i="13"/>
  <c r="C1633" i="13"/>
  <c r="C1737" i="13"/>
  <c r="C1664" i="13"/>
  <c r="J306" i="11"/>
  <c r="J330" i="11"/>
  <c r="L80" i="11"/>
  <c r="M93" i="29"/>
  <c r="L101" i="11"/>
  <c r="F548" i="9"/>
  <c r="H499" i="9"/>
  <c r="J499" i="9"/>
  <c r="D502" i="9"/>
  <c r="F502" i="9" s="1"/>
  <c r="C588" i="13"/>
  <c r="C613" i="13"/>
  <c r="C560" i="13"/>
  <c r="F376" i="36"/>
  <c r="H376" i="36" s="1"/>
  <c r="D431" i="36"/>
  <c r="F431" i="36"/>
  <c r="H431" i="36" s="1"/>
  <c r="D381" i="36"/>
  <c r="G695" i="14"/>
  <c r="E296" i="16"/>
  <c r="G296" i="16" s="1"/>
  <c r="G608" i="9"/>
  <c r="C1687" i="13"/>
  <c r="C1791" i="13"/>
  <c r="C1718" i="13"/>
  <c r="K370" i="29"/>
  <c r="N370" i="29" s="1"/>
  <c r="M305" i="11"/>
  <c r="D772" i="36"/>
  <c r="F772" i="36" s="1"/>
  <c r="H772" i="36" s="1"/>
  <c r="F767" i="36"/>
  <c r="H767" i="36" s="1"/>
  <c r="K82" i="11" s="1"/>
  <c r="D823" i="36"/>
  <c r="C1659" i="13"/>
  <c r="C1736" i="13"/>
  <c r="C1632" i="13"/>
  <c r="K437" i="29"/>
  <c r="C257" i="16"/>
  <c r="E257" i="16" s="1"/>
  <c r="G257" i="16" s="1"/>
  <c r="G259" i="16" s="1"/>
  <c r="E246" i="16" s="1"/>
  <c r="E252" i="16"/>
  <c r="C304" i="16"/>
  <c r="C358" i="16" s="1"/>
  <c r="C529" i="14"/>
  <c r="C558" i="14"/>
  <c r="C581" i="14"/>
  <c r="E359" i="10"/>
  <c r="G359" i="10" s="1"/>
  <c r="C412" i="10"/>
  <c r="C364" i="10"/>
  <c r="E364" i="10" s="1"/>
  <c r="G364" i="10" s="1"/>
  <c r="D717" i="36"/>
  <c r="F717" i="36"/>
  <c r="H717" i="36" s="1"/>
  <c r="L81" i="11" s="1"/>
  <c r="M94" i="29" s="1"/>
  <c r="F712" i="36"/>
  <c r="H712" i="36"/>
  <c r="D768" i="36"/>
  <c r="E2067" i="13"/>
  <c r="H2067" i="13" s="1"/>
  <c r="J2067" i="13" s="1"/>
  <c r="D2071" i="13" s="1"/>
  <c r="F2071" i="13" s="1"/>
  <c r="D2121" i="13"/>
  <c r="D1448" i="13"/>
  <c r="F1448" i="13"/>
  <c r="H1448" i="13" s="1"/>
  <c r="J348" i="11" s="1"/>
  <c r="K457" i="29" s="1"/>
  <c r="F1443" i="13"/>
  <c r="H1443" i="13"/>
  <c r="D426" i="13"/>
  <c r="F426" i="13" s="1"/>
  <c r="H426" i="13" s="1"/>
  <c r="D535" i="13"/>
  <c r="F421" i="13"/>
  <c r="H421" i="13" s="1"/>
  <c r="F331" i="14"/>
  <c r="H331" i="14"/>
  <c r="L42" i="11" s="1"/>
  <c r="D387" i="14"/>
  <c r="V81" i="29"/>
  <c r="R68" i="11"/>
  <c r="F466" i="12"/>
  <c r="G411" i="12"/>
  <c r="D505" i="14"/>
  <c r="F441" i="14"/>
  <c r="H441" i="14"/>
  <c r="D98" i="18"/>
  <c r="D31" i="18"/>
  <c r="D10" i="18"/>
  <c r="D76" i="18"/>
  <c r="D54" i="18"/>
  <c r="D647" i="13"/>
  <c r="D538" i="13"/>
  <c r="F538" i="13"/>
  <c r="H538" i="13" s="1"/>
  <c r="J332" i="11" s="1"/>
  <c r="F533" i="13"/>
  <c r="H533" i="13"/>
  <c r="C614" i="12"/>
  <c r="C594" i="12"/>
  <c r="C563" i="12"/>
  <c r="D1553" i="13"/>
  <c r="F1498" i="13"/>
  <c r="H1498" i="13" s="1"/>
  <c r="D1503" i="13"/>
  <c r="F1503" i="13"/>
  <c r="H1503" i="13" s="1"/>
  <c r="D1607" i="13"/>
  <c r="G889" i="12"/>
  <c r="L93" i="29"/>
  <c r="J329" i="11"/>
  <c r="B301" i="16"/>
  <c r="B275" i="16"/>
  <c r="D1445" i="13"/>
  <c r="D1394" i="13"/>
  <c r="F1394" i="13"/>
  <c r="H1394" i="13" s="1"/>
  <c r="L347" i="11" s="1"/>
  <c r="M456" i="29" s="1"/>
  <c r="F1389" i="13"/>
  <c r="H1389" i="13"/>
  <c r="D1500" i="13"/>
  <c r="F476" i="13"/>
  <c r="H476" i="13" s="1"/>
  <c r="J331" i="11" s="1"/>
  <c r="K440" i="29" s="1"/>
  <c r="D481" i="13"/>
  <c r="F481" i="13"/>
  <c r="H481" i="13" s="1"/>
  <c r="D590" i="13"/>
  <c r="K74" i="11"/>
  <c r="D442" i="14"/>
  <c r="F382" i="14"/>
  <c r="H382" i="14"/>
  <c r="F682" i="12"/>
  <c r="G627" i="12"/>
  <c r="C961" i="36"/>
  <c r="C993" i="36"/>
  <c r="C1013" i="36"/>
  <c r="B306" i="16"/>
  <c r="B276" i="16"/>
  <c r="G161" i="29"/>
  <c r="E16" i="5"/>
  <c r="H15" i="5"/>
  <c r="F373" i="12"/>
  <c r="H373" i="12" s="1"/>
  <c r="D428" i="12"/>
  <c r="C593" i="13"/>
  <c r="C614" i="13"/>
  <c r="C561" i="13"/>
  <c r="F347" i="12"/>
  <c r="F132" i="11"/>
  <c r="D407" i="15"/>
  <c r="D664" i="15"/>
  <c r="F664" i="15"/>
  <c r="H664" i="15" s="1"/>
  <c r="H669" i="15" s="1"/>
  <c r="F657" i="15" s="1"/>
  <c r="F355" i="15"/>
  <c r="H355" i="15"/>
  <c r="C1713" i="13"/>
  <c r="C1686" i="13"/>
  <c r="C1790" i="13"/>
  <c r="H1959" i="13"/>
  <c r="J1959" i="13" s="1"/>
  <c r="D1963" i="13" s="1"/>
  <c r="F1963" i="13" s="1"/>
  <c r="E2013" i="13"/>
  <c r="H2013" i="13" s="1"/>
  <c r="J2013" i="13" s="1"/>
  <c r="D2017" i="13" s="1"/>
  <c r="F2017" i="13" s="1"/>
  <c r="C572" i="10"/>
  <c r="E519" i="10"/>
  <c r="G519" i="10"/>
  <c r="C524" i="10"/>
  <c r="E524" i="10" s="1"/>
  <c r="G524" i="10" s="1"/>
  <c r="K310" i="11" s="1"/>
  <c r="L375" i="29" s="1"/>
  <c r="H332" i="14"/>
  <c r="F319" i="14"/>
  <c r="F398" i="9"/>
  <c r="D581" i="14"/>
  <c r="E525" i="14"/>
  <c r="I213" i="29"/>
  <c r="P213" i="29" s="1"/>
  <c r="Q213" i="29" s="1"/>
  <c r="S213" i="29" s="1"/>
  <c r="U213" i="29" s="1"/>
  <c r="N294" i="11"/>
  <c r="P294" i="11"/>
  <c r="R294" i="11"/>
  <c r="G414" i="12"/>
  <c r="D1557" i="13"/>
  <c r="F1557" i="13"/>
  <c r="H1557" i="13"/>
  <c r="D1660" i="13"/>
  <c r="F1552" i="13"/>
  <c r="H1552" i="13"/>
  <c r="D617" i="14"/>
  <c r="F560" i="14"/>
  <c r="H560" i="14" s="1"/>
  <c r="J46" i="11" s="1"/>
  <c r="K59" i="29" s="1"/>
  <c r="D956" i="36"/>
  <c r="E900" i="36"/>
  <c r="D760" i="13"/>
  <c r="D651" i="13"/>
  <c r="F651" i="13"/>
  <c r="H651" i="13"/>
  <c r="F646" i="13"/>
  <c r="H646" i="13" s="1"/>
  <c r="I334" i="11" s="1"/>
  <c r="J443" i="29" s="1"/>
  <c r="G519" i="12"/>
  <c r="F574" i="12"/>
  <c r="D703" i="13"/>
  <c r="F589" i="13"/>
  <c r="H589" i="13"/>
  <c r="D594" i="13"/>
  <c r="F594" i="13" s="1"/>
  <c r="H594" i="13" s="1"/>
  <c r="I333" i="11" s="1"/>
  <c r="J442" i="29" s="1"/>
  <c r="G789" i="36"/>
  <c r="H733" i="36"/>
  <c r="J733" i="36" s="1"/>
  <c r="D737" i="36" s="1"/>
  <c r="F737" i="36" s="1"/>
  <c r="D754" i="13"/>
  <c r="F640" i="13"/>
  <c r="H640" i="13"/>
  <c r="F637" i="13"/>
  <c r="G334" i="11" s="1"/>
  <c r="H443" i="29" s="1"/>
  <c r="E526" i="14"/>
  <c r="H526" i="14" s="1"/>
  <c r="J526" i="14" s="1"/>
  <c r="D530" i="14" s="1"/>
  <c r="F530" i="14" s="1"/>
  <c r="D582" i="14"/>
  <c r="F1606" i="13"/>
  <c r="H1606" i="13"/>
  <c r="D1936" i="13"/>
  <c r="D1611" i="13"/>
  <c r="F1611" i="13"/>
  <c r="H1611" i="13"/>
  <c r="F514" i="12"/>
  <c r="G459" i="12"/>
  <c r="D933" i="36"/>
  <c r="F877" i="36"/>
  <c r="H877" i="36" s="1"/>
  <c r="I84" i="11" s="1"/>
  <c r="J97" i="29" s="1"/>
  <c r="D882" i="36"/>
  <c r="F882" i="36"/>
  <c r="H882" i="36"/>
  <c r="D1708" i="13"/>
  <c r="D1762" i="13" s="1"/>
  <c r="D1816" i="13" s="1"/>
  <c r="D1876" i="13" s="1"/>
  <c r="F1654" i="13"/>
  <c r="G397" i="36"/>
  <c r="H397" i="36" s="1"/>
  <c r="J397" i="36" s="1"/>
  <c r="D401" i="36" s="1"/>
  <c r="F401" i="36" s="1"/>
  <c r="H343" i="36"/>
  <c r="J343" i="36"/>
  <c r="D347" i="36"/>
  <c r="F347" i="36" s="1"/>
  <c r="F583" i="13"/>
  <c r="H583" i="13"/>
  <c r="F580" i="13" s="1"/>
  <c r="G333" i="11" s="1"/>
  <c r="H442" i="29" s="1"/>
  <c r="D697" i="13"/>
  <c r="F444" i="14"/>
  <c r="H444" i="14" s="1"/>
  <c r="I44" i="11" s="1"/>
  <c r="J57" i="29" s="1"/>
  <c r="D508" i="14"/>
  <c r="D559" i="12"/>
  <c r="E504" i="12"/>
  <c r="H504" i="12"/>
  <c r="J504" i="12" s="1"/>
  <c r="D508" i="12" s="1"/>
  <c r="F508" i="12" s="1"/>
  <c r="F1930" i="13"/>
  <c r="H1930" i="13" s="1"/>
  <c r="D1985" i="13"/>
  <c r="H339" i="29"/>
  <c r="E1499" i="39"/>
  <c r="E1550" i="39"/>
  <c r="I418" i="39"/>
  <c r="C422" i="39"/>
  <c r="E422" i="39" s="1"/>
  <c r="G470" i="39"/>
  <c r="C405" i="39"/>
  <c r="E405" i="39"/>
  <c r="G405" i="39" s="1"/>
  <c r="L240" i="11" s="1"/>
  <c r="M308" i="29" s="1"/>
  <c r="E400" i="39"/>
  <c r="G400" i="39"/>
  <c r="E399" i="39"/>
  <c r="G399" i="39"/>
  <c r="C404" i="39"/>
  <c r="E404" i="39" s="1"/>
  <c r="G404" i="39" s="1"/>
  <c r="K240" i="11" s="1"/>
  <c r="L308" i="29" s="1"/>
  <c r="G2414" i="13"/>
  <c r="E2469" i="13"/>
  <c r="F509" i="14"/>
  <c r="H509" i="14" s="1"/>
  <c r="J45" i="11" s="1"/>
  <c r="K58" i="29" s="1"/>
  <c r="D565" i="14"/>
  <c r="E517" i="10"/>
  <c r="G517" i="10" s="1"/>
  <c r="I310" i="11" s="1"/>
  <c r="J375" i="29" s="1"/>
  <c r="C570" i="10"/>
  <c r="C522" i="10"/>
  <c r="E522" i="10" s="1"/>
  <c r="G522" i="10" s="1"/>
  <c r="F616" i="14"/>
  <c r="H616" i="14" s="1"/>
  <c r="D672" i="14"/>
  <c r="C353" i="39"/>
  <c r="E353" i="39"/>
  <c r="G353" i="39" s="1"/>
  <c r="C449" i="39"/>
  <c r="C502" i="39"/>
  <c r="E348" i="39"/>
  <c r="G348" i="39" s="1"/>
  <c r="C352" i="39"/>
  <c r="E352" i="39"/>
  <c r="G352" i="39"/>
  <c r="E347" i="39"/>
  <c r="G347" i="39" s="1"/>
  <c r="J239" i="11" s="1"/>
  <c r="K307" i="29" s="1"/>
  <c r="C448" i="39"/>
  <c r="C501" i="39"/>
  <c r="C450" i="39"/>
  <c r="C503" i="39" s="1"/>
  <c r="E349" i="39"/>
  <c r="G349" i="39"/>
  <c r="C354" i="39"/>
  <c r="E354" i="39" s="1"/>
  <c r="G354" i="39" s="1"/>
  <c r="L239" i="11" s="1"/>
  <c r="M307" i="29" s="1"/>
  <c r="F457" i="15"/>
  <c r="H457" i="15"/>
  <c r="J382" i="11" s="1"/>
  <c r="D505" i="15"/>
  <c r="N93" i="29"/>
  <c r="D535" i="12"/>
  <c r="F480" i="12"/>
  <c r="H480" i="12" s="1"/>
  <c r="F430" i="12"/>
  <c r="H430" i="12"/>
  <c r="D485" i="12"/>
  <c r="E346" i="39"/>
  <c r="G346" i="39" s="1"/>
  <c r="C351" i="39"/>
  <c r="E351" i="39"/>
  <c r="G351" i="39"/>
  <c r="C447" i="39"/>
  <c r="C500" i="39" s="1"/>
  <c r="D608" i="15"/>
  <c r="F608" i="15"/>
  <c r="H608" i="15" s="1"/>
  <c r="I385" i="11" s="1"/>
  <c r="F556" i="15"/>
  <c r="H556" i="15"/>
  <c r="I384" i="11" s="1"/>
  <c r="M80" i="11"/>
  <c r="E548" i="9"/>
  <c r="H548" i="9"/>
  <c r="J548" i="9" s="1"/>
  <c r="D551" i="9" s="1"/>
  <c r="F551" i="9" s="1"/>
  <c r="D597" i="9"/>
  <c r="F447" i="9"/>
  <c r="E1576" i="13"/>
  <c r="D1683" i="13"/>
  <c r="D1905" i="13"/>
  <c r="E1521" i="13"/>
  <c r="E500" i="13"/>
  <c r="D1737" i="13"/>
  <c r="E1629" i="13"/>
  <c r="W80" i="29"/>
  <c r="F844" i="36"/>
  <c r="H788" i="36"/>
  <c r="J788" i="36"/>
  <c r="D792" i="36"/>
  <c r="F792" i="36" s="1"/>
  <c r="E55" i="29"/>
  <c r="G461" i="14"/>
  <c r="H401" i="14"/>
  <c r="J401" i="14" s="1"/>
  <c r="D405" i="14" s="1"/>
  <c r="F405" i="14" s="1"/>
  <c r="F287" i="14"/>
  <c r="H334" i="14"/>
  <c r="H336" i="14"/>
  <c r="F285" i="14" s="1"/>
  <c r="Q42" i="11" s="1"/>
  <c r="E42" i="11"/>
  <c r="F55" i="29"/>
  <c r="W81" i="29"/>
  <c r="E448" i="12"/>
  <c r="H448" i="12"/>
  <c r="J448" i="12" s="1"/>
  <c r="D452" i="12" s="1"/>
  <c r="F452" i="12" s="1"/>
  <c r="D503" i="12"/>
  <c r="D542" i="12"/>
  <c r="F487" i="12"/>
  <c r="H487" i="12" s="1"/>
  <c r="D506" i="15"/>
  <c r="F458" i="15"/>
  <c r="H458" i="15"/>
  <c r="K382" i="11"/>
  <c r="D749" i="12"/>
  <c r="F694" i="12"/>
  <c r="H694" i="12" s="1"/>
  <c r="D480" i="9"/>
  <c r="F431" i="9"/>
  <c r="H431" i="9"/>
  <c r="J104" i="11"/>
  <c r="K126" i="29" s="1"/>
  <c r="D626" i="9"/>
  <c r="F577" i="9"/>
  <c r="H577" i="9"/>
  <c r="I107" i="11" s="1"/>
  <c r="J129" i="29" s="1"/>
  <c r="D592" i="12"/>
  <c r="F537" i="12"/>
  <c r="H537" i="12"/>
  <c r="E1011" i="16"/>
  <c r="E1065" i="16" s="1"/>
  <c r="F1012" i="16"/>
  <c r="F1066" i="16"/>
  <c r="G324" i="16"/>
  <c r="C377" i="16"/>
  <c r="C429" i="16" s="1"/>
  <c r="G325" i="16"/>
  <c r="C378" i="16"/>
  <c r="C430" i="16" s="1"/>
  <c r="G252" i="16"/>
  <c r="K176" i="11" s="1"/>
  <c r="L233" i="29" s="1"/>
  <c r="F681" i="12"/>
  <c r="G626" i="12"/>
  <c r="F577" i="12"/>
  <c r="G522" i="12"/>
  <c r="G520" i="12"/>
  <c r="F575" i="12"/>
  <c r="F680" i="12"/>
  <c r="G625" i="12"/>
  <c r="G1029" i="36"/>
  <c r="E1085" i="36"/>
  <c r="G523" i="12"/>
  <c r="F578" i="12"/>
  <c r="G1750" i="13"/>
  <c r="F1804" i="13"/>
  <c r="G1804" i="13" s="1"/>
  <c r="F2410" i="13"/>
  <c r="G2357" i="13"/>
  <c r="G744" i="13"/>
  <c r="F801" i="13"/>
  <c r="G922" i="36"/>
  <c r="F909" i="36"/>
  <c r="F85" i="11"/>
  <c r="G98" i="29" s="1"/>
  <c r="G747" i="13"/>
  <c r="F804" i="13"/>
  <c r="G2415" i="13"/>
  <c r="F2470" i="13"/>
  <c r="G2470" i="13" s="1"/>
  <c r="E1027" i="36"/>
  <c r="G971" i="36"/>
  <c r="G634" i="13"/>
  <c r="F691" i="13"/>
  <c r="F798" i="13"/>
  <c r="G741" i="13"/>
  <c r="G746" i="13"/>
  <c r="F803" i="13"/>
  <c r="G688" i="13"/>
  <c r="F745" i="13"/>
  <c r="F2190" i="13"/>
  <c r="G2135" i="13"/>
  <c r="G2190" i="13" s="1"/>
  <c r="F797" i="13"/>
  <c r="G740" i="13"/>
  <c r="G1138" i="36"/>
  <c r="E1194" i="36"/>
  <c r="D591" i="12"/>
  <c r="F536" i="12"/>
  <c r="H536" i="12" s="1"/>
  <c r="D1943" i="13"/>
  <c r="F1943" i="13" s="1"/>
  <c r="H1943" i="13" s="1"/>
  <c r="D1993" i="13"/>
  <c r="F1938" i="13"/>
  <c r="H1938" i="13" s="1"/>
  <c r="E2462" i="13"/>
  <c r="G1028" i="36"/>
  <c r="E1084" i="36"/>
  <c r="E1807" i="13"/>
  <c r="G1807" i="13" s="1"/>
  <c r="G1753" i="13"/>
  <c r="E1030" i="36"/>
  <c r="G974" i="36"/>
  <c r="C904" i="36"/>
  <c r="C932" i="36"/>
  <c r="C956" i="36"/>
  <c r="D819" i="13"/>
  <c r="F705" i="13"/>
  <c r="H705" i="13" s="1"/>
  <c r="K335" i="11" s="1"/>
  <c r="L444" i="29" s="1"/>
  <c r="D710" i="13"/>
  <c r="F710" i="13"/>
  <c r="H710" i="13"/>
  <c r="G2360" i="13"/>
  <c r="E2413" i="13"/>
  <c r="G2138" i="13"/>
  <c r="G2193" i="13"/>
  <c r="E2193" i="13"/>
  <c r="C414" i="16"/>
  <c r="E414" i="16" s="1"/>
  <c r="G414" i="16" s="1"/>
  <c r="E409" i="16"/>
  <c r="E2463" i="13"/>
  <c r="G2408" i="13"/>
  <c r="E1145" i="36"/>
  <c r="G1089" i="36"/>
  <c r="D1716" i="13"/>
  <c r="F1662" i="13"/>
  <c r="H1662" i="13"/>
  <c r="D1667" i="13"/>
  <c r="F1667" i="13" s="1"/>
  <c r="H1667" i="13" s="1"/>
  <c r="K352" i="11" s="1"/>
  <c r="L461" i="29" s="1"/>
  <c r="D541" i="12"/>
  <c r="F486" i="12"/>
  <c r="H486" i="12" s="1"/>
  <c r="C558" i="12"/>
  <c r="C534" i="12"/>
  <c r="C507" i="12"/>
  <c r="F762" i="13"/>
  <c r="H762" i="13"/>
  <c r="K336" i="11" s="1"/>
  <c r="L445" i="29" s="1"/>
  <c r="D876" i="13"/>
  <c r="D767" i="13"/>
  <c r="F767" i="13"/>
  <c r="H767" i="13"/>
  <c r="E572" i="10"/>
  <c r="G572" i="10"/>
  <c r="C577" i="10"/>
  <c r="E577" i="10" s="1"/>
  <c r="G577" i="10" s="1"/>
  <c r="K311" i="11" s="1"/>
  <c r="L376" i="29" s="1"/>
  <c r="C1821" i="13"/>
  <c r="C1794" i="13"/>
  <c r="F1445" i="13"/>
  <c r="H1445" i="13" s="1"/>
  <c r="D1450" i="13"/>
  <c r="F1450" i="13"/>
  <c r="H1450" i="13" s="1"/>
  <c r="C649" i="12"/>
  <c r="C618" i="12"/>
  <c r="C669" i="12"/>
  <c r="D10" i="37"/>
  <c r="F5" i="11"/>
  <c r="F4" i="11"/>
  <c r="F521" i="12"/>
  <c r="G466" i="12"/>
  <c r="D2176" i="13"/>
  <c r="E2121" i="13"/>
  <c r="H2121" i="13"/>
  <c r="J2121" i="13"/>
  <c r="D2125" i="13" s="1"/>
  <c r="F2125" i="13" s="1"/>
  <c r="C638" i="14"/>
  <c r="C615" i="14"/>
  <c r="C585" i="14"/>
  <c r="C1826" i="13"/>
  <c r="C1795" i="13"/>
  <c r="C670" i="13"/>
  <c r="C645" i="13"/>
  <c r="C617" i="13"/>
  <c r="K439" i="29"/>
  <c r="C2067" i="13"/>
  <c r="C1963" i="13"/>
  <c r="C2013" i="13"/>
  <c r="C1990" i="13"/>
  <c r="D995" i="36"/>
  <c r="F995" i="36"/>
  <c r="H995" i="36" s="1"/>
  <c r="D1046" i="36"/>
  <c r="F990" i="36"/>
  <c r="H990" i="36"/>
  <c r="C639" i="14"/>
  <c r="C586" i="14"/>
  <c r="C620" i="14"/>
  <c r="F378" i="12"/>
  <c r="H378" i="12" s="1"/>
  <c r="D433" i="12"/>
  <c r="H670" i="13"/>
  <c r="J670" i="13" s="1"/>
  <c r="D674" i="13" s="1"/>
  <c r="F674" i="13" s="1"/>
  <c r="E727" i="13"/>
  <c r="E414" i="10"/>
  <c r="G414" i="10" s="1"/>
  <c r="C467" i="10"/>
  <c r="C419" i="10"/>
  <c r="E419" i="10" s="1"/>
  <c r="G419" i="10" s="1"/>
  <c r="E17" i="5"/>
  <c r="H16" i="5"/>
  <c r="D704" i="13"/>
  <c r="F590" i="13"/>
  <c r="H590" i="13"/>
  <c r="D595" i="13"/>
  <c r="F595" i="13" s="1"/>
  <c r="H595" i="13" s="1"/>
  <c r="G162" i="29"/>
  <c r="L56" i="29"/>
  <c r="F407" i="15"/>
  <c r="H407" i="15" s="1"/>
  <c r="L381" i="11" s="1"/>
  <c r="D459" i="15"/>
  <c r="C650" i="13"/>
  <c r="C671" i="13"/>
  <c r="C618" i="13"/>
  <c r="F428" i="12"/>
  <c r="H428" i="12"/>
  <c r="D483" i="12"/>
  <c r="F737" i="12"/>
  <c r="G682" i="12"/>
  <c r="L87" i="29"/>
  <c r="C364" i="16"/>
  <c r="E364" i="16" s="1"/>
  <c r="G364" i="16" s="1"/>
  <c r="E359" i="16"/>
  <c r="G359" i="16" s="1"/>
  <c r="L179" i="11" s="1"/>
  <c r="M236" i="29" s="1"/>
  <c r="C411" i="16"/>
  <c r="C464" i="16"/>
  <c r="D652" i="13"/>
  <c r="F652" i="13" s="1"/>
  <c r="H652" i="13" s="1"/>
  <c r="D761" i="13"/>
  <c r="F647" i="13"/>
  <c r="H647" i="13" s="1"/>
  <c r="F402" i="12"/>
  <c r="F133" i="11"/>
  <c r="D649" i="13"/>
  <c r="F535" i="13"/>
  <c r="H535" i="13" s="1"/>
  <c r="D540" i="13"/>
  <c r="F540" i="13"/>
  <c r="H540" i="13" s="1"/>
  <c r="C309" i="16"/>
  <c r="E309" i="16"/>
  <c r="G309" i="16"/>
  <c r="E304" i="16"/>
  <c r="G304" i="16" s="1"/>
  <c r="K177" i="11" s="1"/>
  <c r="C1844" i="13"/>
  <c r="C1740" i="13"/>
  <c r="C1767" i="13"/>
  <c r="F597" i="9"/>
  <c r="M123" i="29"/>
  <c r="C1845" i="13"/>
  <c r="C1741" i="13"/>
  <c r="C1772" i="13"/>
  <c r="D1013" i="36"/>
  <c r="E957" i="36"/>
  <c r="E1199" i="36"/>
  <c r="G1143" i="36"/>
  <c r="F446" i="14"/>
  <c r="H446" i="14" s="1"/>
  <c r="K44" i="11" s="1"/>
  <c r="L57" i="29" s="1"/>
  <c r="D510" i="14"/>
  <c r="G944" i="12"/>
  <c r="F1607" i="13"/>
  <c r="H1607" i="13" s="1"/>
  <c r="D1612" i="13"/>
  <c r="F1612" i="13"/>
  <c r="H1612" i="13" s="1"/>
  <c r="D1937" i="13"/>
  <c r="F8" i="11"/>
  <c r="D54" i="37"/>
  <c r="F9" i="11" s="1"/>
  <c r="F10" i="11"/>
  <c r="F11" i="11"/>
  <c r="D561" i="14"/>
  <c r="F505" i="14"/>
  <c r="H505" i="14" s="1"/>
  <c r="D824" i="36"/>
  <c r="F768" i="36"/>
  <c r="H768" i="36" s="1"/>
  <c r="L82" i="11" s="1"/>
  <c r="D773" i="36"/>
  <c r="F773" i="36"/>
  <c r="H773" i="36"/>
  <c r="E412" i="10"/>
  <c r="G412" i="10" s="1"/>
  <c r="C417" i="10"/>
  <c r="E417" i="10"/>
  <c r="G417" i="10" s="1"/>
  <c r="C465" i="10"/>
  <c r="D436" i="36"/>
  <c r="F436" i="36" s="1"/>
  <c r="H436" i="36" s="1"/>
  <c r="F381" i="36"/>
  <c r="H381" i="36" s="1"/>
  <c r="E800" i="16"/>
  <c r="C2068" i="13"/>
  <c r="C2014" i="13"/>
  <c r="C1995" i="13"/>
  <c r="C1964" i="13"/>
  <c r="D592" i="13"/>
  <c r="D483" i="13"/>
  <c r="F483" i="13" s="1"/>
  <c r="H483" i="13" s="1"/>
  <c r="F478" i="13"/>
  <c r="H478" i="13"/>
  <c r="F377" i="36"/>
  <c r="H377" i="36" s="1"/>
  <c r="D382" i="36"/>
  <c r="D432" i="36"/>
  <c r="F432" i="36" s="1"/>
  <c r="H432" i="36" s="1"/>
  <c r="E1025" i="36"/>
  <c r="G969" i="36"/>
  <c r="L102" i="11"/>
  <c r="L380" i="11"/>
  <c r="M380" i="11"/>
  <c r="H360" i="15"/>
  <c r="F348" i="15"/>
  <c r="C1017" i="36"/>
  <c r="C1069" i="36"/>
  <c r="C1049" i="36"/>
  <c r="F442" i="14"/>
  <c r="H442" i="14" s="1"/>
  <c r="D506" i="14"/>
  <c r="F1500" i="13"/>
  <c r="H1500" i="13"/>
  <c r="D1609" i="13"/>
  <c r="D1555" i="13"/>
  <c r="D1505" i="13"/>
  <c r="F1505" i="13"/>
  <c r="H1505" i="13" s="1"/>
  <c r="K438" i="29"/>
  <c r="F1553" i="13"/>
  <c r="H1553" i="13"/>
  <c r="D1558" i="13"/>
  <c r="F1558" i="13" s="1"/>
  <c r="H1558" i="13" s="1"/>
  <c r="D1661" i="13"/>
  <c r="D31" i="37"/>
  <c r="F7" i="11" s="1"/>
  <c r="F6" i="11"/>
  <c r="F387" i="14"/>
  <c r="H387" i="14" s="1"/>
  <c r="D447" i="14"/>
  <c r="D828" i="36"/>
  <c r="F828" i="36" s="1"/>
  <c r="H828" i="36" s="1"/>
  <c r="F823" i="36"/>
  <c r="H823" i="36" s="1"/>
  <c r="K83" i="11" s="1"/>
  <c r="D879" i="36"/>
  <c r="G657" i="9"/>
  <c r="G753" i="14"/>
  <c r="K371" i="29"/>
  <c r="E127" i="29"/>
  <c r="F384" i="9"/>
  <c r="H384" i="9"/>
  <c r="D433" i="9"/>
  <c r="E581" i="14"/>
  <c r="D638" i="14"/>
  <c r="H1654" i="13"/>
  <c r="F1651" i="13"/>
  <c r="G352" i="11" s="1"/>
  <c r="H461" i="29" s="1"/>
  <c r="F1708" i="13"/>
  <c r="D938" i="36"/>
  <c r="F938" i="36" s="1"/>
  <c r="H938" i="36" s="1"/>
  <c r="D989" i="36"/>
  <c r="F933" i="36"/>
  <c r="H933" i="36" s="1"/>
  <c r="D1941" i="13"/>
  <c r="F1941" i="13"/>
  <c r="H1941" i="13"/>
  <c r="F1936" i="13"/>
  <c r="H1936" i="13" s="1"/>
  <c r="D1991" i="13"/>
  <c r="D817" i="13"/>
  <c r="D708" i="13"/>
  <c r="F708" i="13" s="1"/>
  <c r="H708" i="13" s="1"/>
  <c r="F703" i="13"/>
  <c r="H703" i="13" s="1"/>
  <c r="I335" i="11" s="1"/>
  <c r="J444" i="29" s="1"/>
  <c r="D2092" i="13"/>
  <c r="D2039" i="13"/>
  <c r="F1985" i="13"/>
  <c r="D564" i="14"/>
  <c r="F508" i="14"/>
  <c r="H508" i="14" s="1"/>
  <c r="I45" i="11" s="1"/>
  <c r="J58" i="29" s="1"/>
  <c r="D868" i="13"/>
  <c r="F754" i="13"/>
  <c r="H754" i="13" s="1"/>
  <c r="F751" i="13" s="1"/>
  <c r="G336" i="11" s="1"/>
  <c r="H445" i="29" s="1"/>
  <c r="E956" i="36"/>
  <c r="D1012" i="36"/>
  <c r="D1665" i="13"/>
  <c r="F1665" i="13" s="1"/>
  <c r="H1665" i="13" s="1"/>
  <c r="D1714" i="13"/>
  <c r="F1660" i="13"/>
  <c r="H1660" i="13" s="1"/>
  <c r="D614" i="12"/>
  <c r="E559" i="12"/>
  <c r="H559" i="12" s="1"/>
  <c r="J559" i="12" s="1"/>
  <c r="D563" i="12" s="1"/>
  <c r="F563" i="12" s="1"/>
  <c r="G514" i="12"/>
  <c r="F569" i="12"/>
  <c r="E582" i="14"/>
  <c r="H582" i="14" s="1"/>
  <c r="J582" i="14" s="1"/>
  <c r="D586" i="14" s="1"/>
  <c r="F586" i="14" s="1"/>
  <c r="D639" i="14"/>
  <c r="I350" i="11"/>
  <c r="J459" i="29"/>
  <c r="D811" i="13"/>
  <c r="F697" i="13"/>
  <c r="H697" i="13" s="1"/>
  <c r="F694" i="13" s="1"/>
  <c r="G335" i="11" s="1"/>
  <c r="H444" i="29" s="1"/>
  <c r="G845" i="36"/>
  <c r="H789" i="36"/>
  <c r="J789" i="36"/>
  <c r="D793" i="36" s="1"/>
  <c r="F793" i="36" s="1"/>
  <c r="F629" i="12"/>
  <c r="G574" i="12"/>
  <c r="D765" i="13"/>
  <c r="F765" i="13" s="1"/>
  <c r="H765" i="13" s="1"/>
  <c r="F760" i="13"/>
  <c r="H760" i="13" s="1"/>
  <c r="D874" i="13"/>
  <c r="D673" i="14"/>
  <c r="F617" i="14"/>
  <c r="H617" i="14" s="1"/>
  <c r="I351" i="11"/>
  <c r="J460" i="29"/>
  <c r="F343" i="29"/>
  <c r="E343" i="29"/>
  <c r="E1652" i="39"/>
  <c r="E1601" i="39"/>
  <c r="G2469" i="13"/>
  <c r="E2521" i="13"/>
  <c r="G2521" i="13"/>
  <c r="F565" i="14"/>
  <c r="H565" i="14"/>
  <c r="D622" i="14"/>
  <c r="E570" i="10"/>
  <c r="G570" i="10" s="1"/>
  <c r="C575" i="10"/>
  <c r="E575" i="10"/>
  <c r="G575" i="10" s="1"/>
  <c r="C452" i="39"/>
  <c r="E452" i="39" s="1"/>
  <c r="G452" i="39" s="1"/>
  <c r="E447" i="39"/>
  <c r="G447" i="39"/>
  <c r="D557" i="15"/>
  <c r="F505" i="15"/>
  <c r="H505" i="15"/>
  <c r="J383" i="11"/>
  <c r="D540" i="12"/>
  <c r="F485" i="12"/>
  <c r="H485" i="12"/>
  <c r="I134" i="11"/>
  <c r="J164" i="29" s="1"/>
  <c r="E450" i="39"/>
  <c r="G450" i="39"/>
  <c r="C455" i="39"/>
  <c r="E455" i="39" s="1"/>
  <c r="G455" i="39" s="1"/>
  <c r="F535" i="12"/>
  <c r="H535" i="12" s="1"/>
  <c r="D590" i="12"/>
  <c r="C453" i="39"/>
  <c r="E453" i="39" s="1"/>
  <c r="G453" i="39" s="1"/>
  <c r="E448" i="39"/>
  <c r="G448" i="39"/>
  <c r="E449" i="39"/>
  <c r="G449" i="39" s="1"/>
  <c r="C454" i="39"/>
  <c r="E454" i="39"/>
  <c r="G454" i="39" s="1"/>
  <c r="F672" i="14"/>
  <c r="H672" i="14"/>
  <c r="D730" i="14"/>
  <c r="D646" i="9"/>
  <c r="E597" i="9"/>
  <c r="H597" i="9"/>
  <c r="J597" i="9"/>
  <c r="D600" i="9" s="1"/>
  <c r="F600" i="9" s="1"/>
  <c r="E557" i="13"/>
  <c r="D1791" i="13"/>
  <c r="E1791" i="13" s="1"/>
  <c r="E1683" i="13"/>
  <c r="D1960" i="13"/>
  <c r="E1905" i="13"/>
  <c r="E1737" i="13"/>
  <c r="D1845" i="13"/>
  <c r="E1845" i="13"/>
  <c r="I55" i="29"/>
  <c r="H42" i="11"/>
  <c r="F900" i="36"/>
  <c r="H844" i="36"/>
  <c r="J844" i="36"/>
  <c r="D848" i="36"/>
  <c r="F848" i="36" s="1"/>
  <c r="G525" i="14"/>
  <c r="H461" i="14"/>
  <c r="J461" i="14"/>
  <c r="D465" i="14" s="1"/>
  <c r="F465" i="14" s="1"/>
  <c r="K14" i="14"/>
  <c r="D558" i="12"/>
  <c r="E503" i="12"/>
  <c r="H503" i="12" s="1"/>
  <c r="J503" i="12" s="1"/>
  <c r="D507" i="12"/>
  <c r="F507" i="12" s="1"/>
  <c r="D804" i="12"/>
  <c r="F749" i="12"/>
  <c r="H749" i="12"/>
  <c r="F626" i="9"/>
  <c r="H626" i="9" s="1"/>
  <c r="I108" i="11" s="1"/>
  <c r="J130" i="29" s="1"/>
  <c r="D675" i="9"/>
  <c r="D647" i="12"/>
  <c r="F592" i="12"/>
  <c r="H592" i="12"/>
  <c r="F506" i="15"/>
  <c r="H506" i="15" s="1"/>
  <c r="K383" i="11" s="1"/>
  <c r="D558" i="15"/>
  <c r="D597" i="12"/>
  <c r="F597" i="12" s="1"/>
  <c r="H597" i="12" s="1"/>
  <c r="F542" i="12"/>
  <c r="H542" i="12" s="1"/>
  <c r="K135" i="11" s="1"/>
  <c r="L165" i="29" s="1"/>
  <c r="L349" i="11"/>
  <c r="M458" i="29" s="1"/>
  <c r="F480" i="9"/>
  <c r="H480" i="9"/>
  <c r="J105" i="11"/>
  <c r="K127" i="29" s="1"/>
  <c r="D529" i="9"/>
  <c r="E1117" i="16"/>
  <c r="E1170" i="16" s="1"/>
  <c r="E1222" i="16" s="1"/>
  <c r="E1275" i="16" s="1"/>
  <c r="E1327" i="16" s="1"/>
  <c r="E1380" i="16" s="1"/>
  <c r="E1434" i="16" s="1"/>
  <c r="E1487" i="16" s="1"/>
  <c r="F1118" i="16"/>
  <c r="F1171" i="16" s="1"/>
  <c r="F1117" i="16"/>
  <c r="F1170" i="16"/>
  <c r="I324" i="16"/>
  <c r="C328" i="16" s="1"/>
  <c r="E328" i="16" s="1"/>
  <c r="D377" i="16"/>
  <c r="C408" i="16"/>
  <c r="C461" i="16" s="1"/>
  <c r="C361" i="16"/>
  <c r="E361" i="16" s="1"/>
  <c r="G361" i="16"/>
  <c r="E356" i="16"/>
  <c r="I325" i="16"/>
  <c r="C329" i="16" s="1"/>
  <c r="E329" i="16" s="1"/>
  <c r="D378" i="16"/>
  <c r="G409" i="16"/>
  <c r="J180" i="11" s="1"/>
  <c r="K237" i="29" s="1"/>
  <c r="G681" i="12"/>
  <c r="F736" i="12"/>
  <c r="G578" i="12"/>
  <c r="F633" i="12"/>
  <c r="E1141" i="36"/>
  <c r="G1085" i="36"/>
  <c r="G575" i="12"/>
  <c r="F630" i="12"/>
  <c r="G680" i="12"/>
  <c r="F735" i="12"/>
  <c r="G577" i="12"/>
  <c r="F632" i="12"/>
  <c r="G1194" i="36"/>
  <c r="E1250" i="36"/>
  <c r="F854" i="13"/>
  <c r="G797" i="13"/>
  <c r="G803" i="13"/>
  <c r="F860" i="13"/>
  <c r="F748" i="13"/>
  <c r="G691" i="13"/>
  <c r="G804" i="13"/>
  <c r="F861" i="13"/>
  <c r="F858" i="13"/>
  <c r="G801" i="13"/>
  <c r="G1027" i="36"/>
  <c r="E1083" i="36"/>
  <c r="G1199" i="36"/>
  <c r="E1255" i="36"/>
  <c r="F855" i="13"/>
  <c r="G798" i="13"/>
  <c r="F2465" i="13"/>
  <c r="G2465" i="13"/>
  <c r="G2410" i="13"/>
  <c r="F802" i="13"/>
  <c r="G745" i="13"/>
  <c r="D596" i="12"/>
  <c r="F596" i="12"/>
  <c r="H596" i="12" s="1"/>
  <c r="F541" i="12"/>
  <c r="H541" i="12"/>
  <c r="J135" i="11"/>
  <c r="K165" i="29" s="1"/>
  <c r="E2468" i="13"/>
  <c r="G2413" i="13"/>
  <c r="C1012" i="36"/>
  <c r="C988" i="36"/>
  <c r="C960" i="36"/>
  <c r="G1030" i="36"/>
  <c r="E1086" i="36"/>
  <c r="E1140" i="36"/>
  <c r="G1084" i="36"/>
  <c r="F591" i="12"/>
  <c r="H591" i="12" s="1"/>
  <c r="D646" i="12"/>
  <c r="L331" i="11"/>
  <c r="M440" i="29" s="1"/>
  <c r="D933" i="13"/>
  <c r="D824" i="13"/>
  <c r="F824" i="13" s="1"/>
  <c r="H824" i="13" s="1"/>
  <c r="F819" i="13"/>
  <c r="H819" i="13" s="1"/>
  <c r="E2518" i="13"/>
  <c r="G2518" i="13" s="1"/>
  <c r="G2463" i="13"/>
  <c r="M95" i="29"/>
  <c r="D881" i="13"/>
  <c r="F881" i="13" s="1"/>
  <c r="H881" i="13" s="1"/>
  <c r="F876" i="13"/>
  <c r="H876" i="13"/>
  <c r="D990" i="13"/>
  <c r="C613" i="12"/>
  <c r="C562" i="12"/>
  <c r="C589" i="12"/>
  <c r="D1721" i="13"/>
  <c r="F1721" i="13" s="1"/>
  <c r="H1721" i="13"/>
  <c r="D1770" i="13"/>
  <c r="F1716" i="13"/>
  <c r="H1716" i="13" s="1"/>
  <c r="G1145" i="36"/>
  <c r="E1201" i="36"/>
  <c r="E2517" i="13"/>
  <c r="D2100" i="13"/>
  <c r="D2047" i="13"/>
  <c r="F1993" i="13"/>
  <c r="H1993" i="13"/>
  <c r="D1998" i="13"/>
  <c r="F1998" i="13" s="1"/>
  <c r="H1998" i="13" s="1"/>
  <c r="F1661" i="13"/>
  <c r="H1661" i="13"/>
  <c r="D1666" i="13"/>
  <c r="F1666" i="13" s="1"/>
  <c r="H1666" i="13" s="1"/>
  <c r="D1715" i="13"/>
  <c r="D1663" i="13"/>
  <c r="D1560" i="13"/>
  <c r="F1560" i="13"/>
  <c r="H1560" i="13"/>
  <c r="F1555" i="13"/>
  <c r="H1555" i="13" s="1"/>
  <c r="C1073" i="36"/>
  <c r="C1125" i="36"/>
  <c r="C1105" i="36"/>
  <c r="M124" i="29"/>
  <c r="F382" i="36"/>
  <c r="H382" i="36"/>
  <c r="D437" i="36"/>
  <c r="F437" i="36" s="1"/>
  <c r="H437" i="36" s="1"/>
  <c r="L76" i="11" s="1"/>
  <c r="M89" i="29" s="1"/>
  <c r="F592" i="13"/>
  <c r="H592" i="13" s="1"/>
  <c r="D706" i="13"/>
  <c r="D597" i="13"/>
  <c r="F597" i="13"/>
  <c r="H597" i="13" s="1"/>
  <c r="C2102" i="13"/>
  <c r="C2072" i="13"/>
  <c r="C2122" i="13"/>
  <c r="D1992" i="13"/>
  <c r="F1937" i="13"/>
  <c r="H1937" i="13"/>
  <c r="D1942" i="13"/>
  <c r="F1942" i="13" s="1"/>
  <c r="H1942" i="13" s="1"/>
  <c r="G999" i="12"/>
  <c r="C1886" i="13"/>
  <c r="C1849" i="13"/>
  <c r="C1881" i="13"/>
  <c r="C1848" i="13"/>
  <c r="B378" i="16"/>
  <c r="B430" i="16"/>
  <c r="J86" i="11"/>
  <c r="C2044" i="13"/>
  <c r="C2017" i="13"/>
  <c r="C671" i="14"/>
  <c r="C642" i="14"/>
  <c r="C694" i="14"/>
  <c r="L308" i="11"/>
  <c r="M373" i="29" s="1"/>
  <c r="D884" i="36"/>
  <c r="F884" i="36" s="1"/>
  <c r="H884" i="36"/>
  <c r="D935" i="36"/>
  <c r="F879" i="36"/>
  <c r="H879" i="36" s="1"/>
  <c r="J350" i="11"/>
  <c r="L103" i="11"/>
  <c r="D511" i="14"/>
  <c r="F447" i="14"/>
  <c r="H447" i="14" s="1"/>
  <c r="H448" i="14"/>
  <c r="F435" i="14" s="1"/>
  <c r="F433" i="9"/>
  <c r="H433" i="9" s="1"/>
  <c r="D482" i="9"/>
  <c r="K98" i="29"/>
  <c r="G810" i="14"/>
  <c r="K441" i="29"/>
  <c r="F506" i="14"/>
  <c r="H506" i="14" s="1"/>
  <c r="D562" i="14"/>
  <c r="C2018" i="13"/>
  <c r="C2049" i="13"/>
  <c r="L95" i="29"/>
  <c r="D880" i="36"/>
  <c r="F824" i="36"/>
  <c r="H824" i="36" s="1"/>
  <c r="D829" i="36"/>
  <c r="F829" i="36"/>
  <c r="H829" i="36" s="1"/>
  <c r="H830" i="36" s="1"/>
  <c r="F817" i="36" s="1"/>
  <c r="F561" i="14"/>
  <c r="H561" i="14"/>
  <c r="D618" i="14"/>
  <c r="B328" i="16"/>
  <c r="B355" i="16"/>
  <c r="B377" i="16"/>
  <c r="B429" i="16"/>
  <c r="E1013" i="36"/>
  <c r="D1069" i="36"/>
  <c r="E411" i="16"/>
  <c r="G411" i="16" s="1"/>
  <c r="C416" i="16"/>
  <c r="E416" i="16" s="1"/>
  <c r="G416" i="16" s="1"/>
  <c r="L180" i="11" s="1"/>
  <c r="M237" i="29" s="1"/>
  <c r="F459" i="15"/>
  <c r="H459" i="15"/>
  <c r="D507" i="15"/>
  <c r="E18" i="5"/>
  <c r="H17" i="5"/>
  <c r="C520" i="10"/>
  <c r="E467" i="10"/>
  <c r="G467" i="10" s="1"/>
  <c r="C472" i="10"/>
  <c r="E472" i="10"/>
  <c r="G472" i="10"/>
  <c r="H727" i="13"/>
  <c r="J727" i="13" s="1"/>
  <c r="D731" i="13" s="1"/>
  <c r="F731" i="13" s="1"/>
  <c r="E784" i="13"/>
  <c r="D488" i="12"/>
  <c r="F433" i="12"/>
  <c r="H433" i="12"/>
  <c r="L133" i="11" s="1"/>
  <c r="C695" i="14"/>
  <c r="C643" i="14"/>
  <c r="C676" i="14"/>
  <c r="M176" i="11"/>
  <c r="C704" i="12"/>
  <c r="C673" i="12"/>
  <c r="C724" i="12"/>
  <c r="E1081" i="36"/>
  <c r="G1025" i="36"/>
  <c r="E854" i="16"/>
  <c r="E907" i="16" s="1"/>
  <c r="J351" i="11"/>
  <c r="E350" i="16"/>
  <c r="G350" i="16" s="1"/>
  <c r="D763" i="13"/>
  <c r="D654" i="13"/>
  <c r="F654" i="13" s="1"/>
  <c r="H654" i="13" s="1"/>
  <c r="F649" i="13"/>
  <c r="H649" i="13" s="1"/>
  <c r="G163" i="29"/>
  <c r="F483" i="12"/>
  <c r="H483" i="12" s="1"/>
  <c r="D538" i="12"/>
  <c r="D818" i="13"/>
  <c r="D709" i="13"/>
  <c r="F709" i="13" s="1"/>
  <c r="H709" i="13" s="1"/>
  <c r="F704" i="13"/>
  <c r="H704" i="13" s="1"/>
  <c r="C2121" i="13"/>
  <c r="C2071" i="13"/>
  <c r="C2097" i="13"/>
  <c r="D2230" i="13"/>
  <c r="E2176" i="13"/>
  <c r="H2176" i="13" s="1"/>
  <c r="J2176" i="13"/>
  <c r="D2180" i="13" s="1"/>
  <c r="F2180" i="13" s="1"/>
  <c r="G521" i="12"/>
  <c r="F576" i="12"/>
  <c r="H1506" i="13"/>
  <c r="F1493" i="13" s="1"/>
  <c r="E465" i="10"/>
  <c r="G465" i="10"/>
  <c r="C470" i="10"/>
  <c r="E470" i="10" s="1"/>
  <c r="G470" i="10" s="1"/>
  <c r="C518" i="10"/>
  <c r="G706" i="9"/>
  <c r="D1614" i="13"/>
  <c r="F1614" i="13"/>
  <c r="H1614" i="13"/>
  <c r="F1609" i="13"/>
  <c r="H1609" i="13" s="1"/>
  <c r="D1939" i="13"/>
  <c r="F510" i="14"/>
  <c r="H510" i="14" s="1"/>
  <c r="D566" i="14"/>
  <c r="F646" i="9"/>
  <c r="D766" i="13"/>
  <c r="F766" i="13" s="1"/>
  <c r="H766" i="13" s="1"/>
  <c r="F761" i="13"/>
  <c r="H761" i="13"/>
  <c r="D875" i="13"/>
  <c r="F792" i="12"/>
  <c r="G737" i="12"/>
  <c r="C728" i="13"/>
  <c r="C707" i="13"/>
  <c r="C675" i="13"/>
  <c r="J333" i="11"/>
  <c r="D1051" i="36"/>
  <c r="F1051" i="36" s="1"/>
  <c r="H1051" i="36" s="1"/>
  <c r="J87" i="11" s="1"/>
  <c r="K100" i="29" s="1"/>
  <c r="F1046" i="36"/>
  <c r="H1046" i="36"/>
  <c r="D1102" i="36"/>
  <c r="C702" i="13"/>
  <c r="C674" i="13"/>
  <c r="C727" i="13"/>
  <c r="L332" i="11"/>
  <c r="M441" i="29"/>
  <c r="D694" i="14"/>
  <c r="E638" i="14"/>
  <c r="D83" i="11"/>
  <c r="E96" i="29"/>
  <c r="I311" i="11"/>
  <c r="J376" i="29" s="1"/>
  <c r="I336" i="11"/>
  <c r="J445" i="29"/>
  <c r="I352" i="11"/>
  <c r="J461" i="29"/>
  <c r="I357" i="11"/>
  <c r="J466" i="29"/>
  <c r="F564" i="14"/>
  <c r="H564" i="14"/>
  <c r="I46" i="11"/>
  <c r="J59" i="29" s="1"/>
  <c r="D621" i="14"/>
  <c r="F874" i="13"/>
  <c r="H874" i="13"/>
  <c r="D988" i="13"/>
  <c r="D879" i="13"/>
  <c r="F879" i="13"/>
  <c r="H879" i="13"/>
  <c r="F684" i="12"/>
  <c r="G629" i="12"/>
  <c r="F811" i="13"/>
  <c r="H811" i="13"/>
  <c r="F808" i="13"/>
  <c r="G337" i="11" s="1"/>
  <c r="H446" i="29" s="1"/>
  <c r="D925" i="13"/>
  <c r="G569" i="12"/>
  <c r="F624" i="12"/>
  <c r="E1012" i="36"/>
  <c r="D1068" i="36"/>
  <c r="F2092" i="13"/>
  <c r="H2092" i="13" s="1"/>
  <c r="D2146" i="13"/>
  <c r="D2045" i="13"/>
  <c r="F1991" i="13"/>
  <c r="H1991" i="13" s="1"/>
  <c r="D1996" i="13"/>
  <c r="F1996" i="13"/>
  <c r="H1996" i="13"/>
  <c r="D2098" i="13"/>
  <c r="F989" i="36"/>
  <c r="H989" i="36"/>
  <c r="D994" i="36"/>
  <c r="F994" i="36" s="1"/>
  <c r="H994" i="36" s="1"/>
  <c r="I86" i="11" s="1"/>
  <c r="J99" i="29" s="1"/>
  <c r="D1045" i="36"/>
  <c r="D731" i="14"/>
  <c r="F673" i="14"/>
  <c r="H673" i="14"/>
  <c r="D669" i="12"/>
  <c r="E614" i="12"/>
  <c r="H614" i="12" s="1"/>
  <c r="J614" i="12" s="1"/>
  <c r="D618" i="12" s="1"/>
  <c r="F618" i="12" s="1"/>
  <c r="D982" i="13"/>
  <c r="F868" i="13"/>
  <c r="H868" i="13"/>
  <c r="F865" i="13" s="1"/>
  <c r="G338" i="11" s="1"/>
  <c r="H447" i="29" s="1"/>
  <c r="F817" i="13"/>
  <c r="H817" i="13"/>
  <c r="D822" i="13"/>
  <c r="F822" i="13"/>
  <c r="H822" i="13"/>
  <c r="D931" i="13"/>
  <c r="I85" i="11"/>
  <c r="J98" i="29"/>
  <c r="G901" i="36"/>
  <c r="H845" i="36"/>
  <c r="J845" i="36" s="1"/>
  <c r="D849" i="36" s="1"/>
  <c r="F849" i="36" s="1"/>
  <c r="E639" i="14"/>
  <c r="H639" i="14" s="1"/>
  <c r="J639" i="14" s="1"/>
  <c r="D643" i="14" s="1"/>
  <c r="F643" i="14" s="1"/>
  <c r="D695" i="14"/>
  <c r="F1714" i="13"/>
  <c r="H1714" i="13"/>
  <c r="D1719" i="13"/>
  <c r="F1719" i="13" s="1"/>
  <c r="H1719" i="13" s="1"/>
  <c r="I353" i="11" s="1"/>
  <c r="J462" i="29" s="1"/>
  <c r="D1768" i="13"/>
  <c r="H1985" i="13"/>
  <c r="F2039" i="13"/>
  <c r="H2039" i="13"/>
  <c r="F2036" i="13"/>
  <c r="G359" i="11"/>
  <c r="H468" i="29" s="1"/>
  <c r="F1762" i="13"/>
  <c r="H1708" i="13"/>
  <c r="F1705" i="13" s="1"/>
  <c r="G353" i="11" s="1"/>
  <c r="H462" i="29" s="1"/>
  <c r="H1561" i="13"/>
  <c r="F1548" i="13"/>
  <c r="I241" i="11"/>
  <c r="J241" i="11"/>
  <c r="K241" i="11"/>
  <c r="L241" i="11"/>
  <c r="H343" i="29"/>
  <c r="E1704" i="39"/>
  <c r="E1755" i="39"/>
  <c r="E1806" i="39" s="1"/>
  <c r="E1858" i="39" s="1"/>
  <c r="E1910" i="39" s="1"/>
  <c r="E1961" i="39" s="1"/>
  <c r="E2013" i="39" s="1"/>
  <c r="E2065" i="39" s="1"/>
  <c r="E2116" i="39" s="1"/>
  <c r="E2168" i="39" s="1"/>
  <c r="E2219" i="39" s="1"/>
  <c r="E2271" i="39" s="1"/>
  <c r="H598" i="13"/>
  <c r="F585" i="13"/>
  <c r="F622" i="14"/>
  <c r="H622" i="14" s="1"/>
  <c r="J47" i="11" s="1"/>
  <c r="K60" i="29" s="1"/>
  <c r="D678" i="14"/>
  <c r="F730" i="14"/>
  <c r="H730" i="14" s="1"/>
  <c r="D787" i="14"/>
  <c r="G456" i="39"/>
  <c r="E443" i="39" s="1"/>
  <c r="F590" i="12"/>
  <c r="H590" i="12"/>
  <c r="D645" i="12"/>
  <c r="F540" i="12"/>
  <c r="H540" i="12" s="1"/>
  <c r="I135" i="11" s="1"/>
  <c r="J165" i="29" s="1"/>
  <c r="D595" i="12"/>
  <c r="F595" i="12" s="1"/>
  <c r="H595" i="12" s="1"/>
  <c r="I136" i="11" s="1"/>
  <c r="J166" i="29" s="1"/>
  <c r="F557" i="15"/>
  <c r="H557" i="15"/>
  <c r="J384" i="11" s="1"/>
  <c r="D609" i="15"/>
  <c r="F609" i="15"/>
  <c r="H609" i="15" s="1"/>
  <c r="L75" i="11"/>
  <c r="M88" i="29"/>
  <c r="D695" i="9"/>
  <c r="E646" i="9"/>
  <c r="D2014" i="13"/>
  <c r="E1960" i="13"/>
  <c r="D2068" i="13"/>
  <c r="E614" i="13"/>
  <c r="F956" i="36"/>
  <c r="H900" i="36"/>
  <c r="J900" i="36"/>
  <c r="D904" i="36" s="1"/>
  <c r="F904" i="36" s="1"/>
  <c r="G581" i="14"/>
  <c r="H525" i="14"/>
  <c r="J525" i="14" s="1"/>
  <c r="D529" i="14" s="1"/>
  <c r="F529" i="14" s="1"/>
  <c r="D468" i="14"/>
  <c r="F468" i="14"/>
  <c r="E45" i="11"/>
  <c r="F58" i="29"/>
  <c r="D45" i="11"/>
  <c r="E558" i="12"/>
  <c r="H558" i="12"/>
  <c r="J558" i="12" s="1"/>
  <c r="D562" i="12" s="1"/>
  <c r="F562" i="12" s="1"/>
  <c r="D613" i="12"/>
  <c r="D510" i="12"/>
  <c r="F510" i="12" s="1"/>
  <c r="D135" i="11"/>
  <c r="E165" i="29" s="1"/>
  <c r="G1250" i="36"/>
  <c r="E1306" i="36"/>
  <c r="F558" i="15"/>
  <c r="H558" i="15" s="1"/>
  <c r="D610" i="15"/>
  <c r="F610" i="15"/>
  <c r="H610" i="15" s="1"/>
  <c r="K385" i="11" s="1"/>
  <c r="D578" i="9"/>
  <c r="F529" i="9"/>
  <c r="H529" i="9"/>
  <c r="J106" i="11"/>
  <c r="K128" i="29" s="1"/>
  <c r="D652" i="12"/>
  <c r="F652" i="12"/>
  <c r="H652" i="12"/>
  <c r="F647" i="12"/>
  <c r="H647" i="12" s="1"/>
  <c r="K137" i="11" s="1"/>
  <c r="L167" i="29" s="1"/>
  <c r="D702" i="12"/>
  <c r="F804" i="12"/>
  <c r="H804" i="12" s="1"/>
  <c r="D859" i="12"/>
  <c r="G1255" i="36"/>
  <c r="E1311" i="36"/>
  <c r="G139" i="11"/>
  <c r="H169" i="29" s="1"/>
  <c r="F746" i="12"/>
  <c r="K358" i="11"/>
  <c r="L467" i="29" s="1"/>
  <c r="K338" i="11"/>
  <c r="L447" i="29"/>
  <c r="J136" i="11"/>
  <c r="K166" i="29"/>
  <c r="K136" i="11"/>
  <c r="L166" i="29" s="1"/>
  <c r="F675" i="9"/>
  <c r="H675" i="9"/>
  <c r="I109" i="11"/>
  <c r="J131" i="29" s="1"/>
  <c r="D724" i="9"/>
  <c r="L333" i="11"/>
  <c r="M442" i="29" s="1"/>
  <c r="F1222" i="16"/>
  <c r="F1275" i="16"/>
  <c r="F1223" i="16"/>
  <c r="F1276" i="16"/>
  <c r="G377" i="16"/>
  <c r="I377" i="16"/>
  <c r="C381" i="16" s="1"/>
  <c r="E381" i="16" s="1"/>
  <c r="D429" i="16"/>
  <c r="G378" i="16"/>
  <c r="I378" i="16"/>
  <c r="C382" i="16" s="1"/>
  <c r="E382" i="16" s="1"/>
  <c r="D430" i="16"/>
  <c r="E408" i="16"/>
  <c r="G408" i="16" s="1"/>
  <c r="C413" i="16"/>
  <c r="E413" i="16"/>
  <c r="G413" i="16"/>
  <c r="G356" i="16"/>
  <c r="I179" i="11"/>
  <c r="J236" i="29"/>
  <c r="C521" i="39"/>
  <c r="C572" i="39"/>
  <c r="I470" i="39"/>
  <c r="C474" i="39"/>
  <c r="E474" i="39" s="1"/>
  <c r="C545" i="39"/>
  <c r="C596" i="39"/>
  <c r="E494" i="39"/>
  <c r="G494" i="39"/>
  <c r="G735" i="12"/>
  <c r="F790" i="12"/>
  <c r="E1197" i="36"/>
  <c r="G1141" i="36"/>
  <c r="F791" i="12"/>
  <c r="G736" i="12"/>
  <c r="F687" i="12"/>
  <c r="G632" i="12"/>
  <c r="G630" i="12"/>
  <c r="F685" i="12"/>
  <c r="F688" i="12"/>
  <c r="G633" i="12"/>
  <c r="G1201" i="36"/>
  <c r="E1257" i="36"/>
  <c r="F912" i="13"/>
  <c r="G855" i="13"/>
  <c r="F859" i="13"/>
  <c r="G802" i="13"/>
  <c r="G1083" i="36"/>
  <c r="E1139" i="36"/>
  <c r="F918" i="13"/>
  <c r="G861" i="13"/>
  <c r="G860" i="13"/>
  <c r="F917" i="13"/>
  <c r="F915" i="13"/>
  <c r="G858" i="13"/>
  <c r="G748" i="13"/>
  <c r="F805" i="13"/>
  <c r="F911" i="13"/>
  <c r="G854" i="13"/>
  <c r="E1196" i="36"/>
  <c r="G1140" i="36"/>
  <c r="C514" i="16"/>
  <c r="C567" i="16" s="1"/>
  <c r="C572" i="16" s="1"/>
  <c r="E462" i="16"/>
  <c r="C1835" i="16"/>
  <c r="C1890" i="16" s="1"/>
  <c r="C1945" i="16" s="1"/>
  <c r="C2000" i="16" s="1"/>
  <c r="C467" i="16"/>
  <c r="L309" i="11"/>
  <c r="M374" i="29" s="1"/>
  <c r="H434" i="12"/>
  <c r="F421" i="12"/>
  <c r="L44" i="11"/>
  <c r="M57" i="29"/>
  <c r="N57" i="29"/>
  <c r="E2520" i="13"/>
  <c r="G2520" i="13" s="1"/>
  <c r="G2468" i="13"/>
  <c r="F2100" i="13"/>
  <c r="H2100" i="13" s="1"/>
  <c r="K360" i="11" s="1"/>
  <c r="L469" i="29" s="1"/>
  <c r="D2154" i="13"/>
  <c r="D2105" i="13"/>
  <c r="F2105" i="13"/>
  <c r="H2105" i="13"/>
  <c r="D1775" i="13"/>
  <c r="F1775" i="13"/>
  <c r="H1775" i="13"/>
  <c r="D1824" i="13"/>
  <c r="F1770" i="13"/>
  <c r="H1770" i="13"/>
  <c r="F990" i="13"/>
  <c r="H990" i="13"/>
  <c r="D995" i="13"/>
  <c r="F995" i="13"/>
  <c r="H995" i="13"/>
  <c r="D1104" i="13"/>
  <c r="L351" i="11"/>
  <c r="M460" i="29"/>
  <c r="D2052" i="13"/>
  <c r="F2052" i="13"/>
  <c r="H2052" i="13" s="1"/>
  <c r="K359" i="11" s="1"/>
  <c r="L468" i="29" s="1"/>
  <c r="F2047" i="13"/>
  <c r="H2047" i="13"/>
  <c r="C668" i="12"/>
  <c r="C644" i="12"/>
  <c r="C617" i="12"/>
  <c r="D1047" i="13"/>
  <c r="D938" i="13"/>
  <c r="F938" i="13"/>
  <c r="H938" i="13" s="1"/>
  <c r="K339" i="11" s="1"/>
  <c r="L448" i="29" s="1"/>
  <c r="F933" i="13"/>
  <c r="H933" i="13"/>
  <c r="D651" i="12"/>
  <c r="F651" i="12"/>
  <c r="H651" i="12" s="1"/>
  <c r="D701" i="12"/>
  <c r="F646" i="12"/>
  <c r="H646" i="12" s="1"/>
  <c r="G1086" i="36"/>
  <c r="E1142" i="36"/>
  <c r="C1068" i="36"/>
  <c r="C1016" i="36"/>
  <c r="C1044" i="36"/>
  <c r="L350" i="11"/>
  <c r="M459" i="29"/>
  <c r="K353" i="11"/>
  <c r="L462" i="29" s="1"/>
  <c r="M163" i="29"/>
  <c r="N163" i="29"/>
  <c r="M133" i="11"/>
  <c r="C784" i="13"/>
  <c r="C759" i="13"/>
  <c r="C731" i="13"/>
  <c r="D989" i="13"/>
  <c r="F875" i="13"/>
  <c r="H875" i="13"/>
  <c r="D880" i="13"/>
  <c r="F880" i="13"/>
  <c r="H880" i="13"/>
  <c r="F695" i="9"/>
  <c r="H646" i="9"/>
  <c r="J646" i="9"/>
  <c r="D649" i="9"/>
  <c r="F649" i="9"/>
  <c r="D932" i="13"/>
  <c r="D823" i="13"/>
  <c r="F823" i="13"/>
  <c r="H823" i="13" s="1"/>
  <c r="J337" i="11" s="1"/>
  <c r="F818" i="13"/>
  <c r="H818" i="13"/>
  <c r="C759" i="12"/>
  <c r="C728" i="12"/>
  <c r="C779" i="12"/>
  <c r="C734" i="14"/>
  <c r="C699" i="14"/>
  <c r="C753" i="14"/>
  <c r="D559" i="15"/>
  <c r="F507" i="15"/>
  <c r="H507" i="15"/>
  <c r="E1069" i="36"/>
  <c r="D1125" i="36"/>
  <c r="B381" i="16"/>
  <c r="B407" i="16"/>
  <c r="M125" i="29"/>
  <c r="L234" i="29"/>
  <c r="D2046" i="13"/>
  <c r="D1997" i="13"/>
  <c r="F1997" i="13" s="1"/>
  <c r="H1997" i="13" s="1"/>
  <c r="D2099" i="13"/>
  <c r="F1992" i="13"/>
  <c r="H1992" i="13" s="1"/>
  <c r="C1129" i="36"/>
  <c r="C1181" i="36"/>
  <c r="C1237" i="36"/>
  <c r="C1161" i="36"/>
  <c r="D1717" i="13"/>
  <c r="F1663" i="13"/>
  <c r="H1663" i="13"/>
  <c r="D1668" i="13"/>
  <c r="F1668" i="13" s="1"/>
  <c r="H1668" i="13" s="1"/>
  <c r="L352" i="11" s="1"/>
  <c r="M461" i="29" s="1"/>
  <c r="F1715" i="13"/>
  <c r="H1715" i="13"/>
  <c r="D1769" i="13"/>
  <c r="D1720" i="13"/>
  <c r="F1720" i="13"/>
  <c r="H1720" i="13"/>
  <c r="H1615" i="13"/>
  <c r="F1602" i="13"/>
  <c r="L83" i="11"/>
  <c r="M96" i="29" s="1"/>
  <c r="G792" i="12"/>
  <c r="F847" i="12"/>
  <c r="D603" i="9"/>
  <c r="F603" i="9" s="1"/>
  <c r="D108" i="11"/>
  <c r="F566" i="14"/>
  <c r="H566" i="14"/>
  <c r="K46" i="11"/>
  <c r="D623" i="14"/>
  <c r="C523" i="10"/>
  <c r="E523" i="10"/>
  <c r="G523" i="10"/>
  <c r="C571" i="10"/>
  <c r="E518" i="10"/>
  <c r="G518" i="10"/>
  <c r="H784" i="13"/>
  <c r="J784" i="13"/>
  <c r="D788" i="13"/>
  <c r="F788" i="13" s="1"/>
  <c r="E841" i="13"/>
  <c r="C573" i="10"/>
  <c r="E520" i="10"/>
  <c r="G520" i="10"/>
  <c r="C525" i="10"/>
  <c r="E525" i="10"/>
  <c r="G525" i="10"/>
  <c r="E19" i="5"/>
  <c r="H18" i="5"/>
  <c r="L96" i="29"/>
  <c r="C752" i="14"/>
  <c r="C698" i="14"/>
  <c r="C729" i="14"/>
  <c r="K99" i="29"/>
  <c r="J357" i="11"/>
  <c r="K45" i="11"/>
  <c r="M44" i="11"/>
  <c r="D1944" i="13"/>
  <c r="F1944" i="13" s="1"/>
  <c r="H1944" i="13" s="1"/>
  <c r="F1939" i="13"/>
  <c r="H1939" i="13" s="1"/>
  <c r="D1994" i="13"/>
  <c r="D2340" i="13"/>
  <c r="D2285" i="13"/>
  <c r="E2285" i="13"/>
  <c r="H2285" i="13"/>
  <c r="J2285" i="13" s="1"/>
  <c r="D2289" i="13" s="1"/>
  <c r="F2289" i="13" s="1"/>
  <c r="E2230" i="13"/>
  <c r="H2230" i="13" s="1"/>
  <c r="J2230" i="13" s="1"/>
  <c r="D2234" i="13" s="1"/>
  <c r="F2234" i="13" s="1"/>
  <c r="D593" i="12"/>
  <c r="F538" i="12"/>
  <c r="H538" i="12" s="1"/>
  <c r="F763" i="13"/>
  <c r="H763" i="13"/>
  <c r="D768" i="13"/>
  <c r="F768" i="13"/>
  <c r="H768" i="13" s="1"/>
  <c r="L336" i="11" s="1"/>
  <c r="M445" i="29" s="1"/>
  <c r="D877" i="13"/>
  <c r="E402" i="16"/>
  <c r="G402" i="16" s="1"/>
  <c r="E1137" i="36"/>
  <c r="G1081" i="36"/>
  <c r="D543" i="12"/>
  <c r="F488" i="12"/>
  <c r="H488" i="12"/>
  <c r="H489" i="12"/>
  <c r="F476" i="12" s="1"/>
  <c r="L104" i="11"/>
  <c r="F511" i="14"/>
  <c r="H511" i="14"/>
  <c r="H512" i="14"/>
  <c r="F499" i="14" s="1"/>
  <c r="H514" i="14" s="1"/>
  <c r="H516" i="14" s="1"/>
  <c r="F456" i="14" s="1"/>
  <c r="D567" i="14"/>
  <c r="K459" i="29"/>
  <c r="D940" i="36"/>
  <c r="F940" i="36"/>
  <c r="H940" i="36" s="1"/>
  <c r="D991" i="36"/>
  <c r="F935" i="36"/>
  <c r="H935" i="36" s="1"/>
  <c r="C2126" i="13"/>
  <c r="C2156" i="13"/>
  <c r="C2177" i="13"/>
  <c r="D820" i="13"/>
  <c r="D711" i="13"/>
  <c r="F711" i="13" s="1"/>
  <c r="H711" i="13" s="1"/>
  <c r="L335" i="11" s="1"/>
  <c r="M444" i="29" s="1"/>
  <c r="F706" i="13"/>
  <c r="H706" i="13"/>
  <c r="D1158" i="36"/>
  <c r="D1107" i="36"/>
  <c r="F1107" i="36"/>
  <c r="H1107" i="36" s="1"/>
  <c r="J88" i="11" s="1"/>
  <c r="K101" i="29" s="1"/>
  <c r="F1102" i="36"/>
  <c r="H1102" i="36"/>
  <c r="K442" i="29"/>
  <c r="C785" i="13"/>
  <c r="C764" i="13"/>
  <c r="C732" i="13"/>
  <c r="G755" i="9"/>
  <c r="J309" i="11"/>
  <c r="G473" i="10"/>
  <c r="E460" i="10"/>
  <c r="F631" i="12"/>
  <c r="G576" i="12"/>
  <c r="C2125" i="13"/>
  <c r="C2176" i="13"/>
  <c r="C2151" i="13"/>
  <c r="K460" i="29"/>
  <c r="N460" i="29" s="1"/>
  <c r="L382" i="11"/>
  <c r="M382" i="11"/>
  <c r="H460" i="15"/>
  <c r="F452" i="15"/>
  <c r="C410" i="16"/>
  <c r="C463" i="16"/>
  <c r="E358" i="16"/>
  <c r="C363" i="16"/>
  <c r="E363" i="16"/>
  <c r="G363" i="16" s="1"/>
  <c r="G365" i="16" s="1"/>
  <c r="E352" i="16" s="1"/>
  <c r="F618" i="14"/>
  <c r="H618" i="14"/>
  <c r="D674" i="14"/>
  <c r="D885" i="36"/>
  <c r="F885" i="36" s="1"/>
  <c r="F880" i="36"/>
  <c r="H880" i="36" s="1"/>
  <c r="D936" i="36"/>
  <c r="D619" i="14"/>
  <c r="F562" i="14"/>
  <c r="H562" i="14"/>
  <c r="G866" i="14"/>
  <c r="F482" i="9"/>
  <c r="H482" i="9"/>
  <c r="D531" i="9"/>
  <c r="K84" i="11"/>
  <c r="B412" i="16"/>
  <c r="B382" i="16"/>
  <c r="G1054" i="12"/>
  <c r="H1368" i="36"/>
  <c r="F1365" i="36" s="1"/>
  <c r="G93" i="11" s="1"/>
  <c r="H21" i="41" s="1"/>
  <c r="G1311" i="36"/>
  <c r="G1306" i="36"/>
  <c r="E694" i="14"/>
  <c r="D752" i="14"/>
  <c r="G957" i="36"/>
  <c r="H901" i="36"/>
  <c r="J901" i="36" s="1"/>
  <c r="D905" i="36" s="1"/>
  <c r="F905" i="36" s="1"/>
  <c r="E669" i="12"/>
  <c r="H669" i="12" s="1"/>
  <c r="J669" i="12" s="1"/>
  <c r="D673" i="12" s="1"/>
  <c r="F673" i="12" s="1"/>
  <c r="D724" i="12"/>
  <c r="E1068" i="36"/>
  <c r="D1124" i="36"/>
  <c r="F925" i="13"/>
  <c r="H925" i="13" s="1"/>
  <c r="F922" i="13" s="1"/>
  <c r="G339" i="11" s="1"/>
  <c r="H448" i="29" s="1"/>
  <c r="D1039" i="13"/>
  <c r="I337" i="11"/>
  <c r="J446" i="29" s="1"/>
  <c r="F1816" i="13"/>
  <c r="H1762" i="13"/>
  <c r="F1759" i="13"/>
  <c r="G354" i="11" s="1"/>
  <c r="H463" i="29" s="1"/>
  <c r="D1050" i="36"/>
  <c r="F1050" i="36" s="1"/>
  <c r="H1050" i="36" s="1"/>
  <c r="I87" i="11" s="1"/>
  <c r="J100" i="29" s="1"/>
  <c r="D1101" i="36"/>
  <c r="F1045" i="36"/>
  <c r="H1045" i="36"/>
  <c r="F739" i="12"/>
  <c r="G684" i="12"/>
  <c r="F621" i="14"/>
  <c r="H621" i="14"/>
  <c r="I47" i="11"/>
  <c r="J60" i="29" s="1"/>
  <c r="D677" i="14"/>
  <c r="D1773" i="13"/>
  <c r="F1773" i="13" s="1"/>
  <c r="H1773" i="13" s="1"/>
  <c r="F1768" i="13"/>
  <c r="H1768" i="13"/>
  <c r="D1822" i="13"/>
  <c r="D1045" i="13"/>
  <c r="D936" i="13"/>
  <c r="F936" i="13"/>
  <c r="H936" i="13" s="1"/>
  <c r="I339" i="11" s="1"/>
  <c r="J448" i="29" s="1"/>
  <c r="F931" i="13"/>
  <c r="H931" i="13"/>
  <c r="D1096" i="13"/>
  <c r="F982" i="13"/>
  <c r="H982" i="13" s="1"/>
  <c r="F979" i="13" s="1"/>
  <c r="G340" i="11" s="1"/>
  <c r="H449" i="29" s="1"/>
  <c r="F731" i="14"/>
  <c r="H731" i="14"/>
  <c r="D788" i="14"/>
  <c r="D2103" i="13"/>
  <c r="F2103" i="13" s="1"/>
  <c r="H2103" i="13" s="1"/>
  <c r="F2098" i="13"/>
  <c r="H2098" i="13" s="1"/>
  <c r="D2152" i="13"/>
  <c r="F2146" i="13"/>
  <c r="H2146" i="13"/>
  <c r="D2201" i="13"/>
  <c r="F679" i="12"/>
  <c r="G624" i="12"/>
  <c r="I338" i="11"/>
  <c r="J447" i="29" s="1"/>
  <c r="G358" i="11"/>
  <c r="H467" i="29"/>
  <c r="F1982" i="13"/>
  <c r="E695" i="14"/>
  <c r="H695" i="14" s="1"/>
  <c r="J695" i="14" s="1"/>
  <c r="D699" i="14" s="1"/>
  <c r="F699" i="14" s="1"/>
  <c r="D753" i="14"/>
  <c r="F2045" i="13"/>
  <c r="H2045" i="13"/>
  <c r="D2050" i="13"/>
  <c r="F2050" i="13" s="1"/>
  <c r="H2050" i="13" s="1"/>
  <c r="I359" i="11" s="1"/>
  <c r="J468" i="29" s="1"/>
  <c r="F988" i="13"/>
  <c r="H988" i="13" s="1"/>
  <c r="I340" i="11" s="1"/>
  <c r="J449" i="29" s="1"/>
  <c r="D1102" i="13"/>
  <c r="D993" i="13"/>
  <c r="F993" i="13"/>
  <c r="H993" i="13"/>
  <c r="L309" i="29"/>
  <c r="K243" i="11"/>
  <c r="K309" i="29"/>
  <c r="J243" i="11"/>
  <c r="I243" i="11"/>
  <c r="J309" i="29"/>
  <c r="M241" i="11"/>
  <c r="N309" i="29"/>
  <c r="M309" i="29"/>
  <c r="L243" i="11"/>
  <c r="L45" i="11"/>
  <c r="M58" i="29"/>
  <c r="E347" i="29"/>
  <c r="F347" i="29"/>
  <c r="E596" i="39"/>
  <c r="G596" i="39" s="1"/>
  <c r="C647" i="39"/>
  <c r="D572" i="39"/>
  <c r="C623" i="39"/>
  <c r="K354" i="11"/>
  <c r="L463" i="29"/>
  <c r="D736" i="14"/>
  <c r="F678" i="14"/>
  <c r="H678" i="14" s="1"/>
  <c r="J48" i="11" s="1"/>
  <c r="K61" i="29" s="1"/>
  <c r="D843" i="14"/>
  <c r="F787" i="14"/>
  <c r="H787" i="14"/>
  <c r="N459" i="29"/>
  <c r="K340" i="11"/>
  <c r="L449" i="29" s="1"/>
  <c r="D650" i="12"/>
  <c r="F650" i="12" s="1"/>
  <c r="H650" i="12" s="1"/>
  <c r="F645" i="12"/>
  <c r="H645" i="12" s="1"/>
  <c r="D700" i="12"/>
  <c r="M350" i="11"/>
  <c r="M351" i="11"/>
  <c r="D744" i="9"/>
  <c r="E695" i="9"/>
  <c r="E2014" i="13"/>
  <c r="E671" i="13"/>
  <c r="D2122" i="13"/>
  <c r="E2068" i="13"/>
  <c r="G638" i="14"/>
  <c r="H581" i="14"/>
  <c r="J581" i="14" s="1"/>
  <c r="D585" i="14" s="1"/>
  <c r="F585" i="14" s="1"/>
  <c r="F1012" i="36"/>
  <c r="H956" i="36"/>
  <c r="J956" i="36" s="1"/>
  <c r="D960" i="36" s="1"/>
  <c r="F960" i="36" s="1"/>
  <c r="F458" i="14"/>
  <c r="E58" i="29"/>
  <c r="I58" i="29"/>
  <c r="O58" i="29" s="1"/>
  <c r="Q58" i="29" s="1"/>
  <c r="S58" i="29" s="1"/>
  <c r="U58" i="29" s="1"/>
  <c r="H45" i="11"/>
  <c r="E613" i="12"/>
  <c r="H613" i="12"/>
  <c r="J613" i="12" s="1"/>
  <c r="D617" i="12" s="1"/>
  <c r="F617" i="12" s="1"/>
  <c r="D668" i="12"/>
  <c r="C1273" i="36"/>
  <c r="C1293" i="36"/>
  <c r="C1241" i="36"/>
  <c r="D773" i="9"/>
  <c r="F724" i="9"/>
  <c r="H724" i="9"/>
  <c r="I110" i="11" s="1"/>
  <c r="J132" i="29" s="1"/>
  <c r="B521" i="39"/>
  <c r="B572" i="39"/>
  <c r="B623" i="39" s="1"/>
  <c r="B499" i="39"/>
  <c r="B474" i="39"/>
  <c r="D914" i="12"/>
  <c r="F859" i="12"/>
  <c r="H859" i="12"/>
  <c r="F702" i="12"/>
  <c r="H702" i="12" s="1"/>
  <c r="K138" i="11" s="1"/>
  <c r="L168" i="29" s="1"/>
  <c r="D707" i="12"/>
  <c r="D757" i="12"/>
  <c r="D627" i="9"/>
  <c r="F578" i="9"/>
  <c r="H578" i="9"/>
  <c r="G1257" i="36"/>
  <c r="E1313" i="36"/>
  <c r="F1328" i="16"/>
  <c r="F1381" i="16"/>
  <c r="F1327" i="16"/>
  <c r="F1380" i="16" s="1"/>
  <c r="F1434" i="16" s="1"/>
  <c r="F1487" i="16" s="1"/>
  <c r="C1802" i="16"/>
  <c r="C1857" i="16" s="1"/>
  <c r="C1912" i="16" s="1"/>
  <c r="C1967" i="16" s="1"/>
  <c r="C482" i="16"/>
  <c r="C534" i="16" s="1"/>
  <c r="C483" i="16"/>
  <c r="C535" i="16"/>
  <c r="C1803" i="16"/>
  <c r="C1858" i="16" s="1"/>
  <c r="C1913" i="16" s="1"/>
  <c r="C1968" i="16" s="1"/>
  <c r="G358" i="16"/>
  <c r="K179" i="11" s="1"/>
  <c r="M179" i="11" s="1"/>
  <c r="E545" i="39"/>
  <c r="C799" i="39"/>
  <c r="C852" i="39" s="1"/>
  <c r="C776" i="39"/>
  <c r="C828" i="39" s="1"/>
  <c r="D521" i="39"/>
  <c r="F743" i="12"/>
  <c r="G688" i="12"/>
  <c r="G791" i="12"/>
  <c r="F846" i="12"/>
  <c r="G790" i="12"/>
  <c r="F845" i="12"/>
  <c r="F742" i="12"/>
  <c r="G687" i="12"/>
  <c r="G1197" i="36"/>
  <c r="E1253" i="36"/>
  <c r="G685" i="12"/>
  <c r="F740" i="12"/>
  <c r="G1196" i="36"/>
  <c r="E1252" i="36"/>
  <c r="G805" i="13"/>
  <c r="F862" i="13"/>
  <c r="G917" i="13"/>
  <c r="F974" i="13"/>
  <c r="E1195" i="36"/>
  <c r="G1139" i="36"/>
  <c r="F968" i="13"/>
  <c r="G911" i="13"/>
  <c r="F972" i="13"/>
  <c r="G915" i="13"/>
  <c r="F975" i="13"/>
  <c r="G918" i="13"/>
  <c r="F916" i="13"/>
  <c r="G859" i="13"/>
  <c r="F969" i="13"/>
  <c r="G912" i="13"/>
  <c r="C699" i="12"/>
  <c r="C672" i="12"/>
  <c r="C723" i="12"/>
  <c r="D1052" i="13"/>
  <c r="F1052" i="13"/>
  <c r="H1052" i="13" s="1"/>
  <c r="K341" i="11" s="1"/>
  <c r="L450" i="29" s="1"/>
  <c r="D1161" i="13"/>
  <c r="F1047" i="13"/>
  <c r="H1047" i="13"/>
  <c r="D2209" i="13"/>
  <c r="F2154" i="13"/>
  <c r="H2154" i="13"/>
  <c r="D2159" i="13"/>
  <c r="F2159" i="13" s="1"/>
  <c r="H2159" i="13" s="1"/>
  <c r="K361" i="11" s="1"/>
  <c r="L470" i="29" s="1"/>
  <c r="E467" i="16"/>
  <c r="C1840" i="16"/>
  <c r="C1895" i="16" s="1"/>
  <c r="C1950" i="16" s="1"/>
  <c r="C2005" i="16" s="1"/>
  <c r="E1198" i="36"/>
  <c r="G1142" i="36"/>
  <c r="D1218" i="13"/>
  <c r="D1109" i="13"/>
  <c r="F1109" i="13" s="1"/>
  <c r="H1109" i="13" s="1"/>
  <c r="F1104" i="13"/>
  <c r="H1104" i="13" s="1"/>
  <c r="D1884" i="13"/>
  <c r="D1829" i="13"/>
  <c r="F1829" i="13"/>
  <c r="H1829" i="13" s="1"/>
  <c r="K355" i="11" s="1"/>
  <c r="L464" i="29" s="1"/>
  <c r="F1824" i="13"/>
  <c r="H1824" i="13"/>
  <c r="E514" i="16"/>
  <c r="C519" i="16"/>
  <c r="E519" i="16" s="1"/>
  <c r="G519" i="16" s="1"/>
  <c r="J183" i="11" s="1"/>
  <c r="K240" i="29" s="1"/>
  <c r="C1124" i="36"/>
  <c r="C1100" i="36"/>
  <c r="C1072" i="36"/>
  <c r="D756" i="12"/>
  <c r="D706" i="12"/>
  <c r="F701" i="12"/>
  <c r="H701" i="12" s="1"/>
  <c r="G462" i="16"/>
  <c r="E1835" i="16"/>
  <c r="G924" i="14"/>
  <c r="L97" i="29"/>
  <c r="L105" i="11"/>
  <c r="D675" i="14"/>
  <c r="F619" i="14"/>
  <c r="H619" i="14" s="1"/>
  <c r="D732" i="14"/>
  <c r="F674" i="14"/>
  <c r="H674" i="14"/>
  <c r="D934" i="13"/>
  <c r="D825" i="13"/>
  <c r="F825" i="13"/>
  <c r="H825" i="13" s="1"/>
  <c r="L337" i="11" s="1"/>
  <c r="M446" i="29" s="1"/>
  <c r="F820" i="13"/>
  <c r="H820" i="13"/>
  <c r="D2396" i="13"/>
  <c r="E2340" i="13"/>
  <c r="H2340" i="13"/>
  <c r="J2340" i="13"/>
  <c r="D2344" i="13" s="1"/>
  <c r="F2344" i="13" s="1"/>
  <c r="C756" i="14"/>
  <c r="C786" i="14"/>
  <c r="C809" i="14"/>
  <c r="C576" i="10"/>
  <c r="E576" i="10"/>
  <c r="G576" i="10"/>
  <c r="E571" i="10"/>
  <c r="G571" i="10" s="1"/>
  <c r="D1722" i="13"/>
  <c r="F1722" i="13" s="1"/>
  <c r="H1722" i="13" s="1"/>
  <c r="F1717" i="13"/>
  <c r="H1717" i="13" s="1"/>
  <c r="D1771" i="13"/>
  <c r="E1125" i="36"/>
  <c r="D1181" i="36"/>
  <c r="D1237" i="36" s="1"/>
  <c r="E1237" i="36" s="1"/>
  <c r="F559" i="15"/>
  <c r="H559" i="15" s="1"/>
  <c r="L384" i="11" s="1"/>
  <c r="D611" i="15"/>
  <c r="F611" i="15"/>
  <c r="H611" i="15" s="1"/>
  <c r="L385" i="11" s="1"/>
  <c r="C757" i="14"/>
  <c r="C810" i="14"/>
  <c r="C791" i="14"/>
  <c r="F932" i="13"/>
  <c r="H932" i="13" s="1"/>
  <c r="J339" i="11" s="1"/>
  <c r="D1046" i="13"/>
  <c r="D937" i="13"/>
  <c r="F937" i="13" s="1"/>
  <c r="H937" i="13" s="1"/>
  <c r="F744" i="9"/>
  <c r="H695" i="9"/>
  <c r="J695" i="9" s="1"/>
  <c r="D698" i="9" s="1"/>
  <c r="F698" i="9" s="1"/>
  <c r="C816" i="13"/>
  <c r="C841" i="13"/>
  <c r="C788" i="13"/>
  <c r="L134" i="11"/>
  <c r="G804" i="9"/>
  <c r="C821" i="13"/>
  <c r="C842" i="13"/>
  <c r="C789" i="13"/>
  <c r="F531" i="9"/>
  <c r="H531" i="9"/>
  <c r="D580" i="9"/>
  <c r="G631" i="12"/>
  <c r="F686" i="12"/>
  <c r="F1158" i="36"/>
  <c r="H1158" i="36" s="1"/>
  <c r="D1163" i="36"/>
  <c r="F1163" i="36"/>
  <c r="D1214" i="36"/>
  <c r="D1270" i="36" s="1"/>
  <c r="D624" i="14"/>
  <c r="F567" i="14"/>
  <c r="H567" i="14" s="1"/>
  <c r="D991" i="13"/>
  <c r="D882" i="13"/>
  <c r="F882" i="13" s="1"/>
  <c r="H882" i="13" s="1"/>
  <c r="F877" i="13"/>
  <c r="H877" i="13" s="1"/>
  <c r="K466" i="29"/>
  <c r="H19" i="5"/>
  <c r="E20" i="5"/>
  <c r="H841" i="13"/>
  <c r="J841" i="13"/>
  <c r="D845" i="13" s="1"/>
  <c r="F845" i="13" s="1"/>
  <c r="E898" i="13"/>
  <c r="J310" i="11"/>
  <c r="G526" i="10"/>
  <c r="E513" i="10" s="1"/>
  <c r="E130" i="29"/>
  <c r="J353" i="11"/>
  <c r="F2099" i="13"/>
  <c r="H2099" i="13" s="1"/>
  <c r="J360" i="11" s="1"/>
  <c r="D2104" i="13"/>
  <c r="F2104" i="13"/>
  <c r="H2104" i="13"/>
  <c r="D2153" i="13"/>
  <c r="L383" i="11"/>
  <c r="M383" i="11"/>
  <c r="H512" i="15"/>
  <c r="F500" i="15"/>
  <c r="C814" i="12"/>
  <c r="C783" i="12"/>
  <c r="C834" i="12"/>
  <c r="D652" i="9"/>
  <c r="F652" i="9"/>
  <c r="E109" i="11" s="1"/>
  <c r="D109" i="11"/>
  <c r="M126" i="29"/>
  <c r="L59" i="29"/>
  <c r="F543" i="12"/>
  <c r="H543" i="12"/>
  <c r="D598" i="12"/>
  <c r="F598" i="12"/>
  <c r="H598" i="12" s="1"/>
  <c r="E1193" i="36"/>
  <c r="G1137" i="36"/>
  <c r="C578" i="10"/>
  <c r="E578" i="10" s="1"/>
  <c r="G578" i="10" s="1"/>
  <c r="E573" i="10"/>
  <c r="G573" i="10" s="1"/>
  <c r="F902" i="12"/>
  <c r="G847" i="12"/>
  <c r="D1823" i="13"/>
  <c r="D1774" i="13"/>
  <c r="F1774" i="13"/>
  <c r="H1774" i="13" s="1"/>
  <c r="J354" i="11" s="1"/>
  <c r="F1769" i="13"/>
  <c r="H1769" i="13"/>
  <c r="C1185" i="36"/>
  <c r="C1217" i="36"/>
  <c r="D1103" i="13"/>
  <c r="F989" i="13"/>
  <c r="H989" i="13" s="1"/>
  <c r="J340" i="11" s="1"/>
  <c r="D994" i="13"/>
  <c r="F994" i="13"/>
  <c r="H994" i="13" s="1"/>
  <c r="G1109" i="12"/>
  <c r="D992" i="36"/>
  <c r="D941" i="36"/>
  <c r="F941" i="36"/>
  <c r="H941" i="36"/>
  <c r="F936" i="36"/>
  <c r="H936" i="36" s="1"/>
  <c r="L85" i="11" s="1"/>
  <c r="M98" i="29" s="1"/>
  <c r="E410" i="16"/>
  <c r="G410" i="16"/>
  <c r="C415" i="16"/>
  <c r="E415" i="16" s="1"/>
  <c r="G415" i="16" s="1"/>
  <c r="K180" i="11" s="1"/>
  <c r="C2180" i="13"/>
  <c r="C2230" i="13"/>
  <c r="C2206" i="13"/>
  <c r="K374" i="29"/>
  <c r="C2231" i="13"/>
  <c r="C2211" i="13"/>
  <c r="C2181" i="13"/>
  <c r="D1047" i="36"/>
  <c r="F991" i="36"/>
  <c r="H991" i="36" s="1"/>
  <c r="K86" i="11" s="1"/>
  <c r="D996" i="36"/>
  <c r="F996" i="36"/>
  <c r="H996" i="36" s="1"/>
  <c r="D648" i="12"/>
  <c r="F593" i="12"/>
  <c r="H593" i="12" s="1"/>
  <c r="L136" i="11" s="1"/>
  <c r="D2101" i="13"/>
  <c r="D1999" i="13"/>
  <c r="F1999" i="13"/>
  <c r="H1999" i="13" s="1"/>
  <c r="L358" i="11" s="1"/>
  <c r="D2048" i="13"/>
  <c r="F1994" i="13"/>
  <c r="H1994" i="13"/>
  <c r="L58" i="29"/>
  <c r="D679" i="14"/>
  <c r="F623" i="14"/>
  <c r="H623" i="14"/>
  <c r="D2051" i="13"/>
  <c r="F2051" i="13" s="1"/>
  <c r="H2051" i="13" s="1"/>
  <c r="J359" i="11" s="1"/>
  <c r="F2046" i="13"/>
  <c r="H2046" i="13"/>
  <c r="C1837" i="16"/>
  <c r="C1892" i="16" s="1"/>
  <c r="C1947" i="16" s="1"/>
  <c r="C2002" i="16" s="1"/>
  <c r="E464" i="16"/>
  <c r="C516" i="16"/>
  <c r="C569" i="16"/>
  <c r="C469" i="16"/>
  <c r="E469" i="16" s="1"/>
  <c r="J338" i="11"/>
  <c r="L310" i="11"/>
  <c r="M310" i="11" s="1"/>
  <c r="G1313" i="36"/>
  <c r="D809" i="14"/>
  <c r="E752" i="14"/>
  <c r="N58" i="29"/>
  <c r="M45" i="11"/>
  <c r="N45" i="11" s="1"/>
  <c r="P45" i="11" s="1"/>
  <c r="G679" i="12"/>
  <c r="F734" i="12"/>
  <c r="D1050" i="13"/>
  <c r="F1050" i="13"/>
  <c r="H1050" i="13" s="1"/>
  <c r="I341" i="11" s="1"/>
  <c r="F1045" i="13"/>
  <c r="H1045" i="13"/>
  <c r="D1159" i="13"/>
  <c r="F677" i="14"/>
  <c r="H677" i="14" s="1"/>
  <c r="I48" i="11" s="1"/>
  <c r="J61" i="29" s="1"/>
  <c r="D735" i="14"/>
  <c r="G1013" i="36"/>
  <c r="H957" i="36"/>
  <c r="J957" i="36"/>
  <c r="D961" i="36" s="1"/>
  <c r="F961" i="36" s="1"/>
  <c r="D2207" i="13"/>
  <c r="D2157" i="13"/>
  <c r="F2157" i="13"/>
  <c r="H2157" i="13" s="1"/>
  <c r="I361" i="11" s="1"/>
  <c r="F2152" i="13"/>
  <c r="H2152" i="13"/>
  <c r="F794" i="12"/>
  <c r="G739" i="12"/>
  <c r="F1101" i="36"/>
  <c r="H1101" i="36"/>
  <c r="D1157" i="36"/>
  <c r="D1106" i="36"/>
  <c r="F1106" i="36" s="1"/>
  <c r="H1106" i="36" s="1"/>
  <c r="I88" i="11" s="1"/>
  <c r="D1180" i="36"/>
  <c r="E1124" i="36"/>
  <c r="G361" i="11"/>
  <c r="H470" i="29"/>
  <c r="F2143" i="13"/>
  <c r="F788" i="14"/>
  <c r="H788" i="14" s="1"/>
  <c r="D844" i="14"/>
  <c r="F1876" i="13"/>
  <c r="H1876" i="13" s="1"/>
  <c r="F1873" i="13" s="1"/>
  <c r="G356" i="11" s="1"/>
  <c r="H465" i="29" s="1"/>
  <c r="H1816" i="13"/>
  <c r="F1813" i="13" s="1"/>
  <c r="G355" i="11" s="1"/>
  <c r="H464" i="29" s="1"/>
  <c r="D1216" i="13"/>
  <c r="D1107" i="13"/>
  <c r="F1107" i="13"/>
  <c r="H1107" i="13" s="1"/>
  <c r="I342" i="11" s="1"/>
  <c r="J451" i="29" s="1"/>
  <c r="F1102" i="13"/>
  <c r="H1102" i="13"/>
  <c r="D810" i="14"/>
  <c r="E753" i="14"/>
  <c r="H753" i="14" s="1"/>
  <c r="J753" i="14" s="1"/>
  <c r="D757" i="14" s="1"/>
  <c r="F757" i="14" s="1"/>
  <c r="D2256" i="13"/>
  <c r="F2201" i="13"/>
  <c r="H2201" i="13"/>
  <c r="D1210" i="13"/>
  <c r="F1096" i="13"/>
  <c r="H1096" i="13"/>
  <c r="F1093" i="13"/>
  <c r="G342" i="11" s="1"/>
  <c r="H451" i="29" s="1"/>
  <c r="D1827" i="13"/>
  <c r="F1827" i="13"/>
  <c r="H1827" i="13" s="1"/>
  <c r="I355" i="11" s="1"/>
  <c r="J464" i="29" s="1"/>
  <c r="F1822" i="13"/>
  <c r="H1822" i="13"/>
  <c r="D1882" i="13"/>
  <c r="F1039" i="13"/>
  <c r="H1039" i="13" s="1"/>
  <c r="F1036" i="13" s="1"/>
  <c r="G341" i="11" s="1"/>
  <c r="H450" i="29" s="1"/>
  <c r="D1153" i="13"/>
  <c r="E724" i="12"/>
  <c r="H724" i="12"/>
  <c r="J724" i="12" s="1"/>
  <c r="D728" i="12" s="1"/>
  <c r="F728" i="12" s="1"/>
  <c r="D779" i="12"/>
  <c r="I244" i="11"/>
  <c r="J311" i="29"/>
  <c r="L311" i="29"/>
  <c r="K244" i="11"/>
  <c r="L244" i="11"/>
  <c r="M311" i="29"/>
  <c r="J244" i="11"/>
  <c r="K311" i="29"/>
  <c r="H347" i="29"/>
  <c r="E647" i="39"/>
  <c r="G647" i="39"/>
  <c r="C698" i="39"/>
  <c r="D623" i="39"/>
  <c r="C674" i="39"/>
  <c r="B576" i="39"/>
  <c r="B601" i="39"/>
  <c r="D793" i="14"/>
  <c r="F736" i="14"/>
  <c r="H736" i="14"/>
  <c r="J49" i="11"/>
  <c r="K62" i="29" s="1"/>
  <c r="D901" i="14"/>
  <c r="F843" i="14"/>
  <c r="H843" i="14" s="1"/>
  <c r="D705" i="12"/>
  <c r="F700" i="12"/>
  <c r="H700" i="12"/>
  <c r="D755" i="12"/>
  <c r="D793" i="9"/>
  <c r="E744" i="9"/>
  <c r="D2177" i="13"/>
  <c r="E2122" i="13"/>
  <c r="E728" i="13"/>
  <c r="G694" i="14"/>
  <c r="H638" i="14"/>
  <c r="J638" i="14" s="1"/>
  <c r="D642" i="14" s="1"/>
  <c r="F642" i="14" s="1"/>
  <c r="F1068" i="36"/>
  <c r="H1012" i="36"/>
  <c r="J1012" i="36"/>
  <c r="D1016" i="36"/>
  <c r="F1016" i="36" s="1"/>
  <c r="E668" i="12"/>
  <c r="H668" i="12"/>
  <c r="J668" i="12"/>
  <c r="D672" i="12" s="1"/>
  <c r="F672" i="12" s="1"/>
  <c r="D138" i="11" s="1"/>
  <c r="D723" i="12"/>
  <c r="D812" i="12"/>
  <c r="F757" i="12"/>
  <c r="H757" i="12"/>
  <c r="D969" i="12"/>
  <c r="F914" i="12"/>
  <c r="H914" i="12"/>
  <c r="G1252" i="36"/>
  <c r="E1308" i="36"/>
  <c r="G1253" i="36"/>
  <c r="E1309" i="36"/>
  <c r="D676" i="9"/>
  <c r="F627" i="9"/>
  <c r="H627" i="9" s="1"/>
  <c r="J108" i="11" s="1"/>
  <c r="K130" i="29" s="1"/>
  <c r="G141" i="11"/>
  <c r="H171" i="29" s="1"/>
  <c r="F856" i="12"/>
  <c r="B525" i="39"/>
  <c r="B550" i="39"/>
  <c r="B776" i="39"/>
  <c r="B828" i="39" s="1"/>
  <c r="E1181" i="36"/>
  <c r="K107" i="11"/>
  <c r="L129" i="29"/>
  <c r="J107" i="11"/>
  <c r="K129" i="29" s="1"/>
  <c r="C1329" i="36"/>
  <c r="C1297" i="36"/>
  <c r="F707" i="12"/>
  <c r="H707" i="12"/>
  <c r="D762" i="12"/>
  <c r="F762" i="12"/>
  <c r="H762" i="12" s="1"/>
  <c r="K139" i="11" s="1"/>
  <c r="L169" i="29" s="1"/>
  <c r="D822" i="9"/>
  <c r="F773" i="9"/>
  <c r="H773" i="9"/>
  <c r="I111" i="11" s="1"/>
  <c r="J133" i="29" s="1"/>
  <c r="F1435" i="16"/>
  <c r="F1488" i="16"/>
  <c r="D1802" i="16"/>
  <c r="G429" i="16"/>
  <c r="I429" i="16"/>
  <c r="C433" i="16"/>
  <c r="D482" i="16"/>
  <c r="G430" i="16"/>
  <c r="I430" i="16"/>
  <c r="C434" i="16"/>
  <c r="D1803" i="16"/>
  <c r="D483" i="16"/>
  <c r="G514" i="16"/>
  <c r="D776" i="39"/>
  <c r="G545" i="39"/>
  <c r="G521" i="39"/>
  <c r="I521" i="39" s="1"/>
  <c r="C525" i="39" s="1"/>
  <c r="E525" i="39" s="1"/>
  <c r="E799" i="39"/>
  <c r="G799" i="39" s="1"/>
  <c r="G742" i="12"/>
  <c r="F797" i="12"/>
  <c r="G743" i="12"/>
  <c r="F798" i="12"/>
  <c r="G740" i="12"/>
  <c r="F795" i="12"/>
  <c r="G846" i="12"/>
  <c r="F901" i="12"/>
  <c r="F900" i="12"/>
  <c r="G845" i="12"/>
  <c r="G1198" i="36"/>
  <c r="E1254" i="36"/>
  <c r="G916" i="13"/>
  <c r="F973" i="13"/>
  <c r="F1029" i="13"/>
  <c r="G972" i="13"/>
  <c r="G974" i="13"/>
  <c r="F1031" i="13"/>
  <c r="G1195" i="36"/>
  <c r="E1251" i="36"/>
  <c r="G1193" i="36"/>
  <c r="E1249" i="36"/>
  <c r="G969" i="13"/>
  <c r="F1026" i="13"/>
  <c r="G975" i="13"/>
  <c r="F1032" i="13"/>
  <c r="G968" i="13"/>
  <c r="F1025" i="13"/>
  <c r="G862" i="13"/>
  <c r="F919" i="13"/>
  <c r="D761" i="12"/>
  <c r="F761" i="12" s="1"/>
  <c r="H761" i="12" s="1"/>
  <c r="J139" i="11" s="1"/>
  <c r="K169" i="29" s="1"/>
  <c r="F706" i="12"/>
  <c r="H706" i="12" s="1"/>
  <c r="C1128" i="36"/>
  <c r="C1180" i="36"/>
  <c r="C1236" i="36" s="1"/>
  <c r="C1156" i="36"/>
  <c r="D1889" i="13"/>
  <c r="F1889" i="13" s="1"/>
  <c r="H1889" i="13" s="1"/>
  <c r="F1884" i="13"/>
  <c r="H1884" i="13"/>
  <c r="D1166" i="13"/>
  <c r="F1166" i="13" s="1"/>
  <c r="H1166" i="13" s="1"/>
  <c r="D1275" i="13"/>
  <c r="F1161" i="13"/>
  <c r="H1161" i="13" s="1"/>
  <c r="F643" i="9"/>
  <c r="D1223" i="13"/>
  <c r="F1223" i="13" s="1"/>
  <c r="H1223" i="13" s="1"/>
  <c r="K344" i="11" s="1"/>
  <c r="F1218" i="13"/>
  <c r="H1218" i="13"/>
  <c r="D1332" i="13"/>
  <c r="G467" i="16"/>
  <c r="J182" i="11"/>
  <c r="K239" i="29"/>
  <c r="E1840" i="16"/>
  <c r="C754" i="12"/>
  <c r="C727" i="12"/>
  <c r="C778" i="12"/>
  <c r="G1835" i="16"/>
  <c r="E1890" i="16"/>
  <c r="D811" i="12"/>
  <c r="F756" i="12"/>
  <c r="H756" i="12"/>
  <c r="D2214" i="13"/>
  <c r="F2214" i="13" s="1"/>
  <c r="H2214" i="13" s="1"/>
  <c r="D2264" i="13"/>
  <c r="F2209" i="13"/>
  <c r="H2209" i="13" s="1"/>
  <c r="F2048" i="13"/>
  <c r="H2048" i="13"/>
  <c r="D2053" i="13"/>
  <c r="F2053" i="13" s="1"/>
  <c r="H2053" i="13" s="1"/>
  <c r="D1103" i="36"/>
  <c r="D1052" i="36"/>
  <c r="F1052" i="36" s="1"/>
  <c r="H1052" i="36" s="1"/>
  <c r="F1047" i="36"/>
  <c r="H1047" i="36"/>
  <c r="G1164" i="12"/>
  <c r="D1108" i="13"/>
  <c r="F1108" i="13" s="1"/>
  <c r="H1108" i="13" s="1"/>
  <c r="D1217" i="13"/>
  <c r="F1103" i="13"/>
  <c r="H1103" i="13" s="1"/>
  <c r="C869" i="12"/>
  <c r="C889" i="12"/>
  <c r="C838" i="12"/>
  <c r="F624" i="14"/>
  <c r="H624" i="14"/>
  <c r="D680" i="14"/>
  <c r="F741" i="12"/>
  <c r="G686" i="12"/>
  <c r="D1160" i="13"/>
  <c r="D1051" i="13"/>
  <c r="F1051" i="13"/>
  <c r="H1051" i="13" s="1"/>
  <c r="J341" i="11" s="1"/>
  <c r="K450" i="29" s="1"/>
  <c r="F1046" i="13"/>
  <c r="H1046" i="13"/>
  <c r="F934" i="13"/>
  <c r="H934" i="13" s="1"/>
  <c r="D1048" i="13"/>
  <c r="D939" i="13"/>
  <c r="F939" i="13"/>
  <c r="H939" i="13" s="1"/>
  <c r="F732" i="14"/>
  <c r="H732" i="14"/>
  <c r="D789" i="14"/>
  <c r="M127" i="29"/>
  <c r="G979" i="14"/>
  <c r="C521" i="16"/>
  <c r="E521" i="16"/>
  <c r="G521" i="16"/>
  <c r="E516" i="16"/>
  <c r="K447" i="29"/>
  <c r="E960" i="16"/>
  <c r="E1012" i="16"/>
  <c r="B482" i="16"/>
  <c r="B534" i="16" s="1"/>
  <c r="B460" i="16"/>
  <c r="B433" i="16"/>
  <c r="D737" i="14"/>
  <c r="F679" i="14"/>
  <c r="H679" i="14"/>
  <c r="K48" i="11" s="1"/>
  <c r="C2286" i="13"/>
  <c r="C2341" i="13"/>
  <c r="C2266" i="13"/>
  <c r="C2235" i="13"/>
  <c r="C2285" i="13"/>
  <c r="C2261" i="13"/>
  <c r="C2340" i="13"/>
  <c r="C2234" i="13"/>
  <c r="D1883" i="13"/>
  <c r="D1828" i="13"/>
  <c r="F1828" i="13" s="1"/>
  <c r="H1828" i="13" s="1"/>
  <c r="F1823" i="13"/>
  <c r="H1823" i="13" s="1"/>
  <c r="G902" i="12"/>
  <c r="F957" i="12"/>
  <c r="H898" i="13"/>
  <c r="J898" i="13"/>
  <c r="D902" i="13"/>
  <c r="F902" i="13" s="1"/>
  <c r="E955" i="13"/>
  <c r="L106" i="11"/>
  <c r="C878" i="13"/>
  <c r="C899" i="13"/>
  <c r="C846" i="13"/>
  <c r="C866" i="14"/>
  <c r="C814" i="14"/>
  <c r="C847" i="14"/>
  <c r="F1771" i="13"/>
  <c r="H1771" i="13"/>
  <c r="D1825" i="13"/>
  <c r="D1776" i="13"/>
  <c r="F1776" i="13" s="1"/>
  <c r="H1776" i="13" s="1"/>
  <c r="C865" i="14"/>
  <c r="C842" i="14"/>
  <c r="C813" i="14"/>
  <c r="B434" i="16"/>
  <c r="B483" i="16"/>
  <c r="B535" i="16" s="1"/>
  <c r="B465" i="16"/>
  <c r="M467" i="29"/>
  <c r="K47" i="11"/>
  <c r="E1837" i="16"/>
  <c r="G464" i="16"/>
  <c r="D2155" i="13"/>
  <c r="F2101" i="13"/>
  <c r="H2101" i="13"/>
  <c r="D2106" i="13"/>
  <c r="F2106" i="13" s="1"/>
  <c r="H2106" i="13" s="1"/>
  <c r="D703" i="12"/>
  <c r="D653" i="12"/>
  <c r="F653" i="12" s="1"/>
  <c r="H653" i="12" s="1"/>
  <c r="F648" i="12"/>
  <c r="H648" i="12"/>
  <c r="D1048" i="36"/>
  <c r="F1048" i="36" s="1"/>
  <c r="H1048" i="36" s="1"/>
  <c r="F992" i="36"/>
  <c r="H992" i="36" s="1"/>
  <c r="D997" i="36"/>
  <c r="F997" i="36"/>
  <c r="H997" i="36" s="1"/>
  <c r="L86" i="11" s="1"/>
  <c r="E455" i="16"/>
  <c r="E131" i="29"/>
  <c r="D2208" i="13"/>
  <c r="D2158" i="13"/>
  <c r="F2158" i="13" s="1"/>
  <c r="H2158" i="13" s="1"/>
  <c r="F2153" i="13"/>
  <c r="H2153" i="13" s="1"/>
  <c r="K462" i="29"/>
  <c r="K375" i="29"/>
  <c r="F580" i="9"/>
  <c r="H580" i="9" s="1"/>
  <c r="D629" i="9"/>
  <c r="F793" i="9"/>
  <c r="H744" i="9"/>
  <c r="J744" i="9"/>
  <c r="D747" i="9" s="1"/>
  <c r="F747" i="9" s="1"/>
  <c r="D733" i="14"/>
  <c r="F675" i="14"/>
  <c r="H675" i="14" s="1"/>
  <c r="E21" i="5"/>
  <c r="H20" i="5"/>
  <c r="D1105" i="13"/>
  <c r="F991" i="13"/>
  <c r="H991" i="13" s="1"/>
  <c r="D996" i="13"/>
  <c r="F996" i="13"/>
  <c r="H996" i="13" s="1"/>
  <c r="D1219" i="36"/>
  <c r="F1219" i="36"/>
  <c r="H1219" i="36"/>
  <c r="F1214" i="36"/>
  <c r="H1214" i="36" s="1"/>
  <c r="G853" i="9"/>
  <c r="M164" i="29"/>
  <c r="C898" i="13"/>
  <c r="C873" i="13"/>
  <c r="C845" i="13"/>
  <c r="J311" i="11"/>
  <c r="K376" i="29" s="1"/>
  <c r="E2396" i="13"/>
  <c r="H2396" i="13" s="1"/>
  <c r="J2396" i="13" s="1"/>
  <c r="D2400" i="13" s="1"/>
  <c r="F2400" i="13" s="1"/>
  <c r="D2451" i="13"/>
  <c r="G1308" i="36"/>
  <c r="G1309" i="36"/>
  <c r="D865" i="14"/>
  <c r="E809" i="14"/>
  <c r="D1267" i="13"/>
  <c r="F1267" i="13"/>
  <c r="H1267" i="13"/>
  <c r="F1264" i="13"/>
  <c r="G345" i="11" s="1"/>
  <c r="H454" i="29" s="1"/>
  <c r="F1153" i="13"/>
  <c r="H1153" i="13" s="1"/>
  <c r="F1150" i="13" s="1"/>
  <c r="G343" i="11" s="1"/>
  <c r="H452" i="29" s="1"/>
  <c r="F2256" i="13"/>
  <c r="H2256" i="13" s="1"/>
  <c r="D2311" i="13"/>
  <c r="F2311" i="13"/>
  <c r="H2311" i="13" s="1"/>
  <c r="F2308" i="13" s="1"/>
  <c r="G364" i="11" s="1"/>
  <c r="H473" i="29" s="1"/>
  <c r="D2368" i="13"/>
  <c r="F844" i="14"/>
  <c r="H844" i="14"/>
  <c r="D902" i="14"/>
  <c r="D1164" i="13"/>
  <c r="F1164" i="13" s="1"/>
  <c r="H1164" i="13" s="1"/>
  <c r="D1273" i="13"/>
  <c r="F1159" i="13"/>
  <c r="H1159" i="13" s="1"/>
  <c r="F2198" i="13"/>
  <c r="G362" i="11"/>
  <c r="H471" i="29" s="1"/>
  <c r="F1157" i="36"/>
  <c r="H1157" i="36"/>
  <c r="D1162" i="36"/>
  <c r="F1162" i="36" s="1"/>
  <c r="D1213" i="36"/>
  <c r="F789" i="12"/>
  <c r="G734" i="12"/>
  <c r="D834" i="12"/>
  <c r="E779" i="12"/>
  <c r="H779" i="12"/>
  <c r="J779" i="12" s="1"/>
  <c r="D783" i="12" s="1"/>
  <c r="F783" i="12" s="1"/>
  <c r="F1882" i="13"/>
  <c r="H1882" i="13" s="1"/>
  <c r="D1887" i="13"/>
  <c r="F1887" i="13"/>
  <c r="H1887" i="13"/>
  <c r="D1324" i="13"/>
  <c r="F1324" i="13" s="1"/>
  <c r="H1324" i="13" s="1"/>
  <c r="F1321" i="13" s="1"/>
  <c r="G346" i="11" s="1"/>
  <c r="H455" i="29" s="1"/>
  <c r="F1210" i="13"/>
  <c r="H1210" i="13"/>
  <c r="F1207" i="13" s="1"/>
  <c r="G344" i="11" s="1"/>
  <c r="H453" i="29" s="1"/>
  <c r="E810" i="14"/>
  <c r="H810" i="14"/>
  <c r="J810" i="14" s="1"/>
  <c r="D814" i="14" s="1"/>
  <c r="F814" i="14" s="1"/>
  <c r="D866" i="14"/>
  <c r="F849" i="12"/>
  <c r="G794" i="12"/>
  <c r="D792" i="14"/>
  <c r="F735" i="14"/>
  <c r="H735" i="14" s="1"/>
  <c r="J343" i="11"/>
  <c r="K452" i="29" s="1"/>
  <c r="D1221" i="13"/>
  <c r="F1221" i="13"/>
  <c r="H1221" i="13" s="1"/>
  <c r="I344" i="11" s="1"/>
  <c r="J453" i="29" s="1"/>
  <c r="F1216" i="13"/>
  <c r="H1216" i="13"/>
  <c r="D1330" i="13"/>
  <c r="E1180" i="36"/>
  <c r="D1236" i="36"/>
  <c r="D2212" i="13"/>
  <c r="F2212" i="13"/>
  <c r="H2212" i="13" s="1"/>
  <c r="I362" i="11" s="1"/>
  <c r="J471" i="29" s="1"/>
  <c r="F2207" i="13"/>
  <c r="H2207" i="13"/>
  <c r="D2262" i="13"/>
  <c r="G1069" i="36"/>
  <c r="H1013" i="36"/>
  <c r="J1013" i="36"/>
  <c r="D1017" i="36"/>
  <c r="F1017" i="36" s="1"/>
  <c r="D87" i="11" s="1"/>
  <c r="J245" i="11"/>
  <c r="K312" i="29"/>
  <c r="I245" i="11"/>
  <c r="J312" i="29"/>
  <c r="M244" i="11"/>
  <c r="N312" i="29"/>
  <c r="K245" i="11"/>
  <c r="L312" i="29"/>
  <c r="L245" i="11"/>
  <c r="M312" i="29"/>
  <c r="F351" i="29"/>
  <c r="E351" i="29"/>
  <c r="D828" i="39"/>
  <c r="E698" i="39"/>
  <c r="G698" i="39"/>
  <c r="C749" i="39"/>
  <c r="E749" i="39"/>
  <c r="G749" i="39"/>
  <c r="D674" i="39"/>
  <c r="C725" i="39"/>
  <c r="D725" i="39"/>
  <c r="H940" i="13"/>
  <c r="F927" i="13" s="1"/>
  <c r="D849" i="14"/>
  <c r="F793" i="14"/>
  <c r="H793" i="14" s="1"/>
  <c r="E501" i="39"/>
  <c r="G501" i="39" s="1"/>
  <c r="C552" i="39"/>
  <c r="C603" i="39"/>
  <c r="C654" i="39" s="1"/>
  <c r="C506" i="39"/>
  <c r="E506" i="39" s="1"/>
  <c r="G506" i="39" s="1"/>
  <c r="D760" i="12"/>
  <c r="F760" i="12"/>
  <c r="H760" i="12"/>
  <c r="F705" i="12"/>
  <c r="H705" i="12"/>
  <c r="I138" i="11"/>
  <c r="J168" i="29"/>
  <c r="E502" i="39"/>
  <c r="G502" i="39"/>
  <c r="C553" i="39"/>
  <c r="C604" i="39"/>
  <c r="C655" i="39" s="1"/>
  <c r="C706" i="39" s="1"/>
  <c r="C757" i="39" s="1"/>
  <c r="C507" i="39"/>
  <c r="E507" i="39" s="1"/>
  <c r="G507" i="39" s="1"/>
  <c r="C551" i="39"/>
  <c r="C602" i="39" s="1"/>
  <c r="C653" i="39" s="1"/>
  <c r="E500" i="39"/>
  <c r="G500" i="39"/>
  <c r="C505" i="39"/>
  <c r="E505" i="39" s="1"/>
  <c r="G505" i="39" s="1"/>
  <c r="C554" i="39"/>
  <c r="C605" i="39" s="1"/>
  <c r="C508" i="39"/>
  <c r="E508" i="39" s="1"/>
  <c r="G508" i="39" s="1"/>
  <c r="E503" i="39"/>
  <c r="G503" i="39" s="1"/>
  <c r="D810" i="12"/>
  <c r="F810" i="12" s="1"/>
  <c r="H810" i="12" s="1"/>
  <c r="F755" i="12"/>
  <c r="H755" i="12"/>
  <c r="D956" i="14"/>
  <c r="F901" i="14"/>
  <c r="H901" i="14" s="1"/>
  <c r="H2054" i="13"/>
  <c r="F2041" i="13" s="1"/>
  <c r="E793" i="9"/>
  <c r="H793" i="9" s="1"/>
  <c r="J793" i="9" s="1"/>
  <c r="D796" i="9" s="1"/>
  <c r="F796" i="9" s="1"/>
  <c r="D842" i="9"/>
  <c r="D2231" i="13"/>
  <c r="E2177" i="13"/>
  <c r="E785" i="13"/>
  <c r="F1124" i="36"/>
  <c r="H1068" i="36"/>
  <c r="J1068" i="36" s="1"/>
  <c r="D1072" i="36" s="1"/>
  <c r="F1072" i="36" s="1"/>
  <c r="D48" i="11"/>
  <c r="D645" i="14"/>
  <c r="F645" i="14" s="1"/>
  <c r="G752" i="14"/>
  <c r="H694" i="14"/>
  <c r="J694" i="14" s="1"/>
  <c r="D698" i="14" s="1"/>
  <c r="F698" i="14" s="1"/>
  <c r="D778" i="12"/>
  <c r="E723" i="12"/>
  <c r="H723" i="12" s="1"/>
  <c r="J723" i="12" s="1"/>
  <c r="D727" i="12" s="1"/>
  <c r="F727" i="12" s="1"/>
  <c r="D675" i="12"/>
  <c r="F675" i="12" s="1"/>
  <c r="E138" i="11" s="1"/>
  <c r="F168" i="29" s="1"/>
  <c r="C1268" i="36"/>
  <c r="C1292" i="36"/>
  <c r="C1348" i="36" s="1"/>
  <c r="C1240" i="36"/>
  <c r="G1251" i="36"/>
  <c r="E1307" i="36"/>
  <c r="F969" i="12"/>
  <c r="H969" i="12"/>
  <c r="D1024" i="12"/>
  <c r="D1079" i="12" s="1"/>
  <c r="B780" i="39"/>
  <c r="B804" i="39"/>
  <c r="G142" i="11"/>
  <c r="H172" i="29"/>
  <c r="F911" i="12"/>
  <c r="G1249" i="36"/>
  <c r="E1305" i="36"/>
  <c r="G1359" i="36"/>
  <c r="G1254" i="36"/>
  <c r="E1310" i="36"/>
  <c r="D871" i="9"/>
  <c r="F822" i="9"/>
  <c r="H822" i="9" s="1"/>
  <c r="I112" i="11" s="1"/>
  <c r="J134" i="29" s="1"/>
  <c r="D1293" i="36"/>
  <c r="E1293" i="36"/>
  <c r="F812" i="12"/>
  <c r="H812" i="12" s="1"/>
  <c r="K140" i="11" s="1"/>
  <c r="L170" i="29" s="1"/>
  <c r="D817" i="12"/>
  <c r="D867" i="12"/>
  <c r="L360" i="11"/>
  <c r="M469" i="29" s="1"/>
  <c r="L339" i="11"/>
  <c r="M448" i="29" s="1"/>
  <c r="K362" i="11"/>
  <c r="L471" i="29" s="1"/>
  <c r="F676" i="9"/>
  <c r="H676" i="9"/>
  <c r="J109" i="11" s="1"/>
  <c r="D725" i="9"/>
  <c r="E1539" i="16"/>
  <c r="E1592" i="16" s="1"/>
  <c r="F1540" i="16"/>
  <c r="F1593" i="16"/>
  <c r="F1645" i="16" s="1"/>
  <c r="F1699" i="16" s="1"/>
  <c r="F1539" i="16"/>
  <c r="F1592" i="16" s="1"/>
  <c r="G483" i="16"/>
  <c r="I483" i="16" s="1"/>
  <c r="C487" i="16" s="1"/>
  <c r="E487" i="16" s="1"/>
  <c r="D535" i="16"/>
  <c r="G482" i="16"/>
  <c r="I482" i="16"/>
  <c r="C486" i="16" s="1"/>
  <c r="E486" i="16" s="1"/>
  <c r="D534" i="16"/>
  <c r="D1857" i="16"/>
  <c r="D1912" i="16" s="1"/>
  <c r="D1967" i="16" s="1"/>
  <c r="G1802" i="16"/>
  <c r="E433" i="16"/>
  <c r="C1806" i="16"/>
  <c r="C1807" i="16"/>
  <c r="E434" i="16"/>
  <c r="G1803" i="16"/>
  <c r="D1858" i="16"/>
  <c r="D1913" i="16" s="1"/>
  <c r="D1968" i="16" s="1"/>
  <c r="G516" i="16"/>
  <c r="L183" i="11" s="1"/>
  <c r="M240" i="29" s="1"/>
  <c r="F955" i="12"/>
  <c r="G900" i="12"/>
  <c r="F850" i="12"/>
  <c r="G795" i="12"/>
  <c r="G797" i="12"/>
  <c r="F852" i="12"/>
  <c r="G901" i="12"/>
  <c r="F956" i="12"/>
  <c r="G798" i="12"/>
  <c r="F853" i="12"/>
  <c r="G919" i="13"/>
  <c r="F976" i="13"/>
  <c r="G1032" i="13"/>
  <c r="F1089" i="13"/>
  <c r="F1086" i="13"/>
  <c r="G1029" i="13"/>
  <c r="F1082" i="13"/>
  <c r="G1025" i="13"/>
  <c r="G1026" i="13"/>
  <c r="F1083" i="13"/>
  <c r="G1031" i="13"/>
  <c r="F1088" i="13"/>
  <c r="G973" i="13"/>
  <c r="F1030" i="13"/>
  <c r="F1275" i="13"/>
  <c r="H1275" i="13" s="1"/>
  <c r="K345" i="11" s="1"/>
  <c r="L454" i="29" s="1"/>
  <c r="D1280" i="13"/>
  <c r="F1280" i="13"/>
  <c r="H1280" i="13" s="1"/>
  <c r="D1337" i="13"/>
  <c r="F1337" i="13"/>
  <c r="H1337" i="13" s="1"/>
  <c r="K346" i="11" s="1"/>
  <c r="L455" i="29" s="1"/>
  <c r="F1332" i="13"/>
  <c r="H1332" i="13"/>
  <c r="E567" i="16"/>
  <c r="C619" i="16"/>
  <c r="C673" i="16" s="1"/>
  <c r="C726" i="16" s="1"/>
  <c r="C779" i="16" s="1"/>
  <c r="E572" i="16"/>
  <c r="G572" i="16" s="1"/>
  <c r="J185" i="11" s="1"/>
  <c r="K242" i="29" s="1"/>
  <c r="C1184" i="36"/>
  <c r="C1212" i="36"/>
  <c r="G1890" i="16"/>
  <c r="E1945" i="16"/>
  <c r="C809" i="12"/>
  <c r="C833" i="12"/>
  <c r="C782" i="12"/>
  <c r="L340" i="11"/>
  <c r="M449" i="29" s="1"/>
  <c r="N449" i="29" s="1"/>
  <c r="D2269" i="13"/>
  <c r="F2269" i="13" s="1"/>
  <c r="H2269" i="13" s="1"/>
  <c r="D2319" i="13"/>
  <c r="F2264" i="13"/>
  <c r="H2264" i="13" s="1"/>
  <c r="K363" i="11" s="1"/>
  <c r="L472" i="29" s="1"/>
  <c r="D2376" i="13"/>
  <c r="F811" i="12"/>
  <c r="H811" i="12"/>
  <c r="D866" i="12"/>
  <c r="D816" i="12"/>
  <c r="E1895" i="16"/>
  <c r="G1840" i="16"/>
  <c r="J222" i="11" s="1"/>
  <c r="K280" i="29" s="1"/>
  <c r="K448" i="29"/>
  <c r="N448" i="29"/>
  <c r="D2506" i="13"/>
  <c r="E2451" i="13"/>
  <c r="C930" i="13"/>
  <c r="C902" i="13"/>
  <c r="C955" i="13"/>
  <c r="K463" i="29"/>
  <c r="F2208" i="13"/>
  <c r="H2208" i="13" s="1"/>
  <c r="D2213" i="13"/>
  <c r="F2213" i="13" s="1"/>
  <c r="H2213" i="13" s="1"/>
  <c r="D2263" i="13"/>
  <c r="D1104" i="36"/>
  <c r="D1053" i="36"/>
  <c r="F1053" i="36" s="1"/>
  <c r="H1053" i="36" s="1"/>
  <c r="F703" i="12"/>
  <c r="H703" i="12" s="1"/>
  <c r="D758" i="12"/>
  <c r="D708" i="12"/>
  <c r="L61" i="29"/>
  <c r="F1825" i="13"/>
  <c r="H1825" i="13" s="1"/>
  <c r="D1885" i="13"/>
  <c r="D1830" i="13"/>
  <c r="F1830" i="13" s="1"/>
  <c r="H1830" i="13" s="1"/>
  <c r="H955" i="13"/>
  <c r="J955" i="13" s="1"/>
  <c r="D959" i="13" s="1"/>
  <c r="F959" i="13" s="1"/>
  <c r="E1012" i="13"/>
  <c r="C2316" i="13"/>
  <c r="C2289" i="13"/>
  <c r="L99" i="29"/>
  <c r="D845" i="14"/>
  <c r="F789" i="14"/>
  <c r="H789" i="14" s="1"/>
  <c r="C944" i="12"/>
  <c r="C979" i="12" s="1"/>
  <c r="C924" i="12"/>
  <c r="C893" i="12"/>
  <c r="D1159" i="36"/>
  <c r="F1103" i="36"/>
  <c r="H1103" i="36" s="1"/>
  <c r="D1108" i="36"/>
  <c r="F1108" i="36" s="1"/>
  <c r="H1108" i="36" s="1"/>
  <c r="H21" i="5"/>
  <c r="E22" i="5"/>
  <c r="F842" i="9"/>
  <c r="L107" i="11"/>
  <c r="M129" i="29" s="1"/>
  <c r="N129" i="29" s="1"/>
  <c r="D2160" i="13"/>
  <c r="F2160" i="13" s="1"/>
  <c r="H2160" i="13" s="1"/>
  <c r="D2210" i="13"/>
  <c r="F2155" i="13"/>
  <c r="H2155" i="13" s="1"/>
  <c r="L60" i="29"/>
  <c r="G957" i="12"/>
  <c r="F1012" i="12"/>
  <c r="D1888" i="13"/>
  <c r="F1888" i="13" s="1"/>
  <c r="H1888" i="13" s="1"/>
  <c r="J356" i="11" s="1"/>
  <c r="K465" i="29" s="1"/>
  <c r="F1883" i="13"/>
  <c r="H1883" i="13"/>
  <c r="K449" i="29"/>
  <c r="C1836" i="16"/>
  <c r="C1891" i="16" s="1"/>
  <c r="C1946" i="16" s="1"/>
  <c r="C2001" i="16" s="1"/>
  <c r="C468" i="16"/>
  <c r="E463" i="16"/>
  <c r="C515" i="16"/>
  <c r="C568" i="16" s="1"/>
  <c r="K468" i="29"/>
  <c r="G1034" i="14"/>
  <c r="F680" i="14"/>
  <c r="H680" i="14" s="1"/>
  <c r="D738" i="14"/>
  <c r="F1217" i="13"/>
  <c r="H1217" i="13"/>
  <c r="D1222" i="13"/>
  <c r="F1222" i="13" s="1"/>
  <c r="H1222" i="13" s="1"/>
  <c r="J344" i="11" s="1"/>
  <c r="K453" i="29" s="1"/>
  <c r="D1331" i="13"/>
  <c r="H998" i="36"/>
  <c r="F985" i="36" s="1"/>
  <c r="L359" i="11"/>
  <c r="M468" i="29" s="1"/>
  <c r="N468" i="29" s="1"/>
  <c r="F733" i="14"/>
  <c r="H733" i="14" s="1"/>
  <c r="D790" i="14"/>
  <c r="F790" i="14" s="1"/>
  <c r="H790" i="14" s="1"/>
  <c r="D750" i="9"/>
  <c r="F750" i="9" s="1"/>
  <c r="D111" i="11"/>
  <c r="F629" i="9"/>
  <c r="H629" i="9" s="1"/>
  <c r="L108" i="11" s="1"/>
  <c r="M130" i="29" s="1"/>
  <c r="D678" i="9"/>
  <c r="J361" i="11"/>
  <c r="E507" i="16"/>
  <c r="G507" i="16" s="1"/>
  <c r="L237" i="29"/>
  <c r="L137" i="11"/>
  <c r="H654" i="12"/>
  <c r="F641" i="12"/>
  <c r="C869" i="14"/>
  <c r="C900" i="14"/>
  <c r="C923" i="14"/>
  <c r="C905" i="14"/>
  <c r="C870" i="14"/>
  <c r="C924" i="14"/>
  <c r="C956" i="13"/>
  <c r="C935" i="13"/>
  <c r="C903" i="13"/>
  <c r="C2344" i="13"/>
  <c r="C2396" i="13"/>
  <c r="C2373" i="13"/>
  <c r="C2290" i="13"/>
  <c r="C2321" i="13"/>
  <c r="B512" i="16"/>
  <c r="B486" i="16"/>
  <c r="D1162" i="13"/>
  <c r="D1167" i="13" s="1"/>
  <c r="F1167" i="13" s="1"/>
  <c r="H1167" i="13" s="1"/>
  <c r="D1053" i="13"/>
  <c r="F1053" i="13" s="1"/>
  <c r="H1053" i="13" s="1"/>
  <c r="F1048" i="13"/>
  <c r="H1048" i="13" s="1"/>
  <c r="D1274" i="13"/>
  <c r="F1160" i="13"/>
  <c r="H1160" i="13"/>
  <c r="K343" i="11" s="1"/>
  <c r="D1165" i="13"/>
  <c r="F1165" i="13" s="1"/>
  <c r="H1165" i="13" s="1"/>
  <c r="F796" i="12"/>
  <c r="G741" i="12"/>
  <c r="K469" i="29"/>
  <c r="J342" i="11"/>
  <c r="K451" i="29" s="1"/>
  <c r="K87" i="11"/>
  <c r="G469" i="16"/>
  <c r="L182" i="11" s="1"/>
  <c r="M239" i="29" s="1"/>
  <c r="E1842" i="16"/>
  <c r="H997" i="13"/>
  <c r="F984" i="13" s="1"/>
  <c r="G902" i="9"/>
  <c r="J90" i="11"/>
  <c r="D1219" i="13"/>
  <c r="F1105" i="13"/>
  <c r="H1105" i="13" s="1"/>
  <c r="D1110" i="13"/>
  <c r="F1110" i="13" s="1"/>
  <c r="H1110" i="13" s="1"/>
  <c r="M166" i="29"/>
  <c r="N166" i="29" s="1"/>
  <c r="M136" i="11"/>
  <c r="G455" i="16"/>
  <c r="E1828" i="16"/>
  <c r="G1837" i="16"/>
  <c r="E1892" i="16"/>
  <c r="G1892" i="16" s="1"/>
  <c r="B517" i="16"/>
  <c r="B487" i="16"/>
  <c r="M128" i="29"/>
  <c r="J355" i="11"/>
  <c r="K464" i="29" s="1"/>
  <c r="C2397" i="13"/>
  <c r="C2452" i="13" s="1"/>
  <c r="C2378" i="13"/>
  <c r="C2345" i="13"/>
  <c r="D794" i="14"/>
  <c r="D850" i="14" s="1"/>
  <c r="F737" i="14"/>
  <c r="H737" i="14" s="1"/>
  <c r="K49" i="11" s="1"/>
  <c r="L62" i="29" s="1"/>
  <c r="G1219" i="12"/>
  <c r="L354" i="11"/>
  <c r="M463" i="29" s="1"/>
  <c r="H2107" i="13"/>
  <c r="F2094" i="13"/>
  <c r="G1363" i="36"/>
  <c r="C1373" i="36"/>
  <c r="C1351" i="36"/>
  <c r="G1305" i="36"/>
  <c r="G1310" i="36"/>
  <c r="G1307" i="36"/>
  <c r="E865" i="14"/>
  <c r="D923" i="14"/>
  <c r="I343" i="11"/>
  <c r="J452" i="29"/>
  <c r="F2262" i="13"/>
  <c r="H2262" i="13"/>
  <c r="D2374" i="13"/>
  <c r="D2317" i="13"/>
  <c r="D2267" i="13"/>
  <c r="F2267" i="13"/>
  <c r="H2267" i="13" s="1"/>
  <c r="I363" i="11" s="1"/>
  <c r="J472" i="29" s="1"/>
  <c r="F1273" i="13"/>
  <c r="H1273" i="13" s="1"/>
  <c r="D1278" i="13"/>
  <c r="F1278" i="13" s="1"/>
  <c r="H1278" i="13" s="1"/>
  <c r="D2422" i="13"/>
  <c r="F2368" i="13"/>
  <c r="H2368" i="13" s="1"/>
  <c r="G1125" i="36"/>
  <c r="H1069" i="36"/>
  <c r="J1069" i="36" s="1"/>
  <c r="D1073" i="36" s="1"/>
  <c r="F1073" i="36" s="1"/>
  <c r="D1292" i="36"/>
  <c r="D1348" i="36" s="1"/>
  <c r="E1348" i="36" s="1"/>
  <c r="E1236" i="36"/>
  <c r="D848" i="14"/>
  <c r="F792" i="14"/>
  <c r="H792" i="14" s="1"/>
  <c r="I50" i="11" s="1"/>
  <c r="E866" i="14"/>
  <c r="H866" i="14" s="1"/>
  <c r="J866" i="14" s="1"/>
  <c r="D870" i="14" s="1"/>
  <c r="F870" i="14" s="1"/>
  <c r="D924" i="14"/>
  <c r="D1269" i="36"/>
  <c r="D1218" i="36"/>
  <c r="F1218" i="36" s="1"/>
  <c r="H1218" i="36" s="1"/>
  <c r="F1213" i="36"/>
  <c r="H1213" i="36" s="1"/>
  <c r="D957" i="14"/>
  <c r="F902" i="14"/>
  <c r="H902" i="14"/>
  <c r="G363" i="11"/>
  <c r="H472" i="29" s="1"/>
  <c r="F2253" i="13"/>
  <c r="D1335" i="13"/>
  <c r="F1335" i="13" s="1"/>
  <c r="H1335" i="13" s="1"/>
  <c r="F1330" i="13"/>
  <c r="H1330" i="13" s="1"/>
  <c r="G849" i="12"/>
  <c r="F904" i="12"/>
  <c r="D889" i="12"/>
  <c r="E834" i="12"/>
  <c r="H834" i="12" s="1"/>
  <c r="J834" i="12" s="1"/>
  <c r="D838" i="12" s="1"/>
  <c r="F838" i="12" s="1"/>
  <c r="G789" i="12"/>
  <c r="F844" i="12"/>
  <c r="L246" i="11"/>
  <c r="M313" i="29"/>
  <c r="J313" i="29"/>
  <c r="I246" i="11"/>
  <c r="M246" i="11" s="1"/>
  <c r="N314" i="29" s="1"/>
  <c r="M245" i="11"/>
  <c r="K313" i="29"/>
  <c r="J246" i="11"/>
  <c r="K246" i="11"/>
  <c r="L313" i="29"/>
  <c r="H351" i="29"/>
  <c r="C711" i="39"/>
  <c r="E711" i="39" s="1"/>
  <c r="G711" i="39" s="1"/>
  <c r="E655" i="39"/>
  <c r="G655" i="39" s="1"/>
  <c r="C608" i="39"/>
  <c r="E608" i="39" s="1"/>
  <c r="G608" i="39" s="1"/>
  <c r="E603" i="39"/>
  <c r="G603" i="39" s="1"/>
  <c r="E604" i="39"/>
  <c r="G604" i="39" s="1"/>
  <c r="C609" i="39"/>
  <c r="E609" i="39" s="1"/>
  <c r="G609" i="39" s="1"/>
  <c r="C607" i="39"/>
  <c r="E607" i="39" s="1"/>
  <c r="G607" i="39" s="1"/>
  <c r="E602" i="39"/>
  <c r="G602" i="39" s="1"/>
  <c r="F849" i="14"/>
  <c r="H849" i="14" s="1"/>
  <c r="J51" i="11" s="1"/>
  <c r="K64" i="29" s="1"/>
  <c r="D907" i="14"/>
  <c r="D1011" i="14"/>
  <c r="F956" i="14"/>
  <c r="H956" i="14"/>
  <c r="C559" i="39"/>
  <c r="E554" i="39"/>
  <c r="C807" i="39"/>
  <c r="C860" i="39" s="1"/>
  <c r="C558" i="39"/>
  <c r="E553" i="39"/>
  <c r="E551" i="39"/>
  <c r="C556" i="39"/>
  <c r="C805" i="39"/>
  <c r="C858" i="39"/>
  <c r="C806" i="39"/>
  <c r="C859" i="39" s="1"/>
  <c r="E552" i="39"/>
  <c r="C557" i="39"/>
  <c r="D815" i="12"/>
  <c r="D865" i="12"/>
  <c r="I139" i="11"/>
  <c r="J169" i="29"/>
  <c r="F665" i="12"/>
  <c r="D891" i="9"/>
  <c r="E842" i="9"/>
  <c r="E842" i="13"/>
  <c r="D2341" i="13"/>
  <c r="E2231" i="13"/>
  <c r="D2286" i="13"/>
  <c r="E2286" i="13" s="1"/>
  <c r="F1180" i="36"/>
  <c r="H1124" i="36"/>
  <c r="J1124" i="36"/>
  <c r="D1128" i="36" s="1"/>
  <c r="F1128" i="36" s="1"/>
  <c r="D89" i="11" s="1"/>
  <c r="G809" i="14"/>
  <c r="H752" i="14"/>
  <c r="J752" i="14" s="1"/>
  <c r="D756" i="14" s="1"/>
  <c r="F756" i="14" s="1"/>
  <c r="E61" i="29"/>
  <c r="E778" i="12"/>
  <c r="H778" i="12"/>
  <c r="J778" i="12" s="1"/>
  <c r="D782" i="12" s="1"/>
  <c r="F782" i="12" s="1"/>
  <c r="D833" i="12"/>
  <c r="E833" i="12" s="1"/>
  <c r="H833" i="12" s="1"/>
  <c r="J833" i="12" s="1"/>
  <c r="D837" i="12" s="1"/>
  <c r="F837" i="12" s="1"/>
  <c r="F1024" i="12"/>
  <c r="H1024" i="12" s="1"/>
  <c r="C1296" i="36"/>
  <c r="C1324" i="36"/>
  <c r="F1644" i="16"/>
  <c r="F1698" i="16" s="1"/>
  <c r="F817" i="12"/>
  <c r="H817" i="12" s="1"/>
  <c r="D872" i="12"/>
  <c r="F872" i="12" s="1"/>
  <c r="H872" i="12" s="1"/>
  <c r="M339" i="11"/>
  <c r="E1644" i="16"/>
  <c r="E1698" i="16" s="1"/>
  <c r="D774" i="9"/>
  <c r="F725" i="9"/>
  <c r="H725" i="9" s="1"/>
  <c r="J110" i="11" s="1"/>
  <c r="K132" i="29" s="1"/>
  <c r="F867" i="12"/>
  <c r="H867" i="12" s="1"/>
  <c r="D922" i="12"/>
  <c r="D977" i="12" s="1"/>
  <c r="D920" i="9"/>
  <c r="F871" i="9"/>
  <c r="H871" i="9" s="1"/>
  <c r="I113" i="11" s="1"/>
  <c r="J135" i="29" s="1"/>
  <c r="F966" i="12"/>
  <c r="G143" i="11"/>
  <c r="H173" i="29" s="1"/>
  <c r="C587" i="16"/>
  <c r="C640" i="16" s="1"/>
  <c r="G534" i="16"/>
  <c r="I534" i="16"/>
  <c r="C538" i="16" s="1"/>
  <c r="E538" i="16" s="1"/>
  <c r="G1857" i="16"/>
  <c r="I1802" i="16"/>
  <c r="E1806" i="16"/>
  <c r="C1861" i="16"/>
  <c r="C1862" i="16"/>
  <c r="E1807" i="16"/>
  <c r="D182" i="11"/>
  <c r="E239" i="29"/>
  <c r="C436" i="16"/>
  <c r="E436" i="16" s="1"/>
  <c r="G535" i="16"/>
  <c r="I535" i="16"/>
  <c r="C539" i="16" s="1"/>
  <c r="E539" i="16" s="1"/>
  <c r="C588" i="16"/>
  <c r="C641" i="16"/>
  <c r="G1858" i="16"/>
  <c r="I1803" i="16"/>
  <c r="G567" i="16"/>
  <c r="M340" i="11"/>
  <c r="F1010" i="12"/>
  <c r="G955" i="12"/>
  <c r="F1011" i="12"/>
  <c r="G956" i="12"/>
  <c r="F907" i="12"/>
  <c r="G852" i="12"/>
  <c r="F905" i="12"/>
  <c r="G850" i="12"/>
  <c r="G853" i="12"/>
  <c r="F908" i="12"/>
  <c r="F1087" i="13"/>
  <c r="G1030" i="13"/>
  <c r="G1083" i="13"/>
  <c r="F1140" i="13"/>
  <c r="G1089" i="13"/>
  <c r="F1146" i="13"/>
  <c r="G1146" i="13" s="1"/>
  <c r="G1082" i="13"/>
  <c r="F1139" i="13"/>
  <c r="G1139" i="13" s="1"/>
  <c r="G1088" i="13"/>
  <c r="F1145" i="13"/>
  <c r="F1143" i="13"/>
  <c r="G1086" i="13"/>
  <c r="F1033" i="13"/>
  <c r="G976" i="13"/>
  <c r="G1895" i="16"/>
  <c r="J224" i="11"/>
  <c r="K282" i="29" s="1"/>
  <c r="E1950" i="16"/>
  <c r="F2376" i="13"/>
  <c r="H2376" i="13"/>
  <c r="D2430" i="13"/>
  <c r="D2381" i="13"/>
  <c r="F2381" i="13" s="1"/>
  <c r="H2381" i="13" s="1"/>
  <c r="K365" i="11" s="1"/>
  <c r="L474" i="29" s="1"/>
  <c r="C837" i="12"/>
  <c r="C864" i="12"/>
  <c r="C888" i="12"/>
  <c r="E619" i="16"/>
  <c r="G619" i="16" s="1"/>
  <c r="J186" i="11" s="1"/>
  <c r="K243" i="29" s="1"/>
  <c r="C624" i="16"/>
  <c r="E624" i="16" s="1"/>
  <c r="G624" i="16" s="1"/>
  <c r="F866" i="12"/>
  <c r="H866" i="12"/>
  <c r="J141" i="11" s="1"/>
  <c r="K171" i="29" s="1"/>
  <c r="D921" i="12"/>
  <c r="D2324" i="13"/>
  <c r="F2324" i="13" s="1"/>
  <c r="H2324" i="13" s="1"/>
  <c r="F2319" i="13"/>
  <c r="H2319" i="13" s="1"/>
  <c r="G1945" i="16"/>
  <c r="E2000" i="16"/>
  <c r="G2000" i="16" s="1"/>
  <c r="F816" i="12"/>
  <c r="H816" i="12" s="1"/>
  <c r="J140" i="11" s="1"/>
  <c r="K170" i="29" s="1"/>
  <c r="D871" i="12"/>
  <c r="F871" i="12" s="1"/>
  <c r="H871" i="12" s="1"/>
  <c r="C979" i="14"/>
  <c r="C928" i="14"/>
  <c r="C960" i="14"/>
  <c r="D846" i="14"/>
  <c r="C520" i="16"/>
  <c r="E520" i="16" s="1"/>
  <c r="G520" i="16" s="1"/>
  <c r="E515" i="16"/>
  <c r="G515" i="16" s="1"/>
  <c r="M107" i="11"/>
  <c r="C999" i="12"/>
  <c r="C948" i="12"/>
  <c r="D903" i="14"/>
  <c r="F845" i="14"/>
  <c r="H845" i="14" s="1"/>
  <c r="F758" i="12"/>
  <c r="H758" i="12"/>
  <c r="H764" i="12" s="1"/>
  <c r="F751" i="12" s="1"/>
  <c r="D813" i="12"/>
  <c r="G1274" i="12"/>
  <c r="G1329" i="12" s="1"/>
  <c r="G1384" i="12" s="1"/>
  <c r="C621" i="16"/>
  <c r="C675" i="16" s="1"/>
  <c r="E569" i="16"/>
  <c r="G569" i="16"/>
  <c r="C574" i="16"/>
  <c r="E574" i="16" s="1"/>
  <c r="G574" i="16" s="1"/>
  <c r="L185" i="11" s="1"/>
  <c r="M242" i="29" s="1"/>
  <c r="F794" i="14"/>
  <c r="H794" i="14" s="1"/>
  <c r="K103" i="29"/>
  <c r="C1013" i="13"/>
  <c r="C992" i="13"/>
  <c r="C960" i="13"/>
  <c r="M167" i="29"/>
  <c r="D1164" i="36"/>
  <c r="F1164" i="36" s="1"/>
  <c r="H1164" i="36" s="1"/>
  <c r="K89" i="11" s="1"/>
  <c r="D1215" i="36"/>
  <c r="D1271" i="36" s="1"/>
  <c r="F1159" i="36"/>
  <c r="H1159" i="36"/>
  <c r="F1885" i="13"/>
  <c r="H1885" i="13" s="1"/>
  <c r="L356" i="11" s="1"/>
  <c r="M465" i="29" s="1"/>
  <c r="D1890" i="13"/>
  <c r="F1890" i="13"/>
  <c r="H1890" i="13" s="1"/>
  <c r="D763" i="12"/>
  <c r="F763" i="12" s="1"/>
  <c r="H763" i="12" s="1"/>
  <c r="L139" i="11" s="1"/>
  <c r="F708" i="12"/>
  <c r="H708" i="12" s="1"/>
  <c r="D1109" i="36"/>
  <c r="F1109" i="36"/>
  <c r="H1109" i="36" s="1"/>
  <c r="F1104" i="36"/>
  <c r="H1104" i="36" s="1"/>
  <c r="L88" i="11" s="1"/>
  <c r="M101" i="29" s="1"/>
  <c r="D1160" i="36"/>
  <c r="D1216" i="36" s="1"/>
  <c r="C1012" i="13"/>
  <c r="C987" i="13"/>
  <c r="C959" i="13"/>
  <c r="C2401" i="13"/>
  <c r="C2432" i="13"/>
  <c r="L100" i="29"/>
  <c r="F851" i="12"/>
  <c r="G796" i="12"/>
  <c r="D1276" i="13"/>
  <c r="D1281" i="13" s="1"/>
  <c r="F1281" i="13" s="1"/>
  <c r="H1281" i="13" s="1"/>
  <c r="F1162" i="13"/>
  <c r="H1162" i="13" s="1"/>
  <c r="F678" i="9"/>
  <c r="H678" i="9" s="1"/>
  <c r="L109" i="11" s="1"/>
  <c r="M131" i="29" s="1"/>
  <c r="D727" i="9"/>
  <c r="F727" i="9" s="1"/>
  <c r="H727" i="9" s="1"/>
  <c r="L110" i="11" s="1"/>
  <c r="M132" i="29" s="1"/>
  <c r="D1336" i="13"/>
  <c r="F1336" i="13" s="1"/>
  <c r="H1336" i="13" s="1"/>
  <c r="F1331" i="13"/>
  <c r="H1331" i="13" s="1"/>
  <c r="C1841" i="16"/>
  <c r="C1896" i="16"/>
  <c r="C1951" i="16" s="1"/>
  <c r="C2006" i="16" s="1"/>
  <c r="E468" i="16"/>
  <c r="G1012" i="12"/>
  <c r="F1067" i="12"/>
  <c r="F1122" i="12" s="1"/>
  <c r="F891" i="9"/>
  <c r="H842" i="9"/>
  <c r="J842" i="9"/>
  <c r="D845" i="9" s="1"/>
  <c r="F845" i="9" s="1"/>
  <c r="H22" i="5"/>
  <c r="E23" i="5"/>
  <c r="H23" i="5" s="1"/>
  <c r="H1012" i="13"/>
  <c r="J1012" i="13" s="1"/>
  <c r="D1016" i="13" s="1"/>
  <c r="F1016" i="13" s="1"/>
  <c r="E1069" i="13"/>
  <c r="D2318" i="13"/>
  <c r="F2263" i="13"/>
  <c r="H2263" i="13" s="1"/>
  <c r="D2268" i="13"/>
  <c r="F2268" i="13" s="1"/>
  <c r="H2268" i="13" s="1"/>
  <c r="D2375" i="13"/>
  <c r="E2506" i="13"/>
  <c r="H2506" i="13" s="1"/>
  <c r="J2506" i="13" s="1"/>
  <c r="D2510" i="13" s="1"/>
  <c r="F2510" i="13" s="1"/>
  <c r="H2451" i="13"/>
  <c r="J2451" i="13" s="1"/>
  <c r="D2455" i="13" s="1"/>
  <c r="F2455" i="13" s="1"/>
  <c r="M359" i="11"/>
  <c r="E1947" i="16"/>
  <c r="E2002" i="16" s="1"/>
  <c r="G2002" i="16" s="1"/>
  <c r="G1828" i="16"/>
  <c r="E1883" i="16"/>
  <c r="D1224" i="13"/>
  <c r="F1224" i="13" s="1"/>
  <c r="H1224" i="13" s="1"/>
  <c r="D1333" i="13"/>
  <c r="F1219" i="13"/>
  <c r="H1219" i="13" s="1"/>
  <c r="G951" i="9"/>
  <c r="E1897" i="16"/>
  <c r="G1897" i="16" s="1"/>
  <c r="G1842" i="16"/>
  <c r="L222" i="11" s="1"/>
  <c r="M280" i="29" s="1"/>
  <c r="D1279" i="13"/>
  <c r="F1279" i="13" s="1"/>
  <c r="H1279" i="13" s="1"/>
  <c r="F1274" i="13"/>
  <c r="H1274" i="13" s="1"/>
  <c r="C2451" i="13"/>
  <c r="C2427" i="13"/>
  <c r="C2400" i="13"/>
  <c r="C927" i="14"/>
  <c r="C955" i="14"/>
  <c r="C978" i="14"/>
  <c r="C982" i="14" s="1"/>
  <c r="K470" i="29"/>
  <c r="E133" i="29"/>
  <c r="F738" i="14"/>
  <c r="H738" i="14" s="1"/>
  <c r="D795" i="14"/>
  <c r="F795" i="14" s="1"/>
  <c r="H795" i="14" s="1"/>
  <c r="G1089" i="14"/>
  <c r="E1836" i="16"/>
  <c r="G463" i="16"/>
  <c r="D2265" i="13"/>
  <c r="D2270" i="13" s="1"/>
  <c r="F2270" i="13" s="1"/>
  <c r="H2270" i="13" s="1"/>
  <c r="F2210" i="13"/>
  <c r="H2210" i="13" s="1"/>
  <c r="L362" i="11" s="1"/>
  <c r="M471" i="29" s="1"/>
  <c r="D2215" i="13"/>
  <c r="F2215" i="13" s="1"/>
  <c r="H2215" i="13" s="1"/>
  <c r="F1355" i="36"/>
  <c r="F93" i="11"/>
  <c r="G21" i="41" s="1"/>
  <c r="E1292" i="36"/>
  <c r="E923" i="14"/>
  <c r="D978" i="14"/>
  <c r="D2428" i="13"/>
  <c r="F2374" i="13"/>
  <c r="H2374" i="13"/>
  <c r="I365" i="11" s="1"/>
  <c r="J474" i="29" s="1"/>
  <c r="D2379" i="13"/>
  <c r="F2379" i="13" s="1"/>
  <c r="H2379" i="13" s="1"/>
  <c r="F899" i="12"/>
  <c r="G844" i="12"/>
  <c r="F959" i="12"/>
  <c r="G959" i="12" s="1"/>
  <c r="G904" i="12"/>
  <c r="D1012" i="14"/>
  <c r="F957" i="14"/>
  <c r="H957" i="14"/>
  <c r="J53" i="11" s="1"/>
  <c r="K66" i="29" s="1"/>
  <c r="E924" i="14"/>
  <c r="H924" i="14" s="1"/>
  <c r="J924" i="14" s="1"/>
  <c r="D928" i="14" s="1"/>
  <c r="F928" i="14" s="1"/>
  <c r="D979" i="14"/>
  <c r="D906" i="14"/>
  <c r="F848" i="14"/>
  <c r="H848" i="14" s="1"/>
  <c r="I51" i="11" s="1"/>
  <c r="J64" i="29" s="1"/>
  <c r="G1181" i="36"/>
  <c r="G1237" i="36" s="1"/>
  <c r="H1237" i="36" s="1"/>
  <c r="J1237" i="36" s="1"/>
  <c r="H1125" i="36"/>
  <c r="J1125" i="36" s="1"/>
  <c r="D1129" i="36" s="1"/>
  <c r="F1129" i="36" s="1"/>
  <c r="D2477" i="13"/>
  <c r="F2422" i="13"/>
  <c r="H2422" i="13"/>
  <c r="F2419" i="13" s="1"/>
  <c r="D2322" i="13"/>
  <c r="F2322" i="13" s="1"/>
  <c r="H2322" i="13" s="1"/>
  <c r="F2317" i="13"/>
  <c r="H2317" i="13" s="1"/>
  <c r="E889" i="12"/>
  <c r="H889" i="12" s="1"/>
  <c r="J889" i="12" s="1"/>
  <c r="D893" i="12" s="1"/>
  <c r="F893" i="12" s="1"/>
  <c r="D944" i="12"/>
  <c r="F1269" i="36"/>
  <c r="H1269" i="36" s="1"/>
  <c r="D1325" i="36"/>
  <c r="D1374" i="36" s="1"/>
  <c r="D1274" i="36"/>
  <c r="F1274" i="36" s="1"/>
  <c r="H1274" i="36" s="1"/>
  <c r="L314" i="29"/>
  <c r="K247" i="11"/>
  <c r="K314" i="29"/>
  <c r="J247" i="11"/>
  <c r="M314" i="29"/>
  <c r="L247" i="11"/>
  <c r="J314" i="29"/>
  <c r="I247" i="11"/>
  <c r="N313" i="29"/>
  <c r="D962" i="14"/>
  <c r="F907" i="14"/>
  <c r="H907" i="14" s="1"/>
  <c r="G554" i="39"/>
  <c r="F865" i="12"/>
  <c r="H865" i="12" s="1"/>
  <c r="D920" i="12"/>
  <c r="D975" i="12" s="1"/>
  <c r="G552" i="39"/>
  <c r="E556" i="39"/>
  <c r="E558" i="39"/>
  <c r="F815" i="12"/>
  <c r="H815" i="12" s="1"/>
  <c r="D870" i="12"/>
  <c r="F870" i="12" s="1"/>
  <c r="H870" i="12" s="1"/>
  <c r="I141" i="11" s="1"/>
  <c r="E806" i="39"/>
  <c r="G806" i="39" s="1"/>
  <c r="C811" i="39"/>
  <c r="E811" i="39" s="1"/>
  <c r="G811" i="39" s="1"/>
  <c r="C812" i="39"/>
  <c r="E812" i="39" s="1"/>
  <c r="G812" i="39" s="1"/>
  <c r="E807" i="39"/>
  <c r="G807" i="39" s="1"/>
  <c r="F1011" i="14"/>
  <c r="H1011" i="14" s="1"/>
  <c r="D1066" i="14"/>
  <c r="F1066" i="14" s="1"/>
  <c r="H1066" i="14" s="1"/>
  <c r="E805" i="39"/>
  <c r="G805" i="39" s="1"/>
  <c r="C810" i="39"/>
  <c r="E810" i="39"/>
  <c r="G810" i="39" s="1"/>
  <c r="E559" i="39"/>
  <c r="G551" i="39"/>
  <c r="M243" i="11"/>
  <c r="N311" i="29" s="1"/>
  <c r="E557" i="39"/>
  <c r="G553" i="39"/>
  <c r="D940" i="9"/>
  <c r="E891" i="9"/>
  <c r="H891" i="9"/>
  <c r="J891" i="9" s="1"/>
  <c r="D894" i="9" s="1"/>
  <c r="F894" i="9" s="1"/>
  <c r="D114" i="11" s="1"/>
  <c r="E899" i="13"/>
  <c r="E2341" i="13"/>
  <c r="D2397" i="13"/>
  <c r="G865" i="14"/>
  <c r="H809" i="14"/>
  <c r="J809" i="14"/>
  <c r="D813" i="14" s="1"/>
  <c r="F813" i="14" s="1"/>
  <c r="F1236" i="36"/>
  <c r="F1292" i="36" s="1"/>
  <c r="H1180" i="36"/>
  <c r="J1180" i="36" s="1"/>
  <c r="D1184" i="36" s="1"/>
  <c r="F1184" i="36" s="1"/>
  <c r="D888" i="12"/>
  <c r="D927" i="12"/>
  <c r="F922" i="12"/>
  <c r="H922" i="12" s="1"/>
  <c r="K142" i="11" s="1"/>
  <c r="L172" i="29" s="1"/>
  <c r="F920" i="9"/>
  <c r="H920" i="9" s="1"/>
  <c r="I114" i="11" s="1"/>
  <c r="J136" i="29" s="1"/>
  <c r="D969" i="9"/>
  <c r="F969" i="9" s="1"/>
  <c r="D823" i="9"/>
  <c r="F823" i="9" s="1"/>
  <c r="H823" i="9" s="1"/>
  <c r="F774" i="9"/>
  <c r="H774" i="9" s="1"/>
  <c r="D587" i="16"/>
  <c r="G587" i="16" s="1"/>
  <c r="E1861" i="16"/>
  <c r="C1864" i="16" s="1"/>
  <c r="C1916" i="16"/>
  <c r="I1857" i="16"/>
  <c r="G1912" i="16"/>
  <c r="I1912" i="16" s="1"/>
  <c r="D588" i="16"/>
  <c r="E1862" i="16"/>
  <c r="C1917" i="16"/>
  <c r="G1913" i="16"/>
  <c r="I1858" i="16"/>
  <c r="C1809" i="16"/>
  <c r="E1809" i="16" s="1"/>
  <c r="E222" i="11" s="1"/>
  <c r="D222" i="11"/>
  <c r="E280" i="29"/>
  <c r="F962" i="12"/>
  <c r="G907" i="12"/>
  <c r="F1065" i="12"/>
  <c r="F1120" i="12" s="1"/>
  <c r="G1010" i="12"/>
  <c r="G908" i="12"/>
  <c r="F963" i="12"/>
  <c r="F1018" i="12" s="1"/>
  <c r="F1073" i="12" s="1"/>
  <c r="G905" i="12"/>
  <c r="F960" i="12"/>
  <c r="F1066" i="12"/>
  <c r="G1011" i="12"/>
  <c r="G1033" i="13"/>
  <c r="F1090" i="13"/>
  <c r="F1203" i="13"/>
  <c r="G1203" i="13" s="1"/>
  <c r="F1202" i="13"/>
  <c r="F1259" i="13" s="1"/>
  <c r="G1145" i="13"/>
  <c r="F1196" i="13"/>
  <c r="G1196" i="13" s="1"/>
  <c r="G1087" i="13"/>
  <c r="F1144" i="13"/>
  <c r="G1144" i="13" s="1"/>
  <c r="G1143" i="13"/>
  <c r="F1200" i="13"/>
  <c r="G1140" i="13"/>
  <c r="F1197" i="13"/>
  <c r="F1254" i="13" s="1"/>
  <c r="F921" i="12"/>
  <c r="H921" i="12"/>
  <c r="D926" i="12"/>
  <c r="D976" i="12"/>
  <c r="F2430" i="13"/>
  <c r="H2430" i="13"/>
  <c r="D2485" i="13"/>
  <c r="F2485" i="13" s="1"/>
  <c r="D2435" i="13"/>
  <c r="F2435" i="13" s="1"/>
  <c r="H2435" i="13" s="1"/>
  <c r="K366" i="11" s="1"/>
  <c r="L475" i="29" s="1"/>
  <c r="E2005" i="16"/>
  <c r="G2005" i="16" s="1"/>
  <c r="G1950" i="16"/>
  <c r="J226" i="11" s="1"/>
  <c r="K284" i="29" s="1"/>
  <c r="C919" i="12"/>
  <c r="C892" i="12"/>
  <c r="C943" i="12"/>
  <c r="C1033" i="14"/>
  <c r="C1037" i="14" s="1"/>
  <c r="C1010" i="14"/>
  <c r="G1000" i="9"/>
  <c r="G1947" i="16"/>
  <c r="F940" i="9"/>
  <c r="D1165" i="36"/>
  <c r="F1165" i="36" s="1"/>
  <c r="H1165" i="36" s="1"/>
  <c r="D1220" i="36"/>
  <c r="F1220" i="36" s="1"/>
  <c r="H1220" i="36" s="1"/>
  <c r="F1215" i="36"/>
  <c r="H1215" i="36" s="1"/>
  <c r="C626" i="16"/>
  <c r="E626" i="16" s="1"/>
  <c r="G626" i="16" s="1"/>
  <c r="E621" i="16"/>
  <c r="G621" i="16" s="1"/>
  <c r="D818" i="12"/>
  <c r="D873" i="12" s="1"/>
  <c r="F873" i="12" s="1"/>
  <c r="D868" i="12"/>
  <c r="F813" i="12"/>
  <c r="H813" i="12" s="1"/>
  <c r="F903" i="14"/>
  <c r="H903" i="14" s="1"/>
  <c r="D958" i="14"/>
  <c r="G1145" i="14"/>
  <c r="C2506" i="13"/>
  <c r="C2455" i="13"/>
  <c r="C2482" i="13"/>
  <c r="G1067" i="12"/>
  <c r="D776" i="9"/>
  <c r="D825" i="9" s="1"/>
  <c r="F1276" i="13"/>
  <c r="H1276" i="13" s="1"/>
  <c r="C1044" i="13"/>
  <c r="C1069" i="13"/>
  <c r="C1016" i="13"/>
  <c r="B588" i="16"/>
  <c r="B641" i="16" s="1"/>
  <c r="B570" i="16"/>
  <c r="B539" i="16"/>
  <c r="E1066" i="16"/>
  <c r="E1118" i="16"/>
  <c r="C1003" i="12"/>
  <c r="C1054" i="12"/>
  <c r="C1034" i="12"/>
  <c r="D851" i="14"/>
  <c r="E1952" i="16"/>
  <c r="D1338" i="13"/>
  <c r="F1338" i="13" s="1"/>
  <c r="H1338" i="13" s="1"/>
  <c r="F1333" i="13"/>
  <c r="H1333" i="13" s="1"/>
  <c r="L346" i="11" s="1"/>
  <c r="M455" i="29" s="1"/>
  <c r="G1883" i="16"/>
  <c r="E1938" i="16"/>
  <c r="G1938" i="16" s="1"/>
  <c r="D2380" i="13"/>
  <c r="F2380" i="13" s="1"/>
  <c r="H2380" i="13" s="1"/>
  <c r="F2375" i="13"/>
  <c r="H2375" i="13" s="1"/>
  <c r="D2429" i="13"/>
  <c r="H1069" i="13"/>
  <c r="J1069" i="13" s="1"/>
  <c r="D1073" i="13" s="1"/>
  <c r="F1073" i="13" s="1"/>
  <c r="E1126" i="13"/>
  <c r="H1126" i="13" s="1"/>
  <c r="J1126" i="13" s="1"/>
  <c r="C1049" i="13"/>
  <c r="C1070" i="13"/>
  <c r="C1106" i="13" s="1"/>
  <c r="C1017" i="13"/>
  <c r="F846" i="14"/>
  <c r="H846" i="14"/>
  <c r="D904" i="14"/>
  <c r="B538" i="16"/>
  <c r="B587" i="16"/>
  <c r="B640" i="16"/>
  <c r="B565" i="16"/>
  <c r="F2265" i="13"/>
  <c r="H2265" i="13" s="1"/>
  <c r="L363" i="11" s="1"/>
  <c r="M472" i="29" s="1"/>
  <c r="D2377" i="13"/>
  <c r="F2377" i="13" s="1"/>
  <c r="H2377" i="13" s="1"/>
  <c r="L365" i="11" s="1"/>
  <c r="M474" i="29" s="1"/>
  <c r="D2320" i="13"/>
  <c r="F2320" i="13" s="1"/>
  <c r="E1891" i="16"/>
  <c r="G1836" i="16"/>
  <c r="D2323" i="13"/>
  <c r="F2323" i="13" s="1"/>
  <c r="H2323" i="13" s="1"/>
  <c r="F2318" i="13"/>
  <c r="H2318" i="13"/>
  <c r="E24" i="5"/>
  <c r="E1841" i="16"/>
  <c r="G468" i="16"/>
  <c r="K182" i="11" s="1"/>
  <c r="L239" i="29" s="1"/>
  <c r="E560" i="16"/>
  <c r="G560" i="16" s="1"/>
  <c r="G851" i="12"/>
  <c r="F906" i="12"/>
  <c r="C983" i="14"/>
  <c r="C1015" i="14"/>
  <c r="C1034" i="14"/>
  <c r="H1168" i="13"/>
  <c r="F1155" i="13" s="1"/>
  <c r="F1374" i="36"/>
  <c r="H1374" i="36" s="1"/>
  <c r="I93" i="11" s="1"/>
  <c r="J21" i="41" s="1"/>
  <c r="E978" i="14"/>
  <c r="D1033" i="14"/>
  <c r="D2528" i="13"/>
  <c r="F2528" i="13" s="1"/>
  <c r="H2528" i="13" s="1"/>
  <c r="F2525" i="13" s="1"/>
  <c r="G368" i="11" s="1"/>
  <c r="H477" i="29" s="1"/>
  <c r="F2477" i="13"/>
  <c r="H2477" i="13" s="1"/>
  <c r="F2474" i="13" s="1"/>
  <c r="G367" i="11" s="1"/>
  <c r="H476" i="29"/>
  <c r="D961" i="14"/>
  <c r="F906" i="14"/>
  <c r="H906" i="14" s="1"/>
  <c r="I52" i="11" s="1"/>
  <c r="J65" i="29" s="1"/>
  <c r="D1067" i="14"/>
  <c r="F1012" i="14"/>
  <c r="H1012" i="14"/>
  <c r="F954" i="12"/>
  <c r="G954" i="12" s="1"/>
  <c r="G899" i="12"/>
  <c r="D2433" i="13"/>
  <c r="F2433" i="13"/>
  <c r="H2433" i="13" s="1"/>
  <c r="F2428" i="13"/>
  <c r="H2428" i="13" s="1"/>
  <c r="D2483" i="13"/>
  <c r="E944" i="12"/>
  <c r="H944" i="12" s="1"/>
  <c r="J944" i="12" s="1"/>
  <c r="D948" i="12" s="1"/>
  <c r="F948" i="12" s="1"/>
  <c r="D999" i="12"/>
  <c r="G366" i="11"/>
  <c r="H475" i="29" s="1"/>
  <c r="I91" i="11"/>
  <c r="J104" i="29" s="1"/>
  <c r="F1014" i="12"/>
  <c r="D1330" i="36"/>
  <c r="F1330" i="36" s="1"/>
  <c r="F1325" i="36"/>
  <c r="H1325" i="36" s="1"/>
  <c r="E979" i="14"/>
  <c r="H979" i="14" s="1"/>
  <c r="J979" i="14"/>
  <c r="D983" i="14" s="1"/>
  <c r="F983" i="14" s="1"/>
  <c r="D1034" i="14"/>
  <c r="I248" i="11"/>
  <c r="J315" i="29"/>
  <c r="M247" i="11"/>
  <c r="K315" i="29"/>
  <c r="J248" i="11"/>
  <c r="K248" i="11"/>
  <c r="L315" i="29"/>
  <c r="L248" i="11"/>
  <c r="M315" i="29"/>
  <c r="D1017" i="14"/>
  <c r="F962" i="14"/>
  <c r="H962" i="14" s="1"/>
  <c r="G557" i="39"/>
  <c r="G560" i="39" s="1"/>
  <c r="E547" i="39" s="1"/>
  <c r="D1122" i="14"/>
  <c r="D1179" i="14" s="1"/>
  <c r="G559" i="39"/>
  <c r="G558" i="39"/>
  <c r="G556" i="39"/>
  <c r="F920" i="12"/>
  <c r="H920" i="12" s="1"/>
  <c r="D989" i="9"/>
  <c r="E940" i="9"/>
  <c r="E2397" i="13"/>
  <c r="D2452" i="13"/>
  <c r="E2452" i="13" s="1"/>
  <c r="E956" i="13"/>
  <c r="G923" i="14"/>
  <c r="H865" i="14"/>
  <c r="J865" i="14"/>
  <c r="D869" i="14" s="1"/>
  <c r="F869" i="14" s="1"/>
  <c r="D872" i="14" s="1"/>
  <c r="F872" i="14" s="1"/>
  <c r="E52" i="11" s="1"/>
  <c r="F65" i="29" s="1"/>
  <c r="E888" i="12"/>
  <c r="H888" i="12" s="1"/>
  <c r="J888" i="12" s="1"/>
  <c r="D892" i="12" s="1"/>
  <c r="F892" i="12" s="1"/>
  <c r="D943" i="12"/>
  <c r="D872" i="9"/>
  <c r="J112" i="11"/>
  <c r="K134" i="29" s="1"/>
  <c r="H969" i="9"/>
  <c r="I115" i="11" s="1"/>
  <c r="J137" i="29" s="1"/>
  <c r="L50" i="11"/>
  <c r="M63" i="29" s="1"/>
  <c r="F927" i="12"/>
  <c r="H927" i="12" s="1"/>
  <c r="D982" i="12"/>
  <c r="F982" i="12" s="1"/>
  <c r="I587" i="16"/>
  <c r="C591" i="16" s="1"/>
  <c r="E591" i="16" s="1"/>
  <c r="G588" i="16"/>
  <c r="I588" i="16" s="1"/>
  <c r="C592" i="16" s="1"/>
  <c r="E592" i="16" s="1"/>
  <c r="D641" i="16"/>
  <c r="C1971" i="16"/>
  <c r="E1971" i="16" s="1"/>
  <c r="E1916" i="16"/>
  <c r="F280" i="29"/>
  <c r="E1799" i="16"/>
  <c r="G1968" i="16"/>
  <c r="I1913" i="16"/>
  <c r="C1972" i="16"/>
  <c r="E1972" i="16"/>
  <c r="E1917" i="16"/>
  <c r="D224" i="11"/>
  <c r="E282" i="29" s="1"/>
  <c r="E1864" i="16"/>
  <c r="C880" i="39"/>
  <c r="C933" i="39" s="1"/>
  <c r="C904" i="39"/>
  <c r="E852" i="39"/>
  <c r="G852" i="39"/>
  <c r="G960" i="12"/>
  <c r="F1015" i="12"/>
  <c r="F1017" i="12"/>
  <c r="F1072" i="12" s="1"/>
  <c r="G962" i="12"/>
  <c r="G1066" i="12"/>
  <c r="F1121" i="12"/>
  <c r="G1121" i="12" s="1"/>
  <c r="G963" i="12"/>
  <c r="G1065" i="12"/>
  <c r="G1202" i="13"/>
  <c r="G1090" i="13"/>
  <c r="F1147" i="13"/>
  <c r="G1197" i="13"/>
  <c r="F1253" i="13"/>
  <c r="F1257" i="13"/>
  <c r="G1200" i="13"/>
  <c r="F1201" i="13"/>
  <c r="F1258" i="13" s="1"/>
  <c r="F1260" i="13"/>
  <c r="C974" i="12"/>
  <c r="C947" i="12"/>
  <c r="C998" i="12"/>
  <c r="D2490" i="13"/>
  <c r="F2490" i="13" s="1"/>
  <c r="H2490" i="13" s="1"/>
  <c r="H2485" i="13"/>
  <c r="K367" i="11" s="1"/>
  <c r="L476" i="29" s="1"/>
  <c r="D2536" i="13"/>
  <c r="D2541" i="13" s="1"/>
  <c r="F2541" i="13" s="1"/>
  <c r="H2541" i="13" s="1"/>
  <c r="F926" i="12"/>
  <c r="H926" i="12" s="1"/>
  <c r="J142" i="11" s="1"/>
  <c r="K172" i="29" s="1"/>
  <c r="D981" i="12"/>
  <c r="F976" i="12"/>
  <c r="H976" i="12" s="1"/>
  <c r="D1031" i="12"/>
  <c r="E673" i="16"/>
  <c r="G673" i="16" s="1"/>
  <c r="C678" i="16"/>
  <c r="E678" i="16" s="1"/>
  <c r="G678" i="16" s="1"/>
  <c r="H24" i="5"/>
  <c r="E25" i="5"/>
  <c r="E26" i="5" s="1"/>
  <c r="D2382" i="13"/>
  <c r="F2382" i="13" s="1"/>
  <c r="H2382" i="13" s="1"/>
  <c r="D2431" i="13"/>
  <c r="B591" i="16"/>
  <c r="B617" i="16"/>
  <c r="C1127" i="13"/>
  <c r="C1074" i="13"/>
  <c r="D1130" i="13"/>
  <c r="F1130" i="13"/>
  <c r="E1993" i="16"/>
  <c r="G1993" i="16" s="1"/>
  <c r="E2007" i="16"/>
  <c r="G2007" i="16" s="1"/>
  <c r="G1952" i="16"/>
  <c r="L226" i="11" s="1"/>
  <c r="M284" i="29" s="1"/>
  <c r="L102" i="29"/>
  <c r="F776" i="9"/>
  <c r="H776" i="9" s="1"/>
  <c r="L111" i="11" s="1"/>
  <c r="M133" i="29" s="1"/>
  <c r="D1221" i="36"/>
  <c r="F1221" i="36" s="1"/>
  <c r="H1221" i="36" s="1"/>
  <c r="C1038" i="14"/>
  <c r="E612" i="16"/>
  <c r="H2320" i="13"/>
  <c r="D2325" i="13"/>
  <c r="F2325" i="13" s="1"/>
  <c r="H2325" i="13" s="1"/>
  <c r="B622" i="16"/>
  <c r="B592" i="16"/>
  <c r="H873" i="12"/>
  <c r="L345" i="11"/>
  <c r="M454" i="29" s="1"/>
  <c r="E1946" i="16"/>
  <c r="G1891" i="16"/>
  <c r="F904" i="14"/>
  <c r="H904" i="14"/>
  <c r="D959" i="14"/>
  <c r="D2434" i="13"/>
  <c r="F2434" i="13"/>
  <c r="H2434" i="13" s="1"/>
  <c r="D2484" i="13"/>
  <c r="F2429" i="13"/>
  <c r="H2429" i="13"/>
  <c r="E568" i="16"/>
  <c r="G568" i="16" s="1"/>
  <c r="C2510" i="13"/>
  <c r="C2533" i="13"/>
  <c r="G1202" i="14"/>
  <c r="F868" i="12"/>
  <c r="H868" i="12"/>
  <c r="D923" i="12"/>
  <c r="F989" i="9"/>
  <c r="H940" i="9"/>
  <c r="J940" i="9" s="1"/>
  <c r="D943" i="9" s="1"/>
  <c r="F943" i="9" s="1"/>
  <c r="H1339" i="13"/>
  <c r="F1326" i="13" s="1"/>
  <c r="E1896" i="16"/>
  <c r="G1841" i="16"/>
  <c r="K222" i="11"/>
  <c r="M169" i="29"/>
  <c r="M139" i="11"/>
  <c r="G906" i="12"/>
  <c r="F961" i="12"/>
  <c r="F851" i="14"/>
  <c r="H851" i="14" s="1"/>
  <c r="D909" i="14"/>
  <c r="C1109" i="12"/>
  <c r="C1164" i="12" s="1"/>
  <c r="C1089" i="12"/>
  <c r="C1058" i="12"/>
  <c r="C1126" i="13"/>
  <c r="C1101" i="13"/>
  <c r="C1073" i="13"/>
  <c r="G1122" i="12"/>
  <c r="F1177" i="12"/>
  <c r="F958" i="14"/>
  <c r="H958" i="14"/>
  <c r="D1013" i="14"/>
  <c r="F1013" i="14" s="1"/>
  <c r="H1013" i="14" s="1"/>
  <c r="D897" i="9"/>
  <c r="F897" i="9" s="1"/>
  <c r="G1049" i="9"/>
  <c r="C1088" i="14"/>
  <c r="C1144" i="14" s="1"/>
  <c r="C1065" i="14"/>
  <c r="D1088" i="14"/>
  <c r="E1033" i="14"/>
  <c r="E1034" i="14"/>
  <c r="H1034" i="14"/>
  <c r="J1034" i="14" s="1"/>
  <c r="D1038" i="14" s="1"/>
  <c r="F1038" i="14"/>
  <c r="D1089" i="14"/>
  <c r="D1054" i="12"/>
  <c r="E999" i="12"/>
  <c r="H999" i="12" s="1"/>
  <c r="J999" i="12" s="1"/>
  <c r="D1003" i="12" s="1"/>
  <c r="F1003" i="12" s="1"/>
  <c r="D1123" i="14"/>
  <c r="F1067" i="14"/>
  <c r="H1067" i="14"/>
  <c r="G1293" i="36"/>
  <c r="H1293" i="36" s="1"/>
  <c r="J1293" i="36" s="1"/>
  <c r="D1297" i="36" s="1"/>
  <c r="F1297" i="36" s="1"/>
  <c r="D1241" i="36"/>
  <c r="F1241" i="36" s="1"/>
  <c r="F1009" i="12"/>
  <c r="D1016" i="14"/>
  <c r="F961" i="14"/>
  <c r="H961" i="14" s="1"/>
  <c r="I53" i="11" s="1"/>
  <c r="J66" i="29" s="1"/>
  <c r="N315" i="29"/>
  <c r="C957" i="39"/>
  <c r="K316" i="29"/>
  <c r="J249" i="11"/>
  <c r="J316" i="29"/>
  <c r="I249" i="11"/>
  <c r="I251" i="11" s="1"/>
  <c r="L316" i="29"/>
  <c r="F1122" i="14"/>
  <c r="H1122" i="14" s="1"/>
  <c r="D1030" i="12"/>
  <c r="F1030" i="12" s="1"/>
  <c r="F975" i="12"/>
  <c r="H975" i="12" s="1"/>
  <c r="L364" i="11"/>
  <c r="M473" i="29" s="1"/>
  <c r="E989" i="9"/>
  <c r="H989" i="9" s="1"/>
  <c r="J989" i="9" s="1"/>
  <c r="D992" i="9" s="1"/>
  <c r="F992" i="9" s="1"/>
  <c r="D1038" i="9"/>
  <c r="D2507" i="13"/>
  <c r="E1013" i="13"/>
  <c r="G978" i="14"/>
  <c r="H923" i="14"/>
  <c r="J923" i="14" s="1"/>
  <c r="D927" i="14" s="1"/>
  <c r="F927" i="14" s="1"/>
  <c r="E943" i="12"/>
  <c r="H943" i="12" s="1"/>
  <c r="J943" i="12" s="1"/>
  <c r="D947" i="12"/>
  <c r="F947" i="12" s="1"/>
  <c r="D998" i="12"/>
  <c r="D1037" i="12"/>
  <c r="H982" i="12"/>
  <c r="D921" i="9"/>
  <c r="F872" i="9"/>
  <c r="H872" i="9" s="1"/>
  <c r="J113" i="11"/>
  <c r="K135" i="29" s="1"/>
  <c r="B832" i="39"/>
  <c r="B857" i="39"/>
  <c r="B880" i="39"/>
  <c r="B933" i="39"/>
  <c r="B962" i="39" s="1"/>
  <c r="C694" i="16"/>
  <c r="C746" i="16" s="1"/>
  <c r="C695" i="16"/>
  <c r="C747" i="16" s="1"/>
  <c r="C800" i="16" s="1"/>
  <c r="D800" i="16" s="1"/>
  <c r="G641" i="16"/>
  <c r="I641" i="16" s="1"/>
  <c r="C645" i="16" s="1"/>
  <c r="E645" i="16" s="1"/>
  <c r="E224" i="11"/>
  <c r="F282" i="29" s="1"/>
  <c r="E1854" i="16"/>
  <c r="D226" i="11"/>
  <c r="C1919" i="16"/>
  <c r="E1919" i="16" s="1"/>
  <c r="I1968" i="16"/>
  <c r="D880" i="39"/>
  <c r="D933" i="39" s="1"/>
  <c r="C985" i="39"/>
  <c r="E904" i="39"/>
  <c r="G904" i="39" s="1"/>
  <c r="C1008" i="39"/>
  <c r="G612" i="16"/>
  <c r="F1176" i="12"/>
  <c r="G1018" i="12"/>
  <c r="F1310" i="13"/>
  <c r="G1310" i="13" s="1"/>
  <c r="G1253" i="13"/>
  <c r="F1204" i="13"/>
  <c r="G1147" i="13"/>
  <c r="F1314" i="13"/>
  <c r="G1314" i="13"/>
  <c r="G1257" i="13"/>
  <c r="G1254" i="13"/>
  <c r="F1311" i="13"/>
  <c r="G1311" i="13"/>
  <c r="F1316" i="13"/>
  <c r="G1316" i="13" s="1"/>
  <c r="G1259" i="13"/>
  <c r="F1317" i="13"/>
  <c r="G1317" i="13" s="1"/>
  <c r="G1260" i="13"/>
  <c r="C731" i="16"/>
  <c r="E731" i="16"/>
  <c r="G731" i="16" s="1"/>
  <c r="E726" i="16"/>
  <c r="G726" i="16" s="1"/>
  <c r="D1036" i="12"/>
  <c r="F981" i="12"/>
  <c r="H981" i="12" s="1"/>
  <c r="J143" i="11" s="1"/>
  <c r="K173" i="29"/>
  <c r="F2536" i="13"/>
  <c r="H2536" i="13" s="1"/>
  <c r="C1029" i="12"/>
  <c r="C1053" i="12"/>
  <c r="C1057" i="12" s="1"/>
  <c r="C1002" i="12"/>
  <c r="D1086" i="12"/>
  <c r="F1031" i="12"/>
  <c r="H1031" i="12"/>
  <c r="G961" i="12"/>
  <c r="F1016" i="12"/>
  <c r="F1038" i="9"/>
  <c r="D978" i="12"/>
  <c r="F923" i="12"/>
  <c r="H923" i="12"/>
  <c r="L142" i="11" s="1"/>
  <c r="M172" i="29" s="1"/>
  <c r="D928" i="12"/>
  <c r="D983" i="12" s="1"/>
  <c r="D2489" i="13"/>
  <c r="F2489" i="13" s="1"/>
  <c r="H2489" i="13" s="1"/>
  <c r="D2535" i="13"/>
  <c r="F2535" i="13" s="1"/>
  <c r="H2535" i="13" s="1"/>
  <c r="F2484" i="13"/>
  <c r="H2484" i="13" s="1"/>
  <c r="J367" i="11" s="1"/>
  <c r="K476" i="29" s="1"/>
  <c r="C680" i="16"/>
  <c r="E680" i="16" s="1"/>
  <c r="G680" i="16" s="1"/>
  <c r="C728" i="16"/>
  <c r="C781" i="16"/>
  <c r="E675" i="16"/>
  <c r="G675" i="16" s="1"/>
  <c r="C1184" i="13"/>
  <c r="C1188" i="13" s="1"/>
  <c r="C1163" i="13"/>
  <c r="C1131" i="13"/>
  <c r="D2436" i="13"/>
  <c r="F2436" i="13" s="1"/>
  <c r="H2436" i="13" s="1"/>
  <c r="D2486" i="13"/>
  <c r="F2431" i="13"/>
  <c r="H2431" i="13" s="1"/>
  <c r="L51" i="11"/>
  <c r="C1092" i="14"/>
  <c r="C1121" i="14"/>
  <c r="L280" i="29"/>
  <c r="G1896" i="16"/>
  <c r="K224" i="11" s="1"/>
  <c r="L282" i="29" s="1"/>
  <c r="E1951" i="16"/>
  <c r="J366" i="11"/>
  <c r="K475" i="29" s="1"/>
  <c r="D1068" i="14"/>
  <c r="C1158" i="13"/>
  <c r="C1130" i="13"/>
  <c r="C1183" i="13"/>
  <c r="F959" i="14"/>
  <c r="H959" i="14" s="1"/>
  <c r="D1014" i="14"/>
  <c r="D874" i="9"/>
  <c r="D923" i="9" s="1"/>
  <c r="F825" i="9"/>
  <c r="H825" i="9" s="1"/>
  <c r="L112" i="11" s="1"/>
  <c r="M134" i="29" s="1"/>
  <c r="G1177" i="12"/>
  <c r="F1232" i="12"/>
  <c r="F1287" i="12" s="1"/>
  <c r="G1287" i="12" s="1"/>
  <c r="G1439" i="12"/>
  <c r="G1494" i="12" s="1"/>
  <c r="G1549" i="12" s="1"/>
  <c r="G1098" i="9"/>
  <c r="E136" i="29"/>
  <c r="C1144" i="12"/>
  <c r="C1113" i="12"/>
  <c r="L141" i="11"/>
  <c r="H874" i="12"/>
  <c r="F861" i="12" s="1"/>
  <c r="G1256" i="14"/>
  <c r="G1946" i="16"/>
  <c r="E2001" i="16"/>
  <c r="G2001" i="16" s="1"/>
  <c r="K228" i="11" s="1"/>
  <c r="L286" i="29" s="1"/>
  <c r="H25" i="5"/>
  <c r="E1088" i="14"/>
  <c r="D1144" i="14"/>
  <c r="D1201" i="14" s="1"/>
  <c r="D1109" i="12"/>
  <c r="E1054" i="12"/>
  <c r="H1054" i="12" s="1"/>
  <c r="J1054" i="12" s="1"/>
  <c r="D1058" i="12" s="1"/>
  <c r="F1058" i="12" s="1"/>
  <c r="D1060" i="12" s="1"/>
  <c r="F1060" i="12" s="1"/>
  <c r="D1145" i="14"/>
  <c r="D1202" i="14" s="1"/>
  <c r="E1089" i="14"/>
  <c r="H1089" i="14" s="1"/>
  <c r="J1089" i="14" s="1"/>
  <c r="D1093" i="14" s="1"/>
  <c r="F1093" i="14" s="1"/>
  <c r="F1064" i="12"/>
  <c r="G1009" i="12"/>
  <c r="F1123" i="14"/>
  <c r="H1123" i="14" s="1"/>
  <c r="D1180" i="14"/>
  <c r="J317" i="29"/>
  <c r="K317" i="29"/>
  <c r="J251" i="11"/>
  <c r="D1233" i="14"/>
  <c r="F1179" i="14"/>
  <c r="H1179" i="14"/>
  <c r="H1030" i="12"/>
  <c r="D1085" i="12"/>
  <c r="D1140" i="12" s="1"/>
  <c r="D1195" i="12" s="1"/>
  <c r="D1200" i="12" s="1"/>
  <c r="F1200" i="12" s="1"/>
  <c r="E2507" i="13"/>
  <c r="G1033" i="14"/>
  <c r="H978" i="14"/>
  <c r="J978" i="14"/>
  <c r="D982" i="14" s="1"/>
  <c r="F982" i="14" s="1"/>
  <c r="F862" i="14"/>
  <c r="D1053" i="12"/>
  <c r="E1053" i="12" s="1"/>
  <c r="H1053" i="12" s="1"/>
  <c r="E998" i="12"/>
  <c r="H998" i="12" s="1"/>
  <c r="J998" i="12" s="1"/>
  <c r="D1002" i="12"/>
  <c r="F1002" i="12" s="1"/>
  <c r="D1092" i="12"/>
  <c r="F1092" i="12"/>
  <c r="H1092" i="12" s="1"/>
  <c r="F1037" i="12"/>
  <c r="H1037" i="12" s="1"/>
  <c r="B909" i="39"/>
  <c r="B884" i="39"/>
  <c r="B985" i="39"/>
  <c r="B1013" i="39" s="1"/>
  <c r="F921" i="9"/>
  <c r="H921" i="9" s="1"/>
  <c r="J114" i="11" s="1"/>
  <c r="D970" i="9"/>
  <c r="D1019" i="9" s="1"/>
  <c r="F1019" i="9" s="1"/>
  <c r="H1019" i="9" s="1"/>
  <c r="J116" i="11" s="1"/>
  <c r="D694" i="16"/>
  <c r="D695" i="16"/>
  <c r="E1008" i="39"/>
  <c r="G1008" i="39" s="1"/>
  <c r="C1061" i="39"/>
  <c r="C1037" i="39"/>
  <c r="D1037" i="39" s="1"/>
  <c r="D985" i="39"/>
  <c r="F1231" i="12"/>
  <c r="G1176" i="12"/>
  <c r="G1073" i="12"/>
  <c r="F1128" i="12"/>
  <c r="G1128" i="12" s="1"/>
  <c r="G1258" i="13"/>
  <c r="F1315" i="13"/>
  <c r="G1315" i="13"/>
  <c r="F1261" i="13"/>
  <c r="G1204" i="13"/>
  <c r="F1086" i="12"/>
  <c r="H1086" i="12" s="1"/>
  <c r="J145" i="11" s="1"/>
  <c r="K175" i="29" s="1"/>
  <c r="D1141" i="12"/>
  <c r="F1036" i="12"/>
  <c r="H1036" i="12" s="1"/>
  <c r="D1091" i="12"/>
  <c r="F1091" i="12" s="1"/>
  <c r="H1091" i="12" s="1"/>
  <c r="J189" i="11"/>
  <c r="K246" i="29" s="1"/>
  <c r="C1108" i="12"/>
  <c r="C1112" i="12" s="1"/>
  <c r="E1171" i="16"/>
  <c r="E1223" i="16" s="1"/>
  <c r="M171" i="29"/>
  <c r="C1215" i="13"/>
  <c r="C1187" i="13"/>
  <c r="C1240" i="13"/>
  <c r="D2537" i="13"/>
  <c r="D2542" i="13" s="1"/>
  <c r="F2542" i="13" s="1"/>
  <c r="H2542" i="13" s="1"/>
  <c r="D2491" i="13"/>
  <c r="F2491" i="13" s="1"/>
  <c r="H2491" i="13" s="1"/>
  <c r="F2486" i="13"/>
  <c r="H2486" i="13" s="1"/>
  <c r="D1033" i="12"/>
  <c r="F978" i="12"/>
  <c r="H978" i="12" s="1"/>
  <c r="G1951" i="16"/>
  <c r="K226" i="11" s="1"/>
  <c r="L284" i="29" s="1"/>
  <c r="E2006" i="16"/>
  <c r="G2006" i="16" s="1"/>
  <c r="M64" i="29"/>
  <c r="G1310" i="14"/>
  <c r="E666" i="16"/>
  <c r="G666" i="16" s="1"/>
  <c r="C733" i="16"/>
  <c r="E733" i="16"/>
  <c r="G733" i="16" s="1"/>
  <c r="E728" i="16"/>
  <c r="G728" i="16" s="1"/>
  <c r="L189" i="11" s="1"/>
  <c r="M246" i="29" s="1"/>
  <c r="F928" i="12"/>
  <c r="H928" i="12" s="1"/>
  <c r="F1087" i="9"/>
  <c r="G1147" i="9"/>
  <c r="F874" i="9"/>
  <c r="H874" i="9" s="1"/>
  <c r="L113" i="11" s="1"/>
  <c r="F1014" i="14"/>
  <c r="H1014" i="14" s="1"/>
  <c r="D1069" i="14"/>
  <c r="B694" i="16"/>
  <c r="B746" i="16" s="1"/>
  <c r="B799" i="16" s="1"/>
  <c r="B671" i="16"/>
  <c r="B644" i="16"/>
  <c r="C1241" i="13"/>
  <c r="C1220" i="13"/>
  <c r="B645" i="16"/>
  <c r="B695" i="16"/>
  <c r="B747" i="16" s="1"/>
  <c r="B751" i="16" s="1"/>
  <c r="B676" i="16"/>
  <c r="F1119" i="12"/>
  <c r="G1064" i="12"/>
  <c r="D1164" i="12"/>
  <c r="E1109" i="12"/>
  <c r="H1109" i="12"/>
  <c r="J1109" i="12" s="1"/>
  <c r="D1113" i="12" s="1"/>
  <c r="F1113" i="12" s="1"/>
  <c r="E1145" i="14"/>
  <c r="H1145" i="14" s="1"/>
  <c r="J1145" i="14" s="1"/>
  <c r="D1149" i="14" s="1"/>
  <c r="F1149" i="14" s="1"/>
  <c r="D1234" i="14"/>
  <c r="F1180" i="14"/>
  <c r="H1180" i="14" s="1"/>
  <c r="J252" i="11"/>
  <c r="K320" i="29" s="1"/>
  <c r="K319" i="29"/>
  <c r="J253" i="11"/>
  <c r="K321" i="29" s="1"/>
  <c r="C863" i="39"/>
  <c r="E863" i="39"/>
  <c r="G863" i="39" s="1"/>
  <c r="C910" i="39"/>
  <c r="C963" i="39" s="1"/>
  <c r="E858" i="39"/>
  <c r="G858" i="39" s="1"/>
  <c r="C912" i="39"/>
  <c r="C965" i="39" s="1"/>
  <c r="E860" i="39"/>
  <c r="G860" i="39"/>
  <c r="C865" i="39"/>
  <c r="E865" i="39" s="1"/>
  <c r="G865" i="39" s="1"/>
  <c r="C864" i="39"/>
  <c r="E864" i="39"/>
  <c r="G864" i="39" s="1"/>
  <c r="E859" i="39"/>
  <c r="G859" i="39" s="1"/>
  <c r="C911" i="39"/>
  <c r="E911" i="39" s="1"/>
  <c r="G911" i="39" s="1"/>
  <c r="F1233" i="14"/>
  <c r="H1233" i="14" s="1"/>
  <c r="D1286" i="14"/>
  <c r="D1343" i="14" s="1"/>
  <c r="G1088" i="14"/>
  <c r="H1033" i="14"/>
  <c r="J1033" i="14" s="1"/>
  <c r="D1037" i="14" s="1"/>
  <c r="F1037" i="14" s="1"/>
  <c r="J1053" i="12"/>
  <c r="D1057" i="12" s="1"/>
  <c r="F1057" i="12" s="1"/>
  <c r="B1037" i="39"/>
  <c r="B989" i="39"/>
  <c r="G695" i="16"/>
  <c r="I695" i="16" s="1"/>
  <c r="C699" i="16" s="1"/>
  <c r="E699" i="16" s="1"/>
  <c r="D747" i="16"/>
  <c r="G747" i="16" s="1"/>
  <c r="G694" i="16"/>
  <c r="I694" i="16" s="1"/>
  <c r="C698" i="16" s="1"/>
  <c r="E698" i="16"/>
  <c r="C701" i="16" s="1"/>
  <c r="E701" i="16" s="1"/>
  <c r="E189" i="11" s="1"/>
  <c r="F246" i="29" s="1"/>
  <c r="D746" i="16"/>
  <c r="G746" i="16" s="1"/>
  <c r="C1112" i="39"/>
  <c r="C1163" i="39" s="1"/>
  <c r="E1163" i="39" s="1"/>
  <c r="G1163" i="39" s="1"/>
  <c r="E1061" i="39"/>
  <c r="G1061" i="39" s="1"/>
  <c r="C1088" i="39"/>
  <c r="C1139" i="39" s="1"/>
  <c r="D1139" i="39" s="1"/>
  <c r="F1183" i="12"/>
  <c r="G1183" i="12" s="1"/>
  <c r="G1261" i="13"/>
  <c r="F1318" i="13"/>
  <c r="G1318" i="13" s="1"/>
  <c r="D1146" i="12"/>
  <c r="F1146" i="12" s="1"/>
  <c r="H1146" i="12" s="1"/>
  <c r="D1196" i="12"/>
  <c r="F1196" i="12" s="1"/>
  <c r="F1141" i="12"/>
  <c r="H1141" i="12" s="1"/>
  <c r="C784" i="16"/>
  <c r="E784" i="16" s="1"/>
  <c r="G784" i="16" s="1"/>
  <c r="E779" i="16"/>
  <c r="G779" i="16" s="1"/>
  <c r="C831" i="16"/>
  <c r="C1139" i="12"/>
  <c r="C1163" i="12"/>
  <c r="C1194" i="12" s="1"/>
  <c r="B698" i="16"/>
  <c r="B724" i="16"/>
  <c r="G1196" i="9"/>
  <c r="F1136" i="9"/>
  <c r="F1185" i="9" s="1"/>
  <c r="F1234" i="9" s="1"/>
  <c r="F1283" i="9" s="1"/>
  <c r="E719" i="16"/>
  <c r="G719" i="16" s="1"/>
  <c r="F1342" i="12"/>
  <c r="F2537" i="13"/>
  <c r="H2537" i="13" s="1"/>
  <c r="L368" i="11" s="1"/>
  <c r="M477" i="29" s="1"/>
  <c r="C1297" i="13"/>
  <c r="C1272" i="13"/>
  <c r="C1244" i="13"/>
  <c r="B729" i="16"/>
  <c r="B699" i="16"/>
  <c r="C1245" i="13"/>
  <c r="C1298" i="13"/>
  <c r="C1277" i="13"/>
  <c r="G1366" i="14"/>
  <c r="D1287" i="14"/>
  <c r="D1344" i="14" s="1"/>
  <c r="F1344" i="14" s="1"/>
  <c r="F1234" i="14"/>
  <c r="H1234" i="14" s="1"/>
  <c r="E1164" i="12"/>
  <c r="H1164" i="12"/>
  <c r="J1164" i="12" s="1"/>
  <c r="D1168" i="12" s="1"/>
  <c r="F1168" i="12" s="1"/>
  <c r="D1219" i="12"/>
  <c r="E1219" i="12" s="1"/>
  <c r="H1219" i="12" s="1"/>
  <c r="J254" i="11"/>
  <c r="J256" i="11" s="1"/>
  <c r="J257" i="11" s="1"/>
  <c r="E691" i="16"/>
  <c r="C1016" i="39"/>
  <c r="C1069" i="39" s="1"/>
  <c r="E1069" i="39" s="1"/>
  <c r="E912" i="39"/>
  <c r="G912" i="39" s="1"/>
  <c r="F1140" i="12"/>
  <c r="H1140" i="12" s="1"/>
  <c r="D1145" i="12"/>
  <c r="F1145" i="12" s="1"/>
  <c r="H1145" i="12" s="1"/>
  <c r="I146" i="11" s="1"/>
  <c r="C915" i="39"/>
  <c r="E915" i="39"/>
  <c r="G915" i="39" s="1"/>
  <c r="C1014" i="39"/>
  <c r="E910" i="39"/>
  <c r="G910" i="39"/>
  <c r="F1286" i="14"/>
  <c r="H1286" i="14" s="1"/>
  <c r="G1144" i="14"/>
  <c r="H1088" i="14"/>
  <c r="J1088" i="14" s="1"/>
  <c r="D1092" i="14" s="1"/>
  <c r="F1092" i="14" s="1"/>
  <c r="D1068" i="9"/>
  <c r="D1117" i="9" s="1"/>
  <c r="K138" i="29"/>
  <c r="D189" i="11"/>
  <c r="C799" i="16"/>
  <c r="I746" i="16"/>
  <c r="C750" i="16" s="1"/>
  <c r="E750" i="16" s="1"/>
  <c r="I747" i="16"/>
  <c r="C751" i="16" s="1"/>
  <c r="E751" i="16" s="1"/>
  <c r="D1088" i="39"/>
  <c r="E1112" i="39"/>
  <c r="G1112" i="39" s="1"/>
  <c r="F1238" i="12"/>
  <c r="F1293" i="12" s="1"/>
  <c r="C1218" i="12"/>
  <c r="H1196" i="12"/>
  <c r="D1201" i="12"/>
  <c r="F1201" i="12" s="1"/>
  <c r="H1201" i="12" s="1"/>
  <c r="D1251" i="12"/>
  <c r="F1251" i="12" s="1"/>
  <c r="H1251" i="12" s="1"/>
  <c r="J191" i="11"/>
  <c r="K248" i="29" s="1"/>
  <c r="C885" i="16"/>
  <c r="C939" i="16"/>
  <c r="E831" i="16"/>
  <c r="G831" i="16" s="1"/>
  <c r="J192" i="11" s="1"/>
  <c r="K249" i="29" s="1"/>
  <c r="C836" i="16"/>
  <c r="E836" i="16" s="1"/>
  <c r="G836" i="16"/>
  <c r="C1329" i="13"/>
  <c r="C1301" i="13"/>
  <c r="G1245" i="9"/>
  <c r="G1604" i="12"/>
  <c r="G1659" i="12" s="1"/>
  <c r="E781" i="16"/>
  <c r="G781" i="16" s="1"/>
  <c r="C833" i="16"/>
  <c r="C786" i="16"/>
  <c r="E786" i="16" s="1"/>
  <c r="G786" i="16" s="1"/>
  <c r="L191" i="11" s="1"/>
  <c r="M248" i="29" s="1"/>
  <c r="G1422" i="14"/>
  <c r="M135" i="29"/>
  <c r="C1302" i="13"/>
  <c r="C1334" i="13"/>
  <c r="D1274" i="12"/>
  <c r="E1274" i="12" s="1"/>
  <c r="H1274" i="12" s="1"/>
  <c r="J1274" i="12" s="1"/>
  <c r="J1219" i="12"/>
  <c r="D1223" i="12" s="1"/>
  <c r="F1223" i="12" s="1"/>
  <c r="F1287" i="14"/>
  <c r="H1287" i="14" s="1"/>
  <c r="F1195" i="12"/>
  <c r="H1195" i="12" s="1"/>
  <c r="H1200" i="12"/>
  <c r="D1250" i="12"/>
  <c r="D1255" i="12" s="1"/>
  <c r="C1021" i="39"/>
  <c r="E1021" i="39" s="1"/>
  <c r="G1021" i="39" s="1"/>
  <c r="E1014" i="39"/>
  <c r="G1014" i="39" s="1"/>
  <c r="C1019" i="39"/>
  <c r="E1019" i="39" s="1"/>
  <c r="G1019" i="39" s="1"/>
  <c r="C1067" i="39"/>
  <c r="G1201" i="14"/>
  <c r="G1255" i="14" s="1"/>
  <c r="G1309" i="14" s="1"/>
  <c r="G1365" i="14" s="1"/>
  <c r="G1421" i="14" s="1"/>
  <c r="F1068" i="9"/>
  <c r="H1068" i="9" s="1"/>
  <c r="J117" i="11" s="1"/>
  <c r="K139" i="29" s="1"/>
  <c r="D799" i="16"/>
  <c r="G799" i="16"/>
  <c r="I799" i="16" s="1"/>
  <c r="C803" i="16" s="1"/>
  <c r="E803" i="16" s="1"/>
  <c r="C853" i="16"/>
  <c r="C906" i="16" s="1"/>
  <c r="G800" i="16"/>
  <c r="I800" i="16"/>
  <c r="C804" i="16" s="1"/>
  <c r="E804" i="16" s="1"/>
  <c r="C854" i="16"/>
  <c r="C907" i="16"/>
  <c r="G1238" i="12"/>
  <c r="E885" i="16"/>
  <c r="G885" i="16"/>
  <c r="J194" i="11" s="1"/>
  <c r="K251" i="29" s="1"/>
  <c r="C890" i="16"/>
  <c r="E890" i="16" s="1"/>
  <c r="G890" i="16" s="1"/>
  <c r="J147" i="11"/>
  <c r="K177" i="29" s="1"/>
  <c r="E1276" i="16"/>
  <c r="E1328" i="16" s="1"/>
  <c r="B782" i="16"/>
  <c r="B800" i="16"/>
  <c r="B854" i="16" s="1"/>
  <c r="E833" i="16"/>
  <c r="G833" i="16"/>
  <c r="C838" i="16"/>
  <c r="E838" i="16" s="1"/>
  <c r="G838" i="16" s="1"/>
  <c r="C887" i="16"/>
  <c r="C941" i="16"/>
  <c r="C993" i="16" s="1"/>
  <c r="C1046" i="16" s="1"/>
  <c r="G1478" i="14"/>
  <c r="B750" i="16"/>
  <c r="B777" i="16"/>
  <c r="E824" i="16"/>
  <c r="G824" i="16"/>
  <c r="E772" i="16"/>
  <c r="G772" i="16"/>
  <c r="G1294" i="9"/>
  <c r="D1329" i="12"/>
  <c r="D1278" i="12"/>
  <c r="F1278" i="12" s="1"/>
  <c r="D1400" i="14"/>
  <c r="F1400" i="14" s="1"/>
  <c r="H1344" i="14"/>
  <c r="K324" i="29"/>
  <c r="C1120" i="39"/>
  <c r="C1171" i="39" s="1"/>
  <c r="C1074" i="39"/>
  <c r="E1074" i="39" s="1"/>
  <c r="G1074" i="39" s="1"/>
  <c r="G1069" i="39"/>
  <c r="F1255" i="12"/>
  <c r="H1255" i="12" s="1"/>
  <c r="C1072" i="39"/>
  <c r="E1072" i="39"/>
  <c r="G1072" i="39" s="1"/>
  <c r="C1118" i="39"/>
  <c r="C1169" i="39" s="1"/>
  <c r="E1067" i="39"/>
  <c r="G1067" i="39" s="1"/>
  <c r="F1117" i="9"/>
  <c r="H1117" i="9"/>
  <c r="J118" i="11" s="1"/>
  <c r="K140" i="29" s="1"/>
  <c r="D1166" i="9"/>
  <c r="D854" i="16"/>
  <c r="G1535" i="14"/>
  <c r="B834" i="16"/>
  <c r="B804" i="16"/>
  <c r="C892" i="16"/>
  <c r="E892" i="16"/>
  <c r="G892" i="16"/>
  <c r="E887" i="16"/>
  <c r="G887" i="16" s="1"/>
  <c r="L194" i="11" s="1"/>
  <c r="M251" i="29" s="1"/>
  <c r="B803" i="16"/>
  <c r="B829" i="16"/>
  <c r="B853" i="16"/>
  <c r="B906" i="16"/>
  <c r="G1714" i="12"/>
  <c r="G1769" i="12" s="1"/>
  <c r="L192" i="11"/>
  <c r="M249" i="29" s="1"/>
  <c r="E1329" i="12"/>
  <c r="H1329" i="12" s="1"/>
  <c r="J1329" i="12" s="1"/>
  <c r="D1333" i="12" s="1"/>
  <c r="F1333" i="12" s="1"/>
  <c r="D1384" i="12"/>
  <c r="E1384" i="12" s="1"/>
  <c r="H1384" i="12" s="1"/>
  <c r="J1384" i="12" s="1"/>
  <c r="D1388" i="12" s="1"/>
  <c r="F1388" i="12" s="1"/>
  <c r="D1456" i="14"/>
  <c r="H1400" i="14"/>
  <c r="E1171" i="39"/>
  <c r="G1171" i="39" s="1"/>
  <c r="C1176" i="39"/>
  <c r="E1176" i="39"/>
  <c r="G1176" i="39" s="1"/>
  <c r="E1120" i="39"/>
  <c r="G1120" i="39"/>
  <c r="C1221" i="39"/>
  <c r="C1125" i="39"/>
  <c r="E1125" i="39" s="1"/>
  <c r="G1125" i="39" s="1"/>
  <c r="E1118" i="39"/>
  <c r="G1118" i="39" s="1"/>
  <c r="C1123" i="39"/>
  <c r="E1123" i="39"/>
  <c r="G1123" i="39" s="1"/>
  <c r="C1219" i="39"/>
  <c r="C1272" i="39" s="1"/>
  <c r="C1323" i="39" s="1"/>
  <c r="F1166" i="9"/>
  <c r="H1166" i="9" s="1"/>
  <c r="J119" i="11" s="1"/>
  <c r="K141" i="29" s="1"/>
  <c r="D1215" i="9"/>
  <c r="F1215" i="9" s="1"/>
  <c r="G854" i="16"/>
  <c r="I854" i="16" s="1"/>
  <c r="C858" i="16" s="1"/>
  <c r="E858" i="16" s="1"/>
  <c r="D907" i="16"/>
  <c r="G907" i="16" s="1"/>
  <c r="I907" i="16" s="1"/>
  <c r="C911" i="16" s="1"/>
  <c r="E911" i="16" s="1"/>
  <c r="E939" i="16"/>
  <c r="G939" i="16" s="1"/>
  <c r="C991" i="16"/>
  <c r="C1044" i="16" s="1"/>
  <c r="C944" i="16"/>
  <c r="E944" i="16" s="1"/>
  <c r="G944" i="16" s="1"/>
  <c r="B883" i="16"/>
  <c r="B857" i="16"/>
  <c r="G1590" i="14"/>
  <c r="D1439" i="12"/>
  <c r="F1456" i="14"/>
  <c r="H1456" i="14"/>
  <c r="D1513" i="14"/>
  <c r="C1224" i="39"/>
  <c r="E1224" i="39"/>
  <c r="G1224" i="39" s="1"/>
  <c r="C1274" i="39"/>
  <c r="C1226" i="39"/>
  <c r="E1226" i="39" s="1"/>
  <c r="G1226" i="39" s="1"/>
  <c r="E1221" i="39"/>
  <c r="G1221" i="39" s="1"/>
  <c r="D1264" i="9"/>
  <c r="H1215" i="9"/>
  <c r="J120" i="11" s="1"/>
  <c r="K142" i="29" s="1"/>
  <c r="C959" i="16"/>
  <c r="C1011" i="16"/>
  <c r="C960" i="16"/>
  <c r="C1012" i="16"/>
  <c r="E991" i="16"/>
  <c r="G991" i="16" s="1"/>
  <c r="E941" i="16"/>
  <c r="G941" i="16" s="1"/>
  <c r="C946" i="16"/>
  <c r="E946" i="16" s="1"/>
  <c r="G946" i="16" s="1"/>
  <c r="E1381" i="16"/>
  <c r="E1435" i="16" s="1"/>
  <c r="G1824" i="12"/>
  <c r="G1879" i="12" s="1"/>
  <c r="G1934" i="12" s="1"/>
  <c r="G1989" i="12" s="1"/>
  <c r="F1513" i="14"/>
  <c r="H1513" i="14" s="1"/>
  <c r="D1568" i="14"/>
  <c r="C1374" i="39"/>
  <c r="C1379" i="39" s="1"/>
  <c r="E1379" i="39" s="1"/>
  <c r="G1379" i="39" s="1"/>
  <c r="E1272" i="39"/>
  <c r="G1272" i="39" s="1"/>
  <c r="E1274" i="39"/>
  <c r="G1274" i="39" s="1"/>
  <c r="F1264" i="9"/>
  <c r="H1264" i="9" s="1"/>
  <c r="J121" i="11"/>
  <c r="K143" i="29" s="1"/>
  <c r="D1313" i="9"/>
  <c r="F1313" i="9"/>
  <c r="H1313" i="9" s="1"/>
  <c r="J122" i="11" s="1"/>
  <c r="K144" i="29" s="1"/>
  <c r="D959" i="16"/>
  <c r="D1011" i="16" s="1"/>
  <c r="G1011" i="16" s="1"/>
  <c r="I1011" i="16" s="1"/>
  <c r="C1015" i="16" s="1"/>
  <c r="E1015" i="16" s="1"/>
  <c r="D960" i="16"/>
  <c r="C998" i="16"/>
  <c r="E998" i="16" s="1"/>
  <c r="G998" i="16"/>
  <c r="E993" i="16"/>
  <c r="G993" i="16" s="1"/>
  <c r="B910" i="16"/>
  <c r="B959" i="16"/>
  <c r="B1011" i="16" s="1"/>
  <c r="B937" i="16"/>
  <c r="F1568" i="14"/>
  <c r="H1568" i="14" s="1"/>
  <c r="D1624" i="14"/>
  <c r="F1624" i="14" s="1"/>
  <c r="H1624" i="14" s="1"/>
  <c r="C1426" i="39"/>
  <c r="C1431" i="39" s="1"/>
  <c r="E1431" i="39" s="1"/>
  <c r="G1431" i="39" s="1"/>
  <c r="C1328" i="39"/>
  <c r="E1328" i="39" s="1"/>
  <c r="G1328" i="39" s="1"/>
  <c r="G1477" i="14"/>
  <c r="G960" i="16"/>
  <c r="I960" i="16" s="1"/>
  <c r="C964" i="16" s="1"/>
  <c r="E964" i="16" s="1"/>
  <c r="D1012" i="16"/>
  <c r="G959" i="16"/>
  <c r="I959" i="16" s="1"/>
  <c r="C963" i="16" s="1"/>
  <c r="E963" i="16" s="1"/>
  <c r="E1044" i="16"/>
  <c r="G1044" i="16"/>
  <c r="L197" i="11"/>
  <c r="M254" i="29"/>
  <c r="B989" i="16"/>
  <c r="B963" i="16"/>
  <c r="E1426" i="39"/>
  <c r="G1426" i="39" s="1"/>
  <c r="G1534" i="14"/>
  <c r="C1065" i="16"/>
  <c r="C1117" i="16" s="1"/>
  <c r="C1170" i="16" s="1"/>
  <c r="G1012" i="16"/>
  <c r="I1012" i="16" s="1"/>
  <c r="C1016" i="16" s="1"/>
  <c r="E1016" i="16" s="1"/>
  <c r="C1066" i="16"/>
  <c r="D1066" i="16" s="1"/>
  <c r="E1046" i="16"/>
  <c r="G1046" i="16" s="1"/>
  <c r="C1099" i="16"/>
  <c r="C1152" i="16" s="1"/>
  <c r="C1051" i="16"/>
  <c r="E1051" i="16" s="1"/>
  <c r="G1051" i="16" s="1"/>
  <c r="E1488" i="16"/>
  <c r="E1540" i="16" s="1"/>
  <c r="E1593" i="16" s="1"/>
  <c r="E1645" i="16" s="1"/>
  <c r="E1699" i="16" s="1"/>
  <c r="E1752" i="16" s="1"/>
  <c r="G1589" i="14"/>
  <c r="D1065" i="16"/>
  <c r="C1018" i="16"/>
  <c r="E1018" i="16" s="1"/>
  <c r="E199" i="11" s="1"/>
  <c r="F256" i="29" s="1"/>
  <c r="E1099" i="16"/>
  <c r="G1099" i="16" s="1"/>
  <c r="B1015" i="16"/>
  <c r="B1042" i="16"/>
  <c r="B1065" i="16"/>
  <c r="B1117" i="16" s="1"/>
  <c r="G1065" i="16"/>
  <c r="I1065" i="16" s="1"/>
  <c r="C1069" i="16" s="1"/>
  <c r="E1069" i="16" s="1"/>
  <c r="D1117" i="16"/>
  <c r="G1117" i="16" s="1"/>
  <c r="B1095" i="16"/>
  <c r="B1069" i="16"/>
  <c r="I1117" i="16"/>
  <c r="C1121" i="16" s="1"/>
  <c r="E1121" i="16" s="1"/>
  <c r="C1204" i="16"/>
  <c r="B1148" i="16"/>
  <c r="C1222" i="16" l="1"/>
  <c r="C1275" i="16" s="1"/>
  <c r="D1170" i="16"/>
  <c r="B907" i="16"/>
  <c r="B888" i="16"/>
  <c r="B858" i="16"/>
  <c r="B1121" i="16"/>
  <c r="B1170" i="16"/>
  <c r="C1257" i="16"/>
  <c r="C1209" i="16"/>
  <c r="E1209" i="16" s="1"/>
  <c r="G1209" i="16" s="1"/>
  <c r="E1204" i="16"/>
  <c r="G1204" i="16" s="1"/>
  <c r="L203" i="11" s="1"/>
  <c r="M260" i="29" s="1"/>
  <c r="J258" i="11"/>
  <c r="K325" i="29"/>
  <c r="C1072" i="16"/>
  <c r="E1072" i="16" s="1"/>
  <c r="E200" i="11" s="1"/>
  <c r="F257" i="29" s="1"/>
  <c r="C1157" i="16"/>
  <c r="E1157" i="16" s="1"/>
  <c r="G1157" i="16" s="1"/>
  <c r="E1152" i="16"/>
  <c r="G1152" i="16" s="1"/>
  <c r="D56" i="11"/>
  <c r="D1095" i="14"/>
  <c r="F1095" i="14" s="1"/>
  <c r="E56" i="11" s="1"/>
  <c r="F69" i="29" s="1"/>
  <c r="L199" i="11"/>
  <c r="M256" i="29" s="1"/>
  <c r="G1066" i="16"/>
  <c r="I1066" i="16" s="1"/>
  <c r="C1070" i="16" s="1"/>
  <c r="E1070" i="16" s="1"/>
  <c r="D200" i="11" s="1"/>
  <c r="D1118" i="16"/>
  <c r="G1118" i="16" s="1"/>
  <c r="I1118" i="16" s="1"/>
  <c r="C1122" i="16" s="1"/>
  <c r="E1122" i="16" s="1"/>
  <c r="C1124" i="16" s="1"/>
  <c r="E1124" i="16" s="1"/>
  <c r="C966" i="16"/>
  <c r="E966" i="16" s="1"/>
  <c r="E197" i="11" s="1"/>
  <c r="F254" i="29" s="1"/>
  <c r="D197" i="11"/>
  <c r="J176" i="29"/>
  <c r="D1494" i="12"/>
  <c r="E1439" i="12"/>
  <c r="H1439" i="12" s="1"/>
  <c r="J1439" i="12" s="1"/>
  <c r="D1443" i="12" s="1"/>
  <c r="F1443" i="12" s="1"/>
  <c r="D202" i="11"/>
  <c r="D199" i="11"/>
  <c r="E1008" i="16"/>
  <c r="C1104" i="16"/>
  <c r="E1104" i="16" s="1"/>
  <c r="G1104" i="16" s="1"/>
  <c r="L200" i="11" s="1"/>
  <c r="M257" i="29" s="1"/>
  <c r="C1118" i="16"/>
  <c r="C1171" i="16" s="1"/>
  <c r="E1374" i="39"/>
  <c r="G1374" i="39" s="1"/>
  <c r="L196" i="11"/>
  <c r="M253" i="29" s="1"/>
  <c r="C1277" i="39"/>
  <c r="E1277" i="39" s="1"/>
  <c r="G1277" i="39" s="1"/>
  <c r="J146" i="11"/>
  <c r="K176" i="29" s="1"/>
  <c r="G1072" i="12"/>
  <c r="F1127" i="12"/>
  <c r="C1174" i="39"/>
  <c r="E1174" i="39" s="1"/>
  <c r="G1174" i="39" s="1"/>
  <c r="E1169" i="39"/>
  <c r="G1169" i="39" s="1"/>
  <c r="D192" i="11"/>
  <c r="C806" i="16"/>
  <c r="E806" i="16" s="1"/>
  <c r="E192" i="11" s="1"/>
  <c r="F249" i="29" s="1"/>
  <c r="C1273" i="12"/>
  <c r="C1249" i="12"/>
  <c r="C1222" i="12"/>
  <c r="D191" i="11"/>
  <c r="C753" i="16"/>
  <c r="E753" i="16" s="1"/>
  <c r="E191" i="11" s="1"/>
  <c r="F248" i="29" s="1"/>
  <c r="G1119" i="12"/>
  <c r="F1174" i="12"/>
  <c r="D144" i="11"/>
  <c r="D1005" i="12"/>
  <c r="F1005" i="12" s="1"/>
  <c r="E144" i="11" s="1"/>
  <c r="F174" i="29" s="1"/>
  <c r="F995" i="12"/>
  <c r="E145" i="11"/>
  <c r="F175" i="29" s="1"/>
  <c r="F1050" i="12"/>
  <c r="I147" i="11"/>
  <c r="G1342" i="12"/>
  <c r="F1397" i="12"/>
  <c r="F1033" i="12"/>
  <c r="H1033" i="12" s="1"/>
  <c r="D1088" i="12"/>
  <c r="L366" i="11"/>
  <c r="M475" i="29" s="1"/>
  <c r="H2437" i="13"/>
  <c r="F2424" i="13" s="1"/>
  <c r="C1325" i="39"/>
  <c r="C1279" i="39"/>
  <c r="E1279" i="39" s="1"/>
  <c r="G1279" i="39" s="1"/>
  <c r="C1097" i="16"/>
  <c r="C1049" i="16"/>
  <c r="E1049" i="16" s="1"/>
  <c r="G1049" i="16" s="1"/>
  <c r="J199" i="11" s="1"/>
  <c r="K256" i="29" s="1"/>
  <c r="F1348" i="12"/>
  <c r="G1293" i="12"/>
  <c r="J196" i="11"/>
  <c r="K253" i="29" s="1"/>
  <c r="E1323" i="39"/>
  <c r="G1323" i="39" s="1"/>
  <c r="C1476" i="39"/>
  <c r="E1219" i="39"/>
  <c r="G1219" i="39" s="1"/>
  <c r="C1190" i="39"/>
  <c r="D1040" i="14"/>
  <c r="F1040" i="14" s="1"/>
  <c r="D55" i="11"/>
  <c r="L367" i="11"/>
  <c r="M476" i="29" s="1"/>
  <c r="D1256" i="14"/>
  <c r="E1202" i="14"/>
  <c r="H1202" i="14" s="1"/>
  <c r="J1202" i="14" s="1"/>
  <c r="D1206" i="14" s="1"/>
  <c r="F1206" i="14" s="1"/>
  <c r="D1255" i="14"/>
  <c r="E1201" i="14"/>
  <c r="H1201" i="14" s="1"/>
  <c r="J1201" i="14" s="1"/>
  <c r="D1205" i="14" s="1"/>
  <c r="F1205" i="14" s="1"/>
  <c r="E1070" i="13"/>
  <c r="C1199" i="12"/>
  <c r="C1168" i="12"/>
  <c r="C1219" i="12"/>
  <c r="H26" i="5"/>
  <c r="E27" i="5"/>
  <c r="F1070" i="12"/>
  <c r="G1015" i="12"/>
  <c r="D142" i="11"/>
  <c r="D895" i="12"/>
  <c r="F895" i="12" s="1"/>
  <c r="D2534" i="13"/>
  <c r="F2483" i="13"/>
  <c r="H2483" i="13" s="1"/>
  <c r="D2488" i="13"/>
  <c r="F2488" i="13" s="1"/>
  <c r="H2488" i="13" s="1"/>
  <c r="F1250" i="12"/>
  <c r="H1250" i="12" s="1"/>
  <c r="D1399" i="14"/>
  <c r="F1343" i="14"/>
  <c r="H1343" i="14" s="1"/>
  <c r="D1125" i="14"/>
  <c r="F1069" i="14"/>
  <c r="H1069" i="14" s="1"/>
  <c r="D964" i="14"/>
  <c r="F909" i="14"/>
  <c r="H909" i="14" s="1"/>
  <c r="L52" i="11" s="1"/>
  <c r="M65" i="29" s="1"/>
  <c r="J365" i="11"/>
  <c r="B1041" i="39"/>
  <c r="B1066" i="39"/>
  <c r="D1087" i="9"/>
  <c r="E1038" i="9"/>
  <c r="H1038" i="9" s="1"/>
  <c r="J1038" i="9" s="1"/>
  <c r="D1041" i="9" s="1"/>
  <c r="F1041" i="9" s="1"/>
  <c r="C1201" i="14"/>
  <c r="C1178" i="14"/>
  <c r="C1148" i="14"/>
  <c r="C1974" i="16"/>
  <c r="E1974" i="16" s="1"/>
  <c r="E228" i="11" s="1"/>
  <c r="F286" i="29" s="1"/>
  <c r="D228" i="11"/>
  <c r="K90" i="11"/>
  <c r="L103" i="29" s="1"/>
  <c r="G1120" i="12"/>
  <c r="F1175" i="12"/>
  <c r="J111" i="11"/>
  <c r="H1292" i="36"/>
  <c r="J1292" i="36" s="1"/>
  <c r="D1296" i="36" s="1"/>
  <c r="F1296" i="36" s="1"/>
  <c r="F1348" i="36"/>
  <c r="H1348" i="36" s="1"/>
  <c r="J1348" i="36" s="1"/>
  <c r="D1351" i="36" s="1"/>
  <c r="F1351" i="36" s="1"/>
  <c r="J171" i="29"/>
  <c r="J52" i="11"/>
  <c r="I364" i="11"/>
  <c r="H2326" i="13"/>
  <c r="F2313" i="13" s="1"/>
  <c r="L344" i="11"/>
  <c r="M453" i="29" s="1"/>
  <c r="H1225" i="13"/>
  <c r="F1212" i="13" s="1"/>
  <c r="I345" i="11"/>
  <c r="H1282" i="13"/>
  <c r="F1269" i="13" s="1"/>
  <c r="H2216" i="13"/>
  <c r="F2203" i="13" s="1"/>
  <c r="J362" i="11"/>
  <c r="K131" i="29"/>
  <c r="E653" i="39"/>
  <c r="G653" i="39" s="1"/>
  <c r="C704" i="39"/>
  <c r="C658" i="39"/>
  <c r="E658" i="39" s="1"/>
  <c r="G658" i="39" s="1"/>
  <c r="L453" i="29"/>
  <c r="E246" i="29"/>
  <c r="C916" i="39"/>
  <c r="E916" i="39" s="1"/>
  <c r="G916" i="39" s="1"/>
  <c r="C964" i="39"/>
  <c r="E965" i="39"/>
  <c r="G965" i="39" s="1"/>
  <c r="C970" i="39"/>
  <c r="E970" i="39" s="1"/>
  <c r="G970" i="39" s="1"/>
  <c r="J368" i="11"/>
  <c r="K477" i="29" s="1"/>
  <c r="G1016" i="12"/>
  <c r="F1071" i="12"/>
  <c r="D143" i="11"/>
  <c r="D950" i="12"/>
  <c r="F950" i="12" s="1"/>
  <c r="E143" i="11" s="1"/>
  <c r="F173" i="29" s="1"/>
  <c r="D116" i="11"/>
  <c r="D995" i="9"/>
  <c r="F995" i="9" s="1"/>
  <c r="E116" i="11" s="1"/>
  <c r="F138" i="29" s="1"/>
  <c r="F986" i="9"/>
  <c r="D115" i="11"/>
  <c r="F937" i="9"/>
  <c r="D946" i="9"/>
  <c r="F946" i="9" s="1"/>
  <c r="E115" i="11" s="1"/>
  <c r="F137" i="29" s="1"/>
  <c r="F1069" i="12"/>
  <c r="G1014" i="12"/>
  <c r="C996" i="16"/>
  <c r="E996" i="16" s="1"/>
  <c r="G996" i="16" s="1"/>
  <c r="J197" i="11" s="1"/>
  <c r="K254" i="29" s="1"/>
  <c r="D1305" i="12"/>
  <c r="K322" i="29"/>
  <c r="B1088" i="39"/>
  <c r="G1232" i="12"/>
  <c r="K136" i="29"/>
  <c r="F923" i="9"/>
  <c r="H923" i="9" s="1"/>
  <c r="L114" i="11" s="1"/>
  <c r="M136" i="29" s="1"/>
  <c r="D972" i="9"/>
  <c r="K368" i="11"/>
  <c r="L477" i="29" s="1"/>
  <c r="E226" i="11"/>
  <c r="F284" i="29" s="1"/>
  <c r="E1909" i="16"/>
  <c r="E114" i="11"/>
  <c r="F888" i="9"/>
  <c r="J188" i="11"/>
  <c r="K245" i="29" s="1"/>
  <c r="D1256" i="12"/>
  <c r="F1256" i="12" s="1"/>
  <c r="H1256" i="12" s="1"/>
  <c r="J148" i="11" s="1"/>
  <c r="K178" i="29" s="1"/>
  <c r="E1016" i="39"/>
  <c r="G1016" i="39" s="1"/>
  <c r="D145" i="11"/>
  <c r="E963" i="39"/>
  <c r="G963" i="39" s="1"/>
  <c r="C968" i="39"/>
  <c r="G1231" i="12"/>
  <c r="F1286" i="12"/>
  <c r="D1124" i="14"/>
  <c r="F1068" i="14"/>
  <c r="H1068" i="14" s="1"/>
  <c r="J144" i="11"/>
  <c r="K174" i="29" s="1"/>
  <c r="E284" i="29"/>
  <c r="D930" i="14"/>
  <c r="F930" i="14" s="1"/>
  <c r="E53" i="11" s="1"/>
  <c r="F66" i="29" s="1"/>
  <c r="D53" i="11"/>
  <c r="D186" i="11"/>
  <c r="C594" i="16"/>
  <c r="E594" i="16" s="1"/>
  <c r="E186" i="11" s="1"/>
  <c r="F243" i="29" s="1"/>
  <c r="E584" i="16"/>
  <c r="D853" i="16"/>
  <c r="D1306" i="12"/>
  <c r="C1015" i="39"/>
  <c r="D54" i="11"/>
  <c r="D985" i="14"/>
  <c r="F985" i="14" s="1"/>
  <c r="E54" i="11" s="1"/>
  <c r="F67" i="29" s="1"/>
  <c r="F975" i="14"/>
  <c r="L188" i="11"/>
  <c r="M245" i="29" s="1"/>
  <c r="D1038" i="12"/>
  <c r="F983" i="12"/>
  <c r="H983" i="12" s="1"/>
  <c r="L143" i="11" s="1"/>
  <c r="M173" i="29" s="1"/>
  <c r="I253" i="11"/>
  <c r="I252" i="11"/>
  <c r="J319" i="29"/>
  <c r="D1071" i="14"/>
  <c r="F1016" i="14"/>
  <c r="H1016" i="14" s="1"/>
  <c r="I54" i="11" s="1"/>
  <c r="L249" i="11"/>
  <c r="M316" i="29"/>
  <c r="C1167" i="12"/>
  <c r="C1213" i="39"/>
  <c r="F970" i="9"/>
  <c r="H970" i="9" s="1"/>
  <c r="D1108" i="12"/>
  <c r="F1085" i="12"/>
  <c r="H1085" i="12" s="1"/>
  <c r="E1144" i="14"/>
  <c r="H1144" i="14" s="1"/>
  <c r="J1144" i="14" s="1"/>
  <c r="D1148" i="14" s="1"/>
  <c r="F1148" i="14" s="1"/>
  <c r="D2540" i="13"/>
  <c r="F2540" i="13" s="1"/>
  <c r="H2540" i="13" s="1"/>
  <c r="C1084" i="12"/>
  <c r="G1017" i="12"/>
  <c r="I92" i="11"/>
  <c r="L228" i="11"/>
  <c r="M286" i="29" s="1"/>
  <c r="L343" i="11"/>
  <c r="M452" i="29" s="1"/>
  <c r="F1021" i="12"/>
  <c r="G144" i="11"/>
  <c r="H174" i="29" s="1"/>
  <c r="G365" i="11"/>
  <c r="H474" i="29" s="1"/>
  <c r="F2365" i="13"/>
  <c r="H1111" i="13"/>
  <c r="F1098" i="13" s="1"/>
  <c r="L342" i="11"/>
  <c r="M451" i="29" s="1"/>
  <c r="L341" i="11"/>
  <c r="M450" i="29" s="1"/>
  <c r="H1054" i="13"/>
  <c r="F1041" i="13" s="1"/>
  <c r="D1075" i="36"/>
  <c r="F1075" i="36" s="1"/>
  <c r="E88" i="11" s="1"/>
  <c r="F101" i="29" s="1"/>
  <c r="D88" i="11"/>
  <c r="F1065" i="36"/>
  <c r="B937" i="39"/>
  <c r="G1201" i="13"/>
  <c r="D52" i="11"/>
  <c r="L186" i="11"/>
  <c r="M243" i="29" s="1"/>
  <c r="D141" i="11"/>
  <c r="D840" i="12"/>
  <c r="F840" i="12" s="1"/>
  <c r="E141" i="11" s="1"/>
  <c r="F171" i="29" s="1"/>
  <c r="D908" i="14"/>
  <c r="F850" i="14"/>
  <c r="H850" i="14" s="1"/>
  <c r="L224" i="11"/>
  <c r="M282" i="29" s="1"/>
  <c r="C620" i="16"/>
  <c r="C573" i="16"/>
  <c r="E573" i="16" s="1"/>
  <c r="G573" i="16" s="1"/>
  <c r="K185" i="11" s="1"/>
  <c r="L242" i="29" s="1"/>
  <c r="H796" i="14"/>
  <c r="F783" i="14" s="1"/>
  <c r="K50" i="11"/>
  <c r="L63" i="29" s="1"/>
  <c r="D1134" i="12"/>
  <c r="F1079" i="12"/>
  <c r="H1079" i="12" s="1"/>
  <c r="C705" i="39"/>
  <c r="E654" i="39"/>
  <c r="G654" i="39" s="1"/>
  <c r="C659" i="39"/>
  <c r="E659" i="39" s="1"/>
  <c r="G659" i="39" s="1"/>
  <c r="M99" i="29"/>
  <c r="N99" i="29" s="1"/>
  <c r="M86" i="11"/>
  <c r="H2383" i="13"/>
  <c r="F2370" i="13" s="1"/>
  <c r="D90" i="11"/>
  <c r="D1272" i="36"/>
  <c r="F1216" i="36"/>
  <c r="H1216" i="36" s="1"/>
  <c r="L90" i="11" s="1"/>
  <c r="M103" i="29" s="1"/>
  <c r="K183" i="11"/>
  <c r="L240" i="29" s="1"/>
  <c r="J228" i="11"/>
  <c r="K286" i="29" s="1"/>
  <c r="D785" i="12"/>
  <c r="F785" i="12" s="1"/>
  <c r="E140" i="11" s="1"/>
  <c r="F170" i="29" s="1"/>
  <c r="D140" i="11"/>
  <c r="J63" i="29"/>
  <c r="H1831" i="13"/>
  <c r="F1818" i="13" s="1"/>
  <c r="L355" i="11"/>
  <c r="D183" i="11"/>
  <c r="C489" i="16"/>
  <c r="E489" i="16" s="1"/>
  <c r="E183" i="11" s="1"/>
  <c r="F240" i="29" s="1"/>
  <c r="E479" i="16"/>
  <c r="D730" i="12"/>
  <c r="F730" i="12" s="1"/>
  <c r="E139" i="11" s="1"/>
  <c r="F169" i="29" s="1"/>
  <c r="F720" i="12"/>
  <c r="D139" i="11"/>
  <c r="N453" i="29"/>
  <c r="I356" i="11"/>
  <c r="H1891" i="13"/>
  <c r="F1878" i="13" s="1"/>
  <c r="J450" i="29"/>
  <c r="N450" i="29" s="1"/>
  <c r="M341" i="11"/>
  <c r="I366" i="11"/>
  <c r="C1070" i="14"/>
  <c r="C1089" i="14"/>
  <c r="D816" i="14"/>
  <c r="F816" i="14" s="1"/>
  <c r="E51" i="11" s="1"/>
  <c r="F64" i="29" s="1"/>
  <c r="F806" i="14"/>
  <c r="H854" i="14" s="1"/>
  <c r="H856" i="14" s="1"/>
  <c r="F804" i="14" s="1"/>
  <c r="D51" i="11"/>
  <c r="D848" i="9"/>
  <c r="F848" i="9" s="1"/>
  <c r="E113" i="11" s="1"/>
  <c r="F135" i="29" s="1"/>
  <c r="D113" i="11"/>
  <c r="F839" i="9"/>
  <c r="J346" i="11"/>
  <c r="K455" i="29" s="1"/>
  <c r="K364" i="11"/>
  <c r="L473" i="29" s="1"/>
  <c r="C2456" i="13"/>
  <c r="C2487" i="13"/>
  <c r="C2507" i="13"/>
  <c r="E111" i="11"/>
  <c r="F741" i="9"/>
  <c r="H2161" i="13"/>
  <c r="F2148" i="13" s="1"/>
  <c r="L361" i="11"/>
  <c r="M470" i="29" s="1"/>
  <c r="K88" i="11"/>
  <c r="L101" i="29" s="1"/>
  <c r="H1110" i="36"/>
  <c r="F1097" i="36" s="1"/>
  <c r="D701" i="14"/>
  <c r="F701" i="14" s="1"/>
  <c r="E49" i="11" s="1"/>
  <c r="F62" i="29" s="1"/>
  <c r="F691" i="14"/>
  <c r="H741" i="14" s="1"/>
  <c r="H743" i="14" s="1"/>
  <c r="F689" i="14" s="1"/>
  <c r="D49" i="11"/>
  <c r="I140" i="11"/>
  <c r="E100" i="29"/>
  <c r="L87" i="11"/>
  <c r="H1054" i="36"/>
  <c r="F1041" i="36" s="1"/>
  <c r="C917" i="39"/>
  <c r="E917" i="39" s="1"/>
  <c r="G917" i="39" s="1"/>
  <c r="D1131" i="36"/>
  <c r="F1131" i="36" s="1"/>
  <c r="J364" i="11"/>
  <c r="K473" i="29" s="1"/>
  <c r="F1271" i="36"/>
  <c r="H1271" i="36" s="1"/>
  <c r="D1327" i="36"/>
  <c r="D1276" i="36"/>
  <c r="F1276" i="36" s="1"/>
  <c r="H1276" i="36" s="1"/>
  <c r="K51" i="11"/>
  <c r="H852" i="14"/>
  <c r="F839" i="14" s="1"/>
  <c r="E182" i="11"/>
  <c r="E426" i="16"/>
  <c r="D1032" i="12"/>
  <c r="F977" i="12"/>
  <c r="H977" i="12" s="1"/>
  <c r="D50" i="11"/>
  <c r="D759" i="14"/>
  <c r="F759" i="14" s="1"/>
  <c r="I90" i="11"/>
  <c r="L452" i="29"/>
  <c r="G509" i="39"/>
  <c r="E496" i="39" s="1"/>
  <c r="E757" i="39"/>
  <c r="G757" i="39" s="1"/>
  <c r="C762" i="39"/>
  <c r="E762" i="39" s="1"/>
  <c r="G762" i="39" s="1"/>
  <c r="D1072" i="14"/>
  <c r="F1017" i="14"/>
  <c r="H1017" i="14" s="1"/>
  <c r="J54" i="11" s="1"/>
  <c r="K67" i="29" s="1"/>
  <c r="J345" i="11"/>
  <c r="K454" i="29" s="1"/>
  <c r="J363" i="11"/>
  <c r="H2271" i="13"/>
  <c r="F2258" i="13" s="1"/>
  <c r="D185" i="11"/>
  <c r="C541" i="16"/>
  <c r="E541" i="16" s="1"/>
  <c r="K141" i="11"/>
  <c r="L171" i="29" s="1"/>
  <c r="I346" i="11"/>
  <c r="L49" i="11"/>
  <c r="M62" i="29" s="1"/>
  <c r="H739" i="14"/>
  <c r="F726" i="14" s="1"/>
  <c r="H681" i="14"/>
  <c r="F668" i="14" s="1"/>
  <c r="L48" i="11"/>
  <c r="L138" i="11"/>
  <c r="M168" i="29" s="1"/>
  <c r="H709" i="12"/>
  <c r="F696" i="12" s="1"/>
  <c r="E48" i="11"/>
  <c r="F635" i="14"/>
  <c r="D799" i="9"/>
  <c r="F799" i="9" s="1"/>
  <c r="E112" i="11" s="1"/>
  <c r="F134" i="29" s="1"/>
  <c r="F790" i="9"/>
  <c r="D112" i="11"/>
  <c r="E168" i="29"/>
  <c r="M248" i="11"/>
  <c r="N316" i="29" s="1"/>
  <c r="K249" i="11"/>
  <c r="E102" i="29"/>
  <c r="C656" i="39"/>
  <c r="E605" i="39"/>
  <c r="G605" i="39" s="1"/>
  <c r="G611" i="39" s="1"/>
  <c r="E598" i="39" s="1"/>
  <c r="C610" i="39"/>
  <c r="E610" i="39" s="1"/>
  <c r="G610" i="39" s="1"/>
  <c r="N169" i="29"/>
  <c r="J101" i="29"/>
  <c r="N101" i="29" s="1"/>
  <c r="M88" i="11"/>
  <c r="J470" i="29"/>
  <c r="F818" i="12"/>
  <c r="H818" i="12" s="1"/>
  <c r="L140" i="11" s="1"/>
  <c r="M170" i="29" s="1"/>
  <c r="G1967" i="16"/>
  <c r="I1967" i="16" s="1"/>
  <c r="D640" i="16"/>
  <c r="G640" i="16" s="1"/>
  <c r="I640" i="16" s="1"/>
  <c r="C644" i="16" s="1"/>
  <c r="E644" i="16" s="1"/>
  <c r="D1018" i="9"/>
  <c r="H1236" i="36"/>
  <c r="J1236" i="36" s="1"/>
  <c r="D1240" i="36" s="1"/>
  <c r="F1240" i="36" s="1"/>
  <c r="D925" i="12"/>
  <c r="C808" i="39"/>
  <c r="C660" i="39"/>
  <c r="E660" i="39" s="1"/>
  <c r="G660" i="39" s="1"/>
  <c r="E706" i="39"/>
  <c r="G706" i="39" s="1"/>
  <c r="H599" i="12"/>
  <c r="F586" i="12" s="1"/>
  <c r="K356" i="11"/>
  <c r="L465" i="29" s="1"/>
  <c r="L46" i="11"/>
  <c r="H568" i="14"/>
  <c r="F555" i="14" s="1"/>
  <c r="E108" i="11"/>
  <c r="F594" i="9"/>
  <c r="D85" i="11"/>
  <c r="D907" i="36"/>
  <c r="F907" i="36" s="1"/>
  <c r="E85" i="11" s="1"/>
  <c r="F98" i="29" s="1"/>
  <c r="F897" i="36"/>
  <c r="H769" i="13"/>
  <c r="F756" i="13" s="1"/>
  <c r="J336" i="11"/>
  <c r="E1183" i="13"/>
  <c r="F1160" i="36"/>
  <c r="H1160" i="36" s="1"/>
  <c r="L89" i="11" s="1"/>
  <c r="M102" i="29" s="1"/>
  <c r="D1019" i="36"/>
  <c r="F1019" i="36" s="1"/>
  <c r="J50" i="11"/>
  <c r="K63" i="29" s="1"/>
  <c r="L353" i="11"/>
  <c r="H1723" i="13"/>
  <c r="F1710" i="13" s="1"/>
  <c r="I137" i="11"/>
  <c r="I354" i="11"/>
  <c r="H1777" i="13"/>
  <c r="F1764" i="13" s="1"/>
  <c r="K85" i="11"/>
  <c r="H942" i="36"/>
  <c r="F929" i="36" s="1"/>
  <c r="K446" i="29"/>
  <c r="H564" i="15"/>
  <c r="F552" i="15" s="1"/>
  <c r="K384" i="11"/>
  <c r="M384" i="11" s="1"/>
  <c r="D851" i="36"/>
  <c r="F851" i="36" s="1"/>
  <c r="D84" i="11"/>
  <c r="E461" i="16"/>
  <c r="C513" i="16"/>
  <c r="C466" i="16"/>
  <c r="C1834" i="16"/>
  <c r="C1889" i="16" s="1"/>
  <c r="C1944" i="16" s="1"/>
  <c r="C1999" i="16" s="1"/>
  <c r="L311" i="11"/>
  <c r="M376" i="29" s="1"/>
  <c r="N376" i="29" s="1"/>
  <c r="F1270" i="36"/>
  <c r="H1270" i="36" s="1"/>
  <c r="D1275" i="36"/>
  <c r="F1275" i="36" s="1"/>
  <c r="H1275" i="36" s="1"/>
  <c r="D1326" i="36"/>
  <c r="K342" i="11"/>
  <c r="I360" i="11"/>
  <c r="I180" i="11"/>
  <c r="G417" i="16"/>
  <c r="E404" i="16" s="1"/>
  <c r="D110" i="11"/>
  <c r="D701" i="9"/>
  <c r="F701" i="9" s="1"/>
  <c r="G579" i="10"/>
  <c r="E566" i="10" s="1"/>
  <c r="J385" i="11"/>
  <c r="M385" i="11" s="1"/>
  <c r="H616" i="15"/>
  <c r="F604" i="15" s="1"/>
  <c r="I358" i="11"/>
  <c r="H2000" i="13"/>
  <c r="F1987" i="13" s="1"/>
  <c r="H1669" i="13"/>
  <c r="F1656" i="13" s="1"/>
  <c r="J352" i="11"/>
  <c r="D179" i="11"/>
  <c r="E321" i="16"/>
  <c r="C331" i="16"/>
  <c r="E331" i="16" s="1"/>
  <c r="E179" i="11" s="1"/>
  <c r="F236" i="29" s="1"/>
  <c r="H1181" i="36"/>
  <c r="J1181" i="36" s="1"/>
  <c r="D1185" i="36" s="1"/>
  <c r="F1185" i="36" s="1"/>
  <c r="D1187" i="36" s="1"/>
  <c r="F1187" i="36" s="1"/>
  <c r="L236" i="29"/>
  <c r="N236" i="29" s="1"/>
  <c r="D86" i="11"/>
  <c r="D963" i="36"/>
  <c r="F963" i="36" s="1"/>
  <c r="J358" i="11"/>
  <c r="K467" i="29" s="1"/>
  <c r="H826" i="13"/>
  <c r="F813" i="13" s="1"/>
  <c r="K337" i="11"/>
  <c r="L446" i="29" s="1"/>
  <c r="N446" i="29" s="1"/>
  <c r="F131" i="29"/>
  <c r="L338" i="11"/>
  <c r="H883" i="13"/>
  <c r="F870" i="13" s="1"/>
  <c r="J138" i="11"/>
  <c r="B674" i="39"/>
  <c r="B652" i="39"/>
  <c r="B627" i="39"/>
  <c r="J137" i="11"/>
  <c r="K167" i="29" s="1"/>
  <c r="F801" i="12"/>
  <c r="G140" i="11"/>
  <c r="H170" i="29" s="1"/>
  <c r="E135" i="11"/>
  <c r="F500" i="12"/>
  <c r="H655" i="13"/>
  <c r="F642" i="13" s="1"/>
  <c r="L334" i="11"/>
  <c r="M443" i="29" s="1"/>
  <c r="V58" i="29"/>
  <c r="W58" i="29" s="1"/>
  <c r="H625" i="14"/>
  <c r="F612" i="14" s="1"/>
  <c r="L47" i="11"/>
  <c r="D137" i="11"/>
  <c r="D620" i="12"/>
  <c r="F620" i="12" s="1"/>
  <c r="E137" i="11" s="1"/>
  <c r="F167" i="29" s="1"/>
  <c r="D47" i="11"/>
  <c r="D588" i="14"/>
  <c r="F588" i="14" s="1"/>
  <c r="E47" i="11" s="1"/>
  <c r="F60" i="29" s="1"/>
  <c r="F522" i="14"/>
  <c r="D46" i="11"/>
  <c r="D532" i="14"/>
  <c r="F532" i="14" s="1"/>
  <c r="E46" i="11" s="1"/>
  <c r="F59" i="29" s="1"/>
  <c r="I49" i="11"/>
  <c r="G360" i="11"/>
  <c r="H469" i="29" s="1"/>
  <c r="F2089" i="13"/>
  <c r="K17" i="14"/>
  <c r="Q45" i="11"/>
  <c r="R45" i="11" s="1"/>
  <c r="H544" i="12"/>
  <c r="F531" i="12" s="1"/>
  <c r="L135" i="11"/>
  <c r="L357" i="11"/>
  <c r="M466" i="29" s="1"/>
  <c r="H1945" i="13"/>
  <c r="F1932" i="13" s="1"/>
  <c r="C384" i="16"/>
  <c r="E384" i="16" s="1"/>
  <c r="E180" i="11" s="1"/>
  <c r="F237" i="29" s="1"/>
  <c r="E374" i="16"/>
  <c r="D180" i="11"/>
  <c r="D136" i="11"/>
  <c r="F555" i="12"/>
  <c r="D565" i="12"/>
  <c r="F565" i="12" s="1"/>
  <c r="E136" i="11" s="1"/>
  <c r="F166" i="29" s="1"/>
  <c r="J335" i="11"/>
  <c r="H712" i="13"/>
  <c r="F699" i="13" s="1"/>
  <c r="J308" i="11"/>
  <c r="G420" i="10"/>
  <c r="E407" i="10" s="1"/>
  <c r="G423" i="10" s="1"/>
  <c r="G425" i="10" s="1"/>
  <c r="E376" i="10" s="1"/>
  <c r="Q308" i="11" s="1"/>
  <c r="D795" i="36"/>
  <c r="F795" i="36" s="1"/>
  <c r="L132" i="11"/>
  <c r="M162" i="29" s="1"/>
  <c r="H379" i="12"/>
  <c r="F366" i="12" s="1"/>
  <c r="M55" i="29"/>
  <c r="N55" i="29" s="1"/>
  <c r="M42" i="11"/>
  <c r="N42" i="11" s="1"/>
  <c r="P42" i="11" s="1"/>
  <c r="J134" i="11"/>
  <c r="K134" i="11"/>
  <c r="L164" i="29" s="1"/>
  <c r="I309" i="11"/>
  <c r="H314" i="13"/>
  <c r="F301" i="13" s="1"/>
  <c r="L328" i="11"/>
  <c r="C1842" i="16"/>
  <c r="C1897" i="16" s="1"/>
  <c r="C1952" i="16" s="1"/>
  <c r="C2007" i="16" s="1"/>
  <c r="J334" i="11"/>
  <c r="I239" i="11"/>
  <c r="G355" i="39"/>
  <c r="E342" i="39" s="1"/>
  <c r="G357" i="11"/>
  <c r="H466" i="29" s="1"/>
  <c r="F1927" i="13"/>
  <c r="J349" i="11"/>
  <c r="K458" i="29" s="1"/>
  <c r="K76" i="11"/>
  <c r="L89" i="29" s="1"/>
  <c r="L74" i="11"/>
  <c r="M87" i="29" s="1"/>
  <c r="K333" i="11"/>
  <c r="N233" i="29"/>
  <c r="D75" i="11"/>
  <c r="D349" i="36"/>
  <c r="F349" i="36" s="1"/>
  <c r="I349" i="11"/>
  <c r="L73" i="11"/>
  <c r="M86" i="29" s="1"/>
  <c r="K81" i="11"/>
  <c r="H718" i="36"/>
  <c r="F705" i="36" s="1"/>
  <c r="H324" i="12"/>
  <c r="F311" i="12" s="1"/>
  <c r="L131" i="11"/>
  <c r="M375" i="29"/>
  <c r="N375" i="29" s="1"/>
  <c r="L330" i="11"/>
  <c r="H427" i="13"/>
  <c r="F414" i="13" s="1"/>
  <c r="G367" i="10"/>
  <c r="E354" i="10" s="1"/>
  <c r="J307" i="11"/>
  <c r="K372" i="29" s="1"/>
  <c r="D43" i="11"/>
  <c r="D353" i="14"/>
  <c r="F353" i="14" s="1"/>
  <c r="E43" i="11" s="1"/>
  <c r="F56" i="29" s="1"/>
  <c r="E397" i="39"/>
  <c r="G397" i="39" s="1"/>
  <c r="C402" i="39"/>
  <c r="E402" i="39" s="1"/>
  <c r="G402" i="39" s="1"/>
  <c r="E1448" i="39"/>
  <c r="E1500" i="39" s="1"/>
  <c r="E1551" i="39" s="1"/>
  <c r="E1345" i="39"/>
  <c r="E1397" i="39" s="1"/>
  <c r="D293" i="36"/>
  <c r="F293" i="36" s="1"/>
  <c r="D74" i="11"/>
  <c r="O55" i="29"/>
  <c r="Q55" i="29" s="1"/>
  <c r="S55" i="29" s="1"/>
  <c r="U55" i="29" s="1"/>
  <c r="K75" i="11"/>
  <c r="L88" i="29" s="1"/>
  <c r="M438" i="29"/>
  <c r="N438" i="29" s="1"/>
  <c r="M329" i="11"/>
  <c r="I177" i="11"/>
  <c r="G311" i="16"/>
  <c r="E298" i="16" s="1"/>
  <c r="G137" i="11"/>
  <c r="H167" i="29" s="1"/>
  <c r="F636" i="12"/>
  <c r="J162" i="29"/>
  <c r="N162" i="29" s="1"/>
  <c r="K357" i="11"/>
  <c r="F691" i="12"/>
  <c r="G138" i="11"/>
  <c r="H168" i="29" s="1"/>
  <c r="C278" i="16"/>
  <c r="E278" i="16" s="1"/>
  <c r="E177" i="11" s="1"/>
  <c r="F234" i="29" s="1"/>
  <c r="D177" i="11"/>
  <c r="D76" i="11"/>
  <c r="D403" i="36"/>
  <c r="F403" i="36" s="1"/>
  <c r="J381" i="11"/>
  <c r="M381" i="11" s="1"/>
  <c r="H412" i="15"/>
  <c r="F400" i="15" s="1"/>
  <c r="H541" i="13"/>
  <c r="F528" i="13" s="1"/>
  <c r="I332" i="11"/>
  <c r="H388" i="14"/>
  <c r="F375" i="14" s="1"/>
  <c r="L43" i="11"/>
  <c r="H1451" i="13"/>
  <c r="F1438" i="13" s="1"/>
  <c r="L348" i="11"/>
  <c r="D134" i="11"/>
  <c r="D455" i="12"/>
  <c r="F455" i="12" s="1"/>
  <c r="D408" i="14"/>
  <c r="F408" i="14" s="1"/>
  <c r="D44" i="11"/>
  <c r="K239" i="11"/>
  <c r="L307" i="29" s="1"/>
  <c r="H370" i="13"/>
  <c r="F357" i="13" s="1"/>
  <c r="K334" i="11"/>
  <c r="L443" i="29" s="1"/>
  <c r="D82" i="11"/>
  <c r="D739" i="36"/>
  <c r="F739" i="36" s="1"/>
  <c r="E82" i="11" s="1"/>
  <c r="F95" i="29" s="1"/>
  <c r="I83" i="11"/>
  <c r="D107" i="11"/>
  <c r="D554" i="9"/>
  <c r="F554" i="9" s="1"/>
  <c r="D81" i="11"/>
  <c r="D683" i="36"/>
  <c r="F683" i="36" s="1"/>
  <c r="B360" i="16"/>
  <c r="B329" i="16"/>
  <c r="G313" i="10"/>
  <c r="E300" i="10" s="1"/>
  <c r="L306" i="11"/>
  <c r="D106" i="11"/>
  <c r="D505" i="9"/>
  <c r="F505" i="9" s="1"/>
  <c r="D400" i="12"/>
  <c r="F400" i="12" s="1"/>
  <c r="E133" i="11" s="1"/>
  <c r="F163" i="29" s="1"/>
  <c r="F390" i="12"/>
  <c r="H437" i="12" s="1"/>
  <c r="H439" i="12" s="1"/>
  <c r="F388" i="12" s="1"/>
  <c r="Q133" i="11" s="1"/>
  <c r="D133" i="11"/>
  <c r="C403" i="39"/>
  <c r="E403" i="39" s="1"/>
  <c r="G403" i="39" s="1"/>
  <c r="E398" i="39"/>
  <c r="G398" i="39" s="1"/>
  <c r="I331" i="11"/>
  <c r="H484" i="13"/>
  <c r="F471" i="13" s="1"/>
  <c r="G260" i="10"/>
  <c r="E247" i="10" s="1"/>
  <c r="K132" i="11"/>
  <c r="L162" i="29" s="1"/>
  <c r="H275" i="13"/>
  <c r="J275" i="13" s="1"/>
  <c r="D279" i="13" s="1"/>
  <c r="F279" i="13" s="1"/>
  <c r="D243" i="14"/>
  <c r="F243" i="14" s="1"/>
  <c r="D572" i="36"/>
  <c r="F572" i="36" s="1"/>
  <c r="D79" i="11"/>
  <c r="D72" i="11"/>
  <c r="D179" i="36"/>
  <c r="F179" i="36" s="1"/>
  <c r="K378" i="11"/>
  <c r="M378" i="11" s="1"/>
  <c r="N378" i="11" s="1"/>
  <c r="P378" i="11" s="1"/>
  <c r="H255" i="15"/>
  <c r="F243" i="15" s="1"/>
  <c r="H258" i="15" s="1"/>
  <c r="H260" i="15" s="1"/>
  <c r="F212" i="15" s="1"/>
  <c r="D176" i="11"/>
  <c r="C225" i="16"/>
  <c r="E225" i="16" s="1"/>
  <c r="E130" i="11"/>
  <c r="F225" i="12"/>
  <c r="F174" i="21"/>
  <c r="E295" i="11"/>
  <c r="F518" i="12"/>
  <c r="G463" i="12"/>
  <c r="G469" i="12" s="1"/>
  <c r="H552" i="36"/>
  <c r="F539" i="36" s="1"/>
  <c r="L78" i="11"/>
  <c r="L130" i="11"/>
  <c r="H269" i="12"/>
  <c r="F256" i="12" s="1"/>
  <c r="H277" i="14"/>
  <c r="F264" i="14" s="1"/>
  <c r="L41" i="11"/>
  <c r="J82" i="11"/>
  <c r="K95" i="29" s="1"/>
  <c r="G207" i="10"/>
  <c r="E194" i="10" s="1"/>
  <c r="G210" i="10" s="1"/>
  <c r="G212" i="10" s="1"/>
  <c r="E163" i="10" s="1"/>
  <c r="Q304" i="11" s="1"/>
  <c r="L304" i="11"/>
  <c r="D40" i="11"/>
  <c r="D187" i="14"/>
  <c r="F187" i="14" s="1"/>
  <c r="E52" i="29"/>
  <c r="K73" i="11"/>
  <c r="L86" i="29" s="1"/>
  <c r="L327" i="11"/>
  <c r="H259" i="13"/>
  <c r="F246" i="13" s="1"/>
  <c r="N53" i="29"/>
  <c r="J74" i="11"/>
  <c r="K87" i="29" s="1"/>
  <c r="D237" i="36"/>
  <c r="F237" i="36" s="1"/>
  <c r="D73" i="11"/>
  <c r="I307" i="11"/>
  <c r="R292" i="11"/>
  <c r="D103" i="11"/>
  <c r="D358" i="9"/>
  <c r="F358" i="9" s="1"/>
  <c r="K307" i="11"/>
  <c r="L372" i="29" s="1"/>
  <c r="K174" i="11"/>
  <c r="G206" i="16"/>
  <c r="E193" i="16" s="1"/>
  <c r="H607" i="36"/>
  <c r="F594" i="36" s="1"/>
  <c r="L79" i="11"/>
  <c r="D627" i="36"/>
  <c r="F627" i="36" s="1"/>
  <c r="D80" i="11"/>
  <c r="F296" i="13"/>
  <c r="G328" i="11"/>
  <c r="H437" i="29" s="1"/>
  <c r="D174" i="11"/>
  <c r="C173" i="16"/>
  <c r="E173" i="16" s="1"/>
  <c r="V79" i="29"/>
  <c r="W79" i="29" s="1"/>
  <c r="R66" i="11"/>
  <c r="E878" i="16"/>
  <c r="G878" i="16" s="1"/>
  <c r="C932" i="16"/>
  <c r="J283" i="12"/>
  <c r="D287" i="12" s="1"/>
  <c r="F287" i="12" s="1"/>
  <c r="H338" i="12"/>
  <c r="J338" i="12" s="1"/>
  <c r="D342" i="12" s="1"/>
  <c r="F342" i="12" s="1"/>
  <c r="H208" i="13"/>
  <c r="F195" i="13" s="1"/>
  <c r="L326" i="11"/>
  <c r="F471" i="12"/>
  <c r="G134" i="11"/>
  <c r="H164" i="29" s="1"/>
  <c r="D1392" i="13"/>
  <c r="F1392" i="13" s="1"/>
  <c r="H1392" i="13" s="1"/>
  <c r="D125" i="36"/>
  <c r="F125" i="36" s="1"/>
  <c r="H173" i="11"/>
  <c r="N173" i="11" s="1"/>
  <c r="P173" i="11" s="1"/>
  <c r="R173" i="11" s="1"/>
  <c r="L376" i="11"/>
  <c r="M376" i="11" s="1"/>
  <c r="N376" i="11" s="1"/>
  <c r="P376" i="11" s="1"/>
  <c r="H151" i="15"/>
  <c r="F139" i="15" s="1"/>
  <c r="H154" i="15" s="1"/>
  <c r="H156" i="15" s="1"/>
  <c r="F108" i="15" s="1"/>
  <c r="F158" i="29"/>
  <c r="F66" i="14"/>
  <c r="H115" i="14" s="1"/>
  <c r="H117" i="14" s="1"/>
  <c r="F64" i="14" s="1"/>
  <c r="E38" i="11"/>
  <c r="G239" i="13"/>
  <c r="D309" i="9"/>
  <c r="F309" i="9" s="1"/>
  <c r="D102" i="11"/>
  <c r="G251" i="39"/>
  <c r="E238" i="39" s="1"/>
  <c r="J236" i="11"/>
  <c r="G709" i="9"/>
  <c r="G758" i="9" s="1"/>
  <c r="G807" i="9" s="1"/>
  <c r="F758" i="9"/>
  <c r="F807" i="9" s="1"/>
  <c r="F856" i="9" s="1"/>
  <c r="F776" i="39"/>
  <c r="F828" i="39" s="1"/>
  <c r="F880" i="39" s="1"/>
  <c r="F572" i="39"/>
  <c r="F623" i="39" s="1"/>
  <c r="K171" i="11"/>
  <c r="G101" i="16"/>
  <c r="E88" i="16" s="1"/>
  <c r="H56" i="14"/>
  <c r="F43" i="14" s="1"/>
  <c r="H58" i="14" s="1"/>
  <c r="H60" i="14" s="1"/>
  <c r="F4" i="14" s="1"/>
  <c r="L37" i="11"/>
  <c r="D70" i="36"/>
  <c r="F70" i="36" s="1"/>
  <c r="D70" i="11"/>
  <c r="L324" i="11"/>
  <c r="H102" i="13"/>
  <c r="F89" i="13" s="1"/>
  <c r="F71" i="13"/>
  <c r="H104" i="13" s="1"/>
  <c r="H106" i="13" s="1"/>
  <c r="F57" i="13" s="1"/>
  <c r="M5" i="13" s="1"/>
  <c r="Q324" i="11" s="1"/>
  <c r="Q291" i="11"/>
  <c r="K6" i="17"/>
  <c r="D293" i="11"/>
  <c r="D73" i="21"/>
  <c r="F73" i="21" s="1"/>
  <c r="L69" i="11"/>
  <c r="M82" i="29" s="1"/>
  <c r="F307" i="31"/>
  <c r="F1865" i="13" s="1"/>
  <c r="F344" i="13"/>
  <c r="D133" i="14"/>
  <c r="F133" i="14" s="1"/>
  <c r="D326" i="11"/>
  <c r="D175" i="13"/>
  <c r="F175" i="13" s="1"/>
  <c r="D77" i="11"/>
  <c r="D458" i="36"/>
  <c r="F458" i="36" s="1"/>
  <c r="L302" i="11"/>
  <c r="M367" i="29" s="1"/>
  <c r="N367" i="29" s="1"/>
  <c r="G101" i="10"/>
  <c r="E88" i="10" s="1"/>
  <c r="D309" i="18"/>
  <c r="D327" i="18"/>
  <c r="D96" i="18"/>
  <c r="D214" i="18"/>
  <c r="D290" i="18"/>
  <c r="D29" i="18"/>
  <c r="D158" i="18"/>
  <c r="D122" i="37"/>
  <c r="D141" i="37"/>
  <c r="D74" i="37"/>
  <c r="J77" i="11"/>
  <c r="E976" i="36"/>
  <c r="M170" i="11"/>
  <c r="D98" i="11"/>
  <c r="D113" i="9"/>
  <c r="F113" i="9" s="1"/>
  <c r="B170" i="16"/>
  <c r="F514" i="13"/>
  <c r="F951" i="39"/>
  <c r="E942" i="39" s="1"/>
  <c r="F253" i="11" s="1"/>
  <c r="G321" i="29" s="1"/>
  <c r="J70" i="11"/>
  <c r="K83" i="29" s="1"/>
  <c r="C16" i="24"/>
  <c r="E16" i="24" s="1"/>
  <c r="D320" i="11"/>
  <c r="E375" i="11"/>
  <c r="H375" i="11" s="1"/>
  <c r="N375" i="11" s="1"/>
  <c r="P375" i="11" s="1"/>
  <c r="F58" i="15"/>
  <c r="H102" i="15" s="1"/>
  <c r="H104" i="15" s="1"/>
  <c r="F56" i="15" s="1"/>
  <c r="G301" i="11"/>
  <c r="E30" i="10"/>
  <c r="G51" i="10" s="1"/>
  <c r="G53" i="10" s="1"/>
  <c r="E4" i="10" s="1"/>
  <c r="Q301" i="11" s="1"/>
  <c r="J38" i="11"/>
  <c r="F409" i="29"/>
  <c r="I409" i="29" s="1"/>
  <c r="P409" i="29" s="1"/>
  <c r="Q409" i="29" s="1"/>
  <c r="S409" i="29" s="1"/>
  <c r="U409" i="29" s="1"/>
  <c r="H42" i="9"/>
  <c r="F34" i="9" s="1"/>
  <c r="H45" i="9" s="1"/>
  <c r="K96" i="11"/>
  <c r="C2297" i="13"/>
  <c r="C2354" i="13" s="1"/>
  <c r="C2407" i="13" s="1"/>
  <c r="C2462" i="13" s="1"/>
  <c r="C2517" i="13" s="1"/>
  <c r="C2078" i="13"/>
  <c r="C2132" i="13" s="1"/>
  <c r="C2187" i="13" s="1"/>
  <c r="E2027" i="13"/>
  <c r="G1534" i="13"/>
  <c r="G2027" i="13" s="1"/>
  <c r="C68" i="16"/>
  <c r="E68" i="16" s="1"/>
  <c r="D171" i="11"/>
  <c r="G309" i="11"/>
  <c r="E455" i="10"/>
  <c r="G476" i="10" s="1"/>
  <c r="G478" i="10" s="1"/>
  <c r="E429" i="10" s="1"/>
  <c r="Q309" i="11" s="1"/>
  <c r="E382" i="11"/>
  <c r="F423" i="15"/>
  <c r="D16" i="13"/>
  <c r="F16" i="13" s="1"/>
  <c r="E323" i="11" s="1"/>
  <c r="F432" i="29" s="1"/>
  <c r="D323" i="11"/>
  <c r="F6" i="13"/>
  <c r="G311" i="11"/>
  <c r="E561" i="10"/>
  <c r="C494" i="10"/>
  <c r="E494" i="10" s="1"/>
  <c r="E310" i="11" s="1"/>
  <c r="F375" i="29" s="1"/>
  <c r="E484" i="10"/>
  <c r="G529" i="10" s="1"/>
  <c r="G531" i="10" s="1"/>
  <c r="E482" i="10" s="1"/>
  <c r="Q310" i="11" s="1"/>
  <c r="D310" i="11"/>
  <c r="D289" i="11"/>
  <c r="D16" i="17"/>
  <c r="F16" i="17" s="1"/>
  <c r="D37" i="11"/>
  <c r="F330" i="15"/>
  <c r="F380" i="11"/>
  <c r="G76" i="9"/>
  <c r="G120" i="9"/>
  <c r="C2305" i="13"/>
  <c r="C2362" i="13" s="1"/>
  <c r="C2415" i="13" s="1"/>
  <c r="C2470" i="13" s="1"/>
  <c r="C2086" i="13"/>
  <c r="C2140" i="13" s="1"/>
  <c r="C2195" i="13" s="1"/>
  <c r="E2083" i="13"/>
  <c r="E2302" i="13"/>
  <c r="D2084" i="13"/>
  <c r="D2138" i="13" s="1"/>
  <c r="D2193" i="13" s="1"/>
  <c r="D2303" i="13"/>
  <c r="D2360" i="13" s="1"/>
  <c r="D2413" i="13" s="1"/>
  <c r="D2468" i="13" s="1"/>
  <c r="D2520" i="13" s="1"/>
  <c r="D15" i="12"/>
  <c r="F15" i="12" s="1"/>
  <c r="D126" i="11"/>
  <c r="G302" i="11"/>
  <c r="E83" i="10"/>
  <c r="E305" i="11"/>
  <c r="E218" i="10"/>
  <c r="G263" i="10" s="1"/>
  <c r="G265" i="10" s="1"/>
  <c r="E216" i="10" s="1"/>
  <c r="Q305" i="11" s="1"/>
  <c r="D2299" i="13"/>
  <c r="D2356" i="13" s="1"/>
  <c r="D2409" i="13" s="1"/>
  <c r="D2464" i="13" s="1"/>
  <c r="D2080" i="13"/>
  <c r="D2134" i="13" s="1"/>
  <c r="D2189" i="13" s="1"/>
  <c r="D2078" i="13"/>
  <c r="D2132" i="13" s="1"/>
  <c r="D2187" i="13" s="1"/>
  <c r="D2297" i="13"/>
  <c r="D2354" i="13" s="1"/>
  <c r="D2407" i="13" s="1"/>
  <c r="D2462" i="13" s="1"/>
  <c r="D2517" i="13" s="1"/>
  <c r="D170" i="11"/>
  <c r="C15" i="16"/>
  <c r="E15" i="16" s="1"/>
  <c r="C16" i="28"/>
  <c r="E16" i="28" s="1"/>
  <c r="D371" i="11"/>
  <c r="D313" i="11"/>
  <c r="C20" i="23"/>
  <c r="E20" i="23" s="1"/>
  <c r="G1975" i="13"/>
  <c r="D308" i="11"/>
  <c r="F196" i="12"/>
  <c r="H217" i="12" s="1"/>
  <c r="H219" i="12" s="1"/>
  <c r="F168" i="12" s="1"/>
  <c r="Q129" i="11" s="1"/>
  <c r="G129" i="11"/>
  <c r="D379" i="11"/>
  <c r="D276" i="15"/>
  <c r="F276" i="15" s="1"/>
  <c r="F275" i="13"/>
  <c r="F1355" i="13" s="1"/>
  <c r="F329" i="13"/>
  <c r="E337" i="10"/>
  <c r="G370" i="10" s="1"/>
  <c r="G372" i="10" s="1"/>
  <c r="E323" i="10" s="1"/>
  <c r="Q307" i="11" s="1"/>
  <c r="F51" i="11"/>
  <c r="G64" i="29" s="1"/>
  <c r="F818" i="14"/>
  <c r="F2083" i="39"/>
  <c r="E2074" i="39" s="1"/>
  <c r="F281" i="11" s="1"/>
  <c r="G349" i="29" s="1"/>
  <c r="G56" i="11"/>
  <c r="H69" i="29" s="1"/>
  <c r="F1113" i="14"/>
  <c r="F607" i="14"/>
  <c r="G47" i="11"/>
  <c r="H60" i="29" s="1"/>
  <c r="N409" i="29"/>
  <c r="F183" i="11"/>
  <c r="G240" i="29" s="1"/>
  <c r="C243" i="16"/>
  <c r="E190" i="16"/>
  <c r="G190" i="16" s="1"/>
  <c r="E187" i="16" s="1"/>
  <c r="G174" i="11" s="1"/>
  <c r="H231" i="29" s="1"/>
  <c r="J291" i="11"/>
  <c r="E271" i="10"/>
  <c r="G316" i="10" s="1"/>
  <c r="G318" i="10" s="1"/>
  <c r="E269" i="10" s="1"/>
  <c r="Q306" i="11" s="1"/>
  <c r="D637" i="15"/>
  <c r="F637" i="15" s="1"/>
  <c r="F627" i="15"/>
  <c r="D187" i="9"/>
  <c r="F138" i="9"/>
  <c r="H138" i="9" s="1"/>
  <c r="G295" i="11"/>
  <c r="H214" i="29" s="1"/>
  <c r="F200" i="21"/>
  <c r="E16" i="19"/>
  <c r="G41" i="19" s="1"/>
  <c r="G43" i="19" s="1"/>
  <c r="E4" i="19" s="1"/>
  <c r="Q318" i="11" s="1"/>
  <c r="F318" i="11"/>
  <c r="G409" i="29" s="1"/>
  <c r="G103" i="11"/>
  <c r="H125" i="29" s="1"/>
  <c r="F372" i="9"/>
  <c r="G115" i="11"/>
  <c r="H137" i="29" s="1"/>
  <c r="F960" i="9"/>
  <c r="E85" i="16"/>
  <c r="G85" i="16" s="1"/>
  <c r="E82" i="16" s="1"/>
  <c r="G171" i="11" s="1"/>
  <c r="H228" i="29" s="1"/>
  <c r="D47" i="12"/>
  <c r="F47" i="12" s="1"/>
  <c r="H47" i="12" s="1"/>
  <c r="F32" i="21"/>
  <c r="H53" i="21" s="1"/>
  <c r="H55" i="21" s="1"/>
  <c r="F4" i="21" s="1"/>
  <c r="Q292" i="11" s="1"/>
  <c r="G97" i="11"/>
  <c r="H119" i="29" s="1"/>
  <c r="F78" i="9"/>
  <c r="H102" i="17"/>
  <c r="F89" i="17" s="1"/>
  <c r="H105" i="17" s="1"/>
  <c r="H107" i="17" s="1"/>
  <c r="F58" i="17" s="1"/>
  <c r="D96" i="36"/>
  <c r="D45" i="36"/>
  <c r="F45" i="36" s="1"/>
  <c r="H45" i="36" s="1"/>
  <c r="H49" i="36" s="1"/>
  <c r="F36" i="36" s="1"/>
  <c r="H51" i="36" s="1"/>
  <c r="H53" i="36" s="1"/>
  <c r="F4" i="36" s="1"/>
  <c r="G98" i="11"/>
  <c r="H120" i="29" s="1"/>
  <c r="F127" i="9"/>
  <c r="G118" i="11"/>
  <c r="H140" i="29" s="1"/>
  <c r="F1107" i="9"/>
  <c r="D105" i="21"/>
  <c r="F105" i="21" s="1"/>
  <c r="H105" i="21" s="1"/>
  <c r="H107" i="21" s="1"/>
  <c r="F94" i="21" s="1"/>
  <c r="F42" i="13"/>
  <c r="H42" i="13" s="1"/>
  <c r="F176" i="9"/>
  <c r="G99" i="11"/>
  <c r="H121" i="29" s="1"/>
  <c r="F568" i="9"/>
  <c r="G107" i="11"/>
  <c r="H129" i="29" s="1"/>
  <c r="G108" i="11"/>
  <c r="H130" i="29" s="1"/>
  <c r="F617" i="9"/>
  <c r="F666" i="9"/>
  <c r="G109" i="11"/>
  <c r="H131" i="29" s="1"/>
  <c r="F290" i="15"/>
  <c r="G379" i="11"/>
  <c r="G110" i="11"/>
  <c r="H132" i="29" s="1"/>
  <c r="F715" i="9"/>
  <c r="F346" i="15"/>
  <c r="H346" i="15" s="1"/>
  <c r="D655" i="15"/>
  <c r="F655" i="15" s="1"/>
  <c r="H655" i="15" s="1"/>
  <c r="F652" i="15" s="1"/>
  <c r="D398" i="15"/>
  <c r="D1159" i="9"/>
  <c r="F144" i="12"/>
  <c r="H144" i="12" s="1"/>
  <c r="O18" i="36"/>
  <c r="E577" i="36"/>
  <c r="G577" i="36" s="1"/>
  <c r="G587" i="36" s="1"/>
  <c r="F574" i="36" s="1"/>
  <c r="F79" i="11" s="1"/>
  <c r="G92" i="29" s="1"/>
  <c r="E305" i="36"/>
  <c r="G305" i="36" s="1"/>
  <c r="G308" i="36" s="1"/>
  <c r="F295" i="36" s="1"/>
  <c r="F74" i="11" s="1"/>
  <c r="G87" i="29" s="1"/>
  <c r="D537" i="36"/>
  <c r="C69" i="30"/>
  <c r="F1366" i="13"/>
  <c r="O17" i="36"/>
  <c r="G885" i="36"/>
  <c r="H885" i="36" s="1"/>
  <c r="G1095" i="36"/>
  <c r="G1163" i="36"/>
  <c r="H1163" i="36" s="1"/>
  <c r="J89" i="11" s="1"/>
  <c r="K102" i="29" s="1"/>
  <c r="G759" i="36"/>
  <c r="G770" i="36"/>
  <c r="H770" i="36" s="1"/>
  <c r="G1162" i="36"/>
  <c r="H1162" i="36" s="1"/>
  <c r="I89" i="11" s="1"/>
  <c r="D1529" i="39"/>
  <c r="D1532" i="39"/>
  <c r="D1522" i="39"/>
  <c r="D1531" i="39"/>
  <c r="D1530" i="39"/>
  <c r="F125" i="39"/>
  <c r="F129" i="39" s="1"/>
  <c r="E120" i="39" s="1"/>
  <c r="F234" i="11" s="1"/>
  <c r="G302" i="29" s="1"/>
  <c r="D112" i="39"/>
  <c r="C163" i="39"/>
  <c r="D163" i="39" s="1"/>
  <c r="E1358" i="39"/>
  <c r="E125" i="39"/>
  <c r="E739" i="39"/>
  <c r="F739" i="39" s="1"/>
  <c r="E176" i="39"/>
  <c r="F176" i="39" s="1"/>
  <c r="F180" i="39" s="1"/>
  <c r="E171" i="39" s="1"/>
  <c r="F235" i="11" s="1"/>
  <c r="G303" i="29" s="1"/>
  <c r="E2233" i="39"/>
  <c r="F2233" i="39" s="1"/>
  <c r="F2237" i="39" s="1"/>
  <c r="E2228" i="39" s="1"/>
  <c r="F285" i="11" s="1"/>
  <c r="G353" i="29" s="1"/>
  <c r="E688" i="39"/>
  <c r="F688" i="39" s="1"/>
  <c r="E1615" i="39"/>
  <c r="F1615" i="39" s="1"/>
  <c r="F1619" i="39" s="1"/>
  <c r="E1610" i="39" s="1"/>
  <c r="F269" i="11" s="1"/>
  <c r="G337" i="29" s="1"/>
  <c r="E330" i="39"/>
  <c r="E2079" i="39"/>
  <c r="F2079" i="39" s="1"/>
  <c r="E1153" i="39"/>
  <c r="F1153" i="39" s="1"/>
  <c r="E637" i="39"/>
  <c r="F637" i="39" s="1"/>
  <c r="E586" i="39"/>
  <c r="F586" i="39" s="1"/>
  <c r="F590" i="39" s="1"/>
  <c r="E581" i="39" s="1"/>
  <c r="F245" i="11" s="1"/>
  <c r="G313" i="29" s="1"/>
  <c r="E1154" i="39"/>
  <c r="F1154" i="39" s="1"/>
  <c r="F1103" i="39"/>
  <c r="D638" i="39"/>
  <c r="F587" i="39"/>
  <c r="F238" i="13"/>
  <c r="G238" i="13" s="1"/>
  <c r="F2522" i="13"/>
  <c r="G2522" i="13" s="1"/>
  <c r="Q403" i="29"/>
  <c r="Q414" i="29" s="1"/>
  <c r="Q425" i="29" s="1"/>
  <c r="Q392" i="29"/>
  <c r="D300" i="39"/>
  <c r="E300" i="39" s="1"/>
  <c r="G300" i="39" s="1"/>
  <c r="I238" i="11" s="1"/>
  <c r="D303" i="39"/>
  <c r="E303" i="39" s="1"/>
  <c r="G303" i="39" s="1"/>
  <c r="L238" i="11" s="1"/>
  <c r="M306" i="29" s="1"/>
  <c r="D289" i="39"/>
  <c r="E289" i="39" s="1"/>
  <c r="G289" i="39" s="1"/>
  <c r="D302" i="39"/>
  <c r="E302" i="39" s="1"/>
  <c r="G302" i="39" s="1"/>
  <c r="K238" i="11" s="1"/>
  <c r="L306" i="29" s="1"/>
  <c r="D301" i="39"/>
  <c r="E301" i="39" s="1"/>
  <c r="G301" i="39" s="1"/>
  <c r="J238" i="11" s="1"/>
  <c r="K306" i="29" s="1"/>
  <c r="F1309" i="39"/>
  <c r="E1360" i="39"/>
  <c r="F1515" i="39"/>
  <c r="E1720" i="39"/>
  <c r="F1566" i="39"/>
  <c r="E1617" i="39"/>
  <c r="F1617" i="39" s="1"/>
  <c r="D640" i="39"/>
  <c r="F589" i="39"/>
  <c r="E1156" i="39"/>
  <c r="F1156" i="39" s="1"/>
  <c r="B112" i="39"/>
  <c r="B94" i="39"/>
  <c r="B214" i="39"/>
  <c r="G32" i="39"/>
  <c r="E29" i="39" s="1"/>
  <c r="E83" i="39"/>
  <c r="G83" i="39" s="1"/>
  <c r="E80" i="39" s="1"/>
  <c r="G233" i="11" s="1"/>
  <c r="H301" i="29" s="1"/>
  <c r="C235" i="39"/>
  <c r="C134" i="39"/>
  <c r="O31" i="36"/>
  <c r="E1304" i="36"/>
  <c r="G1304" i="36" s="1"/>
  <c r="D639" i="39"/>
  <c r="F588" i="39"/>
  <c r="C214" i="39"/>
  <c r="D61" i="39"/>
  <c r="G61" i="39" s="1"/>
  <c r="I61" i="39" s="1"/>
  <c r="C65" i="39" s="1"/>
  <c r="E65" i="39" s="1"/>
  <c r="E949" i="39"/>
  <c r="F949" i="39" s="1"/>
  <c r="F896" i="39"/>
  <c r="F898" i="39" s="1"/>
  <c r="E889" i="39" s="1"/>
  <c r="F252" i="11" s="1"/>
  <c r="G320" i="29" s="1"/>
  <c r="D970" i="39"/>
  <c r="D969" i="39"/>
  <c r="D957" i="39"/>
  <c r="E957" i="39" s="1"/>
  <c r="G957" i="39" s="1"/>
  <c r="D968" i="39"/>
  <c r="G1332" i="36"/>
  <c r="G1330" i="36"/>
  <c r="H1330" i="36" s="1"/>
  <c r="G1319" i="36"/>
  <c r="G1333" i="36"/>
  <c r="F214" i="39"/>
  <c r="F266" i="39" s="1"/>
  <c r="F317" i="39" s="1"/>
  <c r="F112" i="39"/>
  <c r="F163" i="39" s="1"/>
  <c r="E1102" i="39"/>
  <c r="F1102" i="39" s="1"/>
  <c r="E1924" i="39"/>
  <c r="F1924" i="39" s="1"/>
  <c r="F1928" i="39" s="1"/>
  <c r="E1919" i="39" s="1"/>
  <c r="F277" i="11" s="1"/>
  <c r="G345" i="29" s="1"/>
  <c r="E535" i="39"/>
  <c r="F535" i="39" s="1"/>
  <c r="F539" i="39" s="1"/>
  <c r="E530" i="39" s="1"/>
  <c r="F244" i="11" s="1"/>
  <c r="G312" i="29" s="1"/>
  <c r="E1564" i="39"/>
  <c r="F1564" i="39" s="1"/>
  <c r="E1307" i="39"/>
  <c r="F1307" i="39" s="1"/>
  <c r="F1311" i="39" s="1"/>
  <c r="E1302" i="39" s="1"/>
  <c r="F262" i="11" s="1"/>
  <c r="G330" i="29" s="1"/>
  <c r="F1409" i="39"/>
  <c r="D1428" i="39"/>
  <c r="F1414" i="39" l="1"/>
  <c r="E1405" i="39" s="1"/>
  <c r="F264" i="11" s="1"/>
  <c r="G332" i="29" s="1"/>
  <c r="J102" i="29"/>
  <c r="N102" i="29" s="1"/>
  <c r="M89" i="11"/>
  <c r="I82" i="11"/>
  <c r="H774" i="36"/>
  <c r="F761" i="36" s="1"/>
  <c r="R42" i="11"/>
  <c r="V55" i="29"/>
  <c r="W55" i="29" s="1"/>
  <c r="Q69" i="11"/>
  <c r="K8" i="36"/>
  <c r="F641" i="39"/>
  <c r="E632" i="39" s="1"/>
  <c r="F246" i="11" s="1"/>
  <c r="G314" i="29" s="1"/>
  <c r="H886" i="36"/>
  <c r="F873" i="36" s="1"/>
  <c r="L84" i="11"/>
  <c r="E202" i="11"/>
  <c r="F259" i="29" s="1"/>
  <c r="E1114" i="16"/>
  <c r="K9" i="14"/>
  <c r="Q37" i="11"/>
  <c r="E90" i="11"/>
  <c r="F103" i="29" s="1"/>
  <c r="F1177" i="36"/>
  <c r="E257" i="29"/>
  <c r="D93" i="11"/>
  <c r="D1353" i="36"/>
  <c r="F1353" i="36" s="1"/>
  <c r="E93" i="11" s="1"/>
  <c r="F21" i="41" s="1"/>
  <c r="F1345" i="36"/>
  <c r="F1720" i="39"/>
  <c r="F1722" i="39" s="1"/>
  <c r="E1713" i="39" s="1"/>
  <c r="F272" i="11" s="1"/>
  <c r="G340" i="29" s="1"/>
  <c r="F1517" i="39"/>
  <c r="E1508" i="39" s="1"/>
  <c r="F267" i="11" s="1"/>
  <c r="G335" i="29" s="1"/>
  <c r="E371" i="11"/>
  <c r="H371" i="11" s="1"/>
  <c r="N371" i="11" s="1"/>
  <c r="P371" i="11" s="1"/>
  <c r="R371" i="11" s="1"/>
  <c r="E6" i="28"/>
  <c r="G51" i="28" s="1"/>
  <c r="G53" i="28" s="1"/>
  <c r="E4" i="28" s="1"/>
  <c r="Q371" i="11" s="1"/>
  <c r="F231" i="13"/>
  <c r="H261" i="13" s="1"/>
  <c r="H263" i="13" s="1"/>
  <c r="F217" i="13" s="1"/>
  <c r="M8" i="13" s="1"/>
  <c r="Q327" i="11" s="1"/>
  <c r="F327" i="11"/>
  <c r="E231" i="29"/>
  <c r="F134" i="11"/>
  <c r="G164" i="29" s="1"/>
  <c r="F457" i="12"/>
  <c r="M306" i="11"/>
  <c r="N306" i="11" s="1"/>
  <c r="P306" i="11" s="1"/>
  <c r="R306" i="11" s="1"/>
  <c r="M371" i="29"/>
  <c r="N371" i="29" s="1"/>
  <c r="P371" i="29" s="1"/>
  <c r="Q371" i="29" s="1"/>
  <c r="S371" i="29" s="1"/>
  <c r="U371" i="29" s="1"/>
  <c r="G406" i="39"/>
  <c r="E393" i="39" s="1"/>
  <c r="I240" i="11"/>
  <c r="M437" i="29"/>
  <c r="N437" i="29" s="1"/>
  <c r="M328" i="11"/>
  <c r="D58" i="11"/>
  <c r="F1198" i="14"/>
  <c r="D1208" i="14"/>
  <c r="F1208" i="14" s="1"/>
  <c r="E58" i="11" s="1"/>
  <c r="F71" i="29" s="1"/>
  <c r="B1200" i="16"/>
  <c r="B1174" i="16"/>
  <c r="B1222" i="16"/>
  <c r="F419" i="39"/>
  <c r="F471" i="39" s="1"/>
  <c r="F522" i="39" s="1"/>
  <c r="F368" i="39"/>
  <c r="B145" i="39"/>
  <c r="B163" i="39"/>
  <c r="B116" i="39"/>
  <c r="E1412" i="39"/>
  <c r="F1412" i="39" s="1"/>
  <c r="F1360" i="39"/>
  <c r="F141" i="12"/>
  <c r="H162" i="12" s="1"/>
  <c r="H164" i="12" s="1"/>
  <c r="F113" i="12" s="1"/>
  <c r="Q128" i="11" s="1"/>
  <c r="G128" i="11"/>
  <c r="D101" i="36"/>
  <c r="F96" i="36"/>
  <c r="H96" i="36" s="1"/>
  <c r="D150" i="36"/>
  <c r="D236" i="9"/>
  <c r="F187" i="9"/>
  <c r="H187" i="9" s="1"/>
  <c r="H159" i="29"/>
  <c r="I159" i="29" s="1"/>
  <c r="P159" i="29" s="1"/>
  <c r="Q159" i="29" s="1"/>
  <c r="S159" i="29" s="1"/>
  <c r="U159" i="29" s="1"/>
  <c r="H129" i="11"/>
  <c r="N129" i="11" s="1"/>
  <c r="P129" i="11" s="1"/>
  <c r="R129" i="11" s="1"/>
  <c r="E170" i="11"/>
  <c r="F227" i="29" s="1"/>
  <c r="E5" i="16"/>
  <c r="G52" i="16" s="1"/>
  <c r="G54" i="16" s="1"/>
  <c r="E3" i="16" s="1"/>
  <c r="Q170" i="11" s="1"/>
  <c r="H363" i="15"/>
  <c r="H365" i="15" s="1"/>
  <c r="F316" i="15" s="1"/>
  <c r="H376" i="29"/>
  <c r="I376" i="29" s="1"/>
  <c r="P376" i="29" s="1"/>
  <c r="Q376" i="29" s="1"/>
  <c r="S376" i="29" s="1"/>
  <c r="U376" i="29" s="1"/>
  <c r="H311" i="11"/>
  <c r="H374" i="29"/>
  <c r="I374" i="29" s="1"/>
  <c r="P374" i="29" s="1"/>
  <c r="Q374" i="29" s="1"/>
  <c r="S374" i="29" s="1"/>
  <c r="U374" i="29" s="1"/>
  <c r="H309" i="11"/>
  <c r="H366" i="29"/>
  <c r="I366" i="29" s="1"/>
  <c r="P366" i="29" s="1"/>
  <c r="Q366" i="29" s="1"/>
  <c r="S366" i="29" s="1"/>
  <c r="U366" i="29" s="1"/>
  <c r="H301" i="11"/>
  <c r="N301" i="11" s="1"/>
  <c r="P301" i="11" s="1"/>
  <c r="R301" i="11" s="1"/>
  <c r="E1032" i="36"/>
  <c r="G976" i="36"/>
  <c r="G978" i="36" s="1"/>
  <c r="F965" i="36" s="1"/>
  <c r="F86" i="11" s="1"/>
  <c r="G99" i="29" s="1"/>
  <c r="D24" i="11"/>
  <c r="E77" i="11"/>
  <c r="F90" i="29" s="1"/>
  <c r="F448" i="36"/>
  <c r="H499" i="36" s="1"/>
  <c r="H501" i="36" s="1"/>
  <c r="F446" i="36" s="1"/>
  <c r="E83" i="29"/>
  <c r="F933" i="39"/>
  <c r="F985" i="39"/>
  <c r="D132" i="11"/>
  <c r="D345" i="12"/>
  <c r="F345" i="12" s="1"/>
  <c r="E132" i="11" s="1"/>
  <c r="F162" i="29" s="1"/>
  <c r="F335" i="12"/>
  <c r="H382" i="12" s="1"/>
  <c r="H384" i="12" s="1"/>
  <c r="F333" i="12" s="1"/>
  <c r="Q132" i="11" s="1"/>
  <c r="E73" i="11"/>
  <c r="F86" i="29" s="1"/>
  <c r="F227" i="36"/>
  <c r="M327" i="11"/>
  <c r="M436" i="29"/>
  <c r="N436" i="29" s="1"/>
  <c r="F573" i="12"/>
  <c r="G518" i="12"/>
  <c r="G524" i="12" s="1"/>
  <c r="J240" i="11"/>
  <c r="K308" i="29" s="1"/>
  <c r="F729" i="36"/>
  <c r="E44" i="11"/>
  <c r="F57" i="29" s="1"/>
  <c r="F398" i="14"/>
  <c r="H450" i="14" s="1"/>
  <c r="H452" i="14" s="1"/>
  <c r="F396" i="14" s="1"/>
  <c r="J441" i="29"/>
  <c r="N441" i="29" s="1"/>
  <c r="M332" i="11"/>
  <c r="E268" i="16"/>
  <c r="F343" i="14"/>
  <c r="H390" i="14" s="1"/>
  <c r="H392" i="14" s="1"/>
  <c r="F341" i="14" s="1"/>
  <c r="E88" i="29"/>
  <c r="M335" i="11"/>
  <c r="K444" i="29"/>
  <c r="N444" i="29" s="1"/>
  <c r="J62" i="29"/>
  <c r="N62" i="29" s="1"/>
  <c r="M49" i="11"/>
  <c r="E167" i="29"/>
  <c r="F165" i="29"/>
  <c r="B703" i="39"/>
  <c r="B678" i="39"/>
  <c r="B725" i="39"/>
  <c r="J467" i="29"/>
  <c r="N467" i="29" s="1"/>
  <c r="M358" i="11"/>
  <c r="J91" i="11"/>
  <c r="J92" i="11"/>
  <c r="K105" i="29" s="1"/>
  <c r="F841" i="36"/>
  <c r="E84" i="11"/>
  <c r="F97" i="29" s="1"/>
  <c r="G776" i="39"/>
  <c r="M59" i="29"/>
  <c r="N59" i="29" s="1"/>
  <c r="M46" i="11"/>
  <c r="F1018" i="9"/>
  <c r="H1018" i="9" s="1"/>
  <c r="D1067" i="9"/>
  <c r="M363" i="11"/>
  <c r="K472" i="29"/>
  <c r="N472" i="29" s="1"/>
  <c r="K143" i="11"/>
  <c r="L173" i="29" s="1"/>
  <c r="K92" i="11"/>
  <c r="L105" i="29" s="1"/>
  <c r="K91" i="11"/>
  <c r="L104" i="29" s="1"/>
  <c r="H819" i="12"/>
  <c r="F806" i="12" s="1"/>
  <c r="M356" i="11"/>
  <c r="J465" i="29"/>
  <c r="N465" i="29" s="1"/>
  <c r="M464" i="29"/>
  <c r="N464" i="29" s="1"/>
  <c r="M355" i="11"/>
  <c r="D1189" i="12"/>
  <c r="F1134" i="12"/>
  <c r="H1134" i="12" s="1"/>
  <c r="E1213" i="39"/>
  <c r="G1213" i="39" s="1"/>
  <c r="C1266" i="39"/>
  <c r="I254" i="11"/>
  <c r="J320" i="29"/>
  <c r="E968" i="39"/>
  <c r="G968" i="39" s="1"/>
  <c r="F136" i="29"/>
  <c r="G1069" i="12"/>
  <c r="F1124" i="12"/>
  <c r="M344" i="11"/>
  <c r="K471" i="29"/>
  <c r="N471" i="29" s="1"/>
  <c r="M362" i="11"/>
  <c r="J473" i="29"/>
  <c r="N473" i="29" s="1"/>
  <c r="M364" i="11"/>
  <c r="K133" i="29"/>
  <c r="E172" i="29"/>
  <c r="D1309" i="14"/>
  <c r="E1255" i="14"/>
  <c r="H1255" i="14" s="1"/>
  <c r="J1255" i="14" s="1"/>
  <c r="D1259" i="14" s="1"/>
  <c r="F1259" i="14" s="1"/>
  <c r="D1143" i="12"/>
  <c r="F1088" i="12"/>
  <c r="H1088" i="12" s="1"/>
  <c r="E254" i="29"/>
  <c r="H56" i="11"/>
  <c r="E69" i="29"/>
  <c r="I69" i="29" s="1"/>
  <c r="F370" i="29"/>
  <c r="I370" i="29" s="1"/>
  <c r="P370" i="29" s="1"/>
  <c r="Q370" i="29" s="1"/>
  <c r="S370" i="29" s="1"/>
  <c r="U370" i="29" s="1"/>
  <c r="H305" i="11"/>
  <c r="N305" i="11" s="1"/>
  <c r="P305" i="11" s="1"/>
  <c r="R305" i="11" s="1"/>
  <c r="K9" i="15"/>
  <c r="Q378" i="11"/>
  <c r="R378" i="11" s="1"/>
  <c r="H44" i="11"/>
  <c r="N44" i="11" s="1"/>
  <c r="P44" i="11" s="1"/>
  <c r="E57" i="29"/>
  <c r="I57" i="29" s="1"/>
  <c r="O57" i="29" s="1"/>
  <c r="Q57" i="29" s="1"/>
  <c r="S57" i="29" s="1"/>
  <c r="U57" i="29" s="1"/>
  <c r="E75" i="11"/>
  <c r="F88" i="29" s="1"/>
  <c r="F339" i="36"/>
  <c r="E97" i="29"/>
  <c r="F1076" i="12"/>
  <c r="G145" i="11"/>
  <c r="H175" i="29" s="1"/>
  <c r="J105" i="29"/>
  <c r="C1242" i="39"/>
  <c r="C1293" i="39" s="1"/>
  <c r="D1190" i="39"/>
  <c r="C185" i="39"/>
  <c r="E185" i="39" s="1"/>
  <c r="G185" i="39" s="1"/>
  <c r="E182" i="39" s="1"/>
  <c r="G235" i="11" s="1"/>
  <c r="H303" i="29" s="1"/>
  <c r="E134" i="39"/>
  <c r="G134" i="39" s="1"/>
  <c r="E131" i="39" s="1"/>
  <c r="G234" i="11" s="1"/>
  <c r="H302" i="29" s="1"/>
  <c r="F1157" i="39"/>
  <c r="E1148" i="39" s="1"/>
  <c r="F258" i="11" s="1"/>
  <c r="G326" i="29" s="1"/>
  <c r="K323" i="11"/>
  <c r="H49" i="13"/>
  <c r="F36" i="13" s="1"/>
  <c r="H51" i="13" s="1"/>
  <c r="H53" i="13" s="1"/>
  <c r="F4" i="13" s="1"/>
  <c r="M4" i="13" s="1"/>
  <c r="Q323" i="11" s="1"/>
  <c r="K5" i="17"/>
  <c r="Q290" i="11"/>
  <c r="R290" i="11" s="1"/>
  <c r="H672" i="15"/>
  <c r="H674" i="15" s="1"/>
  <c r="F625" i="15" s="1"/>
  <c r="E227" i="29"/>
  <c r="I227" i="29" s="1"/>
  <c r="P227" i="29" s="1"/>
  <c r="Q227" i="29" s="1"/>
  <c r="S227" i="29" s="1"/>
  <c r="U227" i="29" s="1"/>
  <c r="H170" i="11"/>
  <c r="N170" i="11" s="1"/>
  <c r="P170" i="11" s="1"/>
  <c r="R170" i="11" s="1"/>
  <c r="K293" i="11"/>
  <c r="E2359" i="13"/>
  <c r="G2302" i="13"/>
  <c r="E50" i="29"/>
  <c r="I50" i="29" s="1"/>
  <c r="O50" i="29" s="1"/>
  <c r="Q50" i="29" s="1"/>
  <c r="S50" i="29" s="1"/>
  <c r="U50" i="29" s="1"/>
  <c r="H37" i="11"/>
  <c r="F571" i="13"/>
  <c r="G514" i="13"/>
  <c r="K90" i="29"/>
  <c r="N90" i="29" s="1"/>
  <c r="M77" i="11"/>
  <c r="D19" i="11"/>
  <c r="E90" i="29"/>
  <c r="I90" i="29" s="1"/>
  <c r="F63" i="21"/>
  <c r="H110" i="21" s="1"/>
  <c r="H112" i="21" s="1"/>
  <c r="F61" i="21" s="1"/>
  <c r="Q293" i="11" s="1"/>
  <c r="E293" i="11"/>
  <c r="F212" i="29" s="1"/>
  <c r="E70" i="11"/>
  <c r="F83" i="29" s="1"/>
  <c r="F60" i="36"/>
  <c r="F905" i="9"/>
  <c r="F954" i="9" s="1"/>
  <c r="G856" i="9"/>
  <c r="G905" i="9" s="1"/>
  <c r="D290" i="12"/>
  <c r="F290" i="12" s="1"/>
  <c r="E131" i="11" s="1"/>
  <c r="F161" i="29" s="1"/>
  <c r="D131" i="11"/>
  <c r="L231" i="29"/>
  <c r="N231" i="29" s="1"/>
  <c r="M174" i="11"/>
  <c r="M41" i="11"/>
  <c r="M54" i="29"/>
  <c r="N54" i="29" s="1"/>
  <c r="F214" i="29"/>
  <c r="H295" i="11"/>
  <c r="E72" i="11"/>
  <c r="F85" i="29" s="1"/>
  <c r="F169" i="36"/>
  <c r="E134" i="11"/>
  <c r="F164" i="29" s="1"/>
  <c r="F445" i="12"/>
  <c r="H492" i="12" s="1"/>
  <c r="H494" i="12" s="1"/>
  <c r="F443" i="12" s="1"/>
  <c r="Q134" i="11" s="1"/>
  <c r="H74" i="11"/>
  <c r="E87" i="29"/>
  <c r="M131" i="11"/>
  <c r="M161" i="29"/>
  <c r="N161" i="29" s="1"/>
  <c r="J307" i="29"/>
  <c r="M239" i="11"/>
  <c r="N307" i="29" s="1"/>
  <c r="J374" i="29"/>
  <c r="N374" i="29" s="1"/>
  <c r="M309" i="11"/>
  <c r="M165" i="29"/>
  <c r="N165" i="29" s="1"/>
  <c r="M135" i="11"/>
  <c r="M60" i="29"/>
  <c r="N60" i="29" s="1"/>
  <c r="M47" i="11"/>
  <c r="K168" i="29"/>
  <c r="N168" i="29" s="1"/>
  <c r="M138" i="11"/>
  <c r="M311" i="11"/>
  <c r="E98" i="29"/>
  <c r="C647" i="16"/>
  <c r="E647" i="16" s="1"/>
  <c r="E188" i="11" s="1"/>
  <c r="F245" i="29" s="1"/>
  <c r="E637" i="16"/>
  <c r="D188" i="11"/>
  <c r="M249" i="11"/>
  <c r="N317" i="29" s="1"/>
  <c r="L317" i="29"/>
  <c r="K251" i="11"/>
  <c r="D1087" i="12"/>
  <c r="F1032" i="12"/>
  <c r="H1032" i="12" s="1"/>
  <c r="J170" i="29"/>
  <c r="N170" i="29" s="1"/>
  <c r="M140" i="11"/>
  <c r="C1145" i="14"/>
  <c r="C1126" i="14"/>
  <c r="C1093" i="14"/>
  <c r="F830" i="12"/>
  <c r="E101" i="29"/>
  <c r="J321" i="29"/>
  <c r="E67" i="29"/>
  <c r="I67" i="29" s="1"/>
  <c r="H54" i="11"/>
  <c r="E243" i="29"/>
  <c r="E173" i="29"/>
  <c r="C969" i="39"/>
  <c r="E969" i="39" s="1"/>
  <c r="G969" i="39" s="1"/>
  <c r="E964" i="39"/>
  <c r="G964" i="39" s="1"/>
  <c r="F1230" i="12"/>
  <c r="G1175" i="12"/>
  <c r="K474" i="29"/>
  <c r="N474" i="29" s="1"/>
  <c r="M365" i="11"/>
  <c r="D1455" i="14"/>
  <c r="F1399" i="14"/>
  <c r="H1399" i="14" s="1"/>
  <c r="F1403" i="12"/>
  <c r="G1348" i="12"/>
  <c r="E743" i="16"/>
  <c r="E796" i="16"/>
  <c r="E256" i="29"/>
  <c r="E956" i="16"/>
  <c r="K326" i="29"/>
  <c r="J259" i="11"/>
  <c r="E243" i="16"/>
  <c r="G243" i="16" s="1"/>
  <c r="E240" i="16" s="1"/>
  <c r="G176" i="11" s="1"/>
  <c r="H233" i="29" s="1"/>
  <c r="C295" i="16"/>
  <c r="M433" i="29"/>
  <c r="N433" i="29" s="1"/>
  <c r="O433" i="29" s="1"/>
  <c r="Q433" i="29" s="1"/>
  <c r="S433" i="29" s="1"/>
  <c r="U433" i="29" s="1"/>
  <c r="M324" i="11"/>
  <c r="N324" i="11" s="1"/>
  <c r="P324" i="11" s="1"/>
  <c r="R324" i="11" s="1"/>
  <c r="H73" i="11"/>
  <c r="E86" i="29"/>
  <c r="I86" i="29" s="1"/>
  <c r="E63" i="29"/>
  <c r="J115" i="11"/>
  <c r="E235" i="39"/>
  <c r="G235" i="39" s="1"/>
  <c r="E232" i="39" s="1"/>
  <c r="G236" i="11" s="1"/>
  <c r="H304" i="29" s="1"/>
  <c r="C288" i="39"/>
  <c r="F1358" i="39"/>
  <c r="F1362" i="39" s="1"/>
  <c r="E1353" i="39" s="1"/>
  <c r="F263" i="11" s="1"/>
  <c r="G331" i="29" s="1"/>
  <c r="E1410" i="39"/>
  <c r="F1410" i="39" s="1"/>
  <c r="F1477" i="13"/>
  <c r="F1422" i="13"/>
  <c r="G1366" i="13"/>
  <c r="G1375" i="13" s="1"/>
  <c r="D450" i="15"/>
  <c r="F398" i="15"/>
  <c r="H398" i="15" s="1"/>
  <c r="E373" i="29"/>
  <c r="I373" i="29" s="1"/>
  <c r="H308" i="11"/>
  <c r="E2137" i="13"/>
  <c r="G2083" i="13"/>
  <c r="E289" i="11"/>
  <c r="F208" i="29" s="1"/>
  <c r="F6" i="17"/>
  <c r="H51" i="17" s="1"/>
  <c r="H53" i="17" s="1"/>
  <c r="F4" i="17" s="1"/>
  <c r="L118" i="29"/>
  <c r="N118" i="29" s="1"/>
  <c r="P118" i="29" s="1"/>
  <c r="Q118" i="29" s="1"/>
  <c r="R118" i="29" s="1"/>
  <c r="S118" i="29" s="1"/>
  <c r="M96" i="11"/>
  <c r="N96" i="11" s="1"/>
  <c r="Q375" i="11"/>
  <c r="K6" i="15"/>
  <c r="D11" i="11"/>
  <c r="E326" i="11"/>
  <c r="F435" i="29" s="1"/>
  <c r="F165" i="13"/>
  <c r="H210" i="13" s="1"/>
  <c r="H212" i="13" s="1"/>
  <c r="F163" i="13" s="1"/>
  <c r="M7" i="13" s="1"/>
  <c r="Q326" i="11" s="1"/>
  <c r="E212" i="29"/>
  <c r="H293" i="11"/>
  <c r="M50" i="29"/>
  <c r="N50" i="29" s="1"/>
  <c r="M37" i="11"/>
  <c r="F51" i="29"/>
  <c r="I51" i="29" s="1"/>
  <c r="H38" i="11"/>
  <c r="E71" i="11"/>
  <c r="F115" i="36"/>
  <c r="E932" i="16"/>
  <c r="G932" i="16" s="1"/>
  <c r="C984" i="16"/>
  <c r="H221" i="21"/>
  <c r="H223" i="21" s="1"/>
  <c r="F172" i="21" s="1"/>
  <c r="Q295" i="11" s="1"/>
  <c r="E85" i="29"/>
  <c r="I85" i="29" s="1"/>
  <c r="H72" i="11"/>
  <c r="E163" i="29"/>
  <c r="I163" i="29" s="1"/>
  <c r="P163" i="29" s="1"/>
  <c r="Q163" i="29" s="1"/>
  <c r="S163" i="29" s="1"/>
  <c r="U163" i="29" s="1"/>
  <c r="H133" i="11"/>
  <c r="N133" i="11" s="1"/>
  <c r="P133" i="11" s="1"/>
  <c r="R133" i="11" s="1"/>
  <c r="E95" i="29"/>
  <c r="H134" i="11"/>
  <c r="N134" i="11" s="1"/>
  <c r="P134" i="11" s="1"/>
  <c r="R134" i="11" s="1"/>
  <c r="E164" i="29"/>
  <c r="I164" i="29" s="1"/>
  <c r="J234" i="29"/>
  <c r="N234" i="29" s="1"/>
  <c r="M177" i="11"/>
  <c r="F283" i="36"/>
  <c r="E74" i="11"/>
  <c r="F87" i="29" s="1"/>
  <c r="E56" i="29"/>
  <c r="I56" i="29" s="1"/>
  <c r="H43" i="11"/>
  <c r="N43" i="11" s="1"/>
  <c r="P43" i="11" s="1"/>
  <c r="L442" i="29"/>
  <c r="N442" i="29" s="1"/>
  <c r="M333" i="11"/>
  <c r="K443" i="29"/>
  <c r="N443" i="29" s="1"/>
  <c r="M334" i="11"/>
  <c r="G304" i="39"/>
  <c r="E291" i="39" s="1"/>
  <c r="E59" i="29"/>
  <c r="I59" i="29" s="1"/>
  <c r="H46" i="11"/>
  <c r="N46" i="11" s="1"/>
  <c r="P46" i="11" s="1"/>
  <c r="J237" i="29"/>
  <c r="N237" i="29" s="1"/>
  <c r="M180" i="11"/>
  <c r="J463" i="29"/>
  <c r="N463" i="29" s="1"/>
  <c r="M354" i="11"/>
  <c r="H683" i="14"/>
  <c r="H685" i="14" s="1"/>
  <c r="F633" i="14" s="1"/>
  <c r="J455" i="29"/>
  <c r="N455" i="29" s="1"/>
  <c r="M346" i="11"/>
  <c r="M343" i="11"/>
  <c r="E89" i="11"/>
  <c r="F1121" i="36"/>
  <c r="E62" i="29"/>
  <c r="I62" i="29" s="1"/>
  <c r="H49" i="11"/>
  <c r="F133" i="29"/>
  <c r="E169" i="29"/>
  <c r="M50" i="11"/>
  <c r="E175" i="29"/>
  <c r="F940" i="12"/>
  <c r="H1166" i="36"/>
  <c r="F1153" i="36" s="1"/>
  <c r="K65" i="29"/>
  <c r="C1232" i="14"/>
  <c r="C1205" i="14"/>
  <c r="C1255" i="14"/>
  <c r="E1256" i="14"/>
  <c r="H1256" i="14" s="1"/>
  <c r="J1256" i="14" s="1"/>
  <c r="D1260" i="14" s="1"/>
  <c r="F1260" i="14" s="1"/>
  <c r="D1310" i="14"/>
  <c r="E248" i="29"/>
  <c r="E249" i="29"/>
  <c r="L202" i="11"/>
  <c r="M259" i="29" s="1"/>
  <c r="E2299" i="13"/>
  <c r="E2080" i="13"/>
  <c r="D6" i="11"/>
  <c r="D29" i="37"/>
  <c r="F674" i="39"/>
  <c r="G623" i="39"/>
  <c r="I623" i="39" s="1"/>
  <c r="C627" i="39" s="1"/>
  <c r="E627" i="39" s="1"/>
  <c r="D328" i="11"/>
  <c r="D281" i="13"/>
  <c r="F281" i="13" s="1"/>
  <c r="E234" i="29"/>
  <c r="E87" i="11"/>
  <c r="F1009" i="36"/>
  <c r="D1376" i="36"/>
  <c r="F1376" i="36" s="1"/>
  <c r="H1376" i="36" s="1"/>
  <c r="K93" i="11" s="1"/>
  <c r="L21" i="41" s="1"/>
  <c r="F1327" i="36"/>
  <c r="H1327" i="36" s="1"/>
  <c r="D1332" i="36"/>
  <c r="F1332" i="36" s="1"/>
  <c r="H1332" i="36" s="1"/>
  <c r="E138" i="29"/>
  <c r="E142" i="11"/>
  <c r="F172" i="29" s="1"/>
  <c r="F885" i="12"/>
  <c r="C67" i="39"/>
  <c r="E67" i="39" s="1"/>
  <c r="D233" i="11"/>
  <c r="D691" i="39"/>
  <c r="F640" i="39"/>
  <c r="E381" i="39"/>
  <c r="F381" i="39" s="1"/>
  <c r="F385" i="39" s="1"/>
  <c r="E376" i="39" s="1"/>
  <c r="F240" i="11" s="1"/>
  <c r="G308" i="29" s="1"/>
  <c r="F330" i="39"/>
  <c r="F334" i="39" s="1"/>
  <c r="E325" i="39" s="1"/>
  <c r="F239" i="11" s="1"/>
  <c r="G307" i="29" s="1"/>
  <c r="G163" i="39"/>
  <c r="I163" i="39" s="1"/>
  <c r="C167" i="39" s="1"/>
  <c r="E167" i="39" s="1"/>
  <c r="I69" i="11"/>
  <c r="H367" i="29"/>
  <c r="I367" i="29" s="1"/>
  <c r="P367" i="29" s="1"/>
  <c r="Q367" i="29" s="1"/>
  <c r="S367" i="29" s="1"/>
  <c r="U367" i="29" s="1"/>
  <c r="H302" i="11"/>
  <c r="E208" i="29"/>
  <c r="H289" i="11"/>
  <c r="E432" i="29"/>
  <c r="I432" i="29" s="1"/>
  <c r="H323" i="11"/>
  <c r="H47" i="9"/>
  <c r="H48" i="9"/>
  <c r="F4" i="9" s="1"/>
  <c r="Q96" i="11" s="1"/>
  <c r="R375" i="11"/>
  <c r="F104" i="9"/>
  <c r="E98" i="11"/>
  <c r="F120" i="29" s="1"/>
  <c r="D90" i="37"/>
  <c r="D14" i="11"/>
  <c r="D26" i="11"/>
  <c r="E435" i="29"/>
  <c r="I435" i="29" s="1"/>
  <c r="H326" i="11"/>
  <c r="N326" i="11" s="1"/>
  <c r="P326" i="11" s="1"/>
  <c r="R326" i="11" s="1"/>
  <c r="D12" i="18"/>
  <c r="D57" i="18"/>
  <c r="K304" i="29"/>
  <c r="M236" i="11"/>
  <c r="N304" i="29" s="1"/>
  <c r="Q38" i="11"/>
  <c r="K10" i="14"/>
  <c r="J347" i="11"/>
  <c r="H1395" i="13"/>
  <c r="F1382" i="13" s="1"/>
  <c r="E103" i="11"/>
  <c r="F125" i="29" s="1"/>
  <c r="F349" i="9"/>
  <c r="H272" i="12"/>
  <c r="H274" i="12" s="1"/>
  <c r="F223" i="12" s="1"/>
  <c r="Q130" i="11" s="1"/>
  <c r="E92" i="29"/>
  <c r="F673" i="36"/>
  <c r="E81" i="11"/>
  <c r="F94" i="29" s="1"/>
  <c r="M457" i="29"/>
  <c r="N457" i="29" s="1"/>
  <c r="M348" i="11"/>
  <c r="E166" i="29"/>
  <c r="H570" i="14"/>
  <c r="H572" i="14" s="1"/>
  <c r="F520" i="14" s="1"/>
  <c r="F953" i="36"/>
  <c r="E86" i="11"/>
  <c r="F99" i="29" s="1"/>
  <c r="M337" i="11"/>
  <c r="J167" i="29"/>
  <c r="N167" i="29" s="1"/>
  <c r="M137" i="11"/>
  <c r="H1183" i="13"/>
  <c r="J1183" i="13" s="1"/>
  <c r="D1187" i="13" s="1"/>
  <c r="F1187" i="13" s="1"/>
  <c r="E1240" i="13"/>
  <c r="F578" i="14"/>
  <c r="H627" i="14" s="1"/>
  <c r="H629" i="14" s="1"/>
  <c r="F576" i="14" s="1"/>
  <c r="F61" i="29"/>
  <c r="I61" i="29" s="1"/>
  <c r="H48" i="11"/>
  <c r="N48" i="11" s="1"/>
  <c r="P48" i="11" s="1"/>
  <c r="N452" i="29"/>
  <c r="F239" i="29"/>
  <c r="Q49" i="11"/>
  <c r="K21" i="14"/>
  <c r="C2511" i="13"/>
  <c r="C2538" i="13"/>
  <c r="E135" i="29"/>
  <c r="J475" i="29"/>
  <c r="N475" i="29" s="1"/>
  <c r="M366" i="11"/>
  <c r="N63" i="29"/>
  <c r="D1328" i="36"/>
  <c r="F1272" i="36"/>
  <c r="H1272" i="36" s="1"/>
  <c r="D1277" i="36"/>
  <c r="F1277" i="36" s="1"/>
  <c r="H1277" i="36" s="1"/>
  <c r="E171" i="29"/>
  <c r="M317" i="29"/>
  <c r="L251" i="11"/>
  <c r="B1092" i="39"/>
  <c r="B1117" i="39"/>
  <c r="B1190" i="39"/>
  <c r="B1139" i="39"/>
  <c r="E137" i="29"/>
  <c r="G1071" i="12"/>
  <c r="F1126" i="12"/>
  <c r="M141" i="11"/>
  <c r="H1222" i="36"/>
  <c r="F1209" i="36" s="1"/>
  <c r="D117" i="11"/>
  <c r="D1044" i="9"/>
  <c r="F1044" i="9" s="1"/>
  <c r="E117" i="11" s="1"/>
  <c r="F139" i="29" s="1"/>
  <c r="F1035" i="9"/>
  <c r="I148" i="11"/>
  <c r="F1125" i="12"/>
  <c r="G1070" i="12"/>
  <c r="E1127" i="13"/>
  <c r="C1150" i="16"/>
  <c r="E1097" i="16"/>
  <c r="G1097" i="16" s="1"/>
  <c r="J200" i="11" s="1"/>
  <c r="K257" i="29" s="1"/>
  <c r="C1102" i="16"/>
  <c r="E1102" i="16" s="1"/>
  <c r="G1102" i="16" s="1"/>
  <c r="E259" i="29"/>
  <c r="B942" i="16"/>
  <c r="B911" i="16"/>
  <c r="B960" i="16"/>
  <c r="J96" i="29"/>
  <c r="N96" i="29" s="1"/>
  <c r="M83" i="11"/>
  <c r="D91" i="11"/>
  <c r="D1243" i="36"/>
  <c r="F1243" i="36" s="1"/>
  <c r="E91" i="11" s="1"/>
  <c r="F104" i="29" s="1"/>
  <c r="F1233" i="36"/>
  <c r="E134" i="29"/>
  <c r="K23" i="14"/>
  <c r="Q51" i="11"/>
  <c r="E240" i="29"/>
  <c r="F908" i="14"/>
  <c r="H908" i="14" s="1"/>
  <c r="D963" i="14"/>
  <c r="D1182" i="14"/>
  <c r="F1125" i="14"/>
  <c r="H1125" i="14" s="1"/>
  <c r="F1568" i="39"/>
  <c r="E1559" i="39" s="1"/>
  <c r="F268" i="11" s="1"/>
  <c r="G336" i="29" s="1"/>
  <c r="C266" i="39"/>
  <c r="C317" i="39" s="1"/>
  <c r="D214" i="39"/>
  <c r="D689" i="39"/>
  <c r="F638" i="39"/>
  <c r="G112" i="39"/>
  <c r="I112" i="39" s="1"/>
  <c r="C116" i="39" s="1"/>
  <c r="E116" i="39" s="1"/>
  <c r="F537" i="36"/>
  <c r="H537" i="36" s="1"/>
  <c r="F534" i="36" s="1"/>
  <c r="G78" i="11" s="1"/>
  <c r="D592" i="36"/>
  <c r="G380" i="11"/>
  <c r="H380" i="11" s="1"/>
  <c r="N380" i="11" s="1"/>
  <c r="P380" i="11" s="1"/>
  <c r="F343" i="15"/>
  <c r="F386" i="13"/>
  <c r="H329" i="13"/>
  <c r="J329" i="13" s="1"/>
  <c r="D333" i="13" s="1"/>
  <c r="F333" i="13" s="1"/>
  <c r="E313" i="11"/>
  <c r="F387" i="29" s="1"/>
  <c r="E6" i="23"/>
  <c r="G65" i="23" s="1"/>
  <c r="G67" i="23" s="1"/>
  <c r="E4" i="23" s="1"/>
  <c r="Q313" i="11" s="1"/>
  <c r="E375" i="29"/>
  <c r="I375" i="29" s="1"/>
  <c r="P375" i="29" s="1"/>
  <c r="Q375" i="29" s="1"/>
  <c r="S375" i="29" s="1"/>
  <c r="U375" i="29" s="1"/>
  <c r="H310" i="11"/>
  <c r="N310" i="11" s="1"/>
  <c r="P310" i="11" s="1"/>
  <c r="R310" i="11" s="1"/>
  <c r="E228" i="29"/>
  <c r="H318" i="11"/>
  <c r="N318" i="11" s="1"/>
  <c r="P318" i="11" s="1"/>
  <c r="R318" i="11" s="1"/>
  <c r="E420" i="29"/>
  <c r="E120" i="29"/>
  <c r="D32" i="11"/>
  <c r="D25" i="11"/>
  <c r="E39" i="11"/>
  <c r="F123" i="14"/>
  <c r="H169" i="14" s="1"/>
  <c r="H171" i="14" s="1"/>
  <c r="F121" i="14" s="1"/>
  <c r="M302" i="11"/>
  <c r="E93" i="29"/>
  <c r="E125" i="29"/>
  <c r="E40" i="11"/>
  <c r="F53" i="29" s="1"/>
  <c r="F177" i="14"/>
  <c r="H225" i="14" s="1"/>
  <c r="H227" i="14" s="1"/>
  <c r="F175" i="14" s="1"/>
  <c r="M160" i="29"/>
  <c r="N160" i="29" s="1"/>
  <c r="M130" i="11"/>
  <c r="H130" i="11"/>
  <c r="F160" i="29"/>
  <c r="I160" i="29" s="1"/>
  <c r="F562" i="36"/>
  <c r="E79" i="11"/>
  <c r="F92" i="29" s="1"/>
  <c r="E94" i="29"/>
  <c r="L466" i="29"/>
  <c r="N466" i="29" s="1"/>
  <c r="M357" i="11"/>
  <c r="L94" i="29"/>
  <c r="N94" i="29" s="1"/>
  <c r="M81" i="11"/>
  <c r="E83" i="11"/>
  <c r="F785" i="36"/>
  <c r="E237" i="29"/>
  <c r="M447" i="29"/>
  <c r="N447" i="29" s="1"/>
  <c r="M338" i="11"/>
  <c r="E99" i="29"/>
  <c r="E236" i="29"/>
  <c r="G582" i="10"/>
  <c r="G584" i="10" s="1"/>
  <c r="E535" i="10" s="1"/>
  <c r="Q311" i="11" s="1"/>
  <c r="J469" i="29"/>
  <c r="N469" i="29" s="1"/>
  <c r="M360" i="11"/>
  <c r="E466" i="16"/>
  <c r="C1839" i="16"/>
  <c r="C1894" i="16" s="1"/>
  <c r="C1949" i="16" s="1"/>
  <c r="C2004" i="16" s="1"/>
  <c r="M336" i="11"/>
  <c r="K445" i="29"/>
  <c r="N445" i="29" s="1"/>
  <c r="N470" i="29"/>
  <c r="D1128" i="14"/>
  <c r="F1072" i="14"/>
  <c r="H1072" i="14" s="1"/>
  <c r="J55" i="11" s="1"/>
  <c r="K68" i="29" s="1"/>
  <c r="C674" i="16"/>
  <c r="E620" i="16"/>
  <c r="G620" i="16" s="1"/>
  <c r="C625" i="16"/>
  <c r="E625" i="16" s="1"/>
  <c r="G625" i="16" s="1"/>
  <c r="D57" i="11"/>
  <c r="D1151" i="14"/>
  <c r="F1151" i="14" s="1"/>
  <c r="E57" i="11" s="1"/>
  <c r="F70" i="29" s="1"/>
  <c r="F1141" i="14"/>
  <c r="J67" i="29"/>
  <c r="F1038" i="12"/>
  <c r="H1038" i="12" s="1"/>
  <c r="L144" i="11" s="1"/>
  <c r="M174" i="29" s="1"/>
  <c r="D1093" i="12"/>
  <c r="F1093" i="12" s="1"/>
  <c r="H1093" i="12" s="1"/>
  <c r="E1015" i="39"/>
  <c r="G1015" i="39" s="1"/>
  <c r="C1020" i="39"/>
  <c r="E1020" i="39" s="1"/>
  <c r="G1020" i="39" s="1"/>
  <c r="C1068" i="39"/>
  <c r="D1181" i="14"/>
  <c r="F1124" i="14"/>
  <c r="H1124" i="14" s="1"/>
  <c r="F972" i="9"/>
  <c r="H972" i="9" s="1"/>
  <c r="L115" i="11" s="1"/>
  <c r="M137" i="29" s="1"/>
  <c r="D1021" i="9"/>
  <c r="C755" i="39"/>
  <c r="C709" i="39"/>
  <c r="E709" i="39" s="1"/>
  <c r="G709" i="39" s="1"/>
  <c r="E704" i="39"/>
  <c r="G704" i="39" s="1"/>
  <c r="N171" i="29"/>
  <c r="D1136" i="9"/>
  <c r="E1087" i="9"/>
  <c r="H1087" i="9" s="1"/>
  <c r="J1087" i="9" s="1"/>
  <c r="D1090" i="9" s="1"/>
  <c r="F1090" i="9" s="1"/>
  <c r="F964" i="14"/>
  <c r="H964" i="14" s="1"/>
  <c r="L53" i="11" s="1"/>
  <c r="M66" i="29" s="1"/>
  <c r="D1019" i="14"/>
  <c r="H27" i="5"/>
  <c r="E28" i="5"/>
  <c r="G1397" i="12"/>
  <c r="F1452" i="12"/>
  <c r="E1062" i="16"/>
  <c r="G1170" i="16"/>
  <c r="I1170" i="16" s="1"/>
  <c r="C1174" i="16" s="1"/>
  <c r="E1174" i="16" s="1"/>
  <c r="D1222" i="16"/>
  <c r="G1222" i="16" s="1"/>
  <c r="I1222" i="16" s="1"/>
  <c r="C1226" i="16" s="1"/>
  <c r="E1226" i="16" s="1"/>
  <c r="H379" i="11"/>
  <c r="N379" i="11" s="1"/>
  <c r="P379" i="11" s="1"/>
  <c r="G232" i="11"/>
  <c r="G51" i="39"/>
  <c r="G53" i="39" s="1"/>
  <c r="E4" i="39" s="1"/>
  <c r="Q232" i="11" s="1"/>
  <c r="K126" i="11"/>
  <c r="H49" i="12"/>
  <c r="F36" i="12" s="1"/>
  <c r="K210" i="29"/>
  <c r="M291" i="11"/>
  <c r="E387" i="29"/>
  <c r="I387" i="29" s="1"/>
  <c r="O387" i="29" s="1"/>
  <c r="Q387" i="29" s="1"/>
  <c r="S387" i="29" s="1"/>
  <c r="U387" i="29" s="1"/>
  <c r="E171" i="11"/>
  <c r="F228" i="29" s="1"/>
  <c r="E58" i="16"/>
  <c r="G104" i="16" s="1"/>
  <c r="G106" i="16" s="1"/>
  <c r="E56" i="16" s="1"/>
  <c r="Q171" i="11" s="1"/>
  <c r="E124" i="29"/>
  <c r="E80" i="11"/>
  <c r="F93" i="29" s="1"/>
  <c r="F617" i="36"/>
  <c r="M91" i="29"/>
  <c r="N91" i="29" s="1"/>
  <c r="M78" i="11"/>
  <c r="E41" i="11"/>
  <c r="F233" i="14"/>
  <c r="H279" i="14" s="1"/>
  <c r="H281" i="14" s="1"/>
  <c r="F231" i="14" s="1"/>
  <c r="E106" i="11"/>
  <c r="F128" i="29" s="1"/>
  <c r="F496" i="9"/>
  <c r="M43" i="11"/>
  <c r="M56" i="29"/>
  <c r="N56" i="29" s="1"/>
  <c r="E1653" i="39"/>
  <c r="E1705" i="39" s="1"/>
  <c r="E1756" i="39" s="1"/>
  <c r="E1807" i="39" s="1"/>
  <c r="E1859" i="39" s="1"/>
  <c r="E1911" i="39" s="1"/>
  <c r="E1962" i="39" s="1"/>
  <c r="E2014" i="39" s="1"/>
  <c r="E2066" i="39" s="1"/>
  <c r="E2117" i="39" s="1"/>
  <c r="E2169" i="39" s="1"/>
  <c r="E2220" i="39" s="1"/>
  <c r="E2272" i="39" s="1"/>
  <c r="E1602" i="39"/>
  <c r="H47" i="11"/>
  <c r="N47" i="11" s="1"/>
  <c r="P47" i="11" s="1"/>
  <c r="E60" i="29"/>
  <c r="I60" i="29" s="1"/>
  <c r="O60" i="29" s="1"/>
  <c r="Q60" i="29" s="1"/>
  <c r="S60" i="29" s="1"/>
  <c r="U60" i="29" s="1"/>
  <c r="G572" i="39"/>
  <c r="I572" i="39" s="1"/>
  <c r="C576" i="39" s="1"/>
  <c r="E576" i="39" s="1"/>
  <c r="M352" i="11"/>
  <c r="K461" i="29"/>
  <c r="N461" i="29" s="1"/>
  <c r="E110" i="11"/>
  <c r="F132" i="29" s="1"/>
  <c r="F692" i="9"/>
  <c r="L451" i="29"/>
  <c r="N451" i="29" s="1"/>
  <c r="M342" i="11"/>
  <c r="C566" i="16"/>
  <c r="C518" i="16"/>
  <c r="E518" i="16" s="1"/>
  <c r="G518" i="16" s="1"/>
  <c r="E513" i="16"/>
  <c r="G513" i="16" s="1"/>
  <c r="M462" i="29"/>
  <c r="N462" i="29" s="1"/>
  <c r="M353" i="11"/>
  <c r="F130" i="29"/>
  <c r="C861" i="39"/>
  <c r="E808" i="39"/>
  <c r="G808" i="39" s="1"/>
  <c r="C813" i="39"/>
  <c r="E813" i="39" s="1"/>
  <c r="G813" i="39" s="1"/>
  <c r="M361" i="11"/>
  <c r="E185" i="11"/>
  <c r="F242" i="29" s="1"/>
  <c r="E531" i="16"/>
  <c r="J103" i="29"/>
  <c r="N103" i="29" s="1"/>
  <c r="M90" i="11"/>
  <c r="L64" i="29"/>
  <c r="N64" i="29" s="1"/>
  <c r="M51" i="11"/>
  <c r="M100" i="29"/>
  <c r="N100" i="29" s="1"/>
  <c r="M87" i="11"/>
  <c r="F775" i="12"/>
  <c r="E103" i="29"/>
  <c r="H52" i="11"/>
  <c r="E65" i="29"/>
  <c r="I65" i="29" s="1"/>
  <c r="D1127" i="14"/>
  <c r="F1071" i="14"/>
  <c r="H1071" i="14" s="1"/>
  <c r="I55" i="11" s="1"/>
  <c r="D1361" i="12"/>
  <c r="D1311" i="12"/>
  <c r="F1311" i="12" s="1"/>
  <c r="H1311" i="12" s="1"/>
  <c r="F1306" i="12"/>
  <c r="H1306" i="12" s="1"/>
  <c r="F920" i="14"/>
  <c r="D1310" i="12"/>
  <c r="F1310" i="12" s="1"/>
  <c r="H1310" i="12" s="1"/>
  <c r="F1305" i="12"/>
  <c r="H1305" i="12" s="1"/>
  <c r="D1360" i="12"/>
  <c r="E1964" i="16"/>
  <c r="H2492" i="13"/>
  <c r="F2479" i="13" s="1"/>
  <c r="I367" i="11"/>
  <c r="E68" i="29"/>
  <c r="C1529" i="39"/>
  <c r="C1481" i="39"/>
  <c r="E1481" i="39" s="1"/>
  <c r="G1481" i="39" s="1"/>
  <c r="E1476" i="39"/>
  <c r="G1476" i="39" s="1"/>
  <c r="C1376" i="39"/>
  <c r="C1330" i="39"/>
  <c r="E1330" i="39" s="1"/>
  <c r="G1330" i="39" s="1"/>
  <c r="E1325" i="39"/>
  <c r="G1325" i="39" s="1"/>
  <c r="C1478" i="39"/>
  <c r="E174" i="29"/>
  <c r="C1277" i="12"/>
  <c r="C1328" i="12"/>
  <c r="C1304" i="12"/>
  <c r="F1182" i="12"/>
  <c r="G1127" i="12"/>
  <c r="E1494" i="12"/>
  <c r="H1494" i="12" s="1"/>
  <c r="J1494" i="12" s="1"/>
  <c r="D1498" i="12" s="1"/>
  <c r="F1498" i="12" s="1"/>
  <c r="D1549" i="12"/>
  <c r="C1309" i="16"/>
  <c r="E1257" i="16"/>
  <c r="G1257" i="16" s="1"/>
  <c r="C1262" i="16"/>
  <c r="E1262" i="16" s="1"/>
  <c r="G1262" i="16" s="1"/>
  <c r="C1327" i="16"/>
  <c r="C1380" i="16" s="1"/>
  <c r="D1275" i="16"/>
  <c r="K98" i="11"/>
  <c r="H140" i="9"/>
  <c r="F132" i="9" s="1"/>
  <c r="F1466" i="13"/>
  <c r="F1411" i="13"/>
  <c r="H1411" i="13" s="1"/>
  <c r="J1411" i="13" s="1"/>
  <c r="D1415" i="13" s="1"/>
  <c r="F1415" i="13" s="1"/>
  <c r="H1355" i="13"/>
  <c r="J1355" i="13" s="1"/>
  <c r="D1359" i="13" s="1"/>
  <c r="F1359" i="13" s="1"/>
  <c r="E156" i="29"/>
  <c r="G169" i="9"/>
  <c r="G125" i="9"/>
  <c r="E320" i="11"/>
  <c r="F420" i="29" s="1"/>
  <c r="E6" i="24"/>
  <c r="G47" i="24" s="1"/>
  <c r="D31" i="11"/>
  <c r="F288" i="13"/>
  <c r="G288" i="13" s="1"/>
  <c r="G294" i="13" s="1"/>
  <c r="G344" i="13"/>
  <c r="G350" i="13" s="1"/>
  <c r="F337" i="13" s="1"/>
  <c r="F329" i="11" s="1"/>
  <c r="G438" i="29" s="1"/>
  <c r="F401" i="13"/>
  <c r="E53" i="29"/>
  <c r="I53" i="29" s="1"/>
  <c r="O53" i="29" s="1"/>
  <c r="Q53" i="29" s="1"/>
  <c r="S53" i="29" s="1"/>
  <c r="U53" i="29" s="1"/>
  <c r="H40" i="11"/>
  <c r="N40" i="11" s="1"/>
  <c r="P40" i="11" s="1"/>
  <c r="E176" i="11"/>
  <c r="F233" i="29" s="1"/>
  <c r="E215" i="16"/>
  <c r="G262" i="16" s="1"/>
  <c r="G264" i="16" s="1"/>
  <c r="E213" i="16" s="1"/>
  <c r="Q176" i="11" s="1"/>
  <c r="E107" i="11"/>
  <c r="F129" i="29" s="1"/>
  <c r="F545" i="9"/>
  <c r="E76" i="11"/>
  <c r="F89" i="29" s="1"/>
  <c r="F393" i="36"/>
  <c r="F1106" i="39"/>
  <c r="E1097" i="39" s="1"/>
  <c r="F257" i="11" s="1"/>
  <c r="G325" i="29" s="1"/>
  <c r="D690" i="39"/>
  <c r="F639" i="39"/>
  <c r="B266" i="39"/>
  <c r="B246" i="39"/>
  <c r="B218" i="39"/>
  <c r="J306" i="29"/>
  <c r="M238" i="11"/>
  <c r="N306" i="29" s="1"/>
  <c r="E379" i="11"/>
  <c r="F266" i="15"/>
  <c r="H310" i="15" s="1"/>
  <c r="H312" i="15" s="1"/>
  <c r="F264" i="15" s="1"/>
  <c r="E126" i="11"/>
  <c r="F156" i="29" s="1"/>
  <c r="F5" i="12"/>
  <c r="H52" i="12" s="1"/>
  <c r="H54" i="12" s="1"/>
  <c r="F3" i="12" s="1"/>
  <c r="Q126" i="11" s="1"/>
  <c r="F66" i="9"/>
  <c r="H94" i="9" s="1"/>
  <c r="F97" i="11"/>
  <c r="K51" i="29"/>
  <c r="N51" i="29" s="1"/>
  <c r="M38" i="11"/>
  <c r="D15" i="11"/>
  <c r="G104" i="10"/>
  <c r="G106" i="10" s="1"/>
  <c r="E57" i="10" s="1"/>
  <c r="Q302" i="11" s="1"/>
  <c r="F1918" i="13"/>
  <c r="G1918" i="13" s="1"/>
  <c r="G1925" i="13" s="1"/>
  <c r="G1865" i="13"/>
  <c r="G1871" i="13" s="1"/>
  <c r="F1853" i="13" s="1"/>
  <c r="F356" i="11" s="1"/>
  <c r="G465" i="29" s="1"/>
  <c r="M171" i="11"/>
  <c r="L228" i="29"/>
  <c r="N228" i="29" s="1"/>
  <c r="F300" i="9"/>
  <c r="E102" i="11"/>
  <c r="F124" i="29" s="1"/>
  <c r="Q376" i="11"/>
  <c r="R376" i="11" s="1"/>
  <c r="K7" i="15"/>
  <c r="M326" i="11"/>
  <c r="M435" i="29"/>
  <c r="N435" i="29" s="1"/>
  <c r="E174" i="11"/>
  <c r="F231" i="29" s="1"/>
  <c r="E163" i="16"/>
  <c r="G209" i="16" s="1"/>
  <c r="G211" i="16" s="1"/>
  <c r="E161" i="16" s="1"/>
  <c r="Q174" i="11" s="1"/>
  <c r="M79" i="11"/>
  <c r="M92" i="29"/>
  <c r="N92" i="29" s="1"/>
  <c r="J372" i="29"/>
  <c r="N372" i="29" s="1"/>
  <c r="P372" i="29" s="1"/>
  <c r="Q372" i="29" s="1"/>
  <c r="S372" i="29" s="1"/>
  <c r="U372" i="29" s="1"/>
  <c r="M307" i="11"/>
  <c r="N307" i="11" s="1"/>
  <c r="P307" i="11" s="1"/>
  <c r="R307" i="11" s="1"/>
  <c r="M304" i="11"/>
  <c r="N304" i="11" s="1"/>
  <c r="P304" i="11" s="1"/>
  <c r="R304" i="11" s="1"/>
  <c r="M369" i="29"/>
  <c r="N369" i="29" s="1"/>
  <c r="P369" i="29" s="1"/>
  <c r="Q369" i="29" s="1"/>
  <c r="S369" i="29" s="1"/>
  <c r="U369" i="29" s="1"/>
  <c r="H554" i="36"/>
  <c r="H556" i="36" s="1"/>
  <c r="F505" i="36" s="1"/>
  <c r="E233" i="29"/>
  <c r="I233" i="29" s="1"/>
  <c r="P233" i="29" s="1"/>
  <c r="Q233" i="29" s="1"/>
  <c r="S233" i="29" s="1"/>
  <c r="U233" i="29" s="1"/>
  <c r="H176" i="11"/>
  <c r="N176" i="11" s="1"/>
  <c r="P176" i="11" s="1"/>
  <c r="R176" i="11" s="1"/>
  <c r="J440" i="29"/>
  <c r="N440" i="29" s="1"/>
  <c r="M331" i="11"/>
  <c r="E128" i="29"/>
  <c r="E129" i="29"/>
  <c r="E89" i="29"/>
  <c r="I89" i="29" s="1"/>
  <c r="H76" i="11"/>
  <c r="M132" i="11"/>
  <c r="M330" i="11"/>
  <c r="M439" i="29"/>
  <c r="N439" i="29" s="1"/>
  <c r="J458" i="29"/>
  <c r="N458" i="29" s="1"/>
  <c r="M349" i="11"/>
  <c r="K164" i="29"/>
  <c r="N164" i="29" s="1"/>
  <c r="M134" i="11"/>
  <c r="K373" i="29"/>
  <c r="N373" i="29" s="1"/>
  <c r="M308" i="11"/>
  <c r="F610" i="12"/>
  <c r="E132" i="29"/>
  <c r="D1375" i="36"/>
  <c r="F1375" i="36" s="1"/>
  <c r="H1375" i="36" s="1"/>
  <c r="D1331" i="36"/>
  <c r="F1331" i="36" s="1"/>
  <c r="H1331" i="36" s="1"/>
  <c r="F1326" i="36"/>
  <c r="H1326" i="36" s="1"/>
  <c r="E1834" i="16"/>
  <c r="G461" i="16"/>
  <c r="M85" i="11"/>
  <c r="L98" i="29"/>
  <c r="N98" i="29" s="1"/>
  <c r="D980" i="12"/>
  <c r="F925" i="12"/>
  <c r="H925" i="12" s="1"/>
  <c r="C707" i="39"/>
  <c r="C661" i="39"/>
  <c r="E661" i="39" s="1"/>
  <c r="G661" i="39" s="1"/>
  <c r="E656" i="39"/>
  <c r="G656" i="39" s="1"/>
  <c r="G662" i="39" s="1"/>
  <c r="E649" i="39" s="1"/>
  <c r="M61" i="29"/>
  <c r="N61" i="29" s="1"/>
  <c r="M48" i="11"/>
  <c r="E242" i="29"/>
  <c r="E50" i="11"/>
  <c r="F63" i="29" s="1"/>
  <c r="F749" i="14"/>
  <c r="H798" i="14" s="1"/>
  <c r="H800" i="14" s="1"/>
  <c r="F747" i="14" s="1"/>
  <c r="H51" i="11"/>
  <c r="N51" i="11" s="1"/>
  <c r="P51" i="11" s="1"/>
  <c r="E64" i="29"/>
  <c r="I64" i="29" s="1"/>
  <c r="O64" i="29" s="1"/>
  <c r="Q64" i="29" s="1"/>
  <c r="S64" i="29" s="1"/>
  <c r="U64" i="29" s="1"/>
  <c r="E170" i="29"/>
  <c r="C756" i="39"/>
  <c r="E705" i="39"/>
  <c r="G705" i="39" s="1"/>
  <c r="C710" i="39"/>
  <c r="E710" i="39" s="1"/>
  <c r="G710" i="39" s="1"/>
  <c r="D1163" i="12"/>
  <c r="E1108" i="12"/>
  <c r="H1108" i="12" s="1"/>
  <c r="J1108" i="12" s="1"/>
  <c r="D1112" i="12" s="1"/>
  <c r="F1112" i="12" s="1"/>
  <c r="G853" i="16"/>
  <c r="I853" i="16" s="1"/>
  <c r="C857" i="16" s="1"/>
  <c r="E857" i="16" s="1"/>
  <c r="D906" i="16"/>
  <c r="G906" i="16" s="1"/>
  <c r="I906" i="16" s="1"/>
  <c r="C910" i="16" s="1"/>
  <c r="E910" i="16" s="1"/>
  <c r="H53" i="11"/>
  <c r="E66" i="29"/>
  <c r="I66" i="29" s="1"/>
  <c r="F1341" i="12"/>
  <c r="G1286" i="12"/>
  <c r="G880" i="39"/>
  <c r="J454" i="29"/>
  <c r="N454" i="29" s="1"/>
  <c r="M345" i="11"/>
  <c r="D92" i="11"/>
  <c r="D1299" i="36"/>
  <c r="F1299" i="36" s="1"/>
  <c r="E92" i="11" s="1"/>
  <c r="F105" i="29" s="1"/>
  <c r="E286" i="29"/>
  <c r="F2534" i="13"/>
  <c r="H2534" i="13" s="1"/>
  <c r="D2539" i="13"/>
  <c r="F2539" i="13" s="1"/>
  <c r="H2539" i="13" s="1"/>
  <c r="C1223" i="12"/>
  <c r="C1254" i="12"/>
  <c r="C1274" i="12"/>
  <c r="E55" i="11"/>
  <c r="F68" i="29" s="1"/>
  <c r="F1030" i="14"/>
  <c r="J177" i="29"/>
  <c r="F1229" i="12"/>
  <c r="G1174" i="12"/>
  <c r="C1223" i="16"/>
  <c r="C1276" i="16" s="1"/>
  <c r="D1171" i="16"/>
  <c r="F1085" i="14"/>
  <c r="K10" i="15" l="1"/>
  <c r="Q379" i="11"/>
  <c r="J68" i="29"/>
  <c r="R379" i="11"/>
  <c r="C727" i="16"/>
  <c r="E674" i="16"/>
  <c r="G674" i="16" s="1"/>
  <c r="K188" i="11" s="1"/>
  <c r="L245" i="29" s="1"/>
  <c r="C679" i="16"/>
  <c r="E679" i="16" s="1"/>
  <c r="G679" i="16" s="1"/>
  <c r="I4" i="11"/>
  <c r="D12" i="37"/>
  <c r="I5" i="11" s="1"/>
  <c r="D34" i="18"/>
  <c r="P373" i="29"/>
  <c r="Q373" i="29" s="1"/>
  <c r="S373" i="29" s="1"/>
  <c r="U373" i="29" s="1"/>
  <c r="V57" i="29"/>
  <c r="W57" i="29" s="1"/>
  <c r="H105" i="36"/>
  <c r="F92" i="36" s="1"/>
  <c r="D1415" i="12"/>
  <c r="F1360" i="12"/>
  <c r="H1360" i="12" s="1"/>
  <c r="D1365" i="12"/>
  <c r="F1365" i="12" s="1"/>
  <c r="H1365" i="12" s="1"/>
  <c r="N210" i="29"/>
  <c r="P210" i="29" s="1"/>
  <c r="Q210" i="29" s="1"/>
  <c r="S210" i="29" s="1"/>
  <c r="U210" i="29" s="1"/>
  <c r="N291" i="11"/>
  <c r="P291" i="11" s="1"/>
  <c r="R291" i="11" s="1"/>
  <c r="V61" i="29"/>
  <c r="E2356" i="13"/>
  <c r="G2299" i="13"/>
  <c r="O56" i="29"/>
  <c r="Q56" i="29" s="1"/>
  <c r="S56" i="29" s="1"/>
  <c r="U56" i="29" s="1"/>
  <c r="B754" i="39"/>
  <c r="B729" i="39"/>
  <c r="F101" i="36"/>
  <c r="H101" i="36" s="1"/>
  <c r="I70" i="11" s="1"/>
  <c r="D155" i="36"/>
  <c r="C1328" i="16"/>
  <c r="C1381" i="16" s="1"/>
  <c r="D1276" i="16"/>
  <c r="C1278" i="12"/>
  <c r="C1329" i="12"/>
  <c r="C1309" i="12"/>
  <c r="F1289" i="36"/>
  <c r="G1341" i="12"/>
  <c r="F1396" i="12"/>
  <c r="C712" i="39"/>
  <c r="E712" i="39" s="1"/>
  <c r="G712" i="39" s="1"/>
  <c r="C758" i="39"/>
  <c r="E707" i="39"/>
  <c r="G707" i="39" s="1"/>
  <c r="K505" i="36"/>
  <c r="K17" i="36"/>
  <c r="P17" i="36" s="1"/>
  <c r="Q78" i="11"/>
  <c r="H55" i="11"/>
  <c r="I149" i="11"/>
  <c r="G522" i="16"/>
  <c r="E509" i="16" s="1"/>
  <c r="I183" i="11"/>
  <c r="F1084" i="9"/>
  <c r="D1093" i="9"/>
  <c r="F1093" i="9" s="1"/>
  <c r="E118" i="11" s="1"/>
  <c r="F140" i="29" s="1"/>
  <c r="D118" i="11"/>
  <c r="D1185" i="14"/>
  <c r="F1128" i="14"/>
  <c r="H1128" i="14" s="1"/>
  <c r="J56" i="11" s="1"/>
  <c r="K69" i="29" s="1"/>
  <c r="Q40" i="11"/>
  <c r="R40" i="11" s="1"/>
  <c r="K12" i="14"/>
  <c r="F52" i="29"/>
  <c r="I52" i="29" s="1"/>
  <c r="O52" i="29" s="1"/>
  <c r="Q52" i="29" s="1"/>
  <c r="S52" i="29" s="1"/>
  <c r="U52" i="29" s="1"/>
  <c r="H39" i="11"/>
  <c r="N39" i="11" s="1"/>
  <c r="P39" i="11" s="1"/>
  <c r="H320" i="11"/>
  <c r="N320" i="11" s="1"/>
  <c r="D335" i="13"/>
  <c r="F335" i="13" s="1"/>
  <c r="D329" i="11"/>
  <c r="D740" i="39"/>
  <c r="F740" i="39" s="1"/>
  <c r="F689" i="39"/>
  <c r="F692" i="39" s="1"/>
  <c r="E683" i="39" s="1"/>
  <c r="F247" i="11" s="1"/>
  <c r="G315" i="29" s="1"/>
  <c r="E104" i="29"/>
  <c r="L91" i="11"/>
  <c r="M104" i="29" s="1"/>
  <c r="L92" i="11"/>
  <c r="M105" i="29" s="1"/>
  <c r="O61" i="29"/>
  <c r="Q61" i="29" s="1"/>
  <c r="S61" i="29" s="1"/>
  <c r="U61" i="29" s="1"/>
  <c r="M347" i="11"/>
  <c r="K456" i="29"/>
  <c r="N456" i="29" s="1"/>
  <c r="O435" i="29"/>
  <c r="Q435" i="29" s="1"/>
  <c r="S435" i="29" s="1"/>
  <c r="U435" i="29" s="1"/>
  <c r="E57" i="39"/>
  <c r="G102" i="39" s="1"/>
  <c r="G104" i="39" s="1"/>
  <c r="E55" i="39" s="1"/>
  <c r="Q233" i="11" s="1"/>
  <c r="E233" i="11"/>
  <c r="F301" i="29" s="1"/>
  <c r="E437" i="29"/>
  <c r="N49" i="11"/>
  <c r="P49" i="11" s="1"/>
  <c r="Q48" i="11"/>
  <c r="R48" i="11" s="1"/>
  <c r="K20" i="14"/>
  <c r="F450" i="15"/>
  <c r="H450" i="15" s="1"/>
  <c r="D498" i="15"/>
  <c r="G1403" i="12"/>
  <c r="F1458" i="12"/>
  <c r="D123" i="37"/>
  <c r="D9" i="18"/>
  <c r="D139" i="18"/>
  <c r="D215" i="18"/>
  <c r="D197" i="18"/>
  <c r="D75" i="18"/>
  <c r="D120" i="18"/>
  <c r="D159" i="18"/>
  <c r="D30" i="18"/>
  <c r="D75" i="37"/>
  <c r="D328" i="18"/>
  <c r="D53" i="18"/>
  <c r="D162" i="37"/>
  <c r="D291" i="18"/>
  <c r="D234" i="18"/>
  <c r="D97" i="18"/>
  <c r="D271" i="18"/>
  <c r="D252" i="18"/>
  <c r="D310" i="18"/>
  <c r="D142" i="37"/>
  <c r="D177" i="18"/>
  <c r="Q44" i="11"/>
  <c r="R44" i="11" s="1"/>
  <c r="K16" i="14"/>
  <c r="H70" i="11"/>
  <c r="H158" i="29"/>
  <c r="I158" i="29" s="1"/>
  <c r="P158" i="29" s="1"/>
  <c r="Q158" i="29" s="1"/>
  <c r="S158" i="29" s="1"/>
  <c r="U158" i="29" s="1"/>
  <c r="H128" i="11"/>
  <c r="N128" i="11" s="1"/>
  <c r="P128" i="11" s="1"/>
  <c r="R128" i="11" s="1"/>
  <c r="D1218" i="12"/>
  <c r="E1163" i="12"/>
  <c r="H1163" i="12" s="1"/>
  <c r="J1163" i="12" s="1"/>
  <c r="D1167" i="12" s="1"/>
  <c r="F1167" i="12" s="1"/>
  <c r="V53" i="29"/>
  <c r="W53" i="29" s="1"/>
  <c r="E1309" i="16"/>
  <c r="G1309" i="16" s="1"/>
  <c r="C1362" i="16"/>
  <c r="C1314" i="16"/>
  <c r="E1314" i="16" s="1"/>
  <c r="G1314" i="16" s="1"/>
  <c r="G466" i="16"/>
  <c r="E1839" i="16"/>
  <c r="E1184" i="13"/>
  <c r="I212" i="29"/>
  <c r="F1285" i="12"/>
  <c r="G1230" i="12"/>
  <c r="H107" i="36"/>
  <c r="H109" i="36" s="1"/>
  <c r="F58" i="36" s="1"/>
  <c r="F628" i="12"/>
  <c r="G573" i="12"/>
  <c r="G579" i="12" s="1"/>
  <c r="G236" i="31"/>
  <c r="U118" i="29"/>
  <c r="J322" i="29"/>
  <c r="I256" i="11"/>
  <c r="H929" i="12"/>
  <c r="F916" i="12" s="1"/>
  <c r="I142" i="11"/>
  <c r="J93" i="11"/>
  <c r="H1378" i="36"/>
  <c r="F1370" i="36" s="1"/>
  <c r="H1380" i="36" s="1"/>
  <c r="H1382" i="36" s="1"/>
  <c r="F1343" i="36" s="1"/>
  <c r="G119" i="29"/>
  <c r="I119" i="29" s="1"/>
  <c r="P119" i="29" s="1"/>
  <c r="Q119" i="29" s="1"/>
  <c r="R119" i="29" s="1"/>
  <c r="S119" i="29" s="1"/>
  <c r="U119" i="29" s="1"/>
  <c r="H97" i="11"/>
  <c r="N97" i="11" s="1"/>
  <c r="F458" i="13"/>
  <c r="G401" i="13"/>
  <c r="G407" i="13" s="1"/>
  <c r="F394" i="13" s="1"/>
  <c r="F330" i="11" s="1"/>
  <c r="G439" i="29" s="1"/>
  <c r="F98" i="11"/>
  <c r="F115" i="9"/>
  <c r="H143" i="9" s="1"/>
  <c r="L120" i="29"/>
  <c r="N120" i="29" s="1"/>
  <c r="M98" i="11"/>
  <c r="C1531" i="39"/>
  <c r="E1478" i="39"/>
  <c r="G1478" i="39" s="1"/>
  <c r="C1483" i="39"/>
  <c r="E1483" i="39" s="1"/>
  <c r="G1483" i="39" s="1"/>
  <c r="I68" i="29"/>
  <c r="E1136" i="9"/>
  <c r="H1136" i="9" s="1"/>
  <c r="J1136" i="9" s="1"/>
  <c r="D1139" i="9" s="1"/>
  <c r="F1139" i="9" s="1"/>
  <c r="D1185" i="9"/>
  <c r="D1235" i="14"/>
  <c r="F1181" i="14"/>
  <c r="H1181" i="14" s="1"/>
  <c r="F443" i="13"/>
  <c r="H386" i="13"/>
  <c r="J386" i="13" s="1"/>
  <c r="D390" i="13" s="1"/>
  <c r="F390" i="13" s="1"/>
  <c r="G214" i="39"/>
  <c r="D266" i="39"/>
  <c r="G1125" i="12"/>
  <c r="F1180" i="12"/>
  <c r="G1126" i="12"/>
  <c r="F1181" i="12"/>
  <c r="D1333" i="36"/>
  <c r="F1333" i="36" s="1"/>
  <c r="H1333" i="36" s="1"/>
  <c r="D1377" i="36"/>
  <c r="F1377" i="36" s="1"/>
  <c r="H1377" i="36" s="1"/>
  <c r="L93" i="11" s="1"/>
  <c r="M21" i="41" s="1"/>
  <c r="F1328" i="36"/>
  <c r="H1328" i="36" s="1"/>
  <c r="Q47" i="11"/>
  <c r="K19" i="14"/>
  <c r="D38" i="18" s="1"/>
  <c r="I92" i="29"/>
  <c r="O92" i="29" s="1"/>
  <c r="Q92" i="29" s="1"/>
  <c r="S92" i="29" s="1"/>
  <c r="U92" i="29" s="1"/>
  <c r="J82" i="29"/>
  <c r="N82" i="29" s="1"/>
  <c r="O82" i="29" s="1"/>
  <c r="Q82" i="29" s="1"/>
  <c r="S82" i="29" s="1"/>
  <c r="U82" i="29" s="1"/>
  <c r="M69" i="11"/>
  <c r="N69" i="11" s="1"/>
  <c r="P69" i="11" s="1"/>
  <c r="O62" i="29"/>
  <c r="Q62" i="29" s="1"/>
  <c r="S62" i="29" s="1"/>
  <c r="U62" i="29" s="1"/>
  <c r="F84" i="29"/>
  <c r="I84" i="29" s="1"/>
  <c r="H71" i="11"/>
  <c r="K4" i="17"/>
  <c r="Q289" i="11"/>
  <c r="F1363" i="13"/>
  <c r="F347" i="11"/>
  <c r="G456" i="29" s="1"/>
  <c r="C1183" i="14"/>
  <c r="C1202" i="14"/>
  <c r="C1149" i="14"/>
  <c r="E161" i="29"/>
  <c r="I161" i="29" s="1"/>
  <c r="P161" i="29" s="1"/>
  <c r="Q161" i="29" s="1"/>
  <c r="S161" i="29" s="1"/>
  <c r="U161" i="29" s="1"/>
  <c r="H131" i="11"/>
  <c r="N131" i="11" s="1"/>
  <c r="P131" i="11" s="1"/>
  <c r="F628" i="13"/>
  <c r="G571" i="13"/>
  <c r="L145" i="11"/>
  <c r="M175" i="29" s="1"/>
  <c r="F1179" i="12"/>
  <c r="G1124" i="12"/>
  <c r="C1317" i="39"/>
  <c r="E1266" i="39"/>
  <c r="G1266" i="39" s="1"/>
  <c r="I83" i="29"/>
  <c r="F777" i="39"/>
  <c r="F829" i="39" s="1"/>
  <c r="F881" i="39" s="1"/>
  <c r="F573" i="39"/>
  <c r="F624" i="39" s="1"/>
  <c r="F675" i="39" s="1"/>
  <c r="F726" i="39" s="1"/>
  <c r="H174" i="11"/>
  <c r="N174" i="11" s="1"/>
  <c r="P174" i="11" s="1"/>
  <c r="R174" i="11" s="1"/>
  <c r="D14" i="18"/>
  <c r="D59" i="18"/>
  <c r="D106" i="18"/>
  <c r="D36" i="18"/>
  <c r="D83" i="18"/>
  <c r="G49" i="24"/>
  <c r="G50" i="24" s="1"/>
  <c r="E4" i="24" s="1"/>
  <c r="Q320" i="11" s="1"/>
  <c r="B1242" i="39"/>
  <c r="B1218" i="39"/>
  <c r="B1194" i="39"/>
  <c r="F1037" i="39"/>
  <c r="G985" i="39"/>
  <c r="I985" i="39" s="1"/>
  <c r="C989" i="39" s="1"/>
  <c r="E989" i="39" s="1"/>
  <c r="B167" i="39"/>
  <c r="B196" i="39"/>
  <c r="K22" i="14"/>
  <c r="Q50" i="11"/>
  <c r="C1580" i="39"/>
  <c r="E1529" i="39"/>
  <c r="G1529" i="39" s="1"/>
  <c r="C1534" i="39"/>
  <c r="E1534" i="39" s="1"/>
  <c r="G1534" i="39" s="1"/>
  <c r="E301" i="29"/>
  <c r="H233" i="11"/>
  <c r="G828" i="39"/>
  <c r="I828" i="39" s="1"/>
  <c r="C832" i="39" s="1"/>
  <c r="E832" i="39" s="1"/>
  <c r="I776" i="39"/>
  <c r="C780" i="39" s="1"/>
  <c r="E780" i="39" s="1"/>
  <c r="E756" i="39"/>
  <c r="G756" i="39" s="1"/>
  <c r="C761" i="39"/>
  <c r="E761" i="39" s="1"/>
  <c r="G761" i="39" s="1"/>
  <c r="G1229" i="12"/>
  <c r="F1284" i="12"/>
  <c r="E105" i="29"/>
  <c r="D1035" i="12"/>
  <c r="F980" i="12"/>
  <c r="H980" i="12" s="1"/>
  <c r="F357" i="11"/>
  <c r="G466" i="29" s="1"/>
  <c r="F1913" i="13"/>
  <c r="H96" i="9"/>
  <c r="H97" i="9"/>
  <c r="F53" i="9" s="1"/>
  <c r="Q97" i="11" s="1"/>
  <c r="G218" i="9"/>
  <c r="G174" i="9"/>
  <c r="D1327" i="16"/>
  <c r="G1327" i="16" s="1"/>
  <c r="I1327" i="16" s="1"/>
  <c r="C1331" i="16" s="1"/>
  <c r="E1331" i="16" s="1"/>
  <c r="G1275" i="16"/>
  <c r="I1275" i="16" s="1"/>
  <c r="C1279" i="16" s="1"/>
  <c r="E1279" i="16" s="1"/>
  <c r="M367" i="11"/>
  <c r="J476" i="29"/>
  <c r="N476" i="29" s="1"/>
  <c r="G814" i="39"/>
  <c r="E801" i="39" s="1"/>
  <c r="C618" i="16"/>
  <c r="E566" i="16"/>
  <c r="G566" i="16" s="1"/>
  <c r="C571" i="16"/>
  <c r="E571" i="16" s="1"/>
  <c r="G571" i="16" s="1"/>
  <c r="L156" i="29"/>
  <c r="N156" i="29" s="1"/>
  <c r="M126" i="11"/>
  <c r="G1452" i="12"/>
  <c r="F1507" i="12"/>
  <c r="C1073" i="39"/>
  <c r="E1073" i="39" s="1"/>
  <c r="G1073" i="39" s="1"/>
  <c r="E1068" i="39"/>
  <c r="G1068" i="39" s="1"/>
  <c r="C1119" i="39"/>
  <c r="I228" i="29"/>
  <c r="P228" i="29" s="1"/>
  <c r="Q228" i="29" s="1"/>
  <c r="S228" i="29" s="1"/>
  <c r="U228" i="29" s="1"/>
  <c r="C419" i="39"/>
  <c r="D317" i="39"/>
  <c r="G317" i="39" s="1"/>
  <c r="I317" i="39" s="1"/>
  <c r="C321" i="39" s="1"/>
  <c r="E321" i="39" s="1"/>
  <c r="C368" i="39"/>
  <c r="D368" i="39" s="1"/>
  <c r="G368" i="39" s="1"/>
  <c r="I368" i="39" s="1"/>
  <c r="C372" i="39" s="1"/>
  <c r="E372" i="39" s="1"/>
  <c r="E1297" i="13"/>
  <c r="H1297" i="13" s="1"/>
  <c r="J1297" i="13" s="1"/>
  <c r="D1301" i="13" s="1"/>
  <c r="F1301" i="13" s="1"/>
  <c r="H1240" i="13"/>
  <c r="J1240" i="13" s="1"/>
  <c r="D1244" i="13" s="1"/>
  <c r="F1244" i="13" s="1"/>
  <c r="K18" i="14"/>
  <c r="Q46" i="11"/>
  <c r="C169" i="39"/>
  <c r="E169" i="39" s="1"/>
  <c r="D235" i="11"/>
  <c r="F725" i="39"/>
  <c r="G725" i="39" s="1"/>
  <c r="I725" i="39" s="1"/>
  <c r="C729" i="39" s="1"/>
  <c r="E729" i="39" s="1"/>
  <c r="G674" i="39"/>
  <c r="I674" i="39" s="1"/>
  <c r="C678" i="39" s="1"/>
  <c r="E678" i="39" s="1"/>
  <c r="N38" i="11"/>
  <c r="P38" i="11" s="1"/>
  <c r="F1532" i="13"/>
  <c r="G1422" i="13"/>
  <c r="G1431" i="13" s="1"/>
  <c r="F1419" i="13" s="1"/>
  <c r="F348" i="11" s="1"/>
  <c r="G457" i="29" s="1"/>
  <c r="K137" i="29"/>
  <c r="D1512" i="14"/>
  <c r="F1455" i="14"/>
  <c r="H1455" i="14" s="1"/>
  <c r="E245" i="29"/>
  <c r="F280" i="12"/>
  <c r="H327" i="12" s="1"/>
  <c r="H329" i="12" s="1"/>
  <c r="F278" i="12" s="1"/>
  <c r="Q131" i="11" s="1"/>
  <c r="H77" i="11"/>
  <c r="N77" i="11" s="1"/>
  <c r="P77" i="11" s="1"/>
  <c r="N37" i="11"/>
  <c r="P37" i="11" s="1"/>
  <c r="D1242" i="39"/>
  <c r="D1198" i="12"/>
  <c r="F1143" i="12"/>
  <c r="H1143" i="12" s="1"/>
  <c r="L146" i="11" s="1"/>
  <c r="M176" i="29" s="1"/>
  <c r="D1148" i="12"/>
  <c r="F1148" i="12" s="1"/>
  <c r="H1148" i="12" s="1"/>
  <c r="H1278" i="36"/>
  <c r="F1265" i="36" s="1"/>
  <c r="H75" i="11"/>
  <c r="Q77" i="11"/>
  <c r="K16" i="36"/>
  <c r="N309" i="11"/>
  <c r="P309" i="11" s="1"/>
  <c r="R309" i="11" s="1"/>
  <c r="B1226" i="16"/>
  <c r="B1253" i="16"/>
  <c r="B1275" i="16"/>
  <c r="I231" i="29"/>
  <c r="P231" i="29" s="1"/>
  <c r="Q231" i="29" s="1"/>
  <c r="S231" i="29" s="1"/>
  <c r="U231" i="29" s="1"/>
  <c r="D741" i="39"/>
  <c r="F741" i="39" s="1"/>
  <c r="F690" i="39"/>
  <c r="D1074" i="14"/>
  <c r="F1019" i="14"/>
  <c r="H1019" i="14" s="1"/>
  <c r="L54" i="11" s="1"/>
  <c r="M67" i="29" s="1"/>
  <c r="D1070" i="9"/>
  <c r="F1021" i="9"/>
  <c r="H1021" i="9" s="1"/>
  <c r="L116" i="11" s="1"/>
  <c r="M138" i="29" s="1"/>
  <c r="E2134" i="13"/>
  <c r="G2080" i="13"/>
  <c r="V59" i="29"/>
  <c r="R46" i="11"/>
  <c r="C1037" i="16"/>
  <c r="E984" i="16"/>
  <c r="G984" i="16" s="1"/>
  <c r="L212" i="29"/>
  <c r="M293" i="11"/>
  <c r="N212" i="29" s="1"/>
  <c r="E1549" i="12"/>
  <c r="H1549" i="12" s="1"/>
  <c r="J1549" i="12" s="1"/>
  <c r="D1553" i="12" s="1"/>
  <c r="F1553" i="12" s="1"/>
  <c r="D1604" i="12"/>
  <c r="F1127" i="14"/>
  <c r="H1127" i="14" s="1"/>
  <c r="I56" i="11" s="1"/>
  <c r="D1184" i="14"/>
  <c r="Q39" i="11"/>
  <c r="K11" i="14"/>
  <c r="I420" i="29"/>
  <c r="O420" i="29" s="1"/>
  <c r="Q420" i="29" s="1"/>
  <c r="R420" i="29" s="1"/>
  <c r="S420" i="29" s="1"/>
  <c r="U420" i="29" s="1"/>
  <c r="F395" i="15"/>
  <c r="H415" i="15" s="1"/>
  <c r="H417" i="15" s="1"/>
  <c r="F369" i="15" s="1"/>
  <c r="G381" i="11"/>
  <c r="H381" i="11" s="1"/>
  <c r="N381" i="11" s="1"/>
  <c r="P381" i="11" s="1"/>
  <c r="D196" i="11"/>
  <c r="C913" i="16"/>
  <c r="E913" i="16" s="1"/>
  <c r="E196" i="11" s="1"/>
  <c r="F253" i="29" s="1"/>
  <c r="E903" i="16"/>
  <c r="D55" i="18"/>
  <c r="D99" i="18"/>
  <c r="D11" i="18"/>
  <c r="D77" i="18"/>
  <c r="D32" i="18"/>
  <c r="F283" i="13"/>
  <c r="F328" i="11"/>
  <c r="G437" i="29" s="1"/>
  <c r="H126" i="11"/>
  <c r="N126" i="11" s="1"/>
  <c r="P126" i="11" s="1"/>
  <c r="R126" i="11" s="1"/>
  <c r="C1434" i="16"/>
  <c r="C1487" i="16" s="1"/>
  <c r="D1380" i="16"/>
  <c r="F1237" i="12"/>
  <c r="G1182" i="12"/>
  <c r="J149" i="11"/>
  <c r="K179" i="29" s="1"/>
  <c r="C913" i="39"/>
  <c r="E861" i="39"/>
  <c r="G861" i="39" s="1"/>
  <c r="C866" i="39"/>
  <c r="E866" i="39" s="1"/>
  <c r="G866" i="39" s="1"/>
  <c r="V60" i="29"/>
  <c r="W60" i="29" s="1"/>
  <c r="R47" i="11"/>
  <c r="Q41" i="11"/>
  <c r="K13" i="14"/>
  <c r="G713" i="39"/>
  <c r="E700" i="39" s="1"/>
  <c r="H57" i="11"/>
  <c r="E70" i="29"/>
  <c r="I70" i="29" s="1"/>
  <c r="F96" i="29"/>
  <c r="H171" i="11"/>
  <c r="N171" i="11" s="1"/>
  <c r="P171" i="11" s="1"/>
  <c r="R171" i="11" s="1"/>
  <c r="J178" i="29"/>
  <c r="M319" i="29"/>
  <c r="L253" i="11"/>
  <c r="M321" i="29" s="1"/>
  <c r="L252" i="11"/>
  <c r="F102" i="29"/>
  <c r="O51" i="29"/>
  <c r="Q51" i="29" s="1"/>
  <c r="S51" i="29" s="1"/>
  <c r="U51" i="29" s="1"/>
  <c r="F1971" i="13"/>
  <c r="F1586" i="13"/>
  <c r="G1477" i="13"/>
  <c r="G1486" i="13" s="1"/>
  <c r="F1474" i="13" s="1"/>
  <c r="F349" i="11" s="1"/>
  <c r="G458" i="29" s="1"/>
  <c r="I63" i="29"/>
  <c r="O63" i="29" s="1"/>
  <c r="Q63" i="29" s="1"/>
  <c r="S63" i="29" s="1"/>
  <c r="U63" i="29" s="1"/>
  <c r="E295" i="16"/>
  <c r="G295" i="16" s="1"/>
  <c r="E292" i="16" s="1"/>
  <c r="G177" i="11" s="1"/>
  <c r="C349" i="16"/>
  <c r="N295" i="11"/>
  <c r="P295" i="11" s="1"/>
  <c r="R295" i="11" s="1"/>
  <c r="I214" i="29"/>
  <c r="P214" i="29" s="1"/>
  <c r="Q214" i="29" s="1"/>
  <c r="S214" i="29" s="1"/>
  <c r="U214" i="29" s="1"/>
  <c r="O90" i="29"/>
  <c r="Q90" i="29" s="1"/>
  <c r="S90" i="29" s="1"/>
  <c r="U90" i="29" s="1"/>
  <c r="C1344" i="39"/>
  <c r="D1293" i="39"/>
  <c r="C1447" i="39"/>
  <c r="F1067" i="9"/>
  <c r="H1067" i="9" s="1"/>
  <c r="D1116" i="9"/>
  <c r="I88" i="29"/>
  <c r="K99" i="11"/>
  <c r="H189" i="9"/>
  <c r="F181" i="9" s="1"/>
  <c r="J308" i="29"/>
  <c r="M240" i="11"/>
  <c r="N308" i="29" s="1"/>
  <c r="G436" i="29"/>
  <c r="I436" i="29" s="1"/>
  <c r="O436" i="29" s="1"/>
  <c r="Q436" i="29" s="1"/>
  <c r="S436" i="29" s="1"/>
  <c r="U436" i="29" s="1"/>
  <c r="H327" i="11"/>
  <c r="N327" i="11" s="1"/>
  <c r="P327" i="11" s="1"/>
  <c r="R327" i="11" s="1"/>
  <c r="E21" i="41"/>
  <c r="H93" i="11"/>
  <c r="G933" i="39"/>
  <c r="I933" i="39" s="1"/>
  <c r="C937" i="39" s="1"/>
  <c r="E937" i="39" s="1"/>
  <c r="I880" i="39"/>
  <c r="C884" i="39" s="1"/>
  <c r="E884" i="39" s="1"/>
  <c r="E1889" i="16"/>
  <c r="G1834" i="16"/>
  <c r="D1417" i="13"/>
  <c r="F1417" i="13" s="1"/>
  <c r="D348" i="11"/>
  <c r="D1018" i="14"/>
  <c r="F963" i="14"/>
  <c r="H963" i="14" s="1"/>
  <c r="O96" i="11"/>
  <c r="P96" i="11"/>
  <c r="R96" i="11" s="1"/>
  <c r="V118" i="29"/>
  <c r="W118" i="29" s="1"/>
  <c r="K327" i="29"/>
  <c r="J261" i="11"/>
  <c r="F1087" i="12"/>
  <c r="H1087" i="12" s="1"/>
  <c r="D1142" i="12"/>
  <c r="D17" i="37"/>
  <c r="Q380" i="11"/>
  <c r="R380" i="11" s="1"/>
  <c r="K11" i="15"/>
  <c r="D1223" i="16"/>
  <c r="G1223" i="16" s="1"/>
  <c r="I1223" i="16" s="1"/>
  <c r="C1227" i="16" s="1"/>
  <c r="E1227" i="16" s="1"/>
  <c r="D205" i="11" s="1"/>
  <c r="G1171" i="16"/>
  <c r="I1171" i="16" s="1"/>
  <c r="C1175" i="16" s="1"/>
  <c r="E1175" i="16" s="1"/>
  <c r="C1177" i="16" s="1"/>
  <c r="E1177" i="16" s="1"/>
  <c r="K52" i="11"/>
  <c r="H910" i="14"/>
  <c r="F897" i="14" s="1"/>
  <c r="H912" i="14" s="1"/>
  <c r="H914" i="14" s="1"/>
  <c r="F860" i="14" s="1"/>
  <c r="N302" i="11"/>
  <c r="P302" i="11" s="1"/>
  <c r="R302" i="11" s="1"/>
  <c r="C1259" i="14"/>
  <c r="C1285" i="14"/>
  <c r="C1309" i="14"/>
  <c r="O59" i="29"/>
  <c r="Q59" i="29" s="1"/>
  <c r="S59" i="29" s="1"/>
  <c r="U59" i="29" s="1"/>
  <c r="K252" i="11"/>
  <c r="K253" i="11"/>
  <c r="L319" i="29"/>
  <c r="M251" i="11"/>
  <c r="N319" i="29" s="1"/>
  <c r="I368" i="11"/>
  <c r="H2543" i="13"/>
  <c r="F2530" i="13" s="1"/>
  <c r="I156" i="29"/>
  <c r="P156" i="29" s="1"/>
  <c r="Q156" i="29" s="1"/>
  <c r="S156" i="29" s="1"/>
  <c r="U156" i="29" s="1"/>
  <c r="E1376" i="39"/>
  <c r="G1376" i="39" s="1"/>
  <c r="C1381" i="39"/>
  <c r="E1381" i="39" s="1"/>
  <c r="G1381" i="39" s="1"/>
  <c r="C1428" i="39"/>
  <c r="F54" i="29"/>
  <c r="I54" i="29" s="1"/>
  <c r="O54" i="29" s="1"/>
  <c r="Q54" i="29" s="1"/>
  <c r="S54" i="29" s="1"/>
  <c r="U54" i="29" s="1"/>
  <c r="H41" i="11"/>
  <c r="N41" i="11" s="1"/>
  <c r="P41" i="11" s="1"/>
  <c r="H28" i="5"/>
  <c r="E29" i="5"/>
  <c r="P160" i="29"/>
  <c r="Q160" i="29" s="1"/>
  <c r="S160" i="29" s="1"/>
  <c r="U160" i="29" s="1"/>
  <c r="D647" i="36"/>
  <c r="F592" i="36"/>
  <c r="H592" i="36" s="1"/>
  <c r="F589" i="36" s="1"/>
  <c r="G79" i="11" s="1"/>
  <c r="H92" i="29" s="1"/>
  <c r="B994" i="16"/>
  <c r="B964" i="16"/>
  <c r="B1012" i="16"/>
  <c r="O432" i="29"/>
  <c r="Q432" i="29" s="1"/>
  <c r="S432" i="29" s="1"/>
  <c r="U432" i="29" s="1"/>
  <c r="F100" i="29"/>
  <c r="D7" i="11"/>
  <c r="D33" i="18"/>
  <c r="D78" i="18"/>
  <c r="D100" i="18"/>
  <c r="D56" i="18"/>
  <c r="E2192" i="13"/>
  <c r="G2137" i="13"/>
  <c r="G2192" i="13" s="1"/>
  <c r="H50" i="11"/>
  <c r="N50" i="11" s="1"/>
  <c r="P50" i="11" s="1"/>
  <c r="F1252" i="14"/>
  <c r="D59" i="11"/>
  <c r="D1262" i="14"/>
  <c r="F1262" i="14" s="1"/>
  <c r="E59" i="11" s="1"/>
  <c r="F72" i="29" s="1"/>
  <c r="G146" i="11"/>
  <c r="H176" i="29" s="1"/>
  <c r="F1131" i="12"/>
  <c r="I116" i="11"/>
  <c r="K104" i="29"/>
  <c r="N104" i="29" s="1"/>
  <c r="M91" i="11"/>
  <c r="Q43" i="11"/>
  <c r="R43" i="11" s="1"/>
  <c r="K15" i="14"/>
  <c r="N311" i="11"/>
  <c r="P311" i="11" s="1"/>
  <c r="R311" i="11" s="1"/>
  <c r="F236" i="9"/>
  <c r="H236" i="9" s="1"/>
  <c r="D285" i="9"/>
  <c r="M84" i="11"/>
  <c r="M97" i="29"/>
  <c r="N97" i="29" s="1"/>
  <c r="J95" i="29"/>
  <c r="N95" i="29" s="1"/>
  <c r="M82" i="11"/>
  <c r="D234" i="11"/>
  <c r="C118" i="39"/>
  <c r="E118" i="39" s="1"/>
  <c r="E139" i="29"/>
  <c r="D742" i="39"/>
  <c r="F742" i="39" s="1"/>
  <c r="F691" i="39"/>
  <c r="V56" i="29"/>
  <c r="E288" i="39"/>
  <c r="G288" i="39" s="1"/>
  <c r="E285" i="39" s="1"/>
  <c r="G238" i="11" s="1"/>
  <c r="H306" i="29" s="1"/>
  <c r="C339" i="39"/>
  <c r="N105" i="29"/>
  <c r="H1334" i="36"/>
  <c r="F1321" i="36" s="1"/>
  <c r="F1576" i="13"/>
  <c r="F1521" i="13"/>
  <c r="H1466" i="13"/>
  <c r="J1466" i="13" s="1"/>
  <c r="D1470" i="13" s="1"/>
  <c r="F1470" i="13" s="1"/>
  <c r="F271" i="13"/>
  <c r="H317" i="13" s="1"/>
  <c r="H319" i="13" s="1"/>
  <c r="F269" i="13" s="1"/>
  <c r="M9" i="13" s="1"/>
  <c r="Q328" i="11" s="1"/>
  <c r="E328" i="11"/>
  <c r="F437" i="29" s="1"/>
  <c r="G1032" i="36"/>
  <c r="G1034" i="36" s="1"/>
  <c r="F1021" i="36" s="1"/>
  <c r="F87" i="11" s="1"/>
  <c r="G100" i="29" s="1"/>
  <c r="E1088" i="36"/>
  <c r="E71" i="29"/>
  <c r="I71" i="29" s="1"/>
  <c r="H58" i="11"/>
  <c r="E850" i="16"/>
  <c r="C860" i="16"/>
  <c r="E860" i="16" s="1"/>
  <c r="E194" i="11" s="1"/>
  <c r="F251" i="29" s="1"/>
  <c r="D194" i="11"/>
  <c r="B299" i="39"/>
  <c r="B317" i="39"/>
  <c r="B270" i="39"/>
  <c r="D1115" i="12"/>
  <c r="F1115" i="12" s="1"/>
  <c r="E146" i="11" s="1"/>
  <c r="F176" i="29" s="1"/>
  <c r="D146" i="11"/>
  <c r="V64" i="29"/>
  <c r="W64" i="29" s="1"/>
  <c r="R51" i="11"/>
  <c r="I182" i="11"/>
  <c r="G470" i="16"/>
  <c r="E457" i="16" s="1"/>
  <c r="D347" i="11"/>
  <c r="D1361" i="13"/>
  <c r="F1361" i="13" s="1"/>
  <c r="L205" i="11"/>
  <c r="M262" i="29" s="1"/>
  <c r="C1383" i="12"/>
  <c r="C1359" i="12"/>
  <c r="C1332" i="12"/>
  <c r="D1416" i="12"/>
  <c r="D1366" i="12"/>
  <c r="F1366" i="12" s="1"/>
  <c r="H1366" i="12" s="1"/>
  <c r="F1361" i="12"/>
  <c r="H1361" i="12" s="1"/>
  <c r="H313" i="11"/>
  <c r="N313" i="11" s="1"/>
  <c r="P313" i="11" s="1"/>
  <c r="R313" i="11" s="1"/>
  <c r="H300" i="29"/>
  <c r="H232" i="11"/>
  <c r="C760" i="39"/>
  <c r="E760" i="39" s="1"/>
  <c r="G760" i="39" s="1"/>
  <c r="E755" i="39"/>
  <c r="G755" i="39" s="1"/>
  <c r="K186" i="11"/>
  <c r="L243" i="29" s="1"/>
  <c r="N130" i="11"/>
  <c r="P130" i="11" s="1"/>
  <c r="R130" i="11" s="1"/>
  <c r="H91" i="29"/>
  <c r="I91" i="29" s="1"/>
  <c r="O91" i="29" s="1"/>
  <c r="Q91" i="29" s="1"/>
  <c r="S91" i="29" s="1"/>
  <c r="U91" i="29" s="1"/>
  <c r="H78" i="11"/>
  <c r="N78" i="11" s="1"/>
  <c r="P78" i="11" s="1"/>
  <c r="D1236" i="14"/>
  <c r="F1182" i="14"/>
  <c r="H1182" i="14" s="1"/>
  <c r="C1155" i="16"/>
  <c r="E1155" i="16" s="1"/>
  <c r="G1155" i="16" s="1"/>
  <c r="E1150" i="16"/>
  <c r="G1150" i="16" s="1"/>
  <c r="J202" i="11" s="1"/>
  <c r="K259" i="29" s="1"/>
  <c r="C1202" i="16"/>
  <c r="B1168" i="39"/>
  <c r="B1143" i="39"/>
  <c r="I8" i="11"/>
  <c r="D57" i="37"/>
  <c r="I9" i="11" s="1"/>
  <c r="D17" i="11"/>
  <c r="I208" i="29"/>
  <c r="P208" i="29" s="1"/>
  <c r="Q208" i="29" s="1"/>
  <c r="S208" i="29" s="1"/>
  <c r="U208" i="29" s="1"/>
  <c r="N289" i="11"/>
  <c r="P289" i="11" s="1"/>
  <c r="R289" i="11" s="1"/>
  <c r="D1366" i="14"/>
  <c r="E1310" i="14"/>
  <c r="H1310" i="14" s="1"/>
  <c r="J1310" i="14" s="1"/>
  <c r="D1314" i="14" s="1"/>
  <c r="F1314" i="14" s="1"/>
  <c r="P164" i="29"/>
  <c r="Q164" i="29" s="1"/>
  <c r="S164" i="29" s="1"/>
  <c r="U164" i="29" s="1"/>
  <c r="N308" i="11"/>
  <c r="P308" i="11" s="1"/>
  <c r="R308" i="11" s="1"/>
  <c r="K144" i="11"/>
  <c r="L174" i="29" s="1"/>
  <c r="I87" i="29"/>
  <c r="F1003" i="9"/>
  <c r="F1052" i="9" s="1"/>
  <c r="F1101" i="9" s="1"/>
  <c r="F1150" i="9" s="1"/>
  <c r="G954" i="9"/>
  <c r="G1003" i="9" s="1"/>
  <c r="G1052" i="9" s="1"/>
  <c r="G1101" i="9" s="1"/>
  <c r="E2412" i="13"/>
  <c r="G2359" i="13"/>
  <c r="L432" i="29"/>
  <c r="N432" i="29" s="1"/>
  <c r="M323" i="11"/>
  <c r="N323" i="11" s="1"/>
  <c r="P323" i="11" s="1"/>
  <c r="R323" i="11" s="1"/>
  <c r="M92" i="11"/>
  <c r="E1309" i="14"/>
  <c r="H1309" i="14" s="1"/>
  <c r="J1309" i="14" s="1"/>
  <c r="D1313" i="14" s="1"/>
  <c r="F1313" i="14" s="1"/>
  <c r="D1365" i="14"/>
  <c r="F1189" i="12"/>
  <c r="H1189" i="12" s="1"/>
  <c r="D1244" i="12"/>
  <c r="G314" i="16"/>
  <c r="G316" i="16" s="1"/>
  <c r="E266" i="16" s="1"/>
  <c r="Q177" i="11" s="1"/>
  <c r="F512" i="12"/>
  <c r="H547" i="12" s="1"/>
  <c r="H549" i="12" s="1"/>
  <c r="F498" i="12" s="1"/>
  <c r="Q135" i="11" s="1"/>
  <c r="F135" i="11"/>
  <c r="E162" i="29"/>
  <c r="I162" i="29" s="1"/>
  <c r="P162" i="29" s="1"/>
  <c r="Q162" i="29" s="1"/>
  <c r="S162" i="29" s="1"/>
  <c r="U162" i="29" s="1"/>
  <c r="H132" i="11"/>
  <c r="N132" i="11" s="1"/>
  <c r="P132" i="11" s="1"/>
  <c r="R132" i="11" s="1"/>
  <c r="D208" i="36"/>
  <c r="F150" i="36"/>
  <c r="H150" i="36" s="1"/>
  <c r="Q93" i="11" l="1"/>
  <c r="C8" i="40"/>
  <c r="E203" i="11"/>
  <c r="F260" i="29" s="1"/>
  <c r="E1167" i="16"/>
  <c r="E262" i="29"/>
  <c r="H145" i="9"/>
  <c r="H146" i="9"/>
  <c r="F102" i="9" s="1"/>
  <c r="Q98" i="11" s="1"/>
  <c r="J83" i="29"/>
  <c r="N83" i="29" s="1"/>
  <c r="M70" i="11"/>
  <c r="E253" i="29"/>
  <c r="B1305" i="16"/>
  <c r="B1327" i="16"/>
  <c r="B1279" i="16"/>
  <c r="E1894" i="16"/>
  <c r="G1839" i="16"/>
  <c r="D60" i="11"/>
  <c r="D1316" i="14"/>
  <c r="F1316" i="14" s="1"/>
  <c r="E60" i="11" s="1"/>
  <c r="F73" i="29" s="1"/>
  <c r="C1255" i="16"/>
  <c r="E1202" i="16"/>
  <c r="G1202" i="16" s="1"/>
  <c r="C1207" i="16"/>
  <c r="E1207" i="16" s="1"/>
  <c r="G1207" i="16" s="1"/>
  <c r="B419" i="39"/>
  <c r="B321" i="39"/>
  <c r="B368" i="39"/>
  <c r="B350" i="39"/>
  <c r="E1144" i="36"/>
  <c r="G1088" i="36"/>
  <c r="G1090" i="36" s="1"/>
  <c r="F1077" i="36" s="1"/>
  <c r="H6" i="11"/>
  <c r="D33" i="37"/>
  <c r="H7" i="11" s="1"/>
  <c r="L65" i="29"/>
  <c r="N65" i="29" s="1"/>
  <c r="O65" i="29" s="1"/>
  <c r="Q65" i="29" s="1"/>
  <c r="S65" i="29" s="1"/>
  <c r="U65" i="29" s="1"/>
  <c r="M52" i="11"/>
  <c r="N52" i="11" s="1"/>
  <c r="P52" i="11" s="1"/>
  <c r="D1197" i="12"/>
  <c r="D1147" i="12"/>
  <c r="F1147" i="12" s="1"/>
  <c r="H1147" i="12" s="1"/>
  <c r="F1142" i="12"/>
  <c r="H1142" i="12" s="1"/>
  <c r="K53" i="11"/>
  <c r="H965" i="14"/>
  <c r="F952" i="14" s="1"/>
  <c r="H967" i="14" s="1"/>
  <c r="H969" i="14" s="1"/>
  <c r="F918" i="14" s="1"/>
  <c r="L121" i="29"/>
  <c r="N121" i="29" s="1"/>
  <c r="M99" i="11"/>
  <c r="H234" i="29"/>
  <c r="I234" i="29" s="1"/>
  <c r="P234" i="29" s="1"/>
  <c r="Q234" i="29" s="1"/>
  <c r="S234" i="29" s="1"/>
  <c r="U234" i="29" s="1"/>
  <c r="H177" i="11"/>
  <c r="N177" i="11" s="1"/>
  <c r="P177" i="11" s="1"/>
  <c r="R177" i="11" s="1"/>
  <c r="H609" i="36"/>
  <c r="H611" i="36" s="1"/>
  <c r="F560" i="36" s="1"/>
  <c r="G1237" i="12"/>
  <c r="F1292" i="12"/>
  <c r="D11" i="37"/>
  <c r="G5" i="11" s="1"/>
  <c r="G4" i="11"/>
  <c r="D1238" i="14"/>
  <c r="F1184" i="14"/>
  <c r="H1184" i="14" s="1"/>
  <c r="I57" i="11" s="1"/>
  <c r="F1070" i="9"/>
  <c r="H1070" i="9" s="1"/>
  <c r="L117" i="11" s="1"/>
  <c r="M139" i="29" s="1"/>
  <c r="D1119" i="9"/>
  <c r="E303" i="29"/>
  <c r="D240" i="11"/>
  <c r="C374" i="39"/>
  <c r="E374" i="39" s="1"/>
  <c r="E1119" i="39"/>
  <c r="G1119" i="39" s="1"/>
  <c r="C1220" i="39"/>
  <c r="C1124" i="39"/>
  <c r="E1124" i="39" s="1"/>
  <c r="G1124" i="39" s="1"/>
  <c r="C1170" i="39"/>
  <c r="B1246" i="39"/>
  <c r="B1271" i="39"/>
  <c r="B1293" i="39"/>
  <c r="D59" i="37"/>
  <c r="K9" i="11" s="1"/>
  <c r="K8" i="11"/>
  <c r="R131" i="11"/>
  <c r="K21" i="41"/>
  <c r="M93" i="11"/>
  <c r="N21" i="41" s="1"/>
  <c r="D147" i="11"/>
  <c r="D1170" i="12"/>
  <c r="F1170" i="12" s="1"/>
  <c r="E147" i="11" s="1"/>
  <c r="F177" i="29" s="1"/>
  <c r="E32" i="11"/>
  <c r="D53" i="37"/>
  <c r="E8" i="11"/>
  <c r="E19" i="11"/>
  <c r="V62" i="29"/>
  <c r="W62" i="29" s="1"/>
  <c r="R49" i="11"/>
  <c r="F743" i="39"/>
  <c r="E734" i="39" s="1"/>
  <c r="F248" i="11" s="1"/>
  <c r="G316" i="29" s="1"/>
  <c r="J179" i="29"/>
  <c r="I150" i="11"/>
  <c r="D34" i="37"/>
  <c r="I7" i="11" s="1"/>
  <c r="I6" i="11"/>
  <c r="H29" i="5"/>
  <c r="E30" i="5"/>
  <c r="E349" i="16"/>
  <c r="G349" i="16" s="1"/>
  <c r="E346" i="16" s="1"/>
  <c r="C401" i="16"/>
  <c r="E16" i="11"/>
  <c r="F1199" i="9"/>
  <c r="G1150" i="9"/>
  <c r="J239" i="29"/>
  <c r="N239" i="29" s="1"/>
  <c r="M182" i="11"/>
  <c r="F285" i="9"/>
  <c r="H285" i="9" s="1"/>
  <c r="D334" i="9"/>
  <c r="J138" i="29"/>
  <c r="F647" i="36"/>
  <c r="H647" i="36" s="1"/>
  <c r="F644" i="36" s="1"/>
  <c r="D703" i="36"/>
  <c r="V54" i="29"/>
  <c r="W54" i="29" s="1"/>
  <c r="R41" i="11"/>
  <c r="K145" i="11"/>
  <c r="L175" i="29" s="1"/>
  <c r="F1018" i="14"/>
  <c r="H1018" i="14" s="1"/>
  <c r="D1073" i="14"/>
  <c r="N93" i="11"/>
  <c r="I21" i="41"/>
  <c r="D1344" i="39"/>
  <c r="C1396" i="39"/>
  <c r="L254" i="11"/>
  <c r="M320" i="29"/>
  <c r="D1434" i="16"/>
  <c r="G1434" i="16" s="1"/>
  <c r="I1434" i="16" s="1"/>
  <c r="C1438" i="16" s="1"/>
  <c r="E1438" i="16" s="1"/>
  <c r="G1380" i="16"/>
  <c r="I1380" i="16" s="1"/>
  <c r="C1384" i="16" s="1"/>
  <c r="E1384" i="16" s="1"/>
  <c r="G11" i="11"/>
  <c r="G10" i="11"/>
  <c r="R381" i="11"/>
  <c r="J69" i="29"/>
  <c r="F2025" i="13"/>
  <c r="G1532" i="13"/>
  <c r="E159" i="39"/>
  <c r="G204" i="39" s="1"/>
  <c r="G206" i="39" s="1"/>
  <c r="E157" i="39" s="1"/>
  <c r="Q235" i="11" s="1"/>
  <c r="E235" i="11"/>
  <c r="F303" i="29" s="1"/>
  <c r="D239" i="11"/>
  <c r="C323" i="39"/>
  <c r="E323" i="39" s="1"/>
  <c r="G575" i="16"/>
  <c r="E562" i="16" s="1"/>
  <c r="I185" i="11"/>
  <c r="G1284" i="12"/>
  <c r="F1339" i="12"/>
  <c r="K4" i="11"/>
  <c r="D14" i="37"/>
  <c r="K5" i="11" s="1"/>
  <c r="M6" i="11"/>
  <c r="D38" i="37"/>
  <c r="M7" i="11" s="1"/>
  <c r="F1235" i="12"/>
  <c r="G1180" i="12"/>
  <c r="G120" i="29"/>
  <c r="I120" i="29" s="1"/>
  <c r="P120" i="29" s="1"/>
  <c r="Q120" i="29" s="1"/>
  <c r="R120" i="29" s="1"/>
  <c r="S120" i="29" s="1"/>
  <c r="U120" i="29" s="1"/>
  <c r="H98" i="11"/>
  <c r="N98" i="11" s="1"/>
  <c r="J172" i="29"/>
  <c r="N172" i="29" s="1"/>
  <c r="M142" i="11"/>
  <c r="F1340" i="12"/>
  <c r="G1285" i="12"/>
  <c r="D1273" i="12"/>
  <c r="E1218" i="12"/>
  <c r="H1218" i="12" s="1"/>
  <c r="J1218" i="12" s="1"/>
  <c r="D1222" i="12" s="1"/>
  <c r="F1222" i="12" s="1"/>
  <c r="E25" i="11"/>
  <c r="E26" i="11"/>
  <c r="E13" i="11"/>
  <c r="H328" i="11"/>
  <c r="N328" i="11" s="1"/>
  <c r="P328" i="11" s="1"/>
  <c r="R328" i="11" s="1"/>
  <c r="E438" i="29"/>
  <c r="I438" i="29" s="1"/>
  <c r="O438" i="29" s="1"/>
  <c r="Q438" i="29" s="1"/>
  <c r="S438" i="29" s="1"/>
  <c r="U438" i="29" s="1"/>
  <c r="C763" i="39"/>
  <c r="E763" i="39" s="1"/>
  <c r="G763" i="39" s="1"/>
  <c r="E758" i="39"/>
  <c r="G758" i="39" s="1"/>
  <c r="D1328" i="16"/>
  <c r="G1328" i="16" s="1"/>
  <c r="I1328" i="16" s="1"/>
  <c r="C1332" i="16" s="1"/>
  <c r="E1332" i="16" s="1"/>
  <c r="C1334" i="16" s="1"/>
  <c r="E1334" i="16" s="1"/>
  <c r="G1276" i="16"/>
  <c r="I1276" i="16" s="1"/>
  <c r="C1280" i="16" s="1"/>
  <c r="E1280" i="16" s="1"/>
  <c r="D206" i="11" s="1"/>
  <c r="E2409" i="13"/>
  <c r="G2356" i="13"/>
  <c r="D1470" i="12"/>
  <c r="F1415" i="12"/>
  <c r="H1415" i="12" s="1"/>
  <c r="D1420" i="12"/>
  <c r="F1420" i="12" s="1"/>
  <c r="H1420" i="12" s="1"/>
  <c r="E1365" i="14"/>
  <c r="H1365" i="14" s="1"/>
  <c r="J1365" i="14" s="1"/>
  <c r="D1369" i="14" s="1"/>
  <c r="F1369" i="14" s="1"/>
  <c r="D1421" i="14"/>
  <c r="N232" i="11"/>
  <c r="I300" i="29"/>
  <c r="K10" i="11"/>
  <c r="K11" i="11"/>
  <c r="G1181" i="12"/>
  <c r="F1236" i="12"/>
  <c r="E140" i="29"/>
  <c r="D1422" i="14"/>
  <c r="E1366" i="14"/>
  <c r="H1366" i="14" s="1"/>
  <c r="J1366" i="14" s="1"/>
  <c r="D1370" i="14" s="1"/>
  <c r="F1370" i="14" s="1"/>
  <c r="C1438" i="12"/>
  <c r="C1414" i="12"/>
  <c r="C1387" i="12"/>
  <c r="C390" i="39"/>
  <c r="E390" i="39" s="1"/>
  <c r="G390" i="39" s="1"/>
  <c r="E387" i="39" s="1"/>
  <c r="G240" i="11" s="1"/>
  <c r="H308" i="29" s="1"/>
  <c r="C440" i="39"/>
  <c r="E339" i="39"/>
  <c r="G339" i="39" s="1"/>
  <c r="E336" i="39" s="1"/>
  <c r="G239" i="11" s="1"/>
  <c r="H307" i="29" s="1"/>
  <c r="E108" i="39"/>
  <c r="G153" i="39" s="1"/>
  <c r="G155" i="39" s="1"/>
  <c r="E106" i="39" s="1"/>
  <c r="Q234" i="11" s="1"/>
  <c r="E234" i="11"/>
  <c r="F302" i="29" s="1"/>
  <c r="K100" i="11"/>
  <c r="H238" i="9"/>
  <c r="F230" i="9" s="1"/>
  <c r="R50" i="11"/>
  <c r="V63" i="29"/>
  <c r="W63" i="29" s="1"/>
  <c r="J262" i="11"/>
  <c r="K329" i="29"/>
  <c r="E457" i="29"/>
  <c r="H348" i="11"/>
  <c r="N348" i="11" s="1"/>
  <c r="P348" i="11" s="1"/>
  <c r="D1487" i="16"/>
  <c r="C1539" i="16"/>
  <c r="C1592" i="16" s="1"/>
  <c r="D55" i="37"/>
  <c r="G9" i="11" s="1"/>
  <c r="G8" i="11"/>
  <c r="K12" i="15"/>
  <c r="Q381" i="11"/>
  <c r="E1604" i="12"/>
  <c r="H1604" i="12" s="1"/>
  <c r="J1604" i="12" s="1"/>
  <c r="D1608" i="12" s="1"/>
  <c r="F1608" i="12" s="1"/>
  <c r="D1659" i="12"/>
  <c r="E1037" i="16"/>
  <c r="G1037" i="16" s="1"/>
  <c r="C1090" i="16"/>
  <c r="D1130" i="14"/>
  <c r="F1074" i="14"/>
  <c r="H1074" i="14" s="1"/>
  <c r="L55" i="11" s="1"/>
  <c r="M68" i="29" s="1"/>
  <c r="D1253" i="12"/>
  <c r="F1198" i="12"/>
  <c r="H1198" i="12" s="1"/>
  <c r="D1203" i="12"/>
  <c r="F1203" i="12" s="1"/>
  <c r="H1203" i="12" s="1"/>
  <c r="V51" i="29"/>
  <c r="W51" i="29" s="1"/>
  <c r="R38" i="11"/>
  <c r="D419" i="39"/>
  <c r="C471" i="39"/>
  <c r="C522" i="39" s="1"/>
  <c r="C672" i="16"/>
  <c r="C623" i="16"/>
  <c r="E623" i="16" s="1"/>
  <c r="G623" i="16" s="1"/>
  <c r="E618" i="16"/>
  <c r="G618" i="16" s="1"/>
  <c r="F99" i="11"/>
  <c r="F164" i="9"/>
  <c r="H192" i="9" s="1"/>
  <c r="C1229" i="16"/>
  <c r="E1229" i="16" s="1"/>
  <c r="E1317" i="39"/>
  <c r="G1317" i="39" s="1"/>
  <c r="C1368" i="39"/>
  <c r="C1470" i="39"/>
  <c r="F1235" i="14"/>
  <c r="H1235" i="14" s="1"/>
  <c r="D1288" i="14"/>
  <c r="N293" i="11"/>
  <c r="P293" i="11" s="1"/>
  <c r="R293" i="11" s="1"/>
  <c r="E22" i="11"/>
  <c r="E14" i="11"/>
  <c r="D91" i="37"/>
  <c r="D9" i="37"/>
  <c r="E4" i="11"/>
  <c r="D18" i="18"/>
  <c r="D20" i="18" s="1"/>
  <c r="D4" i="18" s="1"/>
  <c r="Z4" i="11" s="1"/>
  <c r="F498" i="15"/>
  <c r="H498" i="15" s="1"/>
  <c r="D550" i="15"/>
  <c r="I437" i="29"/>
  <c r="O437" i="29" s="1"/>
  <c r="Q437" i="29" s="1"/>
  <c r="S437" i="29" s="1"/>
  <c r="U437" i="29" s="1"/>
  <c r="E329" i="11"/>
  <c r="F438" i="29" s="1"/>
  <c r="F325" i="13"/>
  <c r="H373" i="13" s="1"/>
  <c r="H375" i="13" s="1"/>
  <c r="F323" i="13" s="1"/>
  <c r="M10" i="13" s="1"/>
  <c r="Q329" i="11" s="1"/>
  <c r="C1435" i="16"/>
  <c r="C1488" i="16" s="1"/>
  <c r="D1381" i="16"/>
  <c r="V90" i="29"/>
  <c r="W90" i="29" s="1"/>
  <c r="R77" i="11"/>
  <c r="I301" i="29"/>
  <c r="N233" i="11"/>
  <c r="Q70" i="11"/>
  <c r="K9" i="36"/>
  <c r="C1333" i="12"/>
  <c r="C1364" i="12"/>
  <c r="C1384" i="12"/>
  <c r="E251" i="29"/>
  <c r="E302" i="29"/>
  <c r="H234" i="11"/>
  <c r="J477" i="29"/>
  <c r="N477" i="29" s="1"/>
  <c r="M368" i="11"/>
  <c r="C1342" i="14"/>
  <c r="C1313" i="14"/>
  <c r="C1365" i="14"/>
  <c r="E348" i="11"/>
  <c r="F457" i="29" s="1"/>
  <c r="F1407" i="13"/>
  <c r="H1453" i="13" s="1"/>
  <c r="H1455" i="13" s="1"/>
  <c r="F1405" i="13" s="1"/>
  <c r="M29" i="13" s="1"/>
  <c r="Q348" i="11" s="1"/>
  <c r="D1165" i="9"/>
  <c r="F1116" i="9"/>
  <c r="H1116" i="9" s="1"/>
  <c r="F1639" i="13"/>
  <c r="G1586" i="13"/>
  <c r="G1595" i="13" s="1"/>
  <c r="F1584" i="13" s="1"/>
  <c r="F351" i="11" s="1"/>
  <c r="G460" i="29" s="1"/>
  <c r="G867" i="39"/>
  <c r="E854" i="39" s="1"/>
  <c r="H79" i="11"/>
  <c r="N79" i="11" s="1"/>
  <c r="P79" i="11" s="1"/>
  <c r="F1562" i="12"/>
  <c r="G1507" i="12"/>
  <c r="G267" i="9"/>
  <c r="G223" i="9"/>
  <c r="I143" i="11"/>
  <c r="H984" i="12"/>
  <c r="F971" i="12" s="1"/>
  <c r="D1234" i="9"/>
  <c r="E1185" i="9"/>
  <c r="H1185" i="9" s="1"/>
  <c r="J1185" i="9" s="1"/>
  <c r="D1188" i="9" s="1"/>
  <c r="F1188" i="9" s="1"/>
  <c r="G458" i="13"/>
  <c r="G464" i="13" s="1"/>
  <c r="F451" i="13" s="1"/>
  <c r="F331" i="11" s="1"/>
  <c r="G440" i="29" s="1"/>
  <c r="F515" i="13"/>
  <c r="P212" i="29"/>
  <c r="Q212" i="29" s="1"/>
  <c r="S212" i="29" s="1"/>
  <c r="U212" i="29" s="1"/>
  <c r="C1367" i="16"/>
  <c r="E1367" i="16" s="1"/>
  <c r="G1367" i="16" s="1"/>
  <c r="E1362" i="16"/>
  <c r="G1362" i="16" s="1"/>
  <c r="L208" i="11" s="1"/>
  <c r="M265" i="29" s="1"/>
  <c r="C1414" i="16"/>
  <c r="E23" i="11"/>
  <c r="D30" i="37"/>
  <c r="E6" i="11"/>
  <c r="E31" i="11"/>
  <c r="G382" i="11"/>
  <c r="H382" i="11" s="1"/>
  <c r="N382" i="11" s="1"/>
  <c r="P382" i="11" s="1"/>
  <c r="F447" i="15"/>
  <c r="H463" i="15" s="1"/>
  <c r="H465" i="15" s="1"/>
  <c r="F421" i="15" s="1"/>
  <c r="O320" i="11"/>
  <c r="P320" i="11" s="1"/>
  <c r="R320" i="11" s="1"/>
  <c r="F1185" i="14"/>
  <c r="H1185" i="14" s="1"/>
  <c r="J57" i="11" s="1"/>
  <c r="K70" i="29" s="1"/>
  <c r="D1239" i="14"/>
  <c r="D203" i="11"/>
  <c r="F1451" i="12"/>
  <c r="G1396" i="12"/>
  <c r="D213" i="36"/>
  <c r="F155" i="36"/>
  <c r="H155" i="36" s="1"/>
  <c r="I71" i="11" s="1"/>
  <c r="W61" i="29"/>
  <c r="D272" i="18"/>
  <c r="U23" i="11" s="1"/>
  <c r="D235" i="18"/>
  <c r="U21" i="11" s="1"/>
  <c r="D160" i="18"/>
  <c r="U15" i="11" s="1"/>
  <c r="D121" i="18"/>
  <c r="U12" i="11" s="1"/>
  <c r="D163" i="37"/>
  <c r="U33" i="11" s="1"/>
  <c r="D106" i="37"/>
  <c r="D140" i="18"/>
  <c r="U13" i="11" s="1"/>
  <c r="D216" i="18"/>
  <c r="U19" i="11" s="1"/>
  <c r="D76" i="37"/>
  <c r="D253" i="18"/>
  <c r="U22" i="11" s="1"/>
  <c r="D292" i="18"/>
  <c r="U24" i="11" s="1"/>
  <c r="D124" i="37"/>
  <c r="U31" i="11" s="1"/>
  <c r="D143" i="37"/>
  <c r="U32" i="11" s="1"/>
  <c r="D311" i="18"/>
  <c r="U25" i="11" s="1"/>
  <c r="D178" i="18"/>
  <c r="U16" i="11" s="1"/>
  <c r="D329" i="18"/>
  <c r="U26" i="11" s="1"/>
  <c r="D198" i="18"/>
  <c r="U18" i="11" s="1"/>
  <c r="D40" i="37"/>
  <c r="V5" i="11"/>
  <c r="J150" i="11"/>
  <c r="K180" i="29" s="1"/>
  <c r="E347" i="11"/>
  <c r="F456" i="29" s="1"/>
  <c r="F1351" i="13"/>
  <c r="H1397" i="13" s="1"/>
  <c r="H1399" i="13" s="1"/>
  <c r="F1349" i="13" s="1"/>
  <c r="M28" i="13" s="1"/>
  <c r="Q347" i="11" s="1"/>
  <c r="E176" i="29"/>
  <c r="D349" i="11"/>
  <c r="D1472" i="13"/>
  <c r="F1472" i="13" s="1"/>
  <c r="B1016" i="16"/>
  <c r="B1066" i="16"/>
  <c r="B1047" i="16"/>
  <c r="G1843" i="16"/>
  <c r="E1830" i="16" s="1"/>
  <c r="I222" i="11"/>
  <c r="I117" i="11"/>
  <c r="F2242" i="13"/>
  <c r="G2242" i="13" s="1"/>
  <c r="G2251" i="13" s="1"/>
  <c r="G1971" i="13"/>
  <c r="G1980" i="13" s="1"/>
  <c r="C966" i="39"/>
  <c r="E913" i="39"/>
  <c r="G913" i="39" s="1"/>
  <c r="G919" i="39" s="1"/>
  <c r="E906" i="39" s="1"/>
  <c r="C1017" i="39"/>
  <c r="C918" i="39"/>
  <c r="E918" i="39" s="1"/>
  <c r="G918" i="39" s="1"/>
  <c r="W59" i="29"/>
  <c r="D1567" i="14"/>
  <c r="F1512" i="14"/>
  <c r="H1512" i="14" s="1"/>
  <c r="F1035" i="12"/>
  <c r="H1035" i="12" s="1"/>
  <c r="D1090" i="12"/>
  <c r="F1090" i="12" s="1"/>
  <c r="H1090" i="12" s="1"/>
  <c r="I145" i="11" s="1"/>
  <c r="F1088" i="39"/>
  <c r="G1037" i="39"/>
  <c r="I1037" i="39" s="1"/>
  <c r="C1041" i="39" s="1"/>
  <c r="E1041" i="39" s="1"/>
  <c r="F1234" i="12"/>
  <c r="G1179" i="12"/>
  <c r="C1256" i="14"/>
  <c r="C1237" i="14"/>
  <c r="C1206" i="14"/>
  <c r="I214" i="39"/>
  <c r="G266" i="39"/>
  <c r="D119" i="11"/>
  <c r="D1142" i="9"/>
  <c r="F1142" i="9" s="1"/>
  <c r="E119" i="11" s="1"/>
  <c r="F141" i="29" s="1"/>
  <c r="V119" i="29"/>
  <c r="W119" i="29" s="1"/>
  <c r="O97" i="11"/>
  <c r="P97" i="11" s="1"/>
  <c r="R97" i="11" s="1"/>
  <c r="F136" i="11"/>
  <c r="F567" i="12"/>
  <c r="H602" i="12" s="1"/>
  <c r="H604" i="12" s="1"/>
  <c r="F553" i="12" s="1"/>
  <c r="Q136" i="11" s="1"/>
  <c r="L206" i="11"/>
  <c r="M263" i="29" s="1"/>
  <c r="N70" i="11"/>
  <c r="P70" i="11" s="1"/>
  <c r="E11" i="11"/>
  <c r="E10" i="11"/>
  <c r="E15" i="11"/>
  <c r="V52" i="29"/>
  <c r="W52" i="29" s="1"/>
  <c r="R39" i="11"/>
  <c r="Q52" i="11"/>
  <c r="K24" i="14"/>
  <c r="E33" i="11"/>
  <c r="G165" i="29"/>
  <c r="I165" i="29" s="1"/>
  <c r="P165" i="29" s="1"/>
  <c r="Q165" i="29" s="1"/>
  <c r="S165" i="29" s="1"/>
  <c r="U165" i="29" s="1"/>
  <c r="H135" i="11"/>
  <c r="N135" i="11" s="1"/>
  <c r="P135" i="11" s="1"/>
  <c r="R135" i="11" s="1"/>
  <c r="F1236" i="14"/>
  <c r="H1236" i="14" s="1"/>
  <c r="D1289" i="14"/>
  <c r="G764" i="39"/>
  <c r="E751" i="39" s="1"/>
  <c r="E456" i="29"/>
  <c r="F1629" i="13"/>
  <c r="H1521" i="13"/>
  <c r="J1521" i="13" s="1"/>
  <c r="D1525" i="13" s="1"/>
  <c r="F1525" i="13" s="1"/>
  <c r="W56" i="29"/>
  <c r="H8" i="11"/>
  <c r="D56" i="37"/>
  <c r="H9" i="11" s="1"/>
  <c r="D145" i="37"/>
  <c r="V32" i="11" s="1"/>
  <c r="D107" i="37"/>
  <c r="V20" i="11" s="1"/>
  <c r="D255" i="18"/>
  <c r="V22" i="11" s="1"/>
  <c r="D180" i="18"/>
  <c r="V16" i="11" s="1"/>
  <c r="D331" i="18"/>
  <c r="V26" i="11" s="1"/>
  <c r="D218" i="18"/>
  <c r="V19" i="11" s="1"/>
  <c r="D142" i="18"/>
  <c r="V13" i="11" s="1"/>
  <c r="D103" i="18"/>
  <c r="V11" i="11" s="1"/>
  <c r="D294" i="18"/>
  <c r="V24" i="11" s="1"/>
  <c r="G1889" i="16"/>
  <c r="E1944" i="16"/>
  <c r="D60" i="18"/>
  <c r="D37" i="18"/>
  <c r="D15" i="18"/>
  <c r="F934" i="39"/>
  <c r="F986" i="39"/>
  <c r="F1038" i="39" s="1"/>
  <c r="F1089" i="39" s="1"/>
  <c r="V82" i="29"/>
  <c r="W82" i="29" s="1"/>
  <c r="R69" i="11"/>
  <c r="D330" i="11"/>
  <c r="D392" i="13"/>
  <c r="F392" i="13" s="1"/>
  <c r="C1536" i="39"/>
  <c r="E1536" i="39" s="1"/>
  <c r="G1536" i="39" s="1"/>
  <c r="E1531" i="39"/>
  <c r="G1531" i="39" s="1"/>
  <c r="C1582" i="39"/>
  <c r="G628" i="12"/>
  <c r="G634" i="12" s="1"/>
  <c r="F683" i="12"/>
  <c r="E1241" i="13"/>
  <c r="D105" i="18"/>
  <c r="D35" i="18"/>
  <c r="D82" i="18"/>
  <c r="D13" i="18"/>
  <c r="D58" i="18"/>
  <c r="E21" i="11"/>
  <c r="E12" i="11"/>
  <c r="M183" i="11"/>
  <c r="J240" i="29"/>
  <c r="N240" i="29" s="1"/>
  <c r="L320" i="29"/>
  <c r="K254" i="11"/>
  <c r="M252" i="11"/>
  <c r="N320" i="29" s="1"/>
  <c r="D1447" i="39"/>
  <c r="C1499" i="39"/>
  <c r="C1550" i="39" s="1"/>
  <c r="G628" i="13"/>
  <c r="F685" i="13"/>
  <c r="E18" i="11"/>
  <c r="F208" i="36"/>
  <c r="H208" i="36" s="1"/>
  <c r="D263" i="36"/>
  <c r="D1299" i="12"/>
  <c r="F1244" i="12"/>
  <c r="H1244" i="12" s="1"/>
  <c r="F1186" i="12"/>
  <c r="G147" i="11"/>
  <c r="H177" i="29" s="1"/>
  <c r="E2467" i="13"/>
  <c r="G2467" i="13" s="1"/>
  <c r="G2412" i="13"/>
  <c r="V91" i="29"/>
  <c r="W91" i="29" s="1"/>
  <c r="R78" i="11"/>
  <c r="D1471" i="12"/>
  <c r="F1416" i="12"/>
  <c r="H1416" i="12" s="1"/>
  <c r="D1421" i="12"/>
  <c r="F1421" i="12" s="1"/>
  <c r="H1421" i="12" s="1"/>
  <c r="F1105" i="12"/>
  <c r="F1905" i="13"/>
  <c r="F1683" i="13"/>
  <c r="H1576" i="13"/>
  <c r="J1576" i="13" s="1"/>
  <c r="D1580" i="13" s="1"/>
  <c r="F1580" i="13" s="1"/>
  <c r="H59" i="11"/>
  <c r="E72" i="29"/>
  <c r="I72" i="29" s="1"/>
  <c r="H11" i="11"/>
  <c r="H10" i="11"/>
  <c r="E1428" i="39"/>
  <c r="G1428" i="39" s="1"/>
  <c r="C1433" i="39"/>
  <c r="E1433" i="39" s="1"/>
  <c r="G1433" i="39" s="1"/>
  <c r="L321" i="29"/>
  <c r="M253" i="11"/>
  <c r="N321" i="29" s="1"/>
  <c r="G6" i="11"/>
  <c r="D32" i="37"/>
  <c r="G7" i="11" s="1"/>
  <c r="E2189" i="13"/>
  <c r="G2134" i="13"/>
  <c r="G2189" i="13" s="1"/>
  <c r="V50" i="29"/>
  <c r="W50" i="29" s="1"/>
  <c r="R37" i="11"/>
  <c r="C1585" i="39"/>
  <c r="E1585" i="39" s="1"/>
  <c r="G1585" i="39" s="1"/>
  <c r="C1631" i="39"/>
  <c r="E1580" i="39"/>
  <c r="G1580" i="39" s="1"/>
  <c r="C1681" i="39"/>
  <c r="D36" i="37"/>
  <c r="K7" i="11" s="1"/>
  <c r="K6" i="11"/>
  <c r="O83" i="29"/>
  <c r="Q83" i="29" s="1"/>
  <c r="S83" i="29" s="1"/>
  <c r="U83" i="29" s="1"/>
  <c r="F500" i="13"/>
  <c r="H443" i="13"/>
  <c r="J443" i="13" s="1"/>
  <c r="D447" i="13" s="1"/>
  <c r="F447" i="13" s="1"/>
  <c r="I257" i="11"/>
  <c r="J324" i="29"/>
  <c r="E24" i="11"/>
  <c r="G1458" i="12"/>
  <c r="F1513" i="12"/>
  <c r="C780" i="16"/>
  <c r="E727" i="16"/>
  <c r="G727" i="16" s="1"/>
  <c r="C732" i="16"/>
  <c r="E732" i="16" s="1"/>
  <c r="G732" i="16" s="1"/>
  <c r="E208" i="11" l="1"/>
  <c r="F265" i="29" s="1"/>
  <c r="E1324" i="16"/>
  <c r="J84" i="29"/>
  <c r="N84" i="29" s="1"/>
  <c r="O84" i="29" s="1"/>
  <c r="Q84" i="29" s="1"/>
  <c r="S84" i="29" s="1"/>
  <c r="U84" i="29" s="1"/>
  <c r="M71" i="11"/>
  <c r="N71" i="11" s="1"/>
  <c r="P71" i="11" s="1"/>
  <c r="E263" i="29"/>
  <c r="D1354" i="12"/>
  <c r="F1299" i="12"/>
  <c r="H1299" i="12" s="1"/>
  <c r="F1289" i="12"/>
  <c r="G1234" i="12"/>
  <c r="D61" i="11"/>
  <c r="D1372" i="14"/>
  <c r="F1372" i="14" s="1"/>
  <c r="E61" i="11" s="1"/>
  <c r="F74" i="29" s="1"/>
  <c r="F1362" i="14"/>
  <c r="E401" i="16"/>
  <c r="G401" i="16" s="1"/>
  <c r="E398" i="16" s="1"/>
  <c r="C454" i="16"/>
  <c r="H235" i="11"/>
  <c r="G1894" i="16"/>
  <c r="E1949" i="16"/>
  <c r="D1582" i="13"/>
  <c r="F1582" i="13" s="1"/>
  <c r="D351" i="11"/>
  <c r="F263" i="36"/>
  <c r="H263" i="36" s="1"/>
  <c r="D319" i="36"/>
  <c r="D1499" i="39"/>
  <c r="D35" i="37"/>
  <c r="J7" i="11" s="1"/>
  <c r="J6" i="11"/>
  <c r="D1527" i="13"/>
  <c r="F1527" i="13" s="1"/>
  <c r="D350" i="11"/>
  <c r="E141" i="29"/>
  <c r="E349" i="11"/>
  <c r="F458" i="29" s="1"/>
  <c r="F1462" i="13"/>
  <c r="H1508" i="13" s="1"/>
  <c r="H1510" i="13" s="1"/>
  <c r="F1460" i="13" s="1"/>
  <c r="M30" i="13" s="1"/>
  <c r="Q349" i="11" s="1"/>
  <c r="H159" i="36"/>
  <c r="F146" i="36" s="1"/>
  <c r="H161" i="36" s="1"/>
  <c r="H163" i="36" s="1"/>
  <c r="F113" i="36" s="1"/>
  <c r="U20" i="11"/>
  <c r="D268" i="36"/>
  <c r="F268" i="36" s="1"/>
  <c r="H268" i="36" s="1"/>
  <c r="F213" i="36"/>
  <c r="H213" i="36" s="1"/>
  <c r="K13" i="15"/>
  <c r="Q382" i="11"/>
  <c r="C6" i="40"/>
  <c r="E1234" i="9"/>
  <c r="H1234" i="9" s="1"/>
  <c r="J1234" i="9" s="1"/>
  <c r="D1237" i="9" s="1"/>
  <c r="F1237" i="9" s="1"/>
  <c r="D1283" i="9"/>
  <c r="E1283" i="9" s="1"/>
  <c r="H1283" i="9" s="1"/>
  <c r="J1283" i="9" s="1"/>
  <c r="D1286" i="9" s="1"/>
  <c r="F1286" i="9" s="1"/>
  <c r="G1562" i="12"/>
  <c r="F1617" i="12"/>
  <c r="I118" i="11"/>
  <c r="G1381" i="16"/>
  <c r="I1381" i="16" s="1"/>
  <c r="C1385" i="16" s="1"/>
  <c r="E1385" i="16" s="1"/>
  <c r="C1387" i="16" s="1"/>
  <c r="E1387" i="16" s="1"/>
  <c r="D1435" i="16"/>
  <c r="G1435" i="16" s="1"/>
  <c r="I1435" i="16" s="1"/>
  <c r="C1439" i="16" s="1"/>
  <c r="E1439" i="16" s="1"/>
  <c r="H194" i="9"/>
  <c r="H195" i="9"/>
  <c r="F151" i="9" s="1"/>
  <c r="Q99" i="11" s="1"/>
  <c r="D1539" i="16"/>
  <c r="G1539" i="16" s="1"/>
  <c r="I1539" i="16" s="1"/>
  <c r="C1543" i="16" s="1"/>
  <c r="E1543" i="16" s="1"/>
  <c r="G1487" i="16"/>
  <c r="I1487" i="16" s="1"/>
  <c r="C1491" i="16" s="1"/>
  <c r="E1491" i="16" s="1"/>
  <c r="F1395" i="12"/>
  <c r="G1340" i="12"/>
  <c r="G1235" i="12"/>
  <c r="F1290" i="12"/>
  <c r="D208" i="11"/>
  <c r="F703" i="36"/>
  <c r="H703" i="36" s="1"/>
  <c r="F700" i="36" s="1"/>
  <c r="D759" i="36"/>
  <c r="G179" i="11"/>
  <c r="G368" i="16"/>
  <c r="G370" i="16" s="1"/>
  <c r="E319" i="16" s="1"/>
  <c r="Q179" i="11" s="1"/>
  <c r="E9" i="11"/>
  <c r="C1282" i="16"/>
  <c r="E1282" i="16" s="1"/>
  <c r="L66" i="29"/>
  <c r="N66" i="29" s="1"/>
  <c r="O66" i="29" s="1"/>
  <c r="Q66" i="29" s="1"/>
  <c r="S66" i="29" s="1"/>
  <c r="U66" i="29" s="1"/>
  <c r="M53" i="11"/>
  <c r="N53" i="11" s="1"/>
  <c r="P53" i="11" s="1"/>
  <c r="J203" i="11"/>
  <c r="K260" i="29" s="1"/>
  <c r="C1143" i="16"/>
  <c r="E1090" i="16"/>
  <c r="G1090" i="16" s="1"/>
  <c r="F1291" i="12"/>
  <c r="G1236" i="12"/>
  <c r="I72" i="11"/>
  <c r="H217" i="36"/>
  <c r="F204" i="36" s="1"/>
  <c r="H219" i="36" s="1"/>
  <c r="H221" i="36" s="1"/>
  <c r="F167" i="36" s="1"/>
  <c r="J11" i="11"/>
  <c r="J10" i="11"/>
  <c r="E330" i="11"/>
  <c r="F439" i="29" s="1"/>
  <c r="F382" i="13"/>
  <c r="H430" i="13" s="1"/>
  <c r="H432" i="13" s="1"/>
  <c r="F380" i="13" s="1"/>
  <c r="M11" i="13" s="1"/>
  <c r="Q330" i="11" s="1"/>
  <c r="G1944" i="16"/>
  <c r="E1999" i="16"/>
  <c r="G1999" i="16" s="1"/>
  <c r="F1737" i="13"/>
  <c r="H1629" i="13"/>
  <c r="J1629" i="13" s="1"/>
  <c r="D1633" i="13" s="1"/>
  <c r="F1633" i="13" s="1"/>
  <c r="F1190" i="39"/>
  <c r="F1139" i="39"/>
  <c r="G1139" i="39" s="1"/>
  <c r="I1139" i="39" s="1"/>
  <c r="C1143" i="39" s="1"/>
  <c r="E1143" i="39" s="1"/>
  <c r="G1088" i="39"/>
  <c r="I1088" i="39" s="1"/>
  <c r="C1092" i="39" s="1"/>
  <c r="E1092" i="39" s="1"/>
  <c r="E1017" i="39"/>
  <c r="G1017" i="39" s="1"/>
  <c r="G1023" i="39" s="1"/>
  <c r="E1010" i="39" s="1"/>
  <c r="C1022" i="39"/>
  <c r="E1022" i="39" s="1"/>
  <c r="G1022" i="39" s="1"/>
  <c r="C1070" i="39"/>
  <c r="J139" i="29"/>
  <c r="E458" i="29"/>
  <c r="I458" i="29" s="1"/>
  <c r="O458" i="29" s="1"/>
  <c r="Q458" i="29" s="1"/>
  <c r="S458" i="29" s="1"/>
  <c r="U458" i="29" s="1"/>
  <c r="R382" i="11"/>
  <c r="C1469" i="16"/>
  <c r="C1419" i="16"/>
  <c r="E1419" i="16" s="1"/>
  <c r="G1419" i="16" s="1"/>
  <c r="E1414" i="16"/>
  <c r="G1414" i="16" s="1"/>
  <c r="V92" i="29"/>
  <c r="W92" i="29" s="1"/>
  <c r="D1214" i="9"/>
  <c r="F1165" i="9"/>
  <c r="H1165" i="9" s="1"/>
  <c r="I302" i="29"/>
  <c r="N234" i="11"/>
  <c r="D1488" i="16"/>
  <c r="C1540" i="16"/>
  <c r="C1593" i="16" s="1"/>
  <c r="E5" i="11"/>
  <c r="D1345" i="14"/>
  <c r="F1288" i="14"/>
  <c r="H1288" i="14" s="1"/>
  <c r="G121" i="29"/>
  <c r="I121" i="29" s="1"/>
  <c r="P121" i="29" s="1"/>
  <c r="Q121" i="29" s="1"/>
  <c r="R121" i="29" s="1"/>
  <c r="S121" i="29" s="1"/>
  <c r="H99" i="11"/>
  <c r="N99" i="11" s="1"/>
  <c r="D1714" i="12"/>
  <c r="E1659" i="12"/>
  <c r="H1659" i="12" s="1"/>
  <c r="J1659" i="12" s="1"/>
  <c r="D1663" i="12" s="1"/>
  <c r="F1663" i="12" s="1"/>
  <c r="L122" i="29"/>
  <c r="N122" i="29" s="1"/>
  <c r="M100" i="11"/>
  <c r="C1442" i="12"/>
  <c r="C1493" i="12"/>
  <c r="C1469" i="12"/>
  <c r="G2025" i="13"/>
  <c r="G2034" i="13" s="1"/>
  <c r="F2022" i="13" s="1"/>
  <c r="F359" i="11" s="1"/>
  <c r="G468" i="29" s="1"/>
  <c r="G1541" i="13"/>
  <c r="F1529" i="13" s="1"/>
  <c r="F350" i="11" s="1"/>
  <c r="G459" i="29" s="1"/>
  <c r="C1441" i="16"/>
  <c r="E1441" i="16" s="1"/>
  <c r="E211" i="11" s="1"/>
  <c r="F268" i="29" s="1"/>
  <c r="E1431" i="16"/>
  <c r="D211" i="11"/>
  <c r="O21" i="41"/>
  <c r="Q21" i="41" s="1"/>
  <c r="S21" i="41" s="1"/>
  <c r="P93" i="11"/>
  <c r="R93" i="11" s="1"/>
  <c r="G80" i="11"/>
  <c r="H664" i="36"/>
  <c r="H666" i="36" s="1"/>
  <c r="F615" i="36" s="1"/>
  <c r="F1248" i="9"/>
  <c r="G1199" i="9"/>
  <c r="H30" i="5"/>
  <c r="E31" i="5"/>
  <c r="H31" i="5" s="1"/>
  <c r="C1175" i="39"/>
  <c r="E1175" i="39" s="1"/>
  <c r="G1175" i="39" s="1"/>
  <c r="E1170" i="39"/>
  <c r="G1170" i="39" s="1"/>
  <c r="F1119" i="9"/>
  <c r="H1119" i="9" s="1"/>
  <c r="L118" i="11" s="1"/>
  <c r="M140" i="29" s="1"/>
  <c r="D1168" i="9"/>
  <c r="K18" i="36"/>
  <c r="P18" i="36" s="1"/>
  <c r="K560" i="36"/>
  <c r="Q79" i="11"/>
  <c r="R79" i="11" s="1"/>
  <c r="K146" i="11"/>
  <c r="H1149" i="12"/>
  <c r="F1136" i="12" s="1"/>
  <c r="F88" i="11"/>
  <c r="E1255" i="16"/>
  <c r="G1255" i="16" s="1"/>
  <c r="C1307" i="16"/>
  <c r="C1260" i="16"/>
  <c r="E1260" i="16" s="1"/>
  <c r="G1260" i="16" s="1"/>
  <c r="B1331" i="16"/>
  <c r="B1380" i="16"/>
  <c r="B1358" i="16"/>
  <c r="F2239" i="13"/>
  <c r="F363" i="11"/>
  <c r="G472" i="29" s="1"/>
  <c r="D1592" i="16"/>
  <c r="C1644" i="16"/>
  <c r="C1698" i="16" s="1"/>
  <c r="D1698" i="16" s="1"/>
  <c r="G1698" i="16" s="1"/>
  <c r="I1698" i="16" s="1"/>
  <c r="C1702" i="16" s="1"/>
  <c r="E1702" i="16" s="1"/>
  <c r="F1347" i="12"/>
  <c r="G1292" i="12"/>
  <c r="F1791" i="13"/>
  <c r="H1791" i="13" s="1"/>
  <c r="J1791" i="13" s="1"/>
  <c r="D1795" i="13" s="1"/>
  <c r="F1795" i="13" s="1"/>
  <c r="H1683" i="13"/>
  <c r="J1683" i="13" s="1"/>
  <c r="D1687" i="13" s="1"/>
  <c r="F1687" i="13" s="1"/>
  <c r="L4" i="11"/>
  <c r="D15" i="37"/>
  <c r="L5" i="11" s="1"/>
  <c r="J175" i="29"/>
  <c r="N175" i="29" s="1"/>
  <c r="M145" i="11"/>
  <c r="J280" i="29"/>
  <c r="N280" i="29" s="1"/>
  <c r="M222" i="11"/>
  <c r="F1506" i="12"/>
  <c r="G1451" i="12"/>
  <c r="O301" i="29"/>
  <c r="P233" i="11"/>
  <c r="G627" i="16"/>
  <c r="E614" i="16" s="1"/>
  <c r="I186" i="11"/>
  <c r="R348" i="11"/>
  <c r="I151" i="11"/>
  <c r="J242" i="29"/>
  <c r="N242" i="29" s="1"/>
  <c r="M185" i="11"/>
  <c r="F2078" i="13"/>
  <c r="F2297" i="13"/>
  <c r="D1129" i="14"/>
  <c r="F1073" i="14"/>
  <c r="H1073" i="14" s="1"/>
  <c r="G1144" i="36"/>
  <c r="G1146" i="36" s="1"/>
  <c r="F1133" i="36" s="1"/>
  <c r="E1200" i="36"/>
  <c r="V83" i="29"/>
  <c r="W83" i="29" s="1"/>
  <c r="R70" i="11"/>
  <c r="K25" i="14"/>
  <c r="Q53" i="11"/>
  <c r="K256" i="11"/>
  <c r="L322" i="29"/>
  <c r="M254" i="11"/>
  <c r="N322" i="29" s="1"/>
  <c r="E439" i="29"/>
  <c r="I439" i="29" s="1"/>
  <c r="O439" i="29" s="1"/>
  <c r="Q439" i="29" s="1"/>
  <c r="S439" i="29" s="1"/>
  <c r="U439" i="29" s="1"/>
  <c r="H330" i="11"/>
  <c r="N330" i="11" s="1"/>
  <c r="P330" i="11" s="1"/>
  <c r="R330" i="11" s="1"/>
  <c r="C218" i="39"/>
  <c r="E218" i="39" s="1"/>
  <c r="I266" i="39"/>
  <c r="C270" i="39" s="1"/>
  <c r="E270" i="39" s="1"/>
  <c r="C785" i="16"/>
  <c r="E785" i="16" s="1"/>
  <c r="G785" i="16" s="1"/>
  <c r="E780" i="16"/>
  <c r="G780" i="16" s="1"/>
  <c r="K191" i="11" s="1"/>
  <c r="L248" i="29" s="1"/>
  <c r="C832" i="16"/>
  <c r="I258" i="11"/>
  <c r="J325" i="29"/>
  <c r="C1686" i="39"/>
  <c r="E1686" i="39" s="1"/>
  <c r="G1686" i="39" s="1"/>
  <c r="C1734" i="39"/>
  <c r="E1681" i="39"/>
  <c r="G1681" i="39" s="1"/>
  <c r="E1298" i="13"/>
  <c r="L6" i="11"/>
  <c r="D37" i="37"/>
  <c r="L7" i="11" s="1"/>
  <c r="H347" i="11"/>
  <c r="N347" i="11" s="1"/>
  <c r="P347" i="11" s="1"/>
  <c r="R347" i="11" s="1"/>
  <c r="I144" i="11"/>
  <c r="H1039" i="12"/>
  <c r="F1026" i="12" s="1"/>
  <c r="E966" i="39"/>
  <c r="G966" i="39" s="1"/>
  <c r="C971" i="39"/>
  <c r="E971" i="39" s="1"/>
  <c r="G971" i="39" s="1"/>
  <c r="V7" i="11"/>
  <c r="D62" i="37"/>
  <c r="V9" i="11" s="1"/>
  <c r="E260" i="29"/>
  <c r="E17" i="11"/>
  <c r="X17" i="11" s="1"/>
  <c r="Y17" i="11" s="1"/>
  <c r="D94" i="37"/>
  <c r="D96" i="37" s="1"/>
  <c r="D86" i="37" s="1"/>
  <c r="Z17" i="11" s="1"/>
  <c r="C1523" i="39"/>
  <c r="E1470" i="39"/>
  <c r="G1470" i="39" s="1"/>
  <c r="L147" i="11"/>
  <c r="M177" i="29" s="1"/>
  <c r="I457" i="29"/>
  <c r="O457" i="29" s="1"/>
  <c r="Q457" i="29" s="1"/>
  <c r="S457" i="29" s="1"/>
  <c r="U457" i="29" s="1"/>
  <c r="D1478" i="14"/>
  <c r="E1422" i="14"/>
  <c r="H1422" i="14" s="1"/>
  <c r="J1422" i="14" s="1"/>
  <c r="D1426" i="14" s="1"/>
  <c r="F1426" i="14" s="1"/>
  <c r="D1475" i="12"/>
  <c r="F1475" i="12" s="1"/>
  <c r="H1475" i="12" s="1"/>
  <c r="D1525" i="12"/>
  <c r="F1470" i="12"/>
  <c r="H1470" i="12" s="1"/>
  <c r="O98" i="11"/>
  <c r="P98" i="11"/>
  <c r="R98" i="11" s="1"/>
  <c r="V120" i="29"/>
  <c r="W120" i="29" s="1"/>
  <c r="L256" i="11"/>
  <c r="M322" i="29"/>
  <c r="K54" i="11"/>
  <c r="H1020" i="14"/>
  <c r="F1007" i="14" s="1"/>
  <c r="H1022" i="14" s="1"/>
  <c r="H1024" i="14" s="1"/>
  <c r="F973" i="14" s="1"/>
  <c r="F1160" i="12"/>
  <c r="B1344" i="39"/>
  <c r="B1322" i="39"/>
  <c r="B1447" i="39"/>
  <c r="B1297" i="39"/>
  <c r="C1273" i="39"/>
  <c r="E1220" i="39"/>
  <c r="G1220" i="39" s="1"/>
  <c r="C1225" i="39"/>
  <c r="E1225" i="39" s="1"/>
  <c r="G1225" i="39" s="1"/>
  <c r="J70" i="29"/>
  <c r="D1252" i="12"/>
  <c r="F1197" i="12"/>
  <c r="H1197" i="12" s="1"/>
  <c r="D1202" i="12"/>
  <c r="F1202" i="12" s="1"/>
  <c r="H1202" i="12" s="1"/>
  <c r="F1306" i="14"/>
  <c r="F1471" i="12"/>
  <c r="H1471" i="12" s="1"/>
  <c r="J152" i="11" s="1"/>
  <c r="K182" i="29" s="1"/>
  <c r="D1476" i="12"/>
  <c r="F1476" i="12" s="1"/>
  <c r="H1476" i="12" s="1"/>
  <c r="D1526" i="12"/>
  <c r="X8" i="11"/>
  <c r="Y8" i="11" s="1"/>
  <c r="K189" i="11"/>
  <c r="L246" i="29" s="1"/>
  <c r="F1960" i="13"/>
  <c r="H1905" i="13"/>
  <c r="J1905" i="13" s="1"/>
  <c r="D1909" i="13" s="1"/>
  <c r="F1909" i="13" s="1"/>
  <c r="I224" i="11"/>
  <c r="G1898" i="16"/>
  <c r="E1885" i="16" s="1"/>
  <c r="G166" i="29"/>
  <c r="I166" i="29" s="1"/>
  <c r="P166" i="29" s="1"/>
  <c r="Q166" i="29" s="1"/>
  <c r="S166" i="29" s="1"/>
  <c r="U166" i="29" s="1"/>
  <c r="H136" i="11"/>
  <c r="N136" i="11" s="1"/>
  <c r="P136" i="11" s="1"/>
  <c r="R136" i="11" s="1"/>
  <c r="F1568" i="12"/>
  <c r="G1513" i="12"/>
  <c r="D331" i="11"/>
  <c r="D449" i="13"/>
  <c r="F449" i="13" s="1"/>
  <c r="G685" i="13"/>
  <c r="F742" i="13"/>
  <c r="F738" i="12"/>
  <c r="G683" i="12"/>
  <c r="G689" i="12" s="1"/>
  <c r="L8" i="11"/>
  <c r="D60" i="37"/>
  <c r="L9" i="11" s="1"/>
  <c r="I456" i="29"/>
  <c r="O456" i="29" s="1"/>
  <c r="Q456" i="29" s="1"/>
  <c r="S456" i="29" s="1"/>
  <c r="U456" i="29" s="1"/>
  <c r="F1239" i="14"/>
  <c r="H1239" i="14" s="1"/>
  <c r="J58" i="11" s="1"/>
  <c r="K71" i="29" s="1"/>
  <c r="D1292" i="14"/>
  <c r="D41" i="18"/>
  <c r="D43" i="18" s="1"/>
  <c r="D25" i="18" s="1"/>
  <c r="Z6" i="11" s="1"/>
  <c r="J173" i="29"/>
  <c r="N173" i="29" s="1"/>
  <c r="M143" i="11"/>
  <c r="C1398" i="14"/>
  <c r="C1369" i="14"/>
  <c r="C1421" i="14"/>
  <c r="E1368" i="39"/>
  <c r="G1368" i="39" s="1"/>
  <c r="C1420" i="39"/>
  <c r="E1420" i="39" s="1"/>
  <c r="G1420" i="39" s="1"/>
  <c r="C725" i="16"/>
  <c r="E672" i="16"/>
  <c r="G672" i="16" s="1"/>
  <c r="C677" i="16"/>
  <c r="E677" i="16" s="1"/>
  <c r="G677" i="16" s="1"/>
  <c r="F1253" i="12"/>
  <c r="H1253" i="12" s="1"/>
  <c r="L148" i="11" s="1"/>
  <c r="M178" i="29" s="1"/>
  <c r="D1308" i="12"/>
  <c r="D1258" i="12"/>
  <c r="F1258" i="12" s="1"/>
  <c r="H1258" i="12" s="1"/>
  <c r="D217" i="18"/>
  <c r="T19" i="11" s="1"/>
  <c r="D179" i="18"/>
  <c r="T16" i="11" s="1"/>
  <c r="D254" i="18"/>
  <c r="D122" i="18"/>
  <c r="D141" i="18"/>
  <c r="T13" i="11" s="1"/>
  <c r="D293" i="18"/>
  <c r="D144" i="37"/>
  <c r="T32" i="11" s="1"/>
  <c r="D164" i="37"/>
  <c r="D77" i="37"/>
  <c r="T14" i="11" s="1"/>
  <c r="X14" i="11" s="1"/>
  <c r="Y14" i="11" s="1"/>
  <c r="D125" i="37"/>
  <c r="T31" i="11" s="1"/>
  <c r="D330" i="18"/>
  <c r="T26" i="11" s="1"/>
  <c r="D273" i="18"/>
  <c r="D199" i="18"/>
  <c r="D161" i="18"/>
  <c r="D312" i="18"/>
  <c r="T25" i="11" s="1"/>
  <c r="D236" i="18"/>
  <c r="H329" i="11"/>
  <c r="N329" i="11" s="1"/>
  <c r="P329" i="11" s="1"/>
  <c r="R329" i="11" s="1"/>
  <c r="H1094" i="12"/>
  <c r="F1081" i="12" s="1"/>
  <c r="D383" i="9"/>
  <c r="F334" i="9"/>
  <c r="H334" i="9" s="1"/>
  <c r="D1291" i="14"/>
  <c r="F1238" i="14"/>
  <c r="H1238" i="14" s="1"/>
  <c r="I58" i="11" s="1"/>
  <c r="R52" i="11"/>
  <c r="V65" i="29"/>
  <c r="W65" i="29" s="1"/>
  <c r="B401" i="39"/>
  <c r="B372" i="39"/>
  <c r="C1601" i="39"/>
  <c r="D1601" i="39" s="1"/>
  <c r="C1652" i="39"/>
  <c r="D1550" i="39"/>
  <c r="F1693" i="13"/>
  <c r="G1639" i="13"/>
  <c r="G1649" i="13" s="1"/>
  <c r="F1637" i="13" s="1"/>
  <c r="F352" i="11" s="1"/>
  <c r="G461" i="29" s="1"/>
  <c r="C1636" i="39"/>
  <c r="E1636" i="39" s="1"/>
  <c r="G1636" i="39" s="1"/>
  <c r="E1631" i="39"/>
  <c r="G1631" i="39" s="1"/>
  <c r="J8" i="11"/>
  <c r="D58" i="37"/>
  <c r="J9" i="11" s="1"/>
  <c r="F622" i="12"/>
  <c r="H657" i="12" s="1"/>
  <c r="H659" i="12" s="1"/>
  <c r="F608" i="12" s="1"/>
  <c r="Q137" i="11" s="1"/>
  <c r="F137" i="11"/>
  <c r="F1140" i="39"/>
  <c r="F1191" i="39"/>
  <c r="F1243" i="39" s="1"/>
  <c r="F1294" i="39" s="1"/>
  <c r="C1260" i="14"/>
  <c r="C1310" i="14"/>
  <c r="C1290" i="14"/>
  <c r="D1623" i="14"/>
  <c r="F1623" i="14" s="1"/>
  <c r="H1623" i="14" s="1"/>
  <c r="F1567" i="14"/>
  <c r="H1567" i="14" s="1"/>
  <c r="B1118" i="16"/>
  <c r="B1100" i="16"/>
  <c r="B1070" i="16"/>
  <c r="U14" i="11"/>
  <c r="D92" i="37"/>
  <c r="U17" i="11" s="1"/>
  <c r="X6" i="11"/>
  <c r="Y6" i="11" s="1"/>
  <c r="F572" i="13"/>
  <c r="G515" i="13"/>
  <c r="G521" i="13" s="1"/>
  <c r="F508" i="13" s="1"/>
  <c r="F332" i="11" s="1"/>
  <c r="G441" i="29" s="1"/>
  <c r="F213" i="9"/>
  <c r="H241" i="9" s="1"/>
  <c r="F100" i="11"/>
  <c r="C1419" i="12"/>
  <c r="C1439" i="12"/>
  <c r="C1388" i="12"/>
  <c r="F550" i="15"/>
  <c r="H550" i="15" s="1"/>
  <c r="D602" i="15"/>
  <c r="F602" i="15" s="1"/>
  <c r="H602" i="15" s="1"/>
  <c r="C573" i="39"/>
  <c r="D522" i="39"/>
  <c r="G522" i="39" s="1"/>
  <c r="I522" i="39" s="1"/>
  <c r="C526" i="39" s="1"/>
  <c r="E526" i="39" s="1"/>
  <c r="C528" i="39" s="1"/>
  <c r="E528" i="39" s="1"/>
  <c r="E518" i="39" s="1"/>
  <c r="C777" i="39"/>
  <c r="J263" i="11"/>
  <c r="K330" i="29"/>
  <c r="C493" i="39"/>
  <c r="E440" i="39"/>
  <c r="G440" i="39" s="1"/>
  <c r="E437" i="39" s="1"/>
  <c r="G241" i="11" s="1"/>
  <c r="P232" i="11"/>
  <c r="O300" i="29"/>
  <c r="E2464" i="13"/>
  <c r="G2464" i="13" s="1"/>
  <c r="G2409" i="13"/>
  <c r="D1225" i="12"/>
  <c r="F1225" i="12" s="1"/>
  <c r="E148" i="11" s="1"/>
  <c r="F178" i="29" s="1"/>
  <c r="F1215" i="12"/>
  <c r="D148" i="11"/>
  <c r="F1394" i="12"/>
  <c r="G1339" i="12"/>
  <c r="E313" i="39"/>
  <c r="G358" i="39" s="1"/>
  <c r="G360" i="39" s="1"/>
  <c r="E311" i="39" s="1"/>
  <c r="Q239" i="11" s="1"/>
  <c r="E239" i="11"/>
  <c r="F307" i="29" s="1"/>
  <c r="K101" i="11"/>
  <c r="H287" i="9"/>
  <c r="F279" i="9" s="1"/>
  <c r="J180" i="29"/>
  <c r="E177" i="29"/>
  <c r="E364" i="39"/>
  <c r="G409" i="39" s="1"/>
  <c r="G411" i="39" s="1"/>
  <c r="E362" i="39" s="1"/>
  <c r="Q240" i="11" s="1"/>
  <c r="E240" i="11"/>
  <c r="F308" i="29" s="1"/>
  <c r="H60" i="11"/>
  <c r="E73" i="29"/>
  <c r="I73" i="29" s="1"/>
  <c r="K34" i="11"/>
  <c r="C23" i="40"/>
  <c r="D120" i="11"/>
  <c r="D1191" i="9"/>
  <c r="F1191" i="9" s="1"/>
  <c r="E120" i="11" s="1"/>
  <c r="F142" i="29" s="1"/>
  <c r="F1182" i="9"/>
  <c r="F557" i="13"/>
  <c r="H500" i="13"/>
  <c r="J500" i="13" s="1"/>
  <c r="D504" i="13" s="1"/>
  <c r="F504" i="13" s="1"/>
  <c r="J151" i="11"/>
  <c r="K181" i="29" s="1"/>
  <c r="F1241" i="12"/>
  <c r="G148" i="11"/>
  <c r="H178" i="29" s="1"/>
  <c r="J4" i="11"/>
  <c r="X4" i="11" s="1"/>
  <c r="Y4" i="11" s="1"/>
  <c r="D13" i="37"/>
  <c r="J5" i="11" s="1"/>
  <c r="C1633" i="39"/>
  <c r="C1587" i="39"/>
  <c r="E1587" i="39" s="1"/>
  <c r="G1587" i="39" s="1"/>
  <c r="C1683" i="39"/>
  <c r="E1582" i="39"/>
  <c r="G1582" i="39" s="1"/>
  <c r="D1346" i="14"/>
  <c r="F1289" i="14"/>
  <c r="H1289" i="14" s="1"/>
  <c r="F1133" i="9"/>
  <c r="F1968" i="13"/>
  <c r="F358" i="11"/>
  <c r="G467" i="29" s="1"/>
  <c r="E7" i="11"/>
  <c r="D41" i="37"/>
  <c r="D43" i="37" s="1"/>
  <c r="D25" i="37" s="1"/>
  <c r="Z7" i="11" s="1"/>
  <c r="G316" i="9"/>
  <c r="G272" i="9"/>
  <c r="G383" i="11"/>
  <c r="H383" i="11" s="1"/>
  <c r="N383" i="11" s="1"/>
  <c r="P383" i="11" s="1"/>
  <c r="F495" i="15"/>
  <c r="H515" i="15" s="1"/>
  <c r="H517" i="15" s="1"/>
  <c r="F469" i="15" s="1"/>
  <c r="E205" i="11"/>
  <c r="E1219" i="16"/>
  <c r="G419" i="39"/>
  <c r="D471" i="39"/>
  <c r="F1130" i="14"/>
  <c r="H1130" i="14" s="1"/>
  <c r="L56" i="11" s="1"/>
  <c r="M69" i="29" s="1"/>
  <c r="D1187" i="14"/>
  <c r="D1477" i="14"/>
  <c r="E1421" i="14"/>
  <c r="H1421" i="14" s="1"/>
  <c r="J1421" i="14" s="1"/>
  <c r="D1425" i="14" s="1"/>
  <c r="F1425" i="14" s="1"/>
  <c r="D1328" i="12"/>
  <c r="E1273" i="12"/>
  <c r="H1273" i="12" s="1"/>
  <c r="J1273" i="12" s="1"/>
  <c r="D1277" i="12" s="1"/>
  <c r="F1277" i="12" s="1"/>
  <c r="H239" i="11"/>
  <c r="E307" i="29"/>
  <c r="D1396" i="39"/>
  <c r="D63" i="18"/>
  <c r="D65" i="18" s="1"/>
  <c r="D48" i="18" s="1"/>
  <c r="Z8" i="11" s="1"/>
  <c r="E308" i="29"/>
  <c r="B471" i="39"/>
  <c r="B423" i="39"/>
  <c r="B451" i="39"/>
  <c r="E209" i="11" l="1"/>
  <c r="F266" i="29" s="1"/>
  <c r="E1377" i="16"/>
  <c r="V19" i="29"/>
  <c r="Q19" i="29"/>
  <c r="S19" i="29" s="1"/>
  <c r="U19" i="29" s="1"/>
  <c r="Q9" i="29"/>
  <c r="R9" i="29" s="1"/>
  <c r="S9" i="29" s="1"/>
  <c r="U9" i="29" s="1"/>
  <c r="V9" i="29"/>
  <c r="AA4" i="11"/>
  <c r="E142" i="29"/>
  <c r="G365" i="9"/>
  <c r="G321" i="9"/>
  <c r="F1449" i="12"/>
  <c r="G1394" i="12"/>
  <c r="D149" i="11"/>
  <c r="D1280" i="12"/>
  <c r="F1280" i="12" s="1"/>
  <c r="E149" i="11" s="1"/>
  <c r="F179" i="29" s="1"/>
  <c r="I419" i="39"/>
  <c r="C423" i="39" s="1"/>
  <c r="E423" i="39" s="1"/>
  <c r="G471" i="39"/>
  <c r="I471" i="39" s="1"/>
  <c r="C475" i="39" s="1"/>
  <c r="E475" i="39" s="1"/>
  <c r="C477" i="39" s="1"/>
  <c r="E477" i="39" s="1"/>
  <c r="E467" i="39" s="1"/>
  <c r="H309" i="29"/>
  <c r="G243" i="11"/>
  <c r="Q11" i="29"/>
  <c r="R11" i="29" s="1"/>
  <c r="S11" i="29" s="1"/>
  <c r="U11" i="29" s="1"/>
  <c r="V11" i="29"/>
  <c r="AA6" i="11"/>
  <c r="C1704" i="39"/>
  <c r="C1755" i="39" s="1"/>
  <c r="D1652" i="39"/>
  <c r="F1291" i="14"/>
  <c r="H1291" i="14" s="1"/>
  <c r="I59" i="11" s="1"/>
  <c r="D1348" i="14"/>
  <c r="T33" i="11"/>
  <c r="X33" i="11" s="1"/>
  <c r="Y33" i="11" s="1"/>
  <c r="D166" i="37"/>
  <c r="D168" i="37" s="1"/>
  <c r="D157" i="37" s="1"/>
  <c r="Z33" i="11" s="1"/>
  <c r="G1568" i="12"/>
  <c r="F1623" i="12"/>
  <c r="L257" i="11"/>
  <c r="M324" i="29"/>
  <c r="V22" i="29"/>
  <c r="AA17" i="11"/>
  <c r="Q22" i="29"/>
  <c r="S22" i="29" s="1"/>
  <c r="U22" i="29" s="1"/>
  <c r="E1328" i="12"/>
  <c r="H1328" i="12" s="1"/>
  <c r="J1328" i="12" s="1"/>
  <c r="D1332" i="12" s="1"/>
  <c r="F1332" i="12" s="1"/>
  <c r="D1383" i="12"/>
  <c r="X7" i="11"/>
  <c r="Y7" i="11" s="1"/>
  <c r="E1683" i="39"/>
  <c r="G1683" i="39" s="1"/>
  <c r="C1736" i="39"/>
  <c r="C1688" i="39"/>
  <c r="E1688" i="39" s="1"/>
  <c r="G1688" i="39" s="1"/>
  <c r="E178" i="29"/>
  <c r="C544" i="39"/>
  <c r="E493" i="39"/>
  <c r="G493" i="39" s="1"/>
  <c r="E490" i="39" s="1"/>
  <c r="C1314" i="14"/>
  <c r="C1347" i="14"/>
  <c r="C1366" i="14"/>
  <c r="D1363" i="12"/>
  <c r="D1313" i="12"/>
  <c r="F1313" i="12" s="1"/>
  <c r="H1313" i="12" s="1"/>
  <c r="F1308" i="12"/>
  <c r="H1308" i="12" s="1"/>
  <c r="L149" i="11" s="1"/>
  <c r="M179" i="29" s="1"/>
  <c r="C1454" i="14"/>
  <c r="C1477" i="14"/>
  <c r="C1425" i="14"/>
  <c r="G742" i="13"/>
  <c r="F799" i="13"/>
  <c r="D1581" i="12"/>
  <c r="D1531" i="12"/>
  <c r="F1531" i="12" s="1"/>
  <c r="H1531" i="12" s="1"/>
  <c r="F1526" i="12"/>
  <c r="H1526" i="12" s="1"/>
  <c r="J153" i="11" s="1"/>
  <c r="K183" i="29" s="1"/>
  <c r="B1396" i="39"/>
  <c r="B1348" i="39"/>
  <c r="B1373" i="39"/>
  <c r="G972" i="39"/>
  <c r="E959" i="39" s="1"/>
  <c r="I259" i="11"/>
  <c r="J326" i="29"/>
  <c r="E1256" i="36"/>
  <c r="G1200" i="36"/>
  <c r="G1202" i="36" s="1"/>
  <c r="F1189" i="36" s="1"/>
  <c r="B1434" i="16"/>
  <c r="B1410" i="16"/>
  <c r="B1384" i="16"/>
  <c r="L176" i="29"/>
  <c r="N176" i="29" s="1"/>
  <c r="M146" i="11"/>
  <c r="C1548" i="12"/>
  <c r="C1524" i="12"/>
  <c r="C1497" i="12"/>
  <c r="I119" i="11"/>
  <c r="H349" i="11"/>
  <c r="N349" i="11" s="1"/>
  <c r="P349" i="11" s="1"/>
  <c r="R349" i="11" s="1"/>
  <c r="H236" i="29"/>
  <c r="I236" i="29" s="1"/>
  <c r="P236" i="29" s="1"/>
  <c r="Q236" i="29" s="1"/>
  <c r="S236" i="29" s="1"/>
  <c r="U236" i="29" s="1"/>
  <c r="H179" i="11"/>
  <c r="N179" i="11" s="1"/>
  <c r="P179" i="11" s="1"/>
  <c r="R179" i="11" s="1"/>
  <c r="D121" i="11"/>
  <c r="D1240" i="9"/>
  <c r="F1240" i="9" s="1"/>
  <c r="E121" i="11" s="1"/>
  <c r="F143" i="29" s="1"/>
  <c r="H350" i="11"/>
  <c r="N350" i="11" s="1"/>
  <c r="P350" i="11" s="1"/>
  <c r="E459" i="29"/>
  <c r="I459" i="29" s="1"/>
  <c r="O459" i="29" s="1"/>
  <c r="Q459" i="29" s="1"/>
  <c r="S459" i="29" s="1"/>
  <c r="U459" i="29" s="1"/>
  <c r="E460" i="29"/>
  <c r="G180" i="11"/>
  <c r="G420" i="16"/>
  <c r="G422" i="16" s="1"/>
  <c r="E372" i="16" s="1"/>
  <c r="Q180" i="11" s="1"/>
  <c r="F1354" i="12"/>
  <c r="H1354" i="12" s="1"/>
  <c r="D1409" i="12"/>
  <c r="C1443" i="12"/>
  <c r="C1494" i="12"/>
  <c r="C1474" i="12"/>
  <c r="T15" i="11"/>
  <c r="T24" i="11"/>
  <c r="D1535" i="14"/>
  <c r="E1478" i="14"/>
  <c r="H1478" i="14" s="1"/>
  <c r="J1478" i="14" s="1"/>
  <c r="D1482" i="14" s="1"/>
  <c r="F1482" i="14" s="1"/>
  <c r="C837" i="16"/>
  <c r="E837" i="16" s="1"/>
  <c r="G837" i="16" s="1"/>
  <c r="E832" i="16"/>
  <c r="G832" i="16" s="1"/>
  <c r="K192" i="11" s="1"/>
  <c r="L249" i="29" s="1"/>
  <c r="C886" i="16"/>
  <c r="F89" i="11"/>
  <c r="F1402" i="12"/>
  <c r="G1347" i="12"/>
  <c r="E268" i="29"/>
  <c r="D1401" i="14"/>
  <c r="F1345" i="14"/>
  <c r="H1345" i="14" s="1"/>
  <c r="D1263" i="9"/>
  <c r="F1214" i="9"/>
  <c r="H1214" i="9" s="1"/>
  <c r="F1242" i="39"/>
  <c r="G1190" i="39"/>
  <c r="I1190" i="39" s="1"/>
  <c r="C1194" i="39" s="1"/>
  <c r="E1194" i="39" s="1"/>
  <c r="D815" i="36"/>
  <c r="F759" i="36"/>
  <c r="H759" i="36" s="1"/>
  <c r="F756" i="36" s="1"/>
  <c r="K10" i="36"/>
  <c r="Q71" i="11"/>
  <c r="R71" i="11" s="1"/>
  <c r="F1517" i="13"/>
  <c r="H1563" i="13" s="1"/>
  <c r="H1565" i="13" s="1"/>
  <c r="F1515" i="13" s="1"/>
  <c r="M31" i="13" s="1"/>
  <c r="Q350" i="11" s="1"/>
  <c r="E350" i="11"/>
  <c r="F459" i="29" s="1"/>
  <c r="E351" i="11"/>
  <c r="F460" i="29" s="1"/>
  <c r="F1572" i="13"/>
  <c r="H1617" i="13" s="1"/>
  <c r="H1619" i="13" s="1"/>
  <c r="F1570" i="13" s="1"/>
  <c r="M32" i="13" s="1"/>
  <c r="Q351" i="11" s="1"/>
  <c r="E1477" i="14"/>
  <c r="H1477" i="14" s="1"/>
  <c r="J1477" i="14" s="1"/>
  <c r="D1481" i="14" s="1"/>
  <c r="F1481" i="14" s="1"/>
  <c r="D1534" i="14"/>
  <c r="T18" i="11"/>
  <c r="J174" i="29"/>
  <c r="N174" i="29" s="1"/>
  <c r="M144" i="11"/>
  <c r="K257" i="11"/>
  <c r="L324" i="29"/>
  <c r="M256" i="11"/>
  <c r="N324" i="29" s="1"/>
  <c r="R233" i="11"/>
  <c r="Q301" i="29"/>
  <c r="S301" i="29" s="1"/>
  <c r="U301" i="29" s="1"/>
  <c r="D18" i="37"/>
  <c r="D20" i="37" s="1"/>
  <c r="D4" i="37" s="1"/>
  <c r="Z5" i="11" s="1"/>
  <c r="D1635" i="13"/>
  <c r="F1635" i="13" s="1"/>
  <c r="D352" i="11"/>
  <c r="K11" i="36"/>
  <c r="Q72" i="11"/>
  <c r="R53" i="11"/>
  <c r="V66" i="29"/>
  <c r="W66" i="29" s="1"/>
  <c r="G81" i="11"/>
  <c r="H720" i="36"/>
  <c r="H722" i="36" s="1"/>
  <c r="F671" i="36" s="1"/>
  <c r="F1450" i="12"/>
  <c r="G1395" i="12"/>
  <c r="R34" i="11"/>
  <c r="C21" i="40"/>
  <c r="D1428" i="14"/>
  <c r="F1428" i="14" s="1"/>
  <c r="E62" i="11" s="1"/>
  <c r="F75" i="29" s="1"/>
  <c r="D62" i="11"/>
  <c r="F1418" i="14"/>
  <c r="F262" i="29"/>
  <c r="C829" i="39"/>
  <c r="C881" i="39" s="1"/>
  <c r="D777" i="39"/>
  <c r="H100" i="11"/>
  <c r="N100" i="11" s="1"/>
  <c r="G122" i="29"/>
  <c r="I122" i="29" s="1"/>
  <c r="P122" i="29" s="1"/>
  <c r="Q122" i="29" s="1"/>
  <c r="R122" i="29" s="1"/>
  <c r="S122" i="29" s="1"/>
  <c r="U122" i="29" s="1"/>
  <c r="F1448" i="39"/>
  <c r="F1500" i="39" s="1"/>
  <c r="F1551" i="39" s="1"/>
  <c r="F1345" i="39"/>
  <c r="F1397" i="39" s="1"/>
  <c r="D432" i="9"/>
  <c r="F383" i="9"/>
  <c r="H383" i="9" s="1"/>
  <c r="T12" i="11"/>
  <c r="I188" i="11"/>
  <c r="G681" i="16"/>
  <c r="E668" i="16" s="1"/>
  <c r="J282" i="29"/>
  <c r="N282" i="29" s="1"/>
  <c r="M224" i="11"/>
  <c r="J181" i="29"/>
  <c r="G1592" i="16"/>
  <c r="I1592" i="16" s="1"/>
  <c r="C1596" i="16" s="1"/>
  <c r="E1596" i="16" s="1"/>
  <c r="D1644" i="16"/>
  <c r="G1644" i="16" s="1"/>
  <c r="I1644" i="16" s="1"/>
  <c r="C1648" i="16" s="1"/>
  <c r="E1648" i="16" s="1"/>
  <c r="C1360" i="16"/>
  <c r="E1307" i="16"/>
  <c r="G1307" i="16" s="1"/>
  <c r="J206" i="11" s="1"/>
  <c r="K263" i="29" s="1"/>
  <c r="C1312" i="16"/>
  <c r="E1312" i="16" s="1"/>
  <c r="G1312" i="16" s="1"/>
  <c r="X5" i="11"/>
  <c r="Y5" i="11" s="1"/>
  <c r="F1845" i="13"/>
  <c r="H1845" i="13" s="1"/>
  <c r="J1845" i="13" s="1"/>
  <c r="D1849" i="13" s="1"/>
  <c r="F1849" i="13" s="1"/>
  <c r="H1737" i="13"/>
  <c r="J1737" i="13" s="1"/>
  <c r="D1741" i="13" s="1"/>
  <c r="F1741" i="13" s="1"/>
  <c r="J85" i="29"/>
  <c r="N85" i="29" s="1"/>
  <c r="O85" i="29" s="1"/>
  <c r="Q85" i="29" s="1"/>
  <c r="S85" i="29" s="1"/>
  <c r="U85" i="29" s="1"/>
  <c r="M72" i="11"/>
  <c r="N72" i="11" s="1"/>
  <c r="P72" i="11" s="1"/>
  <c r="J140" i="29"/>
  <c r="G1949" i="16"/>
  <c r="G1953" i="16" s="1"/>
  <c r="E1940" i="16" s="1"/>
  <c r="E2004" i="16"/>
  <c r="G2004" i="16" s="1"/>
  <c r="I228" i="11" s="1"/>
  <c r="V84" i="29"/>
  <c r="W84" i="29" s="1"/>
  <c r="D332" i="11"/>
  <c r="D506" i="13"/>
  <c r="F506" i="13" s="1"/>
  <c r="E1633" i="39"/>
  <c r="G1633" i="39" s="1"/>
  <c r="C1638" i="39"/>
  <c r="E1638" i="39" s="1"/>
  <c r="G1638" i="39" s="1"/>
  <c r="F614" i="13"/>
  <c r="H557" i="13"/>
  <c r="J557" i="13" s="1"/>
  <c r="D561" i="13" s="1"/>
  <c r="F561" i="13" s="1"/>
  <c r="L123" i="29"/>
  <c r="N123" i="29" s="1"/>
  <c r="M101" i="11"/>
  <c r="J264" i="11"/>
  <c r="K331" i="29"/>
  <c r="K102" i="11"/>
  <c r="H336" i="9"/>
  <c r="F328" i="9" s="1"/>
  <c r="K14" i="15"/>
  <c r="Q383" i="11"/>
  <c r="R383" i="11" s="1"/>
  <c r="T23" i="11"/>
  <c r="D1241" i="14"/>
  <c r="F1187" i="14"/>
  <c r="H1187" i="14" s="1"/>
  <c r="L57" i="11" s="1"/>
  <c r="M70" i="29" s="1"/>
  <c r="H243" i="9"/>
  <c r="H244" i="9"/>
  <c r="F200" i="9" s="1"/>
  <c r="Q100" i="11" s="1"/>
  <c r="B1171" i="16"/>
  <c r="B1153" i="16"/>
  <c r="B1122" i="16"/>
  <c r="T22" i="11"/>
  <c r="C778" i="16"/>
  <c r="C730" i="16"/>
  <c r="E730" i="16" s="1"/>
  <c r="G730" i="16" s="1"/>
  <c r="E725" i="16"/>
  <c r="G725" i="16" s="1"/>
  <c r="E331" i="11"/>
  <c r="F440" i="29" s="1"/>
  <c r="F439" i="13"/>
  <c r="H487" i="13" s="1"/>
  <c r="H489" i="13" s="1"/>
  <c r="F437" i="13" s="1"/>
  <c r="M12" i="13" s="1"/>
  <c r="Q331" i="11" s="1"/>
  <c r="D357" i="11"/>
  <c r="D1911" i="13"/>
  <c r="F1911" i="13" s="1"/>
  <c r="E1273" i="39"/>
  <c r="G1273" i="39" s="1"/>
  <c r="C1324" i="39"/>
  <c r="C1278" i="39"/>
  <c r="E1278" i="39" s="1"/>
  <c r="G1278" i="39" s="1"/>
  <c r="Q54" i="11"/>
  <c r="K26" i="14"/>
  <c r="C1739" i="39"/>
  <c r="E1739" i="39" s="1"/>
  <c r="G1739" i="39" s="1"/>
  <c r="C1785" i="39"/>
  <c r="E1734" i="39"/>
  <c r="G1734" i="39" s="1"/>
  <c r="C272" i="39"/>
  <c r="E272" i="39" s="1"/>
  <c r="D238" i="11"/>
  <c r="K55" i="11"/>
  <c r="H1075" i="14"/>
  <c r="F1062" i="14" s="1"/>
  <c r="H1077" i="14" s="1"/>
  <c r="H1079" i="14" s="1"/>
  <c r="F1028" i="14" s="1"/>
  <c r="J205" i="11"/>
  <c r="K262" i="29" s="1"/>
  <c r="F1168" i="9"/>
  <c r="H1168" i="9" s="1"/>
  <c r="L119" i="11" s="1"/>
  <c r="M141" i="29" s="1"/>
  <c r="D1217" i="9"/>
  <c r="F1297" i="9"/>
  <c r="G1297" i="9" s="1"/>
  <c r="G1248" i="9"/>
  <c r="D1593" i="16"/>
  <c r="C1645" i="16"/>
  <c r="C1699" i="16" s="1"/>
  <c r="L209" i="11"/>
  <c r="M266" i="29" s="1"/>
  <c r="C1121" i="39"/>
  <c r="C1075" i="39"/>
  <c r="E1075" i="39" s="1"/>
  <c r="G1075" i="39" s="1"/>
  <c r="E1070" i="39"/>
  <c r="G1070" i="39" s="1"/>
  <c r="G2008" i="16"/>
  <c r="E1995" i="16" s="1"/>
  <c r="E206" i="11"/>
  <c r="E1272" i="16"/>
  <c r="D209" i="11"/>
  <c r="D101" i="18"/>
  <c r="D79" i="18"/>
  <c r="E74" i="29"/>
  <c r="I74" i="29" s="1"/>
  <c r="H61" i="11"/>
  <c r="G167" i="29"/>
  <c r="I167" i="29" s="1"/>
  <c r="P167" i="29" s="1"/>
  <c r="Q167" i="29" s="1"/>
  <c r="S167" i="29" s="1"/>
  <c r="U167" i="29" s="1"/>
  <c r="H137" i="11"/>
  <c r="N137" i="11" s="1"/>
  <c r="P137" i="11" s="1"/>
  <c r="R137" i="11" s="1"/>
  <c r="F1747" i="13"/>
  <c r="G1693" i="13"/>
  <c r="G1703" i="13" s="1"/>
  <c r="F1691" i="13" s="1"/>
  <c r="F353" i="11" s="1"/>
  <c r="G462" i="29" s="1"/>
  <c r="F677" i="12"/>
  <c r="H712" i="12" s="1"/>
  <c r="H714" i="12" s="1"/>
  <c r="F663" i="12" s="1"/>
  <c r="Q138" i="11" s="1"/>
  <c r="F138" i="11"/>
  <c r="E440" i="29"/>
  <c r="I440" i="29" s="1"/>
  <c r="O440" i="29" s="1"/>
  <c r="Q440" i="29" s="1"/>
  <c r="S440" i="29" s="1"/>
  <c r="U440" i="29" s="1"/>
  <c r="H331" i="11"/>
  <c r="N331" i="11" s="1"/>
  <c r="P331" i="11" s="1"/>
  <c r="R331" i="11" s="1"/>
  <c r="F2068" i="13"/>
  <c r="F2014" i="13"/>
  <c r="H2014" i="13" s="1"/>
  <c r="J2014" i="13" s="1"/>
  <c r="D2018" i="13" s="1"/>
  <c r="F2018" i="13" s="1"/>
  <c r="H1960" i="13"/>
  <c r="J1960" i="13" s="1"/>
  <c r="D1964" i="13" s="1"/>
  <c r="F1964" i="13" s="1"/>
  <c r="L67" i="29"/>
  <c r="N67" i="29" s="1"/>
  <c r="O67" i="29" s="1"/>
  <c r="Q67" i="29" s="1"/>
  <c r="S67" i="29" s="1"/>
  <c r="U67" i="29" s="1"/>
  <c r="M54" i="11"/>
  <c r="N54" i="11" s="1"/>
  <c r="P54" i="11" s="1"/>
  <c r="I152" i="11"/>
  <c r="E1523" i="39"/>
  <c r="G1523" i="39" s="1"/>
  <c r="C1574" i="39"/>
  <c r="C220" i="39"/>
  <c r="E220" i="39" s="1"/>
  <c r="D236" i="11"/>
  <c r="D1186" i="14"/>
  <c r="F1129" i="14"/>
  <c r="H1129" i="14" s="1"/>
  <c r="K615" i="36"/>
  <c r="K19" i="36"/>
  <c r="P19" i="36" s="1"/>
  <c r="Q80" i="11"/>
  <c r="E1714" i="12"/>
  <c r="H1714" i="12" s="1"/>
  <c r="J1714" i="12" s="1"/>
  <c r="D1718" i="12" s="1"/>
  <c r="F1718" i="12" s="1"/>
  <c r="D1769" i="12"/>
  <c r="D1540" i="16"/>
  <c r="G1540" i="16" s="1"/>
  <c r="I1540" i="16" s="1"/>
  <c r="C1544" i="16" s="1"/>
  <c r="E1544" i="16" s="1"/>
  <c r="D214" i="11" s="1"/>
  <c r="G1488" i="16"/>
  <c r="I1488" i="16" s="1"/>
  <c r="C1492" i="16" s="1"/>
  <c r="E1492" i="16" s="1"/>
  <c r="C1494" i="16" s="1"/>
  <c r="E1494" i="16" s="1"/>
  <c r="I226" i="11"/>
  <c r="F1346" i="12"/>
  <c r="G1291" i="12"/>
  <c r="D63" i="37"/>
  <c r="D65" i="37" s="1"/>
  <c r="D48" i="37" s="1"/>
  <c r="Z9" i="11" s="1"/>
  <c r="C1546" i="16"/>
  <c r="E1546" i="16" s="1"/>
  <c r="E214" i="11" s="1"/>
  <c r="F271" i="29" s="1"/>
  <c r="F1672" i="12"/>
  <c r="G1617" i="12"/>
  <c r="I303" i="29"/>
  <c r="N235" i="11"/>
  <c r="D79" i="37"/>
  <c r="D81" i="37" s="1"/>
  <c r="D70" i="37" s="1"/>
  <c r="Z14" i="11" s="1"/>
  <c r="AA14" i="11" s="1"/>
  <c r="F101" i="11"/>
  <c r="F262" i="9"/>
  <c r="H290" i="9" s="1"/>
  <c r="B504" i="39"/>
  <c r="B475" i="39"/>
  <c r="B522" i="39"/>
  <c r="D1402" i="14"/>
  <c r="F1346" i="14"/>
  <c r="H1346" i="14" s="1"/>
  <c r="R232" i="11"/>
  <c r="Q300" i="29"/>
  <c r="S300" i="29" s="1"/>
  <c r="U300" i="29" s="1"/>
  <c r="G572" i="13"/>
  <c r="G578" i="13" s="1"/>
  <c r="F565" i="13" s="1"/>
  <c r="F333" i="11" s="1"/>
  <c r="G442" i="29" s="1"/>
  <c r="F629" i="13"/>
  <c r="J71" i="29"/>
  <c r="F1292" i="14"/>
  <c r="H1292" i="14" s="1"/>
  <c r="J59" i="11" s="1"/>
  <c r="K72" i="29" s="1"/>
  <c r="D1349" i="14"/>
  <c r="F793" i="12"/>
  <c r="G738" i="12"/>
  <c r="G744" i="12" s="1"/>
  <c r="K147" i="11"/>
  <c r="H1204" i="12"/>
  <c r="F1191" i="12" s="1"/>
  <c r="B1475" i="39"/>
  <c r="B1451" i="39"/>
  <c r="B1499" i="39"/>
  <c r="F1525" i="12"/>
  <c r="H1525" i="12" s="1"/>
  <c r="D1530" i="12"/>
  <c r="F1530" i="12" s="1"/>
  <c r="H1530" i="12" s="1"/>
  <c r="D1580" i="12"/>
  <c r="F2354" i="13"/>
  <c r="G2297" i="13"/>
  <c r="G2306" i="13" s="1"/>
  <c r="F2294" i="13" s="1"/>
  <c r="F364" i="11" s="1"/>
  <c r="G473" i="29" s="1"/>
  <c r="M186" i="11"/>
  <c r="J243" i="29"/>
  <c r="N243" i="29" s="1"/>
  <c r="F1561" i="12"/>
  <c r="G1506" i="12"/>
  <c r="D1689" i="13"/>
  <c r="F1689" i="13" s="1"/>
  <c r="D353" i="11"/>
  <c r="G101" i="29"/>
  <c r="H93" i="29"/>
  <c r="I93" i="29" s="1"/>
  <c r="O93" i="29" s="1"/>
  <c r="Q93" i="29" s="1"/>
  <c r="S93" i="29" s="1"/>
  <c r="U93" i="29" s="1"/>
  <c r="H80" i="11"/>
  <c r="N80" i="11" s="1"/>
  <c r="P80" i="11" s="1"/>
  <c r="P99" i="11"/>
  <c r="R99" i="11" s="1"/>
  <c r="V121" i="29"/>
  <c r="W121" i="29" s="1"/>
  <c r="O99" i="11"/>
  <c r="P234" i="11"/>
  <c r="O302" i="29"/>
  <c r="C1474" i="16"/>
  <c r="E1474" i="16" s="1"/>
  <c r="G1474" i="16" s="1"/>
  <c r="E1469" i="16"/>
  <c r="G1469" i="16" s="1"/>
  <c r="L211" i="11" s="1"/>
  <c r="M268" i="29" s="1"/>
  <c r="C1521" i="16"/>
  <c r="X9" i="11"/>
  <c r="Y9" i="11" s="1"/>
  <c r="E265" i="29"/>
  <c r="D324" i="36"/>
  <c r="F324" i="36" s="1"/>
  <c r="H324" i="36" s="1"/>
  <c r="D374" i="36"/>
  <c r="F319" i="36"/>
  <c r="H319" i="36" s="1"/>
  <c r="G1289" i="12"/>
  <c r="F1344" i="12"/>
  <c r="I307" i="29"/>
  <c r="N239" i="11"/>
  <c r="C624" i="39"/>
  <c r="D573" i="39"/>
  <c r="G573" i="39" s="1"/>
  <c r="I573" i="39" s="1"/>
  <c r="C577" i="39" s="1"/>
  <c r="E577" i="39" s="1"/>
  <c r="C579" i="39" s="1"/>
  <c r="E579" i="39" s="1"/>
  <c r="E569" i="39" s="1"/>
  <c r="G385" i="11"/>
  <c r="H385" i="11" s="1"/>
  <c r="N385" i="11" s="1"/>
  <c r="P385" i="11" s="1"/>
  <c r="F599" i="15"/>
  <c r="H619" i="15" s="1"/>
  <c r="H621" i="15" s="1"/>
  <c r="F573" i="15" s="1"/>
  <c r="H240" i="11"/>
  <c r="F547" i="15"/>
  <c r="H567" i="15" s="1"/>
  <c r="H569" i="15" s="1"/>
  <c r="F521" i="15" s="1"/>
  <c r="G384" i="11"/>
  <c r="H384" i="11" s="1"/>
  <c r="N384" i="11" s="1"/>
  <c r="P384" i="11" s="1"/>
  <c r="T21" i="11"/>
  <c r="V13" i="29"/>
  <c r="AA8" i="11"/>
  <c r="Q13" i="29"/>
  <c r="R13" i="29" s="1"/>
  <c r="S13" i="29" s="1"/>
  <c r="U13" i="29" s="1"/>
  <c r="D1257" i="12"/>
  <c r="F1257" i="12" s="1"/>
  <c r="H1257" i="12" s="1"/>
  <c r="D1307" i="12"/>
  <c r="F1252" i="12"/>
  <c r="H1252" i="12" s="1"/>
  <c r="F2132" i="13"/>
  <c r="G2078" i="13"/>
  <c r="G2087" i="13" s="1"/>
  <c r="D1797" i="13"/>
  <c r="F1797" i="13" s="1"/>
  <c r="D355" i="11"/>
  <c r="U121" i="29"/>
  <c r="G237" i="31"/>
  <c r="E1143" i="16"/>
  <c r="G1143" i="16" s="1"/>
  <c r="C1195" i="16"/>
  <c r="F1345" i="12"/>
  <c r="G1290" i="12"/>
  <c r="D122" i="11"/>
  <c r="D1289" i="9"/>
  <c r="F1289" i="9" s="1"/>
  <c r="E122" i="11" s="1"/>
  <c r="F144" i="29" s="1"/>
  <c r="I73" i="11"/>
  <c r="H272" i="36"/>
  <c r="F259" i="36" s="1"/>
  <c r="H274" i="36" s="1"/>
  <c r="H276" i="36" s="1"/>
  <c r="F225" i="36" s="1"/>
  <c r="C506" i="16"/>
  <c r="E454" i="16"/>
  <c r="G149" i="11"/>
  <c r="H179" i="29" s="1"/>
  <c r="F1296" i="12"/>
  <c r="E212" i="11" l="1"/>
  <c r="F269" i="29" s="1"/>
  <c r="E1484" i="16"/>
  <c r="E271" i="29"/>
  <c r="J286" i="29"/>
  <c r="N286" i="29" s="1"/>
  <c r="M228" i="11"/>
  <c r="C675" i="39"/>
  <c r="D624" i="39"/>
  <c r="G624" i="39" s="1"/>
  <c r="I624" i="39" s="1"/>
  <c r="C628" i="39" s="1"/>
  <c r="E628" i="39" s="1"/>
  <c r="C630" i="39" s="1"/>
  <c r="E630" i="39" s="1"/>
  <c r="E620" i="39" s="1"/>
  <c r="I308" i="29"/>
  <c r="N240" i="11"/>
  <c r="Q302" i="29"/>
  <c r="S302" i="29" s="1"/>
  <c r="U302" i="29" s="1"/>
  <c r="R234" i="11"/>
  <c r="F2407" i="13"/>
  <c r="G2354" i="13"/>
  <c r="G2363" i="13" s="1"/>
  <c r="F1801" i="13"/>
  <c r="G1801" i="13" s="1"/>
  <c r="G1811" i="13" s="1"/>
  <c r="F1799" i="13" s="1"/>
  <c r="F355" i="11" s="1"/>
  <c r="G464" i="29" s="1"/>
  <c r="G1747" i="13"/>
  <c r="G1757" i="13" s="1"/>
  <c r="F1745" i="13" s="1"/>
  <c r="F354" i="11" s="1"/>
  <c r="G463" i="29" s="1"/>
  <c r="E464" i="29"/>
  <c r="O307" i="29"/>
  <c r="P239" i="11"/>
  <c r="E462" i="29"/>
  <c r="F1580" i="12"/>
  <c r="H1580" i="12" s="1"/>
  <c r="D1635" i="12"/>
  <c r="D1585" i="12"/>
  <c r="F1585" i="12" s="1"/>
  <c r="H1585" i="12" s="1"/>
  <c r="E1536" i="16"/>
  <c r="D1824" i="12"/>
  <c r="E1769" i="12"/>
  <c r="H1769" i="12" s="1"/>
  <c r="J1769" i="12" s="1"/>
  <c r="D1773" i="12" s="1"/>
  <c r="F1773" i="12" s="1"/>
  <c r="D2020" i="13"/>
  <c r="F2020" i="13" s="1"/>
  <c r="D359" i="11"/>
  <c r="R11" i="11"/>
  <c r="E238" i="11"/>
  <c r="F306" i="29" s="1"/>
  <c r="E262" i="39"/>
  <c r="G307" i="39" s="1"/>
  <c r="G309" i="39" s="1"/>
  <c r="E260" i="39" s="1"/>
  <c r="Q238" i="11" s="1"/>
  <c r="C1477" i="39"/>
  <c r="C1329" i="39"/>
  <c r="E1329" i="39" s="1"/>
  <c r="G1329" i="39" s="1"/>
  <c r="C1375" i="39"/>
  <c r="E1324" i="39"/>
  <c r="G1324" i="39" s="1"/>
  <c r="C559" i="16"/>
  <c r="E506" i="16"/>
  <c r="G506" i="16" s="1"/>
  <c r="E503" i="16" s="1"/>
  <c r="G1345" i="12"/>
  <c r="F1400" i="12"/>
  <c r="E355" i="11"/>
  <c r="F464" i="29" s="1"/>
  <c r="F1787" i="13"/>
  <c r="W13" i="29"/>
  <c r="E353" i="11"/>
  <c r="F462" i="29" s="1"/>
  <c r="F1679" i="13"/>
  <c r="H1725" i="13" s="1"/>
  <c r="H1727" i="13" s="1"/>
  <c r="F1677" i="13" s="1"/>
  <c r="M34" i="13" s="1"/>
  <c r="Q353" i="11" s="1"/>
  <c r="F848" i="12"/>
  <c r="G793" i="12"/>
  <c r="G799" i="12" s="1"/>
  <c r="C1675" i="39"/>
  <c r="C1625" i="39"/>
  <c r="E1625" i="39" s="1"/>
  <c r="G1625" i="39" s="1"/>
  <c r="E1574" i="39"/>
  <c r="G1574" i="39" s="1"/>
  <c r="F2122" i="13"/>
  <c r="H2068" i="13"/>
  <c r="J2068" i="13" s="1"/>
  <c r="D2072" i="13" s="1"/>
  <c r="F2072" i="13" s="1"/>
  <c r="D212" i="11"/>
  <c r="G1076" i="39"/>
  <c r="E1063" i="39" s="1"/>
  <c r="F1217" i="9"/>
  <c r="H1217" i="9" s="1"/>
  <c r="L120" i="11" s="1"/>
  <c r="M142" i="29" s="1"/>
  <c r="D1266" i="9"/>
  <c r="E778" i="16"/>
  <c r="G778" i="16" s="1"/>
  <c r="C783" i="16"/>
  <c r="E783" i="16" s="1"/>
  <c r="G783" i="16" s="1"/>
  <c r="C830" i="16"/>
  <c r="C986" i="39"/>
  <c r="C934" i="39"/>
  <c r="D881" i="39"/>
  <c r="K671" i="36"/>
  <c r="Q81" i="11"/>
  <c r="K20" i="36"/>
  <c r="P20" i="36" s="1"/>
  <c r="D1484" i="14"/>
  <c r="F1484" i="14" s="1"/>
  <c r="E63" i="11" s="1"/>
  <c r="F76" i="29" s="1"/>
  <c r="D63" i="11"/>
  <c r="G82" i="11"/>
  <c r="H776" i="36"/>
  <c r="H778" i="36" s="1"/>
  <c r="F727" i="36" s="1"/>
  <c r="G150" i="11"/>
  <c r="H180" i="29" s="1"/>
  <c r="F1351" i="12"/>
  <c r="F1231" i="9"/>
  <c r="J141" i="29"/>
  <c r="F1581" i="12"/>
  <c r="H1581" i="12" s="1"/>
  <c r="D1636" i="12"/>
  <c r="D1586" i="12"/>
  <c r="F1586" i="12" s="1"/>
  <c r="H1586" i="12" s="1"/>
  <c r="D1418" i="12"/>
  <c r="F1363" i="12"/>
  <c r="H1363" i="12" s="1"/>
  <c r="D1368" i="12"/>
  <c r="F1368" i="12" s="1"/>
  <c r="H1368" i="12" s="1"/>
  <c r="D1438" i="12"/>
  <c r="E1383" i="12"/>
  <c r="H1383" i="12" s="1"/>
  <c r="J1383" i="12" s="1"/>
  <c r="D1387" i="12" s="1"/>
  <c r="F1387" i="12" s="1"/>
  <c r="W11" i="29"/>
  <c r="E179" i="29"/>
  <c r="I153" i="11"/>
  <c r="D1405" i="14"/>
  <c r="F1349" i="14"/>
  <c r="H1349" i="14" s="1"/>
  <c r="J60" i="11" s="1"/>
  <c r="K73" i="29" s="1"/>
  <c r="P235" i="11"/>
  <c r="O303" i="29"/>
  <c r="E1785" i="39"/>
  <c r="G1785" i="39" s="1"/>
  <c r="C1835" i="39"/>
  <c r="C1790" i="39"/>
  <c r="E1790" i="39" s="1"/>
  <c r="G1790" i="39" s="1"/>
  <c r="L124" i="29"/>
  <c r="N124" i="29" s="1"/>
  <c r="M102" i="11"/>
  <c r="K103" i="11"/>
  <c r="H385" i="9"/>
  <c r="F377" i="9" s="1"/>
  <c r="H94" i="29"/>
  <c r="I94" i="29" s="1"/>
  <c r="O94" i="29" s="1"/>
  <c r="Q94" i="29" s="1"/>
  <c r="S94" i="29" s="1"/>
  <c r="U94" i="29" s="1"/>
  <c r="H81" i="11"/>
  <c r="N81" i="11" s="1"/>
  <c r="P81" i="11" s="1"/>
  <c r="K258" i="11"/>
  <c r="L325" i="29"/>
  <c r="M257" i="11"/>
  <c r="N325" i="29" s="1"/>
  <c r="F815" i="36"/>
  <c r="H815" i="36" s="1"/>
  <c r="F812" i="36" s="1"/>
  <c r="D871" i="36"/>
  <c r="E143" i="29"/>
  <c r="J327" i="29"/>
  <c r="I261" i="11"/>
  <c r="F856" i="13"/>
  <c r="G799" i="13"/>
  <c r="D1335" i="12"/>
  <c r="F1335" i="12" s="1"/>
  <c r="E150" i="11" s="1"/>
  <c r="F180" i="29" s="1"/>
  <c r="D150" i="11"/>
  <c r="W9" i="29"/>
  <c r="F360" i="11"/>
  <c r="G469" i="29" s="1"/>
  <c r="F2076" i="13"/>
  <c r="J86" i="29"/>
  <c r="N86" i="29" s="1"/>
  <c r="O86" i="29" s="1"/>
  <c r="Q86" i="29" s="1"/>
  <c r="S86" i="29" s="1"/>
  <c r="U86" i="29" s="1"/>
  <c r="M73" i="11"/>
  <c r="N73" i="11" s="1"/>
  <c r="P73" i="11" s="1"/>
  <c r="F2187" i="13"/>
  <c r="G2132" i="13"/>
  <c r="G1344" i="12"/>
  <c r="F1399" i="12"/>
  <c r="G1561" i="12"/>
  <c r="F1616" i="12"/>
  <c r="E357" i="11"/>
  <c r="F466" i="29" s="1"/>
  <c r="F1901" i="13"/>
  <c r="H1947" i="13" s="1"/>
  <c r="H1949" i="13" s="1"/>
  <c r="F1899" i="13" s="1"/>
  <c r="M38" i="13" s="1"/>
  <c r="Q357" i="11" s="1"/>
  <c r="E332" i="11"/>
  <c r="F441" i="29" s="1"/>
  <c r="F496" i="13"/>
  <c r="H544" i="13" s="1"/>
  <c r="H546" i="13" s="1"/>
  <c r="F494" i="13" s="1"/>
  <c r="M13" i="13" s="1"/>
  <c r="Q332" i="11" s="1"/>
  <c r="V85" i="29"/>
  <c r="W85" i="29" s="1"/>
  <c r="R72" i="11"/>
  <c r="C1365" i="16"/>
  <c r="E1365" i="16" s="1"/>
  <c r="G1365" i="16" s="1"/>
  <c r="E1360" i="16"/>
  <c r="G1360" i="16" s="1"/>
  <c r="J208" i="11" s="1"/>
  <c r="K265" i="29" s="1"/>
  <c r="C1412" i="16"/>
  <c r="D481" i="9"/>
  <c r="F432" i="9"/>
  <c r="H432" i="9" s="1"/>
  <c r="H237" i="29"/>
  <c r="I237" i="29" s="1"/>
  <c r="P237" i="29" s="1"/>
  <c r="Q237" i="29" s="1"/>
  <c r="S237" i="29" s="1"/>
  <c r="U237" i="29" s="1"/>
  <c r="H180" i="11"/>
  <c r="N180" i="11" s="1"/>
  <c r="P180" i="11" s="1"/>
  <c r="R180" i="11" s="1"/>
  <c r="C1370" i="14"/>
  <c r="C1403" i="14"/>
  <c r="C1422" i="14"/>
  <c r="V38" i="29"/>
  <c r="AA33" i="11"/>
  <c r="Q38" i="29"/>
  <c r="S38" i="29" s="1"/>
  <c r="U38" i="29" s="1"/>
  <c r="H311" i="29"/>
  <c r="G244" i="11"/>
  <c r="G1449" i="12"/>
  <c r="F1504" i="12"/>
  <c r="Q73" i="11"/>
  <c r="K12" i="36"/>
  <c r="AA9" i="11"/>
  <c r="Q14" i="29"/>
  <c r="R14" i="29" s="1"/>
  <c r="S14" i="29" s="1"/>
  <c r="U14" i="29" s="1"/>
  <c r="Q385" i="11"/>
  <c r="K16" i="15"/>
  <c r="D345" i="18" s="1"/>
  <c r="R80" i="11"/>
  <c r="V93" i="29"/>
  <c r="W93" i="29" s="1"/>
  <c r="B1528" i="39"/>
  <c r="B1550" i="39"/>
  <c r="B1503" i="39"/>
  <c r="D1458" i="14"/>
  <c r="F1402" i="14"/>
  <c r="H1402" i="14" s="1"/>
  <c r="E1121" i="39"/>
  <c r="G1121" i="39" s="1"/>
  <c r="G1127" i="39" s="1"/>
  <c r="E1114" i="39" s="1"/>
  <c r="C1172" i="39"/>
  <c r="C1222" i="39"/>
  <c r="C1126" i="39"/>
  <c r="E1126" i="39" s="1"/>
  <c r="G1126" i="39" s="1"/>
  <c r="K148" i="11"/>
  <c r="H1259" i="12"/>
  <c r="F1246" i="12" s="1"/>
  <c r="R385" i="11"/>
  <c r="B526" i="39"/>
  <c r="B555" i="39"/>
  <c r="B573" i="39"/>
  <c r="B777" i="39"/>
  <c r="J284" i="29"/>
  <c r="N284" i="29" s="1"/>
  <c r="M226" i="11"/>
  <c r="J182" i="29"/>
  <c r="E466" i="29"/>
  <c r="D1294" i="14"/>
  <c r="F1241" i="14"/>
  <c r="H1241" i="14" s="1"/>
  <c r="L58" i="11" s="1"/>
  <c r="M71" i="29" s="1"/>
  <c r="K332" i="29"/>
  <c r="J265" i="11"/>
  <c r="E441" i="29"/>
  <c r="I441" i="29" s="1"/>
  <c r="O441" i="29" s="1"/>
  <c r="Q441" i="29" s="1"/>
  <c r="S441" i="29" s="1"/>
  <c r="U441" i="29" s="1"/>
  <c r="H332" i="11"/>
  <c r="N332" i="11" s="1"/>
  <c r="P332" i="11" s="1"/>
  <c r="R332" i="11" s="1"/>
  <c r="D217" i="11"/>
  <c r="C1651" i="16"/>
  <c r="E1651" i="16" s="1"/>
  <c r="E217" i="11" s="1"/>
  <c r="F274" i="29" s="1"/>
  <c r="F1293" i="39"/>
  <c r="G1242" i="39"/>
  <c r="I1242" i="39" s="1"/>
  <c r="C1246" i="39" s="1"/>
  <c r="E1246" i="39" s="1"/>
  <c r="F1457" i="12"/>
  <c r="G1402" i="12"/>
  <c r="E1535" i="14"/>
  <c r="H1535" i="14" s="1"/>
  <c r="J1535" i="14" s="1"/>
  <c r="D1539" i="14" s="1"/>
  <c r="F1539" i="14" s="1"/>
  <c r="D1590" i="14"/>
  <c r="E1590" i="14" s="1"/>
  <c r="H1590" i="14" s="1"/>
  <c r="J1590" i="14" s="1"/>
  <c r="D1594" i="14" s="1"/>
  <c r="F1594" i="14" s="1"/>
  <c r="H351" i="11"/>
  <c r="N351" i="11" s="1"/>
  <c r="P351" i="11" s="1"/>
  <c r="R351" i="11" s="1"/>
  <c r="B1465" i="16"/>
  <c r="B1487" i="16"/>
  <c r="B1438" i="16"/>
  <c r="D1404" i="14"/>
  <c r="F1348" i="14"/>
  <c r="H1348" i="14" s="1"/>
  <c r="I60" i="11" s="1"/>
  <c r="F102" i="11"/>
  <c r="F311" i="9"/>
  <c r="H339" i="9" s="1"/>
  <c r="D379" i="36"/>
  <c r="D429" i="36"/>
  <c r="F429" i="36" s="1"/>
  <c r="H429" i="36" s="1"/>
  <c r="F374" i="36"/>
  <c r="H374" i="36" s="1"/>
  <c r="C1248" i="16"/>
  <c r="E1195" i="16"/>
  <c r="G1195" i="16" s="1"/>
  <c r="C1574" i="16"/>
  <c r="E1521" i="16"/>
  <c r="G1521" i="16" s="1"/>
  <c r="L212" i="11" s="1"/>
  <c r="M269" i="29" s="1"/>
  <c r="C1526" i="16"/>
  <c r="E1526" i="16" s="1"/>
  <c r="G1526" i="16" s="1"/>
  <c r="G1346" i="12"/>
  <c r="F1401" i="12"/>
  <c r="R384" i="11"/>
  <c r="G168" i="29"/>
  <c r="I168" i="29" s="1"/>
  <c r="P168" i="29" s="1"/>
  <c r="Q168" i="29" s="1"/>
  <c r="S168" i="29" s="1"/>
  <c r="U168" i="29" s="1"/>
  <c r="H138" i="11"/>
  <c r="N138" i="11" s="1"/>
  <c r="P138" i="11" s="1"/>
  <c r="R138" i="11" s="1"/>
  <c r="E266" i="29"/>
  <c r="F1280" i="9"/>
  <c r="F1307" i="12"/>
  <c r="H1307" i="12" s="1"/>
  <c r="D1362" i="12"/>
  <c r="D1312" i="12"/>
  <c r="F1312" i="12" s="1"/>
  <c r="H1312" i="12" s="1"/>
  <c r="K15" i="15"/>
  <c r="D358" i="18" s="1"/>
  <c r="Q384" i="11"/>
  <c r="I74" i="11"/>
  <c r="H328" i="36"/>
  <c r="F315" i="36" s="1"/>
  <c r="H330" i="36" s="1"/>
  <c r="H332" i="36" s="1"/>
  <c r="F281" i="36" s="1"/>
  <c r="F1727" i="12"/>
  <c r="G1672" i="12"/>
  <c r="K56" i="11"/>
  <c r="H1131" i="14"/>
  <c r="F1118" i="14" s="1"/>
  <c r="H1133" i="14" s="1"/>
  <c r="H1135" i="14" s="1"/>
  <c r="F1083" i="14" s="1"/>
  <c r="R54" i="11"/>
  <c r="V67" i="29"/>
  <c r="W67" i="29" s="1"/>
  <c r="D1699" i="16"/>
  <c r="G1699" i="16" s="1"/>
  <c r="I1699" i="16" s="1"/>
  <c r="C1703" i="16" s="1"/>
  <c r="E1703" i="16" s="1"/>
  <c r="C1752" i="16"/>
  <c r="D1752" i="16" s="1"/>
  <c r="G1752" i="16" s="1"/>
  <c r="I1752" i="16" s="1"/>
  <c r="C1756" i="16" s="1"/>
  <c r="E1756" i="16" s="1"/>
  <c r="Q55" i="11"/>
  <c r="K27" i="14"/>
  <c r="D346" i="18" s="1"/>
  <c r="O27" i="11" s="1"/>
  <c r="C7" i="40"/>
  <c r="D354" i="11"/>
  <c r="D1743" i="13"/>
  <c r="F1743" i="13" s="1"/>
  <c r="F1602" i="39"/>
  <c r="F1653" i="39"/>
  <c r="F1705" i="39" s="1"/>
  <c r="F1756" i="39" s="1"/>
  <c r="F1807" i="39" s="1"/>
  <c r="F1859" i="39" s="1"/>
  <c r="F1911" i="39" s="1"/>
  <c r="F1962" i="39" s="1"/>
  <c r="F2014" i="39" s="1"/>
  <c r="F2066" i="39" s="1"/>
  <c r="F2117" i="39" s="1"/>
  <c r="F2169" i="39" s="1"/>
  <c r="F2220" i="39" s="1"/>
  <c r="F2272" i="39" s="1"/>
  <c r="I120" i="11"/>
  <c r="C1529" i="12"/>
  <c r="C1498" i="12"/>
  <c r="C1549" i="12"/>
  <c r="I460" i="29"/>
  <c r="O460" i="29" s="1"/>
  <c r="Q460" i="29" s="1"/>
  <c r="S460" i="29" s="1"/>
  <c r="U460" i="29" s="1"/>
  <c r="C1481" i="14"/>
  <c r="C1534" i="14"/>
  <c r="C1511" i="14"/>
  <c r="E1736" i="39"/>
  <c r="G1736" i="39" s="1"/>
  <c r="C1787" i="39"/>
  <c r="C1741" i="39"/>
  <c r="E1741" i="39" s="1"/>
  <c r="G1741" i="39" s="1"/>
  <c r="W22" i="29"/>
  <c r="J72" i="29"/>
  <c r="G512" i="39"/>
  <c r="G514" i="39" s="1"/>
  <c r="E465" i="39" s="1"/>
  <c r="Q243" i="11" s="1"/>
  <c r="G414" i="9"/>
  <c r="G370" i="9"/>
  <c r="W19" i="29"/>
  <c r="G629" i="13"/>
  <c r="G635" i="13" s="1"/>
  <c r="F622" i="13" s="1"/>
  <c r="F334" i="11" s="1"/>
  <c r="G443" i="29" s="1"/>
  <c r="F686" i="13"/>
  <c r="F263" i="29"/>
  <c r="G1593" i="16"/>
  <c r="I1593" i="16" s="1"/>
  <c r="C1597" i="16" s="1"/>
  <c r="E1597" i="16" s="1"/>
  <c r="C1599" i="16" s="1"/>
  <c r="E1599" i="16" s="1"/>
  <c r="D1645" i="16"/>
  <c r="G1645" i="16" s="1"/>
  <c r="I1645" i="16" s="1"/>
  <c r="C1649" i="16" s="1"/>
  <c r="E1649" i="16" s="1"/>
  <c r="L68" i="29"/>
  <c r="N68" i="29" s="1"/>
  <c r="O68" i="29" s="1"/>
  <c r="Q68" i="29" s="1"/>
  <c r="S68" i="29" s="1"/>
  <c r="U68" i="29" s="1"/>
  <c r="M55" i="11"/>
  <c r="N55" i="11" s="1"/>
  <c r="P55" i="11" s="1"/>
  <c r="B1223" i="16"/>
  <c r="B1205" i="16"/>
  <c r="B1175" i="16"/>
  <c r="D1851" i="13"/>
  <c r="F1851" i="13" s="1"/>
  <c r="D356" i="11"/>
  <c r="F1263" i="9"/>
  <c r="H1263" i="9" s="1"/>
  <c r="D1312" i="9"/>
  <c r="F1312" i="9" s="1"/>
  <c r="H1312" i="9" s="1"/>
  <c r="G102" i="29"/>
  <c r="C1552" i="12"/>
  <c r="C1603" i="12"/>
  <c r="C1579" i="12"/>
  <c r="F90" i="11"/>
  <c r="B1425" i="39"/>
  <c r="B1400" i="39"/>
  <c r="D1704" i="39"/>
  <c r="C425" i="39"/>
  <c r="E425" i="39" s="1"/>
  <c r="D241" i="11"/>
  <c r="D358" i="11"/>
  <c r="D1966" i="13"/>
  <c r="F1966" i="13" s="1"/>
  <c r="E306" i="29"/>
  <c r="H238" i="11"/>
  <c r="G734" i="16"/>
  <c r="E721" i="16" s="1"/>
  <c r="I189" i="11"/>
  <c r="D333" i="11"/>
  <c r="D563" i="13"/>
  <c r="F563" i="13" s="1"/>
  <c r="M188" i="11"/>
  <c r="J245" i="29"/>
  <c r="N245" i="29" s="1"/>
  <c r="O100" i="11"/>
  <c r="P100" i="11"/>
  <c r="R100" i="11" s="1"/>
  <c r="V122" i="29"/>
  <c r="W122" i="29" s="1"/>
  <c r="E461" i="29"/>
  <c r="C940" i="16"/>
  <c r="E886" i="16"/>
  <c r="G886" i="16" s="1"/>
  <c r="C891" i="16"/>
  <c r="E891" i="16" s="1"/>
  <c r="G891" i="16" s="1"/>
  <c r="R350" i="11"/>
  <c r="G1256" i="36"/>
  <c r="G1258" i="36" s="1"/>
  <c r="F1245" i="36" s="1"/>
  <c r="E1312" i="36"/>
  <c r="G1312" i="36" s="1"/>
  <c r="G1314" i="36" s="1"/>
  <c r="F1301" i="36" s="1"/>
  <c r="C798" i="39"/>
  <c r="C595" i="39"/>
  <c r="E544" i="39"/>
  <c r="G544" i="39" s="1"/>
  <c r="E541" i="39" s="1"/>
  <c r="G563" i="39" s="1"/>
  <c r="G565" i="39" s="1"/>
  <c r="E516" i="39" s="1"/>
  <c r="Q244" i="11" s="1"/>
  <c r="AA7" i="11"/>
  <c r="Q12" i="29"/>
  <c r="R12" i="29" s="1"/>
  <c r="S12" i="29" s="1"/>
  <c r="U12" i="29" s="1"/>
  <c r="M325" i="29"/>
  <c r="L258" i="11"/>
  <c r="C1806" i="39"/>
  <c r="D1755" i="39"/>
  <c r="D1240" i="14"/>
  <c r="F1186" i="14"/>
  <c r="H1186" i="14" s="1"/>
  <c r="E144" i="29"/>
  <c r="L177" i="29"/>
  <c r="N177" i="29" s="1"/>
  <c r="M147" i="11"/>
  <c r="H292" i="9"/>
  <c r="H293" i="9" s="1"/>
  <c r="F249" i="9" s="1"/>
  <c r="Q101" i="11" s="1"/>
  <c r="E304" i="29"/>
  <c r="H236" i="11"/>
  <c r="R10" i="11"/>
  <c r="E1827" i="16"/>
  <c r="G454" i="16"/>
  <c r="E451" i="16" s="1"/>
  <c r="F732" i="12"/>
  <c r="H767" i="12" s="1"/>
  <c r="H769" i="12" s="1"/>
  <c r="F718" i="12" s="1"/>
  <c r="Q139" i="11" s="1"/>
  <c r="F139" i="11"/>
  <c r="G123" i="29"/>
  <c r="I123" i="29" s="1"/>
  <c r="P123" i="29" s="1"/>
  <c r="Q123" i="29" s="1"/>
  <c r="R123" i="29" s="1"/>
  <c r="S123" i="29" s="1"/>
  <c r="U123" i="29" s="1"/>
  <c r="H101" i="11"/>
  <c r="N101" i="11" s="1"/>
  <c r="E236" i="11"/>
  <c r="F304" i="29" s="1"/>
  <c r="E210" i="39"/>
  <c r="G254" i="39" s="1"/>
  <c r="G256" i="39" s="1"/>
  <c r="E208" i="39" s="1"/>
  <c r="Q236" i="11" s="1"/>
  <c r="D80" i="18"/>
  <c r="S10" i="11" s="1"/>
  <c r="D102" i="18"/>
  <c r="S11" i="11" s="1"/>
  <c r="F671" i="13"/>
  <c r="H614" i="13"/>
  <c r="J614" i="13" s="1"/>
  <c r="D618" i="13" s="1"/>
  <c r="F618" i="13" s="1"/>
  <c r="AA5" i="11"/>
  <c r="Q10" i="29"/>
  <c r="R10" i="29" s="1"/>
  <c r="S10" i="29" s="1"/>
  <c r="U10" i="29" s="1"/>
  <c r="G777" i="39"/>
  <c r="D829" i="39"/>
  <c r="H62" i="11"/>
  <c r="E75" i="29"/>
  <c r="I75" i="29" s="1"/>
  <c r="F1505" i="12"/>
  <c r="G1450" i="12"/>
  <c r="E352" i="11"/>
  <c r="F461" i="29" s="1"/>
  <c r="F1625" i="13"/>
  <c r="H1671" i="13" s="1"/>
  <c r="H1673" i="13" s="1"/>
  <c r="F1623" i="13" s="1"/>
  <c r="M33" i="13" s="1"/>
  <c r="Q352" i="11" s="1"/>
  <c r="D1589" i="14"/>
  <c r="E1589" i="14" s="1"/>
  <c r="H1589" i="14" s="1"/>
  <c r="J1589" i="14" s="1"/>
  <c r="D1593" i="14" s="1"/>
  <c r="F1593" i="14" s="1"/>
  <c r="E1534" i="14"/>
  <c r="H1534" i="14" s="1"/>
  <c r="J1534" i="14" s="1"/>
  <c r="D1538" i="14" s="1"/>
  <c r="F1538" i="14" s="1"/>
  <c r="F1401" i="14"/>
  <c r="H1401" i="14" s="1"/>
  <c r="D1457" i="14"/>
  <c r="D1464" i="12"/>
  <c r="F1409" i="12"/>
  <c r="H1409" i="12" s="1"/>
  <c r="F1678" i="12"/>
  <c r="G1623" i="12"/>
  <c r="F1270" i="12"/>
  <c r="E215" i="11" l="1"/>
  <c r="F272" i="29" s="1"/>
  <c r="E1589" i="16"/>
  <c r="D1514" i="14"/>
  <c r="F1457" i="14"/>
  <c r="H1457" i="14" s="1"/>
  <c r="E595" i="39"/>
  <c r="G595" i="39" s="1"/>
  <c r="E592" i="39" s="1"/>
  <c r="G614" i="39" s="1"/>
  <c r="G616" i="39" s="1"/>
  <c r="E567" i="39" s="1"/>
  <c r="Q245" i="11" s="1"/>
  <c r="C646" i="39"/>
  <c r="G182" i="11"/>
  <c r="G473" i="16"/>
  <c r="G475" i="16" s="1"/>
  <c r="E424" i="16" s="1"/>
  <c r="Q182" i="11" s="1"/>
  <c r="C851" i="39"/>
  <c r="E798" i="39"/>
  <c r="G798" i="39" s="1"/>
  <c r="E795" i="39" s="1"/>
  <c r="E467" i="29"/>
  <c r="R55" i="11"/>
  <c r="V68" i="29"/>
  <c r="W68" i="29" s="1"/>
  <c r="D215" i="11"/>
  <c r="F92" i="11"/>
  <c r="E333" i="11"/>
  <c r="F442" i="29" s="1"/>
  <c r="F553" i="13"/>
  <c r="H601" i="13" s="1"/>
  <c r="H603" i="13" s="1"/>
  <c r="F551" i="13" s="1"/>
  <c r="M14" i="13" s="1"/>
  <c r="Q333" i="11" s="1"/>
  <c r="G103" i="29"/>
  <c r="D65" i="11"/>
  <c r="D1596" i="14"/>
  <c r="F1596" i="14" s="1"/>
  <c r="E65" i="11" s="1"/>
  <c r="F78" i="29" s="1"/>
  <c r="I777" i="39"/>
  <c r="C781" i="39" s="1"/>
  <c r="E781" i="39" s="1"/>
  <c r="C783" i="39" s="1"/>
  <c r="E783" i="39" s="1"/>
  <c r="E773" i="39" s="1"/>
  <c r="G817" i="39" s="1"/>
  <c r="G819" i="39" s="1"/>
  <c r="E771" i="39" s="1"/>
  <c r="Q249" i="11" s="1"/>
  <c r="G829" i="39"/>
  <c r="I829" i="39" s="1"/>
  <c r="C833" i="39" s="1"/>
  <c r="E833" i="39" s="1"/>
  <c r="C835" i="39" s="1"/>
  <c r="E835" i="39" s="1"/>
  <c r="E825" i="39" s="1"/>
  <c r="M326" i="29"/>
  <c r="L259" i="11"/>
  <c r="F91" i="11"/>
  <c r="I461" i="29"/>
  <c r="O461" i="29" s="1"/>
  <c r="Q461" i="29" s="1"/>
  <c r="S461" i="29" s="1"/>
  <c r="U461" i="29" s="1"/>
  <c r="E442" i="29"/>
  <c r="I442" i="29" s="1"/>
  <c r="O442" i="29" s="1"/>
  <c r="Q442" i="29" s="1"/>
  <c r="S442" i="29" s="1"/>
  <c r="U442" i="29" s="1"/>
  <c r="H333" i="11"/>
  <c r="N333" i="11" s="1"/>
  <c r="P333" i="11" s="1"/>
  <c r="R333" i="11" s="1"/>
  <c r="E309" i="29"/>
  <c r="H241" i="11"/>
  <c r="D243" i="11"/>
  <c r="F360" i="9"/>
  <c r="H388" i="9" s="1"/>
  <c r="F103" i="11"/>
  <c r="F1733" i="13"/>
  <c r="H1779" i="13" s="1"/>
  <c r="H1781" i="13" s="1"/>
  <c r="F1731" i="13" s="1"/>
  <c r="M35" i="13" s="1"/>
  <c r="Q354" i="11" s="1"/>
  <c r="E354" i="11"/>
  <c r="F463" i="29" s="1"/>
  <c r="Q74" i="11"/>
  <c r="K13" i="36"/>
  <c r="H341" i="9"/>
  <c r="H342" i="9"/>
  <c r="F298" i="9" s="1"/>
  <c r="Q102" i="11" s="1"/>
  <c r="E1641" i="16"/>
  <c r="I466" i="29"/>
  <c r="O466" i="29" s="1"/>
  <c r="Q466" i="29" s="1"/>
  <c r="S466" i="29" s="1"/>
  <c r="U466" i="29" s="1"/>
  <c r="G83" i="11"/>
  <c r="H832" i="36"/>
  <c r="H834" i="36" s="1"/>
  <c r="F783" i="36" s="1"/>
  <c r="D1390" i="12"/>
  <c r="F1390" i="12" s="1"/>
  <c r="E151" i="11" s="1"/>
  <c r="F181" i="29" s="1"/>
  <c r="D151" i="11"/>
  <c r="J154" i="11"/>
  <c r="K184" i="29" s="1"/>
  <c r="F1474" i="14"/>
  <c r="C1038" i="39"/>
  <c r="D986" i="39"/>
  <c r="G986" i="39" s="1"/>
  <c r="I986" i="39" s="1"/>
  <c r="C990" i="39" s="1"/>
  <c r="E990" i="39" s="1"/>
  <c r="C992" i="39" s="1"/>
  <c r="E992" i="39" s="1"/>
  <c r="E982" i="39" s="1"/>
  <c r="F903" i="12"/>
  <c r="G848" i="12"/>
  <c r="G854" i="12" s="1"/>
  <c r="G183" i="11"/>
  <c r="G525" i="16"/>
  <c r="G527" i="16" s="1"/>
  <c r="E477" i="16" s="1"/>
  <c r="Q183" i="11" s="1"/>
  <c r="D1640" i="12"/>
  <c r="F1640" i="12" s="1"/>
  <c r="H1640" i="12" s="1"/>
  <c r="D1690" i="12"/>
  <c r="F1635" i="12"/>
  <c r="H1635" i="12" s="1"/>
  <c r="E241" i="11"/>
  <c r="E415" i="39"/>
  <c r="G459" i="39" s="1"/>
  <c r="G461" i="39" s="1"/>
  <c r="E413" i="39" s="1"/>
  <c r="Q241" i="11" s="1"/>
  <c r="G463" i="9"/>
  <c r="G419" i="9"/>
  <c r="J142" i="29"/>
  <c r="E463" i="29"/>
  <c r="I463" i="29" s="1"/>
  <c r="O463" i="29" s="1"/>
  <c r="Q463" i="29" s="1"/>
  <c r="S463" i="29" s="1"/>
  <c r="U463" i="29" s="1"/>
  <c r="H354" i="11"/>
  <c r="N354" i="11" s="1"/>
  <c r="P354" i="11" s="1"/>
  <c r="R354" i="11" s="1"/>
  <c r="J87" i="29"/>
  <c r="N87" i="29" s="1"/>
  <c r="O87" i="29" s="1"/>
  <c r="Q87" i="29" s="1"/>
  <c r="S87" i="29" s="1"/>
  <c r="U87" i="29" s="1"/>
  <c r="M74" i="11"/>
  <c r="N74" i="11" s="1"/>
  <c r="P74" i="11" s="1"/>
  <c r="G124" i="29"/>
  <c r="I124" i="29" s="1"/>
  <c r="P124" i="29" s="1"/>
  <c r="Q124" i="29" s="1"/>
  <c r="R124" i="29" s="1"/>
  <c r="S124" i="29" s="1"/>
  <c r="U124" i="29" s="1"/>
  <c r="H102" i="11"/>
  <c r="N102" i="11" s="1"/>
  <c r="D1515" i="14"/>
  <c r="F1458" i="14"/>
  <c r="H1458" i="14" s="1"/>
  <c r="F1454" i="12"/>
  <c r="G1399" i="12"/>
  <c r="J329" i="29"/>
  <c r="I262" i="11"/>
  <c r="E1438" i="12"/>
  <c r="H1438" i="12" s="1"/>
  <c r="J1438" i="12" s="1"/>
  <c r="D1442" i="12" s="1"/>
  <c r="F1442" i="12" s="1"/>
  <c r="D1493" i="12"/>
  <c r="E76" i="29"/>
  <c r="I76" i="29" s="1"/>
  <c r="H63" i="11"/>
  <c r="E830" i="16"/>
  <c r="G830" i="16" s="1"/>
  <c r="C884" i="16"/>
  <c r="C835" i="16"/>
  <c r="E835" i="16" s="1"/>
  <c r="G835" i="16" s="1"/>
  <c r="E269" i="29"/>
  <c r="E559" i="16"/>
  <c r="G559" i="16" s="1"/>
  <c r="E556" i="16" s="1"/>
  <c r="C611" i="16"/>
  <c r="I154" i="11"/>
  <c r="D675" i="39"/>
  <c r="G675" i="39" s="1"/>
  <c r="I675" i="39" s="1"/>
  <c r="C679" i="39" s="1"/>
  <c r="E679" i="39" s="1"/>
  <c r="C681" i="39" s="1"/>
  <c r="E681" i="39" s="1"/>
  <c r="E671" i="39" s="1"/>
  <c r="C726" i="39"/>
  <c r="D726" i="39" s="1"/>
  <c r="G726" i="39" s="1"/>
  <c r="I726" i="39" s="1"/>
  <c r="C730" i="39" s="1"/>
  <c r="E730" i="39" s="1"/>
  <c r="C732" i="39" s="1"/>
  <c r="E732" i="39" s="1"/>
  <c r="E722" i="39" s="1"/>
  <c r="O101" i="11"/>
  <c r="P101" i="11"/>
  <c r="R101" i="11" s="1"/>
  <c r="V123" i="29"/>
  <c r="W123" i="29" s="1"/>
  <c r="C1566" i="14"/>
  <c r="C1589" i="14"/>
  <c r="C1538" i="14"/>
  <c r="O34" i="11"/>
  <c r="X34" i="11" s="1"/>
  <c r="Y34" i="11" s="1"/>
  <c r="C22" i="40"/>
  <c r="C27" i="40" s="1"/>
  <c r="C12" i="40"/>
  <c r="C14" i="40" s="1"/>
  <c r="C2" i="40" s="1"/>
  <c r="C1579" i="16"/>
  <c r="E1579" i="16" s="1"/>
  <c r="G1579" i="16" s="1"/>
  <c r="E1574" i="16"/>
  <c r="G1574" i="16" s="1"/>
  <c r="C1626" i="16"/>
  <c r="J73" i="29"/>
  <c r="D1461" i="14"/>
  <c r="F1405" i="14"/>
  <c r="H1405" i="14" s="1"/>
  <c r="J61" i="11" s="1"/>
  <c r="K74" i="29" s="1"/>
  <c r="D360" i="11"/>
  <c r="D2074" i="13"/>
  <c r="F2074" i="13" s="1"/>
  <c r="E468" i="29"/>
  <c r="H353" i="11"/>
  <c r="N353" i="11" s="1"/>
  <c r="P353" i="11" s="1"/>
  <c r="R353" i="11" s="1"/>
  <c r="F2349" i="13"/>
  <c r="F365" i="11"/>
  <c r="G474" i="29" s="1"/>
  <c r="C1634" i="12"/>
  <c r="C1658" i="12"/>
  <c r="C1607" i="12"/>
  <c r="F1733" i="12"/>
  <c r="G1678" i="12"/>
  <c r="E356" i="11"/>
  <c r="F465" i="29" s="1"/>
  <c r="F1841" i="13"/>
  <c r="H1893" i="13" s="1"/>
  <c r="H1895" i="13" s="1"/>
  <c r="F1839" i="13" s="1"/>
  <c r="M37" i="13" s="1"/>
  <c r="Q356" i="11" s="1"/>
  <c r="G151" i="11"/>
  <c r="H181" i="29" s="1"/>
  <c r="F1406" i="12"/>
  <c r="G169" i="29"/>
  <c r="I169" i="29" s="1"/>
  <c r="P169" i="29" s="1"/>
  <c r="Q169" i="29" s="1"/>
  <c r="S169" i="29" s="1"/>
  <c r="U169" i="29" s="1"/>
  <c r="H139" i="11"/>
  <c r="N139" i="11" s="1"/>
  <c r="P139" i="11" s="1"/>
  <c r="R139" i="11" s="1"/>
  <c r="K57" i="11"/>
  <c r="H1188" i="14"/>
  <c r="F1175" i="14" s="1"/>
  <c r="H1190" i="14" s="1"/>
  <c r="H1192" i="14" s="1"/>
  <c r="F1139" i="14" s="1"/>
  <c r="I306" i="29"/>
  <c r="N238" i="11"/>
  <c r="K28" i="14"/>
  <c r="Q56" i="11"/>
  <c r="D1460" i="14"/>
  <c r="F1404" i="14"/>
  <c r="H1404" i="14" s="1"/>
  <c r="I61" i="11" s="1"/>
  <c r="F1512" i="12"/>
  <c r="G1457" i="12"/>
  <c r="K333" i="29"/>
  <c r="J267" i="11"/>
  <c r="L178" i="29"/>
  <c r="N178" i="29" s="1"/>
  <c r="M148" i="11"/>
  <c r="B1554" i="39"/>
  <c r="B1652" i="39"/>
  <c r="B1601" i="39"/>
  <c r="B1579" i="39"/>
  <c r="W38" i="29"/>
  <c r="G2187" i="13"/>
  <c r="G2196" i="13" s="1"/>
  <c r="F2185" i="13" s="1"/>
  <c r="F362" i="11" s="1"/>
  <c r="G471" i="29" s="1"/>
  <c r="G2141" i="13"/>
  <c r="F1325" i="12"/>
  <c r="L326" i="29"/>
  <c r="K259" i="11"/>
  <c r="M258" i="11"/>
  <c r="N326" i="29" s="1"/>
  <c r="I191" i="11"/>
  <c r="G787" i="16"/>
  <c r="E774" i="16" s="1"/>
  <c r="F2177" i="13"/>
  <c r="H2122" i="13"/>
  <c r="J2122" i="13" s="1"/>
  <c r="D2126" i="13" s="1"/>
  <c r="F2126" i="13" s="1"/>
  <c r="C1427" i="39"/>
  <c r="C1380" i="39"/>
  <c r="E1380" i="39" s="1"/>
  <c r="G1380" i="39" s="1"/>
  <c r="E1375" i="39"/>
  <c r="G1375" i="39" s="1"/>
  <c r="E359" i="11"/>
  <c r="F468" i="29" s="1"/>
  <c r="F2010" i="13"/>
  <c r="H2056" i="13" s="1"/>
  <c r="H2058" i="13" s="1"/>
  <c r="F2008" i="13" s="1"/>
  <c r="M40" i="13" s="1"/>
  <c r="Q359" i="11" s="1"/>
  <c r="I462" i="29"/>
  <c r="O462" i="29" s="1"/>
  <c r="Q462" i="29" s="1"/>
  <c r="S462" i="29" s="1"/>
  <c r="U462" i="29" s="1"/>
  <c r="F2462" i="13"/>
  <c r="G2407" i="13"/>
  <c r="G2417" i="13" s="1"/>
  <c r="J246" i="29"/>
  <c r="N246" i="29" s="1"/>
  <c r="M189" i="11"/>
  <c r="E465" i="29"/>
  <c r="I465" i="29" s="1"/>
  <c r="O465" i="29" s="1"/>
  <c r="Q465" i="29" s="1"/>
  <c r="S465" i="29" s="1"/>
  <c r="U465" i="29" s="1"/>
  <c r="I304" i="29"/>
  <c r="N236" i="11"/>
  <c r="D334" i="11"/>
  <c r="D620" i="13"/>
  <c r="F620" i="13" s="1"/>
  <c r="K194" i="11"/>
  <c r="L251" i="29" s="1"/>
  <c r="O28" i="11"/>
  <c r="D1519" i="12"/>
  <c r="F1464" i="12"/>
  <c r="H1464" i="12" s="1"/>
  <c r="G1505" i="12"/>
  <c r="F1560" i="12"/>
  <c r="F728" i="13"/>
  <c r="H671" i="13"/>
  <c r="J671" i="13" s="1"/>
  <c r="D675" i="13" s="1"/>
  <c r="F675" i="13" s="1"/>
  <c r="F1240" i="14"/>
  <c r="H1240" i="14" s="1"/>
  <c r="D1293" i="14"/>
  <c r="C992" i="16"/>
  <c r="E940" i="16"/>
  <c r="G940" i="16" s="1"/>
  <c r="K196" i="11" s="1"/>
  <c r="L253" i="29" s="1"/>
  <c r="C945" i="16"/>
  <c r="E945" i="16" s="1"/>
  <c r="G945" i="16" s="1"/>
  <c r="L69" i="29"/>
  <c r="N69" i="29" s="1"/>
  <c r="O69" i="29" s="1"/>
  <c r="Q69" i="29" s="1"/>
  <c r="S69" i="29" s="1"/>
  <c r="U69" i="29" s="1"/>
  <c r="M56" i="11"/>
  <c r="N56" i="11" s="1"/>
  <c r="P56" i="11" s="1"/>
  <c r="D361" i="18"/>
  <c r="D363" i="18" s="1"/>
  <c r="D354" i="18" s="1"/>
  <c r="Z29" i="11" s="1"/>
  <c r="Z30" i="11" s="1"/>
  <c r="R29" i="11"/>
  <c r="C1300" i="16"/>
  <c r="E1248" i="16"/>
  <c r="G1248" i="16" s="1"/>
  <c r="C1459" i="14"/>
  <c r="C1426" i="14"/>
  <c r="C1478" i="14"/>
  <c r="K104" i="11"/>
  <c r="H434" i="9"/>
  <c r="F426" i="9" s="1"/>
  <c r="E180" i="29"/>
  <c r="V94" i="29"/>
  <c r="W94" i="29" s="1"/>
  <c r="R81" i="11"/>
  <c r="E1835" i="39"/>
  <c r="G1835" i="39" s="1"/>
  <c r="C1888" i="39"/>
  <c r="C1840" i="39"/>
  <c r="E1840" i="39" s="1"/>
  <c r="G1840" i="39" s="1"/>
  <c r="J183" i="29"/>
  <c r="L150" i="11"/>
  <c r="M180" i="29" s="1"/>
  <c r="H1833" i="13"/>
  <c r="H1835" i="13" s="1"/>
  <c r="F1785" i="13" s="1"/>
  <c r="M36" i="13" s="1"/>
  <c r="Q355" i="11" s="1"/>
  <c r="Q307" i="29"/>
  <c r="S307" i="29" s="1"/>
  <c r="U307" i="29" s="1"/>
  <c r="R239" i="11"/>
  <c r="B1227" i="16"/>
  <c r="B1276" i="16"/>
  <c r="B1258" i="16"/>
  <c r="F743" i="13"/>
  <c r="G686" i="13"/>
  <c r="G692" i="13" s="1"/>
  <c r="F679" i="13" s="1"/>
  <c r="F335" i="11" s="1"/>
  <c r="G444" i="29" s="1"/>
  <c r="C1584" i="12"/>
  <c r="C1604" i="12"/>
  <c r="C1553" i="12"/>
  <c r="D219" i="11"/>
  <c r="C1758" i="16"/>
  <c r="E1758" i="16" s="1"/>
  <c r="I75" i="11"/>
  <c r="H383" i="36"/>
  <c r="F370" i="36" s="1"/>
  <c r="H385" i="36" s="1"/>
  <c r="H387" i="36" s="1"/>
  <c r="F337" i="36" s="1"/>
  <c r="B1491" i="16"/>
  <c r="B1539" i="16"/>
  <c r="B1517" i="16"/>
  <c r="F1447" i="39"/>
  <c r="F1344" i="39"/>
  <c r="G1293" i="39"/>
  <c r="I1293" i="39" s="1"/>
  <c r="C1297" i="39" s="1"/>
  <c r="E1297" i="39" s="1"/>
  <c r="B829" i="39"/>
  <c r="B809" i="39"/>
  <c r="B781" i="39"/>
  <c r="C1227" i="39"/>
  <c r="E1227" i="39" s="1"/>
  <c r="G1227" i="39" s="1"/>
  <c r="C1275" i="39"/>
  <c r="E1222" i="39"/>
  <c r="G1222" i="39" s="1"/>
  <c r="G1228" i="39" s="1"/>
  <c r="E1215" i="39" s="1"/>
  <c r="F1559" i="12"/>
  <c r="G1504" i="12"/>
  <c r="F481" i="9"/>
  <c r="H481" i="9" s="1"/>
  <c r="D530" i="9"/>
  <c r="R73" i="11"/>
  <c r="V86" i="29"/>
  <c r="W86" i="29" s="1"/>
  <c r="D1423" i="12"/>
  <c r="F1423" i="12" s="1"/>
  <c r="H1423" i="12" s="1"/>
  <c r="D1473" i="12"/>
  <c r="F1418" i="12"/>
  <c r="H1418" i="12" s="1"/>
  <c r="C1482" i="39"/>
  <c r="E1482" i="39" s="1"/>
  <c r="G1482" i="39" s="1"/>
  <c r="C1530" i="39"/>
  <c r="E1477" i="39"/>
  <c r="G1477" i="39" s="1"/>
  <c r="D1879" i="12"/>
  <c r="E1824" i="12"/>
  <c r="H1824" i="12" s="1"/>
  <c r="J1824" i="12" s="1"/>
  <c r="D1828" i="12" s="1"/>
  <c r="F1828" i="12" s="1"/>
  <c r="F1956" i="13"/>
  <c r="H2002" i="13" s="1"/>
  <c r="H2004" i="13" s="1"/>
  <c r="F1954" i="13" s="1"/>
  <c r="M39" i="13" s="1"/>
  <c r="Q358" i="11" s="1"/>
  <c r="E358" i="11"/>
  <c r="F467" i="29" s="1"/>
  <c r="I121" i="11"/>
  <c r="C1705" i="16"/>
  <c r="E1705" i="16" s="1"/>
  <c r="D218" i="11"/>
  <c r="G1727" i="12"/>
  <c r="F1782" i="12"/>
  <c r="D1367" i="12"/>
  <c r="F1367" i="12" s="1"/>
  <c r="H1367" i="12" s="1"/>
  <c r="D1417" i="12"/>
  <c r="F1362" i="12"/>
  <c r="H1362" i="12" s="1"/>
  <c r="F1456" i="12"/>
  <c r="G1401" i="12"/>
  <c r="I76" i="11"/>
  <c r="H438" i="36"/>
  <c r="F425" i="36" s="1"/>
  <c r="H440" i="36" s="1"/>
  <c r="H442" i="36" s="1"/>
  <c r="F391" i="36" s="1"/>
  <c r="F1294" i="14"/>
  <c r="H1294" i="14" s="1"/>
  <c r="L59" i="11" s="1"/>
  <c r="M72" i="29" s="1"/>
  <c r="D1351" i="14"/>
  <c r="B606" i="39"/>
  <c r="B577" i="39"/>
  <c r="B624" i="39"/>
  <c r="E1172" i="39"/>
  <c r="G1172" i="39" s="1"/>
  <c r="C1177" i="39"/>
  <c r="E1177" i="39" s="1"/>
  <c r="G1177" i="39" s="1"/>
  <c r="E1412" i="16"/>
  <c r="G1412" i="16" s="1"/>
  <c r="C1417" i="16"/>
  <c r="E1417" i="16" s="1"/>
  <c r="G1417" i="16" s="1"/>
  <c r="C1467" i="16"/>
  <c r="K21" i="36"/>
  <c r="P21" i="36" s="1"/>
  <c r="K727" i="36"/>
  <c r="Q82" i="11"/>
  <c r="G881" i="39"/>
  <c r="D934" i="39"/>
  <c r="F1266" i="9"/>
  <c r="H1266" i="9" s="1"/>
  <c r="L121" i="11" s="1"/>
  <c r="M143" i="29" s="1"/>
  <c r="D1315" i="9"/>
  <c r="F1315" i="9" s="1"/>
  <c r="H1315" i="9" s="1"/>
  <c r="L122" i="11" s="1"/>
  <c r="M144" i="29" s="1"/>
  <c r="E1675" i="39"/>
  <c r="G1675" i="39" s="1"/>
  <c r="C1728" i="39"/>
  <c r="F1455" i="12"/>
  <c r="G1400" i="12"/>
  <c r="H355" i="11"/>
  <c r="N355" i="11" s="1"/>
  <c r="P355" i="11" s="1"/>
  <c r="P240" i="11"/>
  <c r="O308" i="29"/>
  <c r="I122" i="11"/>
  <c r="D64" i="11"/>
  <c r="D1541" i="14"/>
  <c r="F1541" i="14" s="1"/>
  <c r="E64" i="11" s="1"/>
  <c r="F77" i="29" s="1"/>
  <c r="G1827" i="16"/>
  <c r="E1824" i="16" s="1"/>
  <c r="E1882" i="16"/>
  <c r="C1858" i="39"/>
  <c r="D1806" i="39"/>
  <c r="H352" i="11"/>
  <c r="N352" i="11" s="1"/>
  <c r="P352" i="11" s="1"/>
  <c r="R352" i="11" s="1"/>
  <c r="C1837" i="39"/>
  <c r="E1787" i="39"/>
  <c r="G1787" i="39" s="1"/>
  <c r="C1792" i="39"/>
  <c r="E1792" i="39" s="1"/>
  <c r="G1792" i="39" s="1"/>
  <c r="K149" i="11"/>
  <c r="H1314" i="12"/>
  <c r="F1301" i="12" s="1"/>
  <c r="F379" i="36"/>
  <c r="H379" i="36" s="1"/>
  <c r="D434" i="36"/>
  <c r="F434" i="36" s="1"/>
  <c r="H434" i="36" s="1"/>
  <c r="E274" i="29"/>
  <c r="H357" i="11"/>
  <c r="N357" i="11" s="1"/>
  <c r="P357" i="11" s="1"/>
  <c r="R357" i="11" s="1"/>
  <c r="S27" i="11"/>
  <c r="S28" i="11" s="1"/>
  <c r="D349" i="18"/>
  <c r="D351" i="18" s="1"/>
  <c r="D341" i="18" s="1"/>
  <c r="Z27" i="11" s="1"/>
  <c r="Z28" i="11" s="1"/>
  <c r="G245" i="11"/>
  <c r="H312" i="29"/>
  <c r="F1671" i="12"/>
  <c r="G1616" i="12"/>
  <c r="F913" i="13"/>
  <c r="G856" i="13"/>
  <c r="D927" i="36"/>
  <c r="F871" i="36"/>
  <c r="H871" i="36" s="1"/>
  <c r="F868" i="36" s="1"/>
  <c r="L125" i="29"/>
  <c r="N125" i="29" s="1"/>
  <c r="M103" i="11"/>
  <c r="Q303" i="29"/>
  <c r="S303" i="29" s="1"/>
  <c r="U303" i="29" s="1"/>
  <c r="R235" i="11"/>
  <c r="D1691" i="12"/>
  <c r="F1636" i="12"/>
  <c r="H1636" i="12" s="1"/>
  <c r="D1641" i="12"/>
  <c r="F1641" i="12" s="1"/>
  <c r="H1641" i="12" s="1"/>
  <c r="H95" i="29"/>
  <c r="I95" i="29" s="1"/>
  <c r="O95" i="29" s="1"/>
  <c r="Q95" i="29" s="1"/>
  <c r="S95" i="29" s="1"/>
  <c r="U95" i="29" s="1"/>
  <c r="H82" i="11"/>
  <c r="N82" i="11" s="1"/>
  <c r="P82" i="11" s="1"/>
  <c r="F140" i="11"/>
  <c r="F787" i="12"/>
  <c r="H822" i="12" s="1"/>
  <c r="H824" i="12" s="1"/>
  <c r="F773" i="12" s="1"/>
  <c r="Q140" i="11" s="1"/>
  <c r="I464" i="29"/>
  <c r="O464" i="29" s="1"/>
  <c r="Q464" i="29" s="1"/>
  <c r="S464" i="29" s="1"/>
  <c r="U464" i="29" s="1"/>
  <c r="F970" i="13" l="1"/>
  <c r="G913" i="13"/>
  <c r="E275" i="29"/>
  <c r="J144" i="29"/>
  <c r="G1178" i="39"/>
  <c r="E1165" i="39" s="1"/>
  <c r="E218" i="11"/>
  <c r="F275" i="29" s="1"/>
  <c r="E1695" i="16"/>
  <c r="D1934" i="12"/>
  <c r="E1879" i="12"/>
  <c r="H1879" i="12" s="1"/>
  <c r="J1879" i="12" s="1"/>
  <c r="D1883" i="12" s="1"/>
  <c r="F1883" i="12" s="1"/>
  <c r="C1516" i="14"/>
  <c r="C1535" i="14"/>
  <c r="C1482" i="14"/>
  <c r="D1350" i="14"/>
  <c r="F1293" i="14"/>
  <c r="H1293" i="14" s="1"/>
  <c r="K29" i="14"/>
  <c r="Q57" i="11"/>
  <c r="G170" i="29"/>
  <c r="I170" i="29" s="1"/>
  <c r="P170" i="29" s="1"/>
  <c r="Q170" i="29" s="1"/>
  <c r="S170" i="29" s="1"/>
  <c r="U170" i="29" s="1"/>
  <c r="H140" i="11"/>
  <c r="N140" i="11" s="1"/>
  <c r="P140" i="11" s="1"/>
  <c r="R140" i="11" s="1"/>
  <c r="C1910" i="39"/>
  <c r="D1858" i="39"/>
  <c r="B657" i="39"/>
  <c r="B628" i="39"/>
  <c r="B675" i="39"/>
  <c r="G1456" i="12"/>
  <c r="F1511" i="12"/>
  <c r="V69" i="29"/>
  <c r="W69" i="29" s="1"/>
  <c r="R56" i="11"/>
  <c r="K58" i="11"/>
  <c r="H1242" i="14"/>
  <c r="F1229" i="14" s="1"/>
  <c r="H1244" i="14" s="1"/>
  <c r="H1246" i="14" s="1"/>
  <c r="F1196" i="14" s="1"/>
  <c r="X28" i="11"/>
  <c r="Y28" i="11" s="1"/>
  <c r="K261" i="11"/>
  <c r="L327" i="29"/>
  <c r="M259" i="11"/>
  <c r="N327" i="29" s="1"/>
  <c r="B1704" i="39"/>
  <c r="B1680" i="39"/>
  <c r="B1656" i="39"/>
  <c r="J74" i="29"/>
  <c r="L70" i="29"/>
  <c r="N70" i="29" s="1"/>
  <c r="O70" i="29" s="1"/>
  <c r="Q70" i="29" s="1"/>
  <c r="S70" i="29" s="1"/>
  <c r="U70" i="29" s="1"/>
  <c r="M57" i="11"/>
  <c r="N57" i="11" s="1"/>
  <c r="P57" i="11" s="1"/>
  <c r="G1733" i="12"/>
  <c r="F1788" i="12"/>
  <c r="I468" i="29"/>
  <c r="O468" i="29" s="1"/>
  <c r="Q468" i="29" s="1"/>
  <c r="S468" i="29" s="1"/>
  <c r="U468" i="29" s="1"/>
  <c r="C1622" i="14"/>
  <c r="C1593" i="14"/>
  <c r="F1509" i="12"/>
  <c r="G1454" i="12"/>
  <c r="F309" i="29"/>
  <c r="E243" i="11"/>
  <c r="H240" i="29"/>
  <c r="I240" i="29" s="1"/>
  <c r="P240" i="29" s="1"/>
  <c r="Q240" i="29" s="1"/>
  <c r="S240" i="29" s="1"/>
  <c r="U240" i="29" s="1"/>
  <c r="H183" i="11"/>
  <c r="N183" i="11" s="1"/>
  <c r="P183" i="11" s="1"/>
  <c r="R183" i="11" s="1"/>
  <c r="F1380" i="12"/>
  <c r="D244" i="11"/>
  <c r="E311" i="29"/>
  <c r="H243" i="11"/>
  <c r="M327" i="29"/>
  <c r="L261" i="11"/>
  <c r="E1937" i="16"/>
  <c r="G1882" i="16"/>
  <c r="E1879" i="16" s="1"/>
  <c r="K150" i="11"/>
  <c r="H1369" i="12"/>
  <c r="F1356" i="12" s="1"/>
  <c r="C1581" i="39"/>
  <c r="C1535" i="39"/>
  <c r="E1535" i="39" s="1"/>
  <c r="G1535" i="39" s="1"/>
  <c r="E1530" i="39"/>
  <c r="G1530" i="39" s="1"/>
  <c r="F530" i="9"/>
  <c r="H530" i="9" s="1"/>
  <c r="D579" i="9"/>
  <c r="Q75" i="11"/>
  <c r="K14" i="36"/>
  <c r="F800" i="13"/>
  <c r="G743" i="13"/>
  <c r="G749" i="13" s="1"/>
  <c r="F736" i="13" s="1"/>
  <c r="F336" i="11" s="1"/>
  <c r="G445" i="29" s="1"/>
  <c r="D677" i="13"/>
  <c r="F677" i="13" s="1"/>
  <c r="D335" i="11"/>
  <c r="C1432" i="39"/>
  <c r="E1432" i="39" s="1"/>
  <c r="G1432" i="39" s="1"/>
  <c r="E1427" i="39"/>
  <c r="G1427" i="39" s="1"/>
  <c r="F1460" i="14"/>
  <c r="H1460" i="14" s="1"/>
  <c r="I62" i="11" s="1"/>
  <c r="D1517" i="14"/>
  <c r="C1679" i="16"/>
  <c r="C1631" i="16"/>
  <c r="E1631" i="16" s="1"/>
  <c r="G1631" i="16" s="1"/>
  <c r="E1626" i="16"/>
  <c r="G1626" i="16" s="1"/>
  <c r="L215" i="11" s="1"/>
  <c r="M272" i="29" s="1"/>
  <c r="E611" i="16"/>
  <c r="G611" i="16" s="1"/>
  <c r="E608" i="16" s="1"/>
  <c r="C665" i="16"/>
  <c r="F842" i="12"/>
  <c r="H877" i="12" s="1"/>
  <c r="H879" i="12" s="1"/>
  <c r="F828" i="12" s="1"/>
  <c r="Q141" i="11" s="1"/>
  <c r="F141" i="11"/>
  <c r="I309" i="29"/>
  <c r="N241" i="11"/>
  <c r="D1746" i="12"/>
  <c r="F1691" i="12"/>
  <c r="H1691" i="12" s="1"/>
  <c r="D1696" i="12"/>
  <c r="F1696" i="12" s="1"/>
  <c r="H1696" i="12" s="1"/>
  <c r="G84" i="11"/>
  <c r="H888" i="36"/>
  <c r="H890" i="36" s="1"/>
  <c r="F839" i="36" s="1"/>
  <c r="L179" i="29"/>
  <c r="N179" i="29" s="1"/>
  <c r="M149" i="11"/>
  <c r="Q308" i="29"/>
  <c r="S308" i="29" s="1"/>
  <c r="U308" i="29" s="1"/>
  <c r="R240" i="11"/>
  <c r="D1472" i="12"/>
  <c r="F1417" i="12"/>
  <c r="H1417" i="12" s="1"/>
  <c r="D1422" i="12"/>
  <c r="F1422" i="12" s="1"/>
  <c r="H1422" i="12" s="1"/>
  <c r="B833" i="39"/>
  <c r="B862" i="39"/>
  <c r="B881" i="39"/>
  <c r="F785" i="13"/>
  <c r="H728" i="13"/>
  <c r="J728" i="13" s="1"/>
  <c r="D732" i="13" s="1"/>
  <c r="F732" i="13" s="1"/>
  <c r="E334" i="11"/>
  <c r="F443" i="29" s="1"/>
  <c r="F610" i="13"/>
  <c r="H658" i="13" s="1"/>
  <c r="H660" i="13" s="1"/>
  <c r="F608" i="13" s="1"/>
  <c r="M15" i="13" s="1"/>
  <c r="Q334" i="11" s="1"/>
  <c r="F366" i="11"/>
  <c r="G475" i="29" s="1"/>
  <c r="F2405" i="13"/>
  <c r="D2128" i="13"/>
  <c r="F2128" i="13" s="1"/>
  <c r="D361" i="11"/>
  <c r="C1713" i="12"/>
  <c r="C1689" i="12"/>
  <c r="C1662" i="12"/>
  <c r="F2064" i="13"/>
  <c r="H2109" i="13" s="1"/>
  <c r="H2111" i="13" s="1"/>
  <c r="F2062" i="13" s="1"/>
  <c r="M41" i="13" s="1"/>
  <c r="Q360" i="11" s="1"/>
  <c r="E360" i="11"/>
  <c r="F469" i="29" s="1"/>
  <c r="L214" i="11"/>
  <c r="M271" i="29" s="1"/>
  <c r="G185" i="11"/>
  <c r="G578" i="16"/>
  <c r="G580" i="16" s="1"/>
  <c r="E529" i="16" s="1"/>
  <c r="Q185" i="11" s="1"/>
  <c r="D1548" i="12"/>
  <c r="E1493" i="12"/>
  <c r="H1493" i="12" s="1"/>
  <c r="J1493" i="12" s="1"/>
  <c r="D1497" i="12" s="1"/>
  <c r="F1497" i="12" s="1"/>
  <c r="D1570" i="14"/>
  <c r="F1515" i="14"/>
  <c r="H1515" i="14" s="1"/>
  <c r="F958" i="12"/>
  <c r="G903" i="12"/>
  <c r="G909" i="12" s="1"/>
  <c r="K22" i="36"/>
  <c r="P22" i="36" s="1"/>
  <c r="Q83" i="11"/>
  <c r="K783" i="36"/>
  <c r="I467" i="29"/>
  <c r="O467" i="29" s="1"/>
  <c r="Q467" i="29" s="1"/>
  <c r="S467" i="29" s="1"/>
  <c r="U467" i="29" s="1"/>
  <c r="C697" i="39"/>
  <c r="E646" i="39"/>
  <c r="G646" i="39" s="1"/>
  <c r="E643" i="39" s="1"/>
  <c r="G665" i="39" s="1"/>
  <c r="G667" i="39" s="1"/>
  <c r="E618" i="39" s="1"/>
  <c r="Q246" i="11" s="1"/>
  <c r="R82" i="11"/>
  <c r="V95" i="29"/>
  <c r="W95" i="29" s="1"/>
  <c r="G246" i="11"/>
  <c r="H313" i="29"/>
  <c r="K105" i="11"/>
  <c r="H483" i="9"/>
  <c r="F475" i="9" s="1"/>
  <c r="R355" i="11"/>
  <c r="D1407" i="14"/>
  <c r="F1351" i="14"/>
  <c r="H1351" i="14" s="1"/>
  <c r="L60" i="11" s="1"/>
  <c r="M73" i="29" s="1"/>
  <c r="L151" i="11"/>
  <c r="M181" i="29" s="1"/>
  <c r="B1280" i="16"/>
  <c r="B1328" i="16"/>
  <c r="B1310" i="16"/>
  <c r="G1560" i="12"/>
  <c r="F1615" i="12"/>
  <c r="F2517" i="13"/>
  <c r="G2517" i="13" s="1"/>
  <c r="G2523" i="13" s="1"/>
  <c r="F2515" i="13" s="1"/>
  <c r="F368" i="11" s="1"/>
  <c r="G477" i="29" s="1"/>
  <c r="G2462" i="13"/>
  <c r="G2472" i="13" s="1"/>
  <c r="F2460" i="13" s="1"/>
  <c r="F367" i="11" s="1"/>
  <c r="G476" i="29" s="1"/>
  <c r="F2231" i="13"/>
  <c r="H2177" i="13"/>
  <c r="J2177" i="13" s="1"/>
  <c r="D2181" i="13" s="1"/>
  <c r="F2181" i="13" s="1"/>
  <c r="F1435" i="12"/>
  <c r="D152" i="11"/>
  <c r="D1445" i="12"/>
  <c r="F1445" i="12" s="1"/>
  <c r="E152" i="11" s="1"/>
  <c r="F182" i="29" s="1"/>
  <c r="I155" i="11"/>
  <c r="H96" i="29"/>
  <c r="I96" i="29" s="1"/>
  <c r="O96" i="29" s="1"/>
  <c r="Q96" i="29" s="1"/>
  <c r="S96" i="29" s="1"/>
  <c r="U96" i="29" s="1"/>
  <c r="H83" i="11"/>
  <c r="N83" i="11" s="1"/>
  <c r="P83" i="11" s="1"/>
  <c r="H358" i="11"/>
  <c r="N358" i="11" s="1"/>
  <c r="P358" i="11" s="1"/>
  <c r="R358" i="11" s="1"/>
  <c r="J143" i="29"/>
  <c r="G222" i="11"/>
  <c r="G1846" i="16"/>
  <c r="G1848" i="16" s="1"/>
  <c r="E1797" i="16" s="1"/>
  <c r="Q222" i="11" s="1"/>
  <c r="C1519" i="16"/>
  <c r="C1472" i="16"/>
  <c r="E1472" i="16" s="1"/>
  <c r="G1472" i="16" s="1"/>
  <c r="E1467" i="16"/>
  <c r="G1467" i="16" s="1"/>
  <c r="J211" i="11" s="1"/>
  <c r="K268" i="29" s="1"/>
  <c r="J88" i="29"/>
  <c r="N88" i="29" s="1"/>
  <c r="O88" i="29" s="1"/>
  <c r="Q88" i="29" s="1"/>
  <c r="S88" i="29" s="1"/>
  <c r="U88" i="29" s="1"/>
  <c r="M75" i="11"/>
  <c r="N75" i="11" s="1"/>
  <c r="P75" i="11" s="1"/>
  <c r="D983" i="36"/>
  <c r="F927" i="36"/>
  <c r="H927" i="36" s="1"/>
  <c r="F924" i="36" s="1"/>
  <c r="E219" i="11"/>
  <c r="F277" i="29" s="1"/>
  <c r="E1748" i="16"/>
  <c r="E443" i="29"/>
  <c r="I443" i="29" s="1"/>
  <c r="O443" i="29" s="1"/>
  <c r="Q443" i="29" s="1"/>
  <c r="S443" i="29" s="1"/>
  <c r="U443" i="29" s="1"/>
  <c r="H334" i="11"/>
  <c r="N334" i="11" s="1"/>
  <c r="P334" i="11" s="1"/>
  <c r="R334" i="11" s="1"/>
  <c r="F361" i="11"/>
  <c r="G470" i="29" s="1"/>
  <c r="F2130" i="13"/>
  <c r="E469" i="29"/>
  <c r="I469" i="29" s="1"/>
  <c r="O469" i="29" s="1"/>
  <c r="Q469" i="29" s="1"/>
  <c r="S469" i="29" s="1"/>
  <c r="U469" i="29" s="1"/>
  <c r="H360" i="11"/>
  <c r="N360" i="11" s="1"/>
  <c r="P360" i="11" s="1"/>
  <c r="R360" i="11" s="1"/>
  <c r="J155" i="11"/>
  <c r="K185" i="29" s="1"/>
  <c r="F1531" i="14"/>
  <c r="G934" i="39"/>
  <c r="I934" i="39" s="1"/>
  <c r="C938" i="39" s="1"/>
  <c r="E938" i="39" s="1"/>
  <c r="C940" i="39" s="1"/>
  <c r="E940" i="39" s="1"/>
  <c r="E930" i="39" s="1"/>
  <c r="I881" i="39"/>
  <c r="C885" i="39" s="1"/>
  <c r="E885" i="39" s="1"/>
  <c r="C887" i="39" s="1"/>
  <c r="E887" i="39" s="1"/>
  <c r="E877" i="39" s="1"/>
  <c r="J209" i="11"/>
  <c r="K266" i="29" s="1"/>
  <c r="G1782" i="12"/>
  <c r="F1837" i="12"/>
  <c r="D1528" i="12"/>
  <c r="D1478" i="12"/>
  <c r="F1478" i="12" s="1"/>
  <c r="H1478" i="12" s="1"/>
  <c r="F1473" i="12"/>
  <c r="H1473" i="12" s="1"/>
  <c r="L152" i="11" s="1"/>
  <c r="M182" i="29" s="1"/>
  <c r="G1559" i="12"/>
  <c r="F1614" i="12"/>
  <c r="F1396" i="39"/>
  <c r="G1344" i="39"/>
  <c r="E277" i="29"/>
  <c r="P236" i="11"/>
  <c r="O304" i="29"/>
  <c r="K335" i="29"/>
  <c r="J268" i="11"/>
  <c r="O102" i="11"/>
  <c r="P102" i="11"/>
  <c r="R102" i="11" s="1"/>
  <c r="V124" i="29"/>
  <c r="W124" i="29" s="1"/>
  <c r="D1695" i="12"/>
  <c r="F1695" i="12" s="1"/>
  <c r="H1695" i="12" s="1"/>
  <c r="D1745" i="12"/>
  <c r="F1690" i="12"/>
  <c r="H1690" i="12" s="1"/>
  <c r="C1089" i="39"/>
  <c r="D1038" i="39"/>
  <c r="G1038" i="39" s="1"/>
  <c r="I1038" i="39" s="1"/>
  <c r="C1042" i="39" s="1"/>
  <c r="E1042" i="39" s="1"/>
  <c r="C1044" i="39" s="1"/>
  <c r="E1044" i="39" s="1"/>
  <c r="E1034" i="39" s="1"/>
  <c r="C1890" i="39"/>
  <c r="E1837" i="39"/>
  <c r="G1837" i="39" s="1"/>
  <c r="C1842" i="39"/>
  <c r="E1842" i="39" s="1"/>
  <c r="G1842" i="39" s="1"/>
  <c r="F1499" i="39"/>
  <c r="F1550" i="39" s="1"/>
  <c r="G1447" i="39"/>
  <c r="C1353" i="16"/>
  <c r="E1300" i="16"/>
  <c r="G1300" i="16" s="1"/>
  <c r="G152" i="11"/>
  <c r="H182" i="29" s="1"/>
  <c r="F1461" i="12"/>
  <c r="J248" i="29"/>
  <c r="N248" i="29" s="1"/>
  <c r="M191" i="11"/>
  <c r="O306" i="29"/>
  <c r="P238" i="11"/>
  <c r="C28" i="40"/>
  <c r="C29" i="40"/>
  <c r="C17" i="40" s="1"/>
  <c r="J330" i="29"/>
  <c r="I263" i="11"/>
  <c r="F409" i="9"/>
  <c r="H437" i="9" s="1"/>
  <c r="F104" i="11"/>
  <c r="F1586" i="14"/>
  <c r="C903" i="39"/>
  <c r="E851" i="39"/>
  <c r="G851" i="39" s="1"/>
  <c r="E848" i="39" s="1"/>
  <c r="G870" i="39" s="1"/>
  <c r="G872" i="39" s="1"/>
  <c r="E823" i="39" s="1"/>
  <c r="Q251" i="11" s="1"/>
  <c r="F1514" i="14"/>
  <c r="H1514" i="14" s="1"/>
  <c r="D1569" i="14"/>
  <c r="Q76" i="11"/>
  <c r="K15" i="36"/>
  <c r="E1275" i="39"/>
  <c r="G1275" i="39" s="1"/>
  <c r="C1280" i="39"/>
  <c r="E1280" i="39" s="1"/>
  <c r="G1280" i="39" s="1"/>
  <c r="C1326" i="39"/>
  <c r="E1888" i="39"/>
  <c r="G1888" i="39" s="1"/>
  <c r="C1893" i="39"/>
  <c r="E1893" i="39" s="1"/>
  <c r="G1893" i="39" s="1"/>
  <c r="C1940" i="39"/>
  <c r="L126" i="29"/>
  <c r="N126" i="29" s="1"/>
  <c r="M104" i="11"/>
  <c r="X29" i="11"/>
  <c r="Y29" i="11" s="1"/>
  <c r="R30" i="11"/>
  <c r="X30" i="11" s="1"/>
  <c r="Y30" i="11" s="1"/>
  <c r="C997" i="16"/>
  <c r="E997" i="16" s="1"/>
  <c r="G997" i="16" s="1"/>
  <c r="C1045" i="16"/>
  <c r="E992" i="16"/>
  <c r="G992" i="16" s="1"/>
  <c r="D1574" i="12"/>
  <c r="F1519" i="12"/>
  <c r="H1519" i="12" s="1"/>
  <c r="D1518" i="14"/>
  <c r="F1461" i="14"/>
  <c r="H1461" i="14" s="1"/>
  <c r="J62" i="11" s="1"/>
  <c r="K75" i="29" s="1"/>
  <c r="AA34" i="11"/>
  <c r="Q11" i="41"/>
  <c r="R11" i="41" s="1"/>
  <c r="S11" i="41" s="1"/>
  <c r="Q10" i="41"/>
  <c r="S10" i="41" s="1"/>
  <c r="E884" i="16"/>
  <c r="G884" i="16" s="1"/>
  <c r="C938" i="16"/>
  <c r="C889" i="16"/>
  <c r="E889" i="16" s="1"/>
  <c r="G889" i="16" s="1"/>
  <c r="G512" i="9"/>
  <c r="G468" i="9"/>
  <c r="G125" i="29"/>
  <c r="I125" i="29" s="1"/>
  <c r="P125" i="29" s="1"/>
  <c r="Q125" i="29" s="1"/>
  <c r="R125" i="29" s="1"/>
  <c r="S125" i="29" s="1"/>
  <c r="U125" i="29" s="1"/>
  <c r="H103" i="11"/>
  <c r="N103" i="11" s="1"/>
  <c r="G105" i="29"/>
  <c r="E77" i="29"/>
  <c r="I77" i="29" s="1"/>
  <c r="H64" i="11"/>
  <c r="F1510" i="12"/>
  <c r="G1455" i="12"/>
  <c r="J89" i="29"/>
  <c r="N89" i="29" s="1"/>
  <c r="O89" i="29" s="1"/>
  <c r="Q89" i="29" s="1"/>
  <c r="S89" i="29" s="1"/>
  <c r="U89" i="29" s="1"/>
  <c r="M76" i="11"/>
  <c r="N76" i="11" s="1"/>
  <c r="P76" i="11" s="1"/>
  <c r="C1639" i="12"/>
  <c r="C1608" i="12"/>
  <c r="C1659" i="12"/>
  <c r="G1671" i="12"/>
  <c r="F1726" i="12"/>
  <c r="C1779" i="39"/>
  <c r="E1728" i="39"/>
  <c r="G1728" i="39" s="1"/>
  <c r="B1543" i="16"/>
  <c r="B1592" i="16"/>
  <c r="B1570" i="16"/>
  <c r="X27" i="11"/>
  <c r="Y27" i="11" s="1"/>
  <c r="H356" i="11"/>
  <c r="N356" i="11" s="1"/>
  <c r="P356" i="11" s="1"/>
  <c r="R356" i="11" s="1"/>
  <c r="B1605" i="39"/>
  <c r="B1630" i="39"/>
  <c r="G1512" i="12"/>
  <c r="F1567" i="12"/>
  <c r="H359" i="11"/>
  <c r="N359" i="11" s="1"/>
  <c r="P359" i="11" s="1"/>
  <c r="R359" i="11" s="1"/>
  <c r="J184" i="29"/>
  <c r="G839" i="16"/>
  <c r="E826" i="16" s="1"/>
  <c r="I192" i="11"/>
  <c r="V87" i="29"/>
  <c r="W87" i="29" s="1"/>
  <c r="R74" i="11"/>
  <c r="E181" i="29"/>
  <c r="H390" i="9"/>
  <c r="H391" i="9"/>
  <c r="F347" i="9" s="1"/>
  <c r="Q103" i="11" s="1"/>
  <c r="G104" i="29"/>
  <c r="E78" i="29"/>
  <c r="I78" i="29" s="1"/>
  <c r="H65" i="11"/>
  <c r="E272" i="29"/>
  <c r="H239" i="29"/>
  <c r="I239" i="29" s="1"/>
  <c r="P239" i="29" s="1"/>
  <c r="Q239" i="29" s="1"/>
  <c r="S239" i="29" s="1"/>
  <c r="U239" i="29" s="1"/>
  <c r="H182" i="11"/>
  <c r="N182" i="11" s="1"/>
  <c r="P182" i="11" s="1"/>
  <c r="R182" i="11" s="1"/>
  <c r="V32" i="29" l="1"/>
  <c r="W32" i="29" s="1"/>
  <c r="Q32" i="29"/>
  <c r="S32" i="29" s="1"/>
  <c r="U32" i="29" s="1"/>
  <c r="AA27" i="11"/>
  <c r="C1331" i="39"/>
  <c r="E1331" i="39" s="1"/>
  <c r="G1331" i="39" s="1"/>
  <c r="C1377" i="39"/>
  <c r="E1326" i="39"/>
  <c r="G1326" i="39" s="1"/>
  <c r="G1332" i="39" s="1"/>
  <c r="E1319" i="39" s="1"/>
  <c r="C1479" i="39"/>
  <c r="C1694" i="12"/>
  <c r="C1714" i="12"/>
  <c r="C1663" i="12"/>
  <c r="F105" i="11"/>
  <c r="F458" i="9"/>
  <c r="H486" i="9" s="1"/>
  <c r="Q35" i="29"/>
  <c r="R35" i="29" s="1"/>
  <c r="S35" i="29" s="1"/>
  <c r="U35" i="29" s="1"/>
  <c r="V35" i="29"/>
  <c r="AA30" i="11"/>
  <c r="D362" i="11"/>
  <c r="D2183" i="13"/>
  <c r="F2183" i="13" s="1"/>
  <c r="L127" i="29"/>
  <c r="N127" i="29" s="1"/>
  <c r="M105" i="11"/>
  <c r="D1477" i="12"/>
  <c r="F1477" i="12" s="1"/>
  <c r="H1477" i="12" s="1"/>
  <c r="F1472" i="12"/>
  <c r="H1472" i="12" s="1"/>
  <c r="D1527" i="12"/>
  <c r="B1622" i="16"/>
  <c r="B1596" i="16"/>
  <c r="B1644" i="16"/>
  <c r="G561" i="9"/>
  <c r="G517" i="9"/>
  <c r="V34" i="29"/>
  <c r="W34" i="29" s="1"/>
  <c r="AA29" i="11"/>
  <c r="Q34" i="29"/>
  <c r="S34" i="29" s="1"/>
  <c r="U34" i="29" s="1"/>
  <c r="G1281" i="39"/>
  <c r="E1268" i="39" s="1"/>
  <c r="C1405" i="16"/>
  <c r="E1353" i="16"/>
  <c r="G1353" i="16" s="1"/>
  <c r="F1892" i="12"/>
  <c r="G1837" i="12"/>
  <c r="C1572" i="16"/>
  <c r="C1524" i="16"/>
  <c r="E1524" i="16" s="1"/>
  <c r="G1524" i="16" s="1"/>
  <c r="E1519" i="16"/>
  <c r="G1519" i="16" s="1"/>
  <c r="J212" i="11" s="1"/>
  <c r="K269" i="29" s="1"/>
  <c r="F2286" i="13"/>
  <c r="H2286" i="13" s="1"/>
  <c r="J2286" i="13" s="1"/>
  <c r="D2290" i="13" s="1"/>
  <c r="F2290" i="13" s="1"/>
  <c r="F2341" i="13"/>
  <c r="H2231" i="13"/>
  <c r="J2231" i="13" s="1"/>
  <c r="D2235" i="13" s="1"/>
  <c r="F2235" i="13" s="1"/>
  <c r="E1548" i="12"/>
  <c r="H1548" i="12" s="1"/>
  <c r="J1548" i="12" s="1"/>
  <c r="D1552" i="12" s="1"/>
  <c r="F1552" i="12" s="1"/>
  <c r="D1603" i="12"/>
  <c r="C1768" i="12"/>
  <c r="C1717" i="12"/>
  <c r="C1744" i="12"/>
  <c r="D734" i="13"/>
  <c r="F734" i="13" s="1"/>
  <c r="D336" i="11"/>
  <c r="D1801" i="12"/>
  <c r="D1751" i="12"/>
  <c r="F1751" i="12" s="1"/>
  <c r="H1751" i="12" s="1"/>
  <c r="F1746" i="12"/>
  <c r="H1746" i="12" s="1"/>
  <c r="J157" i="11" s="1"/>
  <c r="K187" i="29" s="1"/>
  <c r="G186" i="11"/>
  <c r="G630" i="16"/>
  <c r="G632" i="16" s="1"/>
  <c r="E582" i="16" s="1"/>
  <c r="Q186" i="11" s="1"/>
  <c r="H335" i="11"/>
  <c r="N335" i="11" s="1"/>
  <c r="P335" i="11" s="1"/>
  <c r="E444" i="29"/>
  <c r="I444" i="29" s="1"/>
  <c r="O444" i="29" s="1"/>
  <c r="Q444" i="29" s="1"/>
  <c r="S444" i="29" s="1"/>
  <c r="U444" i="29" s="1"/>
  <c r="M329" i="29"/>
  <c r="L262" i="11"/>
  <c r="F311" i="29"/>
  <c r="E244" i="11"/>
  <c r="F1843" i="12"/>
  <c r="G1788" i="12"/>
  <c r="B1755" i="39"/>
  <c r="B1708" i="39"/>
  <c r="B1733" i="39"/>
  <c r="C1961" i="39"/>
  <c r="D1910" i="39"/>
  <c r="D1406" i="14"/>
  <c r="F1350" i="14"/>
  <c r="H1350" i="14" s="1"/>
  <c r="G126" i="29"/>
  <c r="I126" i="29" s="1"/>
  <c r="P126" i="29" s="1"/>
  <c r="Q126" i="29" s="1"/>
  <c r="R126" i="29" s="1"/>
  <c r="S126" i="29" s="1"/>
  <c r="U126" i="29" s="1"/>
  <c r="H104" i="11"/>
  <c r="N104" i="11" s="1"/>
  <c r="K336" i="29"/>
  <c r="J269" i="11"/>
  <c r="G247" i="11"/>
  <c r="H314" i="29"/>
  <c r="F842" i="13"/>
  <c r="H785" i="13"/>
  <c r="J785" i="13" s="1"/>
  <c r="D789" i="13" s="1"/>
  <c r="F789" i="13" s="1"/>
  <c r="O309" i="29"/>
  <c r="P241" i="11"/>
  <c r="F667" i="13"/>
  <c r="H715" i="13" s="1"/>
  <c r="H717" i="13" s="1"/>
  <c r="F665" i="13" s="1"/>
  <c r="M16" i="13" s="1"/>
  <c r="Q335" i="11" s="1"/>
  <c r="E335" i="11"/>
  <c r="F444" i="29" s="1"/>
  <c r="F1518" i="14"/>
  <c r="H1518" i="14" s="1"/>
  <c r="J63" i="11" s="1"/>
  <c r="K76" i="29" s="1"/>
  <c r="D1573" i="14"/>
  <c r="Q306" i="29"/>
  <c r="S306" i="29" s="1"/>
  <c r="U306" i="29" s="1"/>
  <c r="R238" i="11"/>
  <c r="C1140" i="39"/>
  <c r="D1140" i="39" s="1"/>
  <c r="G1140" i="39" s="1"/>
  <c r="I1140" i="39" s="1"/>
  <c r="C1144" i="39" s="1"/>
  <c r="E1144" i="39" s="1"/>
  <c r="C1146" i="39" s="1"/>
  <c r="E1146" i="39" s="1"/>
  <c r="E1136" i="39" s="1"/>
  <c r="D1089" i="39"/>
  <c r="G1089" i="39" s="1"/>
  <c r="I1089" i="39" s="1"/>
  <c r="C1093" i="39" s="1"/>
  <c r="E1093" i="39" s="1"/>
  <c r="C1095" i="39" s="1"/>
  <c r="E1095" i="39" s="1"/>
  <c r="E1085" i="39" s="1"/>
  <c r="C1191" i="39"/>
  <c r="I1344" i="39"/>
  <c r="C1348" i="39" s="1"/>
  <c r="E1348" i="39" s="1"/>
  <c r="G1396" i="39"/>
  <c r="I1396" i="39" s="1"/>
  <c r="C1400" i="39" s="1"/>
  <c r="E1400" i="39" s="1"/>
  <c r="V89" i="29"/>
  <c r="W89" i="29" s="1"/>
  <c r="R76" i="11"/>
  <c r="C943" i="16"/>
  <c r="E943" i="16" s="1"/>
  <c r="G943" i="16" s="1"/>
  <c r="C990" i="16"/>
  <c r="E938" i="16"/>
  <c r="G938" i="16" s="1"/>
  <c r="H280" i="29"/>
  <c r="I280" i="29" s="1"/>
  <c r="P280" i="29" s="1"/>
  <c r="Q280" i="29" s="1"/>
  <c r="S280" i="29" s="1"/>
  <c r="U280" i="29" s="1"/>
  <c r="H222" i="11"/>
  <c r="N222" i="11" s="1"/>
  <c r="P222" i="11" s="1"/>
  <c r="R222" i="11" s="1"/>
  <c r="B914" i="39"/>
  <c r="B934" i="39"/>
  <c r="B986" i="39"/>
  <c r="B885" i="39"/>
  <c r="C1632" i="39"/>
  <c r="C1682" i="39"/>
  <c r="E1581" i="39"/>
  <c r="G1581" i="39" s="1"/>
  <c r="C1586" i="39"/>
  <c r="E1586" i="39" s="1"/>
  <c r="G1586" i="39" s="1"/>
  <c r="I311" i="29"/>
  <c r="N243" i="11"/>
  <c r="R57" i="11"/>
  <c r="V70" i="29"/>
  <c r="W70" i="29" s="1"/>
  <c r="F1566" i="12"/>
  <c r="G1511" i="12"/>
  <c r="C1539" i="14"/>
  <c r="C1571" i="14"/>
  <c r="C1590" i="14"/>
  <c r="G153" i="11"/>
  <c r="H183" i="29" s="1"/>
  <c r="F1516" i="12"/>
  <c r="H439" i="9"/>
  <c r="H440" i="9"/>
  <c r="F396" i="9" s="1"/>
  <c r="Q104" i="11" s="1"/>
  <c r="F1652" i="39"/>
  <c r="F1601" i="39"/>
  <c r="G1601" i="39" s="1"/>
  <c r="I1601" i="39" s="1"/>
  <c r="C1605" i="39" s="1"/>
  <c r="E1605" i="39" s="1"/>
  <c r="G1550" i="39"/>
  <c r="I1550" i="39" s="1"/>
  <c r="C1554" i="39" s="1"/>
  <c r="E1554" i="39" s="1"/>
  <c r="H242" i="29"/>
  <c r="I242" i="29" s="1"/>
  <c r="P242" i="29" s="1"/>
  <c r="Q242" i="29" s="1"/>
  <c r="S242" i="29" s="1"/>
  <c r="U242" i="29" s="1"/>
  <c r="H185" i="11"/>
  <c r="N185" i="11" s="1"/>
  <c r="P185" i="11" s="1"/>
  <c r="R185" i="11" s="1"/>
  <c r="E470" i="29"/>
  <c r="I470" i="29" s="1"/>
  <c r="O470" i="29" s="1"/>
  <c r="Q470" i="29" s="1"/>
  <c r="S470" i="29" s="1"/>
  <c r="U470" i="29" s="1"/>
  <c r="E1779" i="39"/>
  <c r="G1779" i="39" s="1"/>
  <c r="C1829" i="39"/>
  <c r="C1945" i="39"/>
  <c r="E1945" i="39" s="1"/>
  <c r="G1945" i="39" s="1"/>
  <c r="E1940" i="39"/>
  <c r="G1940" i="39" s="1"/>
  <c r="C1990" i="39"/>
  <c r="D1800" i="12"/>
  <c r="D1750" i="12"/>
  <c r="F1750" i="12" s="1"/>
  <c r="H1750" i="12" s="1"/>
  <c r="F1745" i="12"/>
  <c r="H1745" i="12" s="1"/>
  <c r="F1669" i="12"/>
  <c r="G1614" i="12"/>
  <c r="C1684" i="16"/>
  <c r="E1684" i="16" s="1"/>
  <c r="G1684" i="16" s="1"/>
  <c r="E1679" i="16"/>
  <c r="G1679" i="16" s="1"/>
  <c r="L217" i="11" s="1"/>
  <c r="M274" i="29" s="1"/>
  <c r="C1732" i="16"/>
  <c r="F1564" i="12"/>
  <c r="G1509" i="12"/>
  <c r="K262" i="11"/>
  <c r="L329" i="29"/>
  <c r="M261" i="11"/>
  <c r="N329" i="29" s="1"/>
  <c r="F1781" i="12"/>
  <c r="G1726" i="12"/>
  <c r="F1622" i="12"/>
  <c r="G1567" i="12"/>
  <c r="I1447" i="39"/>
  <c r="C1451" i="39" s="1"/>
  <c r="E1451" i="39" s="1"/>
  <c r="G1499" i="39"/>
  <c r="I1499" i="39" s="1"/>
  <c r="C1503" i="39" s="1"/>
  <c r="E1503" i="39" s="1"/>
  <c r="I156" i="11"/>
  <c r="G85" i="11"/>
  <c r="H944" i="36"/>
  <c r="H946" i="36" s="1"/>
  <c r="F895" i="36" s="1"/>
  <c r="J185" i="29"/>
  <c r="I194" i="11"/>
  <c r="G893" i="16"/>
  <c r="E880" i="16" s="1"/>
  <c r="F1574" i="12"/>
  <c r="H1574" i="12" s="1"/>
  <c r="D1629" i="12"/>
  <c r="D1625" i="14"/>
  <c r="F1625" i="14" s="1"/>
  <c r="H1625" i="14" s="1"/>
  <c r="F1569" i="14"/>
  <c r="H1569" i="14" s="1"/>
  <c r="F983" i="36"/>
  <c r="H983" i="36" s="1"/>
  <c r="F980" i="36" s="1"/>
  <c r="D1039" i="36"/>
  <c r="G1615" i="12"/>
  <c r="F1670" i="12"/>
  <c r="F142" i="11"/>
  <c r="F897" i="12"/>
  <c r="H932" i="12" s="1"/>
  <c r="H934" i="12" s="1"/>
  <c r="F883" i="12" s="1"/>
  <c r="Q142" i="11" s="1"/>
  <c r="E361" i="11"/>
  <c r="F470" i="29" s="1"/>
  <c r="F2118" i="13"/>
  <c r="H2165" i="13" s="1"/>
  <c r="H2167" i="13" s="1"/>
  <c r="F2116" i="13" s="1"/>
  <c r="M42" i="13" s="1"/>
  <c r="Q361" i="11" s="1"/>
  <c r="G171" i="29"/>
  <c r="I171" i="29" s="1"/>
  <c r="P171" i="29" s="1"/>
  <c r="Q171" i="29" s="1"/>
  <c r="S171" i="29" s="1"/>
  <c r="U171" i="29" s="1"/>
  <c r="H141" i="11"/>
  <c r="N141" i="11" s="1"/>
  <c r="P141" i="11" s="1"/>
  <c r="R141" i="11" s="1"/>
  <c r="F857" i="13"/>
  <c r="G800" i="13"/>
  <c r="G806" i="13" s="1"/>
  <c r="F793" i="13" s="1"/>
  <c r="F337" i="11" s="1"/>
  <c r="G446" i="29" s="1"/>
  <c r="J249" i="29"/>
  <c r="N249" i="29" s="1"/>
  <c r="M192" i="11"/>
  <c r="O103" i="11"/>
  <c r="P103" i="11"/>
  <c r="R103" i="11" s="1"/>
  <c r="V125" i="29"/>
  <c r="W125" i="29" s="1"/>
  <c r="K197" i="11"/>
  <c r="L254" i="29" s="1"/>
  <c r="I264" i="11"/>
  <c r="J331" i="29"/>
  <c r="Q304" i="29"/>
  <c r="S304" i="29" s="1"/>
  <c r="U304" i="29" s="1"/>
  <c r="R236" i="11"/>
  <c r="G975" i="39"/>
  <c r="G977" i="39" s="1"/>
  <c r="E928" i="39" s="1"/>
  <c r="Q253" i="11" s="1"/>
  <c r="V88" i="29"/>
  <c r="W88" i="29" s="1"/>
  <c r="R75" i="11"/>
  <c r="F1407" i="14"/>
  <c r="H1407" i="14" s="1"/>
  <c r="L61" i="11" s="1"/>
  <c r="M74" i="29" s="1"/>
  <c r="D1463" i="14"/>
  <c r="F1013" i="12"/>
  <c r="G958" i="12"/>
  <c r="G964" i="12" s="1"/>
  <c r="Q84" i="11"/>
  <c r="K839" i="36"/>
  <c r="K23" i="36"/>
  <c r="P23" i="36" s="1"/>
  <c r="F1517" i="14"/>
  <c r="H1517" i="14" s="1"/>
  <c r="I63" i="11" s="1"/>
  <c r="D1572" i="14"/>
  <c r="L180" i="29"/>
  <c r="N180" i="29" s="1"/>
  <c r="M150" i="11"/>
  <c r="H244" i="11"/>
  <c r="D245" i="11"/>
  <c r="E312" i="29"/>
  <c r="AA28" i="11"/>
  <c r="Q33" i="29"/>
  <c r="R33" i="29" s="1"/>
  <c r="S33" i="29" s="1"/>
  <c r="U33" i="29" s="1"/>
  <c r="V33" i="29"/>
  <c r="B708" i="39"/>
  <c r="B679" i="39"/>
  <c r="B726" i="39"/>
  <c r="F1565" i="12"/>
  <c r="G1510" i="12"/>
  <c r="E1890" i="39"/>
  <c r="G1890" i="39" s="1"/>
  <c r="C1942" i="39"/>
  <c r="C1895" i="39"/>
  <c r="E1895" i="39" s="1"/>
  <c r="G1895" i="39" s="1"/>
  <c r="E182" i="29"/>
  <c r="E697" i="39"/>
  <c r="G697" i="39" s="1"/>
  <c r="E694" i="39" s="1"/>
  <c r="G716" i="39" s="1"/>
  <c r="G718" i="39" s="1"/>
  <c r="E669" i="39" s="1"/>
  <c r="Q247" i="11" s="1"/>
  <c r="C748" i="39"/>
  <c r="E748" i="39" s="1"/>
  <c r="G748" i="39" s="1"/>
  <c r="E745" i="39" s="1"/>
  <c r="G767" i="39" s="1"/>
  <c r="G769" i="39" s="1"/>
  <c r="E720" i="39" s="1"/>
  <c r="Q248" i="11" s="1"/>
  <c r="H97" i="29"/>
  <c r="I97" i="29" s="1"/>
  <c r="O97" i="29" s="1"/>
  <c r="Q97" i="29" s="1"/>
  <c r="S97" i="29" s="1"/>
  <c r="U97" i="29" s="1"/>
  <c r="H84" i="11"/>
  <c r="N84" i="11" s="1"/>
  <c r="P84" i="11" s="1"/>
  <c r="J75" i="29"/>
  <c r="G224" i="11"/>
  <c r="G1901" i="16"/>
  <c r="G1903" i="16" s="1"/>
  <c r="E1852" i="16" s="1"/>
  <c r="Q224" i="11" s="1"/>
  <c r="Q58" i="11"/>
  <c r="K30" i="14"/>
  <c r="D314" i="18"/>
  <c r="Q25" i="11" s="1"/>
  <c r="D257" i="18"/>
  <c r="Q22" i="11" s="1"/>
  <c r="D124" i="18"/>
  <c r="Q12" i="11" s="1"/>
  <c r="D147" i="37"/>
  <c r="Q32" i="11" s="1"/>
  <c r="D201" i="18"/>
  <c r="Q18" i="11" s="1"/>
  <c r="D275" i="18"/>
  <c r="Q23" i="11" s="1"/>
  <c r="D127" i="37"/>
  <c r="Q31" i="11" s="1"/>
  <c r="D220" i="18"/>
  <c r="Q19" i="11" s="1"/>
  <c r="D144" i="18"/>
  <c r="Q13" i="11" s="1"/>
  <c r="D296" i="18"/>
  <c r="Q24" i="11" s="1"/>
  <c r="D238" i="18"/>
  <c r="Q21" i="11" s="1"/>
  <c r="D108" i="37"/>
  <c r="D333" i="18"/>
  <c r="Q26" i="11" s="1"/>
  <c r="D163" i="18"/>
  <c r="Q15" i="11" s="1"/>
  <c r="D182" i="18"/>
  <c r="Q16" i="11" s="1"/>
  <c r="C956" i="39"/>
  <c r="E956" i="39" s="1"/>
  <c r="G956" i="39" s="1"/>
  <c r="E953" i="39" s="1"/>
  <c r="E903" i="39"/>
  <c r="G903" i="39" s="1"/>
  <c r="E900" i="39" s="1"/>
  <c r="G922" i="39" s="1"/>
  <c r="G924" i="39" s="1"/>
  <c r="E875" i="39" s="1"/>
  <c r="Q252" i="11" s="1"/>
  <c r="C1007" i="39"/>
  <c r="B1363" i="16"/>
  <c r="B1381" i="16"/>
  <c r="B1332" i="16"/>
  <c r="D1626" i="14"/>
  <c r="F1626" i="14" s="1"/>
  <c r="H1626" i="14" s="1"/>
  <c r="F1570" i="14"/>
  <c r="H1570" i="14" s="1"/>
  <c r="K151" i="11"/>
  <c r="H1424" i="12"/>
  <c r="F1411" i="12" s="1"/>
  <c r="D628" i="9"/>
  <c r="F579" i="9"/>
  <c r="H579" i="9" s="1"/>
  <c r="H581" i="9" s="1"/>
  <c r="F573" i="9" s="1"/>
  <c r="E1992" i="16"/>
  <c r="G1992" i="16" s="1"/>
  <c r="E1989" i="16" s="1"/>
  <c r="G1937" i="16"/>
  <c r="E1934" i="16" s="1"/>
  <c r="L71" i="29"/>
  <c r="N71" i="29" s="1"/>
  <c r="O71" i="29" s="1"/>
  <c r="Q71" i="29" s="1"/>
  <c r="S71" i="29" s="1"/>
  <c r="U71" i="29" s="1"/>
  <c r="M58" i="11"/>
  <c r="N58" i="11" s="1"/>
  <c r="P58" i="11" s="1"/>
  <c r="E1934" i="12"/>
  <c r="D1989" i="12"/>
  <c r="D2044" i="12" s="1"/>
  <c r="E1045" i="16"/>
  <c r="G1045" i="16" s="1"/>
  <c r="C1098" i="16"/>
  <c r="C1050" i="16"/>
  <c r="E1050" i="16" s="1"/>
  <c r="G1050" i="16" s="1"/>
  <c r="F1528" i="12"/>
  <c r="H1528" i="12" s="1"/>
  <c r="D1583" i="12"/>
  <c r="D1533" i="12"/>
  <c r="F1533" i="12" s="1"/>
  <c r="H1533" i="12" s="1"/>
  <c r="V96" i="29"/>
  <c r="W96" i="29" s="1"/>
  <c r="R83" i="11"/>
  <c r="D1500" i="12"/>
  <c r="F1500" i="12" s="1"/>
  <c r="E153" i="11" s="1"/>
  <c r="F183" i="29" s="1"/>
  <c r="D153" i="11"/>
  <c r="J156" i="11"/>
  <c r="K186" i="29" s="1"/>
  <c r="C718" i="16"/>
  <c r="E665" i="16"/>
  <c r="G665" i="16" s="1"/>
  <c r="E662" i="16" s="1"/>
  <c r="K106" i="11"/>
  <c r="H532" i="9"/>
  <c r="F524" i="9" s="1"/>
  <c r="K59" i="11"/>
  <c r="H1295" i="14"/>
  <c r="F1282" i="14" s="1"/>
  <c r="H1297" i="14" s="1"/>
  <c r="H1299" i="14" s="1"/>
  <c r="F1250" i="14" s="1"/>
  <c r="F1027" i="13"/>
  <c r="G970" i="13"/>
  <c r="D677" i="9" l="1"/>
  <c r="F628" i="9"/>
  <c r="H628" i="9" s="1"/>
  <c r="G1027" i="13"/>
  <c r="F1084" i="13"/>
  <c r="E2044" i="12"/>
  <c r="D2099" i="12"/>
  <c r="D2154" i="12" s="1"/>
  <c r="D2209" i="12" s="1"/>
  <c r="H1934" i="12"/>
  <c r="J1934" i="12" s="1"/>
  <c r="D1938" i="12" s="1"/>
  <c r="F1938" i="12" s="1"/>
  <c r="E1989" i="12"/>
  <c r="H1989" i="12" s="1"/>
  <c r="J1989" i="12" s="1"/>
  <c r="D1993" i="12" s="1"/>
  <c r="F1993" i="12" s="1"/>
  <c r="G857" i="13"/>
  <c r="G863" i="13" s="1"/>
  <c r="F850" i="13" s="1"/>
  <c r="F338" i="11" s="1"/>
  <c r="G447" i="29" s="1"/>
  <c r="F914" i="13"/>
  <c r="F1571" i="12"/>
  <c r="G154" i="11"/>
  <c r="H184" i="29" s="1"/>
  <c r="C1594" i="14"/>
  <c r="C1627" i="14"/>
  <c r="Q59" i="11"/>
  <c r="K31" i="14"/>
  <c r="F1490" i="12"/>
  <c r="L153" i="11"/>
  <c r="M183" i="29" s="1"/>
  <c r="R58" i="11"/>
  <c r="V71" i="29"/>
  <c r="W71" i="29" s="1"/>
  <c r="L181" i="29"/>
  <c r="N181" i="29" s="1"/>
  <c r="M151" i="11"/>
  <c r="Q20" i="11"/>
  <c r="D246" i="11"/>
  <c r="E313" i="29"/>
  <c r="J270" i="11"/>
  <c r="K337" i="29"/>
  <c r="D1856" i="12"/>
  <c r="D1806" i="12"/>
  <c r="F1806" i="12" s="1"/>
  <c r="H1806" i="12" s="1"/>
  <c r="F1801" i="12"/>
  <c r="H1801" i="12" s="1"/>
  <c r="J158" i="11" s="1"/>
  <c r="K188" i="29" s="1"/>
  <c r="D2237" i="13"/>
  <c r="F2237" i="13" s="1"/>
  <c r="D363" i="11"/>
  <c r="G610" i="9"/>
  <c r="G566" i="9"/>
  <c r="W35" i="29"/>
  <c r="C1532" i="39"/>
  <c r="C1484" i="39"/>
  <c r="E1484" i="39" s="1"/>
  <c r="G1484" i="39" s="1"/>
  <c r="E1479" i="39"/>
  <c r="G1479" i="39" s="1"/>
  <c r="G1485" i="39" s="1"/>
  <c r="E1472" i="39" s="1"/>
  <c r="L72" i="29"/>
  <c r="N72" i="29" s="1"/>
  <c r="O72" i="29" s="1"/>
  <c r="Q72" i="29" s="1"/>
  <c r="S72" i="29" s="1"/>
  <c r="U72" i="29" s="1"/>
  <c r="M59" i="11"/>
  <c r="N59" i="11" s="1"/>
  <c r="P59" i="11" s="1"/>
  <c r="F1039" i="36"/>
  <c r="H1039" i="36" s="1"/>
  <c r="F1036" i="36" s="1"/>
  <c r="D1095" i="36"/>
  <c r="G1669" i="12"/>
  <c r="F1724" i="12"/>
  <c r="C1882" i="39"/>
  <c r="E1829" i="39"/>
  <c r="G1829" i="39" s="1"/>
  <c r="D1191" i="39"/>
  <c r="C1243" i="39"/>
  <c r="C1294" i="39" s="1"/>
  <c r="H336" i="11"/>
  <c r="N336" i="11" s="1"/>
  <c r="P336" i="11" s="1"/>
  <c r="R336" i="11" s="1"/>
  <c r="E445" i="29"/>
  <c r="F2397" i="13"/>
  <c r="H2341" i="13"/>
  <c r="J2341" i="13" s="1"/>
  <c r="D2345" i="13" s="1"/>
  <c r="F2345" i="13" s="1"/>
  <c r="B1648" i="16"/>
  <c r="B1698" i="16"/>
  <c r="B1675" i="16"/>
  <c r="F1068" i="12"/>
  <c r="G1013" i="12"/>
  <c r="G1019" i="12" s="1"/>
  <c r="F1704" i="39"/>
  <c r="F1755" i="39" s="1"/>
  <c r="G1652" i="39"/>
  <c r="G947" i="16"/>
  <c r="E934" i="16" s="1"/>
  <c r="I196" i="11"/>
  <c r="O104" i="11"/>
  <c r="P104" i="11" s="1"/>
  <c r="R104" i="11" s="1"/>
  <c r="V126" i="29"/>
  <c r="W126" i="29" s="1"/>
  <c r="B1759" i="39"/>
  <c r="B1806" i="39"/>
  <c r="B1784" i="39"/>
  <c r="E336" i="11"/>
  <c r="F445" i="29" s="1"/>
  <c r="F724" i="13"/>
  <c r="H772" i="13" s="1"/>
  <c r="H774" i="13" s="1"/>
  <c r="F722" i="13" s="1"/>
  <c r="M17" i="13" s="1"/>
  <c r="Q336" i="11" s="1"/>
  <c r="D2292" i="13"/>
  <c r="F2292" i="13" s="1"/>
  <c r="D364" i="11"/>
  <c r="E1405" i="16"/>
  <c r="G1405" i="16" s="1"/>
  <c r="C1460" i="16"/>
  <c r="H488" i="9"/>
  <c r="H489" i="9" s="1"/>
  <c r="F445" i="9" s="1"/>
  <c r="Q105" i="11" s="1"/>
  <c r="E1377" i="39"/>
  <c r="G1377" i="39" s="1"/>
  <c r="C1429" i="39"/>
  <c r="C1382" i="39"/>
  <c r="E1382" i="39" s="1"/>
  <c r="G1382" i="39" s="1"/>
  <c r="I312" i="29"/>
  <c r="N244" i="11"/>
  <c r="J251" i="29"/>
  <c r="N251" i="29" s="1"/>
  <c r="M194" i="11"/>
  <c r="I157" i="11"/>
  <c r="C1735" i="39"/>
  <c r="E1682" i="39"/>
  <c r="G1682" i="39" s="1"/>
  <c r="C1687" i="39"/>
  <c r="E1687" i="39" s="1"/>
  <c r="G1687" i="39" s="1"/>
  <c r="R241" i="11"/>
  <c r="Q309" i="29"/>
  <c r="S309" i="29" s="1"/>
  <c r="U309" i="29" s="1"/>
  <c r="E1098" i="16"/>
  <c r="G1098" i="16" s="1"/>
  <c r="K200" i="11" s="1"/>
  <c r="L257" i="29" s="1"/>
  <c r="C1151" i="16"/>
  <c r="C1103" i="16"/>
  <c r="E1103" i="16" s="1"/>
  <c r="G1103" i="16" s="1"/>
  <c r="F1463" i="14"/>
  <c r="H1463" i="14" s="1"/>
  <c r="L62" i="11" s="1"/>
  <c r="M75" i="29" s="1"/>
  <c r="D1520" i="14"/>
  <c r="G1566" i="12"/>
  <c r="F1621" i="12"/>
  <c r="C1637" i="39"/>
  <c r="E1637" i="39" s="1"/>
  <c r="G1637" i="39" s="1"/>
  <c r="E1632" i="39"/>
  <c r="G1632" i="39" s="1"/>
  <c r="C1043" i="16"/>
  <c r="C995" i="16"/>
  <c r="E995" i="16" s="1"/>
  <c r="G995" i="16" s="1"/>
  <c r="E990" i="16"/>
  <c r="G990" i="16" s="1"/>
  <c r="R335" i="11"/>
  <c r="E362" i="11"/>
  <c r="F471" i="29" s="1"/>
  <c r="F2173" i="13"/>
  <c r="H2218" i="13" s="1"/>
  <c r="H2220" i="13" s="1"/>
  <c r="F2171" i="13" s="1"/>
  <c r="M43" i="13" s="1"/>
  <c r="Q362" i="11" s="1"/>
  <c r="G127" i="29"/>
  <c r="I127" i="29" s="1"/>
  <c r="P127" i="29" s="1"/>
  <c r="Q127" i="29" s="1"/>
  <c r="R127" i="29" s="1"/>
  <c r="S127" i="29" s="1"/>
  <c r="U127" i="29" s="1"/>
  <c r="H105" i="11"/>
  <c r="N105" i="11" s="1"/>
  <c r="H282" i="29"/>
  <c r="I282" i="29" s="1"/>
  <c r="P282" i="29" s="1"/>
  <c r="Q282" i="29" s="1"/>
  <c r="S282" i="29" s="1"/>
  <c r="U282" i="29" s="1"/>
  <c r="H224" i="11"/>
  <c r="N224" i="11" s="1"/>
  <c r="P224" i="11" s="1"/>
  <c r="R224" i="11" s="1"/>
  <c r="G226" i="11"/>
  <c r="G1956" i="16"/>
  <c r="G1958" i="16" s="1"/>
  <c r="E1907" i="16" s="1"/>
  <c r="Q226" i="11" s="1"/>
  <c r="G86" i="11"/>
  <c r="H1000" i="36"/>
  <c r="H1002" i="36" s="1"/>
  <c r="F951" i="36" s="1"/>
  <c r="K263" i="11"/>
  <c r="L330" i="29"/>
  <c r="M262" i="11"/>
  <c r="N330" i="29" s="1"/>
  <c r="G228" i="11"/>
  <c r="G2011" i="16"/>
  <c r="G2013" i="16" s="1"/>
  <c r="E1962" i="16" s="1"/>
  <c r="Q228" i="11" s="1"/>
  <c r="L128" i="29"/>
  <c r="N128" i="29" s="1"/>
  <c r="M106" i="11"/>
  <c r="K199" i="11"/>
  <c r="L256" i="29" s="1"/>
  <c r="B1435" i="16"/>
  <c r="B1415" i="16"/>
  <c r="B1385" i="16"/>
  <c r="D334" i="18"/>
  <c r="W26" i="11" s="1"/>
  <c r="D125" i="18"/>
  <c r="W12" i="11" s="1"/>
  <c r="D297" i="18"/>
  <c r="W24" i="11" s="1"/>
  <c r="D109" i="37"/>
  <c r="W20" i="11" s="1"/>
  <c r="D258" i="18"/>
  <c r="W22" i="11" s="1"/>
  <c r="D276" i="18"/>
  <c r="W23" i="11" s="1"/>
  <c r="D164" i="18"/>
  <c r="W15" i="11" s="1"/>
  <c r="D145" i="18"/>
  <c r="W13" i="11" s="1"/>
  <c r="D221" i="18"/>
  <c r="W19" i="11" s="1"/>
  <c r="D202" i="18"/>
  <c r="W18" i="11" s="1"/>
  <c r="D183" i="18"/>
  <c r="W16" i="11" s="1"/>
  <c r="D148" i="37"/>
  <c r="W32" i="11" s="1"/>
  <c r="D239" i="18"/>
  <c r="W21" i="11" s="1"/>
  <c r="D315" i="18"/>
  <c r="W25" i="11" s="1"/>
  <c r="D128" i="37"/>
  <c r="W31" i="11" s="1"/>
  <c r="V97" i="29"/>
  <c r="W97" i="29" s="1"/>
  <c r="R84" i="11"/>
  <c r="C1992" i="39"/>
  <c r="E1942" i="39"/>
  <c r="G1942" i="39" s="1"/>
  <c r="C1947" i="39"/>
  <c r="E1947" i="39" s="1"/>
  <c r="G1947" i="39" s="1"/>
  <c r="W33" i="29"/>
  <c r="F1572" i="14"/>
  <c r="H1572" i="14" s="1"/>
  <c r="I64" i="11" s="1"/>
  <c r="D1628" i="14"/>
  <c r="F1628" i="14" s="1"/>
  <c r="H1628" i="14" s="1"/>
  <c r="I65" i="11" s="1"/>
  <c r="K895" i="36"/>
  <c r="Q85" i="11"/>
  <c r="K24" i="36"/>
  <c r="P24" i="36" s="1"/>
  <c r="G1622" i="12"/>
  <c r="F1677" i="12"/>
  <c r="F1619" i="12"/>
  <c r="G1564" i="12"/>
  <c r="D1855" i="12"/>
  <c r="D1805" i="12"/>
  <c r="F1805" i="12" s="1"/>
  <c r="H1805" i="12" s="1"/>
  <c r="F1800" i="12"/>
  <c r="H1800" i="12" s="1"/>
  <c r="H361" i="11"/>
  <c r="N361" i="11" s="1"/>
  <c r="P361" i="11" s="1"/>
  <c r="R361" i="11" s="1"/>
  <c r="D337" i="11"/>
  <c r="D791" i="13"/>
  <c r="F791" i="13" s="1"/>
  <c r="K60" i="11"/>
  <c r="H1352" i="14"/>
  <c r="F1339" i="14" s="1"/>
  <c r="H1354" i="14" s="1"/>
  <c r="H1356" i="14" s="1"/>
  <c r="F1304" i="14" s="1"/>
  <c r="G1843" i="12"/>
  <c r="F1898" i="12"/>
  <c r="E471" i="29"/>
  <c r="I471" i="29" s="1"/>
  <c r="O471" i="29" s="1"/>
  <c r="Q471" i="29" s="1"/>
  <c r="S471" i="29" s="1"/>
  <c r="U471" i="29" s="1"/>
  <c r="G188" i="11"/>
  <c r="G684" i="16"/>
  <c r="G686" i="16" s="1"/>
  <c r="E635" i="16" s="1"/>
  <c r="Q188" i="11" s="1"/>
  <c r="J332" i="29"/>
  <c r="I265" i="11"/>
  <c r="G172" i="29"/>
  <c r="I172" i="29" s="1"/>
  <c r="P172" i="29" s="1"/>
  <c r="Q172" i="29" s="1"/>
  <c r="S172" i="29" s="1"/>
  <c r="U172" i="29" s="1"/>
  <c r="H142" i="11"/>
  <c r="N142" i="11" s="1"/>
  <c r="P142" i="11" s="1"/>
  <c r="R142" i="11" s="1"/>
  <c r="H98" i="29"/>
  <c r="I98" i="29" s="1"/>
  <c r="O98" i="29" s="1"/>
  <c r="Q98" i="29" s="1"/>
  <c r="S98" i="29" s="1"/>
  <c r="U98" i="29" s="1"/>
  <c r="H85" i="11"/>
  <c r="N85" i="11" s="1"/>
  <c r="P85" i="11" s="1"/>
  <c r="E1732" i="16"/>
  <c r="G1732" i="16" s="1"/>
  <c r="C1737" i="16"/>
  <c r="C2043" i="39"/>
  <c r="C1995" i="39"/>
  <c r="E1995" i="39" s="1"/>
  <c r="G1995" i="39" s="1"/>
  <c r="E1990" i="39"/>
  <c r="G1990" i="39" s="1"/>
  <c r="B1038" i="39"/>
  <c r="B1018" i="39"/>
  <c r="B990" i="39"/>
  <c r="F899" i="13"/>
  <c r="H842" i="13"/>
  <c r="J842" i="13" s="1"/>
  <c r="D846" i="13" s="1"/>
  <c r="F846" i="13" s="1"/>
  <c r="D1462" i="14"/>
  <c r="F1406" i="14"/>
  <c r="H1406" i="14" s="1"/>
  <c r="E245" i="11"/>
  <c r="F312" i="29"/>
  <c r="H243" i="29"/>
  <c r="I243" i="29" s="1"/>
  <c r="P243" i="29" s="1"/>
  <c r="Q243" i="29" s="1"/>
  <c r="S243" i="29" s="1"/>
  <c r="U243" i="29" s="1"/>
  <c r="H186" i="11"/>
  <c r="N186" i="11" s="1"/>
  <c r="P186" i="11" s="1"/>
  <c r="R186" i="11" s="1"/>
  <c r="C1772" i="12"/>
  <c r="C1799" i="12"/>
  <c r="C1823" i="12"/>
  <c r="E1572" i="16"/>
  <c r="G1572" i="16" s="1"/>
  <c r="C1577" i="16"/>
  <c r="E1577" i="16" s="1"/>
  <c r="G1577" i="16" s="1"/>
  <c r="C1624" i="16"/>
  <c r="C1749" i="12"/>
  <c r="C1769" i="12"/>
  <c r="C1718" i="12"/>
  <c r="E183" i="29"/>
  <c r="B759" i="39"/>
  <c r="B730" i="39"/>
  <c r="J76" i="29"/>
  <c r="C771" i="16"/>
  <c r="E718" i="16"/>
  <c r="G718" i="16" s="1"/>
  <c r="E715" i="16" s="1"/>
  <c r="D1684" i="12"/>
  <c r="F1629" i="12"/>
  <c r="H1629" i="12" s="1"/>
  <c r="G1781" i="12"/>
  <c r="F1836" i="12"/>
  <c r="B967" i="39"/>
  <c r="B938" i="39"/>
  <c r="F1573" i="14"/>
  <c r="H1573" i="14" s="1"/>
  <c r="J64" i="11" s="1"/>
  <c r="K77" i="29" s="1"/>
  <c r="D1629" i="14"/>
  <c r="F1629" i="14" s="1"/>
  <c r="H1629" i="14" s="1"/>
  <c r="J65" i="11" s="1"/>
  <c r="K78" i="29" s="1"/>
  <c r="D1658" i="12"/>
  <c r="E1603" i="12"/>
  <c r="H1603" i="12" s="1"/>
  <c r="J1603" i="12" s="1"/>
  <c r="D1607" i="12" s="1"/>
  <c r="F1607" i="12" s="1"/>
  <c r="F1527" i="12"/>
  <c r="H1527" i="12" s="1"/>
  <c r="D1582" i="12"/>
  <c r="D1532" i="12"/>
  <c r="F1532" i="12" s="1"/>
  <c r="H1532" i="12" s="1"/>
  <c r="F143" i="11"/>
  <c r="F952" i="12"/>
  <c r="H987" i="12" s="1"/>
  <c r="H989" i="12" s="1"/>
  <c r="F938" i="12" s="1"/>
  <c r="Q143" i="11" s="1"/>
  <c r="E1007" i="39"/>
  <c r="G1007" i="39" s="1"/>
  <c r="E1004" i="39" s="1"/>
  <c r="G1026" i="39" s="1"/>
  <c r="G1028" i="39" s="1"/>
  <c r="E980" i="39" s="1"/>
  <c r="Q254" i="11" s="1"/>
  <c r="C1060" i="39"/>
  <c r="G1670" i="12"/>
  <c r="F1725" i="12"/>
  <c r="J186" i="29"/>
  <c r="P243" i="11"/>
  <c r="O311" i="29"/>
  <c r="D1638" i="12"/>
  <c r="D1588" i="12"/>
  <c r="F1588" i="12" s="1"/>
  <c r="H1588" i="12" s="1"/>
  <c r="F1583" i="12"/>
  <c r="H1583" i="12" s="1"/>
  <c r="G1565" i="12"/>
  <c r="F1620" i="12"/>
  <c r="G248" i="11"/>
  <c r="H315" i="29"/>
  <c r="C2013" i="39"/>
  <c r="D1961" i="39"/>
  <c r="L263" i="11"/>
  <c r="M330" i="29"/>
  <c r="D154" i="11"/>
  <c r="D1555" i="12"/>
  <c r="F1555" i="12" s="1"/>
  <c r="E154" i="11" s="1"/>
  <c r="F184" i="29" s="1"/>
  <c r="F1545" i="12"/>
  <c r="G1892" i="12"/>
  <c r="F1947" i="12"/>
  <c r="F507" i="9"/>
  <c r="H535" i="9" s="1"/>
  <c r="F106" i="11"/>
  <c r="K152" i="11"/>
  <c r="H1479" i="12"/>
  <c r="F1466" i="12" s="1"/>
  <c r="D1739" i="12" l="1"/>
  <c r="F1684" i="12"/>
  <c r="H1684" i="12" s="1"/>
  <c r="E184" i="29"/>
  <c r="G173" i="29"/>
  <c r="I173" i="29" s="1"/>
  <c r="P173" i="29" s="1"/>
  <c r="Q173" i="29" s="1"/>
  <c r="S173" i="29" s="1"/>
  <c r="U173" i="29" s="1"/>
  <c r="H143" i="11"/>
  <c r="N143" i="11" s="1"/>
  <c r="P143" i="11" s="1"/>
  <c r="R143" i="11" s="1"/>
  <c r="G189" i="11"/>
  <c r="G737" i="16"/>
  <c r="G739" i="16" s="1"/>
  <c r="E689" i="16" s="1"/>
  <c r="Q189" i="11" s="1"/>
  <c r="I267" i="11"/>
  <c r="J333" i="29"/>
  <c r="L182" i="29"/>
  <c r="N182" i="29" s="1"/>
  <c r="M152" i="11"/>
  <c r="G1620" i="12"/>
  <c r="F1675" i="12"/>
  <c r="E771" i="16"/>
  <c r="G771" i="16" s="1"/>
  <c r="E768" i="16" s="1"/>
  <c r="C823" i="16"/>
  <c r="C1773" i="12"/>
  <c r="C1804" i="12"/>
  <c r="C1824" i="12"/>
  <c r="V98" i="29"/>
  <c r="W98" i="29" s="1"/>
  <c r="R85" i="11"/>
  <c r="L73" i="29"/>
  <c r="N73" i="29" s="1"/>
  <c r="O73" i="29" s="1"/>
  <c r="Q73" i="29" s="1"/>
  <c r="S73" i="29" s="1"/>
  <c r="U73" i="29" s="1"/>
  <c r="M60" i="11"/>
  <c r="N60" i="11" s="1"/>
  <c r="P60" i="11" s="1"/>
  <c r="G1619" i="12"/>
  <c r="F1674" i="12"/>
  <c r="J78" i="29"/>
  <c r="H286" i="29"/>
  <c r="I286" i="29" s="1"/>
  <c r="P286" i="29" s="1"/>
  <c r="Q286" i="29" s="1"/>
  <c r="S286" i="29" s="1"/>
  <c r="U286" i="29" s="1"/>
  <c r="H228" i="11"/>
  <c r="N228" i="11" s="1"/>
  <c r="P228" i="11" s="1"/>
  <c r="R228" i="11" s="1"/>
  <c r="F1520" i="14"/>
  <c r="H1520" i="14" s="1"/>
  <c r="L63" i="11" s="1"/>
  <c r="M76" i="29" s="1"/>
  <c r="D1575" i="14"/>
  <c r="E473" i="29"/>
  <c r="F1007" i="12"/>
  <c r="H1042" i="12" s="1"/>
  <c r="H1044" i="12" s="1"/>
  <c r="F993" i="12" s="1"/>
  <c r="Q144" i="11" s="1"/>
  <c r="F144" i="11"/>
  <c r="I445" i="29"/>
  <c r="O445" i="29" s="1"/>
  <c r="Q445" i="29" s="1"/>
  <c r="S445" i="29" s="1"/>
  <c r="U445" i="29" s="1"/>
  <c r="C1934" i="39"/>
  <c r="E1882" i="39"/>
  <c r="G1882" i="39" s="1"/>
  <c r="E363" i="11"/>
  <c r="F472" i="29" s="1"/>
  <c r="F2227" i="13"/>
  <c r="H2273" i="13" s="1"/>
  <c r="H2275" i="13" s="1"/>
  <c r="F2225" i="13" s="1"/>
  <c r="M44" i="13" s="1"/>
  <c r="Q363" i="11" s="1"/>
  <c r="E337" i="11"/>
  <c r="F446" i="29" s="1"/>
  <c r="F781" i="13"/>
  <c r="H829" i="13" s="1"/>
  <c r="H831" i="13" s="1"/>
  <c r="F779" i="13" s="1"/>
  <c r="M18" i="13" s="1"/>
  <c r="Q337" i="11" s="1"/>
  <c r="F1732" i="12"/>
  <c r="G1677" i="12"/>
  <c r="B1439" i="16"/>
  <c r="B1488" i="16"/>
  <c r="B1470" i="16"/>
  <c r="H284" i="29"/>
  <c r="I284" i="29" s="1"/>
  <c r="P284" i="29" s="1"/>
  <c r="Q284" i="29" s="1"/>
  <c r="S284" i="29" s="1"/>
  <c r="U284" i="29" s="1"/>
  <c r="H226" i="11"/>
  <c r="N226" i="11" s="1"/>
  <c r="P226" i="11" s="1"/>
  <c r="R226" i="11" s="1"/>
  <c r="F1779" i="12"/>
  <c r="G1724" i="12"/>
  <c r="L264" i="11"/>
  <c r="M331" i="29"/>
  <c r="F1582" i="12"/>
  <c r="H1582" i="12" s="1"/>
  <c r="D1587" i="12"/>
  <c r="F1587" i="12" s="1"/>
  <c r="H1587" i="12" s="1"/>
  <c r="D1637" i="12"/>
  <c r="J77" i="29"/>
  <c r="I197" i="11"/>
  <c r="G999" i="16"/>
  <c r="E986" i="16" s="1"/>
  <c r="C1786" i="39"/>
  <c r="C1740" i="39"/>
  <c r="E1740" i="39" s="1"/>
  <c r="G1740" i="39" s="1"/>
  <c r="E1735" i="39"/>
  <c r="G1735" i="39" s="1"/>
  <c r="F2282" i="13"/>
  <c r="H2328" i="13" s="1"/>
  <c r="H2330" i="13" s="1"/>
  <c r="F2280" i="13" s="1"/>
  <c r="M45" i="13" s="1"/>
  <c r="Q364" i="11" s="1"/>
  <c r="E364" i="11"/>
  <c r="F473" i="29" s="1"/>
  <c r="F1123" i="12"/>
  <c r="G1068" i="12"/>
  <c r="G1074" i="12" s="1"/>
  <c r="E2099" i="12"/>
  <c r="H2044" i="12"/>
  <c r="J2044" i="12" s="1"/>
  <c r="D2048" i="12" s="1"/>
  <c r="F2048" i="12" s="1"/>
  <c r="H537" i="9"/>
  <c r="H538" i="9" s="1"/>
  <c r="F494" i="9" s="1"/>
  <c r="Q106" i="11" s="1"/>
  <c r="L154" i="11"/>
  <c r="M184" i="29" s="1"/>
  <c r="G1725" i="12"/>
  <c r="F1780" i="12"/>
  <c r="K153" i="11"/>
  <c r="H1534" i="12"/>
  <c r="F1521" i="12" s="1"/>
  <c r="F1891" i="12"/>
  <c r="G1836" i="12"/>
  <c r="E1624" i="16"/>
  <c r="G1624" i="16" s="1"/>
  <c r="C1629" i="16"/>
  <c r="E1629" i="16" s="1"/>
  <c r="G1629" i="16" s="1"/>
  <c r="C1677" i="16"/>
  <c r="B1071" i="39"/>
  <c r="B1089" i="39"/>
  <c r="B1042" i="39"/>
  <c r="H245" i="29"/>
  <c r="I245" i="29" s="1"/>
  <c r="P245" i="29" s="1"/>
  <c r="Q245" i="29" s="1"/>
  <c r="S245" i="29" s="1"/>
  <c r="U245" i="29" s="1"/>
  <c r="H188" i="11"/>
  <c r="N188" i="11" s="1"/>
  <c r="P188" i="11" s="1"/>
  <c r="R188" i="11" s="1"/>
  <c r="H337" i="11"/>
  <c r="N337" i="11" s="1"/>
  <c r="P337" i="11" s="1"/>
  <c r="R337" i="11" s="1"/>
  <c r="E446" i="29"/>
  <c r="I446" i="29" s="1"/>
  <c r="O446" i="29" s="1"/>
  <c r="Q446" i="29" s="1"/>
  <c r="S446" i="29" s="1"/>
  <c r="U446" i="29" s="1"/>
  <c r="C1434" i="39"/>
  <c r="E1434" i="39" s="1"/>
  <c r="G1434" i="39" s="1"/>
  <c r="E1429" i="39"/>
  <c r="G1429" i="39" s="1"/>
  <c r="G1435" i="39" s="1"/>
  <c r="E1422" i="39" s="1"/>
  <c r="J253" i="29"/>
  <c r="N253" i="29" s="1"/>
  <c r="M196" i="11"/>
  <c r="C1448" i="39"/>
  <c r="D1294" i="39"/>
  <c r="G1294" i="39" s="1"/>
  <c r="I1294" i="39" s="1"/>
  <c r="C1298" i="39" s="1"/>
  <c r="E1298" i="39" s="1"/>
  <c r="C1300" i="39" s="1"/>
  <c r="E1300" i="39" s="1"/>
  <c r="E1290" i="39" s="1"/>
  <c r="C1345" i="39"/>
  <c r="G1084" i="13"/>
  <c r="F1141" i="13"/>
  <c r="D1610" i="12"/>
  <c r="F1610" i="12" s="1"/>
  <c r="E155" i="11" s="1"/>
  <c r="F185" i="29" s="1"/>
  <c r="D155" i="11"/>
  <c r="E246" i="11"/>
  <c r="F313" i="29"/>
  <c r="E1151" i="16"/>
  <c r="G1151" i="16" s="1"/>
  <c r="K202" i="11" s="1"/>
  <c r="L259" i="29" s="1"/>
  <c r="C1203" i="16"/>
  <c r="C1156" i="16"/>
  <c r="E1156" i="16" s="1"/>
  <c r="G1156" i="16" s="1"/>
  <c r="J187" i="29"/>
  <c r="D1243" i="39"/>
  <c r="G1243" i="39" s="1"/>
  <c r="I1243" i="39" s="1"/>
  <c r="C1247" i="39" s="1"/>
  <c r="E1247" i="39" s="1"/>
  <c r="C1249" i="39" s="1"/>
  <c r="E1249" i="39" s="1"/>
  <c r="E1239" i="39" s="1"/>
  <c r="G1191" i="39"/>
  <c r="I1191" i="39" s="1"/>
  <c r="C1195" i="39" s="1"/>
  <c r="E1195" i="39" s="1"/>
  <c r="C1197" i="39" s="1"/>
  <c r="E1197" i="39" s="1"/>
  <c r="E1187" i="39" s="1"/>
  <c r="C1537" i="39"/>
  <c r="E1537" i="39" s="1"/>
  <c r="G1537" i="39" s="1"/>
  <c r="E1532" i="39"/>
  <c r="G1532" i="39" s="1"/>
  <c r="C1583" i="39"/>
  <c r="D1911" i="12"/>
  <c r="D1861" i="12"/>
  <c r="F1861" i="12" s="1"/>
  <c r="H1861" i="12" s="1"/>
  <c r="F1856" i="12"/>
  <c r="H1856" i="12" s="1"/>
  <c r="F2002" i="12"/>
  <c r="G1947" i="12"/>
  <c r="C2065" i="39"/>
  <c r="D2013" i="39"/>
  <c r="C1048" i="16"/>
  <c r="E1048" i="16" s="1"/>
  <c r="G1048" i="16" s="1"/>
  <c r="E1043" i="16"/>
  <c r="G1043" i="16" s="1"/>
  <c r="C1096" i="16"/>
  <c r="G1383" i="39"/>
  <c r="E1370" i="39" s="1"/>
  <c r="F1638" i="12"/>
  <c r="H1638" i="12" s="1"/>
  <c r="L155" i="11" s="1"/>
  <c r="M185" i="29" s="1"/>
  <c r="D1643" i="12"/>
  <c r="F1643" i="12" s="1"/>
  <c r="H1643" i="12" s="1"/>
  <c r="D1693" i="12"/>
  <c r="C1111" i="39"/>
  <c r="E1060" i="39"/>
  <c r="G1060" i="39" s="1"/>
  <c r="E1057" i="39" s="1"/>
  <c r="G1079" i="39" s="1"/>
  <c r="G1081" i="39" s="1"/>
  <c r="E1032" i="39" s="1"/>
  <c r="Q256" i="11" s="1"/>
  <c r="D1713" i="12"/>
  <c r="E1658" i="12"/>
  <c r="H1658" i="12" s="1"/>
  <c r="J1658" i="12" s="1"/>
  <c r="D1662" i="12" s="1"/>
  <c r="F1662" i="12" s="1"/>
  <c r="F1626" i="12"/>
  <c r="G155" i="11"/>
  <c r="H185" i="29" s="1"/>
  <c r="J214" i="11"/>
  <c r="K271" i="29" s="1"/>
  <c r="K61" i="11"/>
  <c r="H1408" i="14"/>
  <c r="F1395" i="14" s="1"/>
  <c r="H1410" i="14" s="1"/>
  <c r="H1412" i="14" s="1"/>
  <c r="F1360" i="14" s="1"/>
  <c r="H362" i="11"/>
  <c r="N362" i="11" s="1"/>
  <c r="P362" i="11" s="1"/>
  <c r="R362" i="11" s="1"/>
  <c r="I158" i="11"/>
  <c r="K264" i="11"/>
  <c r="L331" i="29"/>
  <c r="M263" i="11"/>
  <c r="N331" i="29" s="1"/>
  <c r="O105" i="11"/>
  <c r="P105" i="11"/>
  <c r="R105" i="11" s="1"/>
  <c r="V127" i="29"/>
  <c r="W127" i="29" s="1"/>
  <c r="I1652" i="39"/>
  <c r="C1656" i="39" s="1"/>
  <c r="E1656" i="39" s="1"/>
  <c r="G1704" i="39"/>
  <c r="I1704" i="39" s="1"/>
  <c r="C1708" i="39" s="1"/>
  <c r="E1708" i="39" s="1"/>
  <c r="B1751" i="16"/>
  <c r="B1728" i="16"/>
  <c r="B1702" i="16"/>
  <c r="H246" i="11"/>
  <c r="D247" i="11"/>
  <c r="E314" i="29"/>
  <c r="F971" i="13"/>
  <c r="G914" i="13"/>
  <c r="G920" i="13" s="1"/>
  <c r="F907" i="13" s="1"/>
  <c r="F339" i="11" s="1"/>
  <c r="G448" i="29" s="1"/>
  <c r="K108" i="11"/>
  <c r="H630" i="9"/>
  <c r="F622" i="9" s="1"/>
  <c r="C1878" i="12"/>
  <c r="C1827" i="12"/>
  <c r="C1854" i="12"/>
  <c r="C2048" i="39"/>
  <c r="E2048" i="39" s="1"/>
  <c r="G2048" i="39" s="1"/>
  <c r="C2095" i="39"/>
  <c r="E2043" i="39"/>
  <c r="G2043" i="39" s="1"/>
  <c r="C1997" i="39"/>
  <c r="E1997" i="39" s="1"/>
  <c r="G1997" i="39" s="1"/>
  <c r="C2045" i="39"/>
  <c r="E1992" i="39"/>
  <c r="G1992" i="39" s="1"/>
  <c r="F1806" i="39"/>
  <c r="G1755" i="39"/>
  <c r="I1755" i="39" s="1"/>
  <c r="C1759" i="39" s="1"/>
  <c r="E1759" i="39" s="1"/>
  <c r="G128" i="29"/>
  <c r="I128" i="29" s="1"/>
  <c r="P128" i="29" s="1"/>
  <c r="Q128" i="29" s="1"/>
  <c r="R128" i="29" s="1"/>
  <c r="S128" i="29" s="1"/>
  <c r="U128" i="29" s="1"/>
  <c r="H106" i="11"/>
  <c r="N106" i="11" s="1"/>
  <c r="G249" i="11"/>
  <c r="H316" i="29"/>
  <c r="F1462" i="14"/>
  <c r="H1462" i="14" s="1"/>
  <c r="D1519" i="14"/>
  <c r="G1898" i="12"/>
  <c r="F1953" i="12"/>
  <c r="Q86" i="11"/>
  <c r="K25" i="36"/>
  <c r="P25" i="36" s="1"/>
  <c r="K951" i="36"/>
  <c r="B1810" i="39"/>
  <c r="B1834" i="39"/>
  <c r="B1858" i="39"/>
  <c r="F1095" i="36"/>
  <c r="H1095" i="36" s="1"/>
  <c r="F1092" i="36" s="1"/>
  <c r="D1151" i="36"/>
  <c r="F107" i="11"/>
  <c r="F556" i="9"/>
  <c r="H584" i="9" s="1"/>
  <c r="K338" i="29"/>
  <c r="J272" i="11"/>
  <c r="H245" i="11"/>
  <c r="D726" i="9"/>
  <c r="F677" i="9"/>
  <c r="H677" i="9" s="1"/>
  <c r="Q311" i="29"/>
  <c r="S311" i="29" s="1"/>
  <c r="U311" i="29" s="1"/>
  <c r="R243" i="11"/>
  <c r="D848" i="13"/>
  <c r="F848" i="13" s="1"/>
  <c r="D338" i="11"/>
  <c r="C1790" i="16"/>
  <c r="E1790" i="16" s="1"/>
  <c r="G1790" i="16" s="1"/>
  <c r="L219" i="11" s="1"/>
  <c r="M277" i="29" s="1"/>
  <c r="E1737" i="16"/>
  <c r="G1737" i="16" s="1"/>
  <c r="L218" i="11" s="1"/>
  <c r="M275" i="29" s="1"/>
  <c r="D1910" i="12"/>
  <c r="F1855" i="12"/>
  <c r="H1855" i="12" s="1"/>
  <c r="D1860" i="12"/>
  <c r="F1860" i="12" s="1"/>
  <c r="H1860" i="12" s="1"/>
  <c r="H99" i="29"/>
  <c r="I99" i="29" s="1"/>
  <c r="O99" i="29" s="1"/>
  <c r="Q99" i="29" s="1"/>
  <c r="S99" i="29" s="1"/>
  <c r="U99" i="29" s="1"/>
  <c r="H86" i="11"/>
  <c r="N86" i="11" s="1"/>
  <c r="P86" i="11" s="1"/>
  <c r="F1676" i="12"/>
  <c r="G1621" i="12"/>
  <c r="C1512" i="16"/>
  <c r="E1460" i="16"/>
  <c r="G1460" i="16" s="1"/>
  <c r="D2347" i="13"/>
  <c r="F2347" i="13" s="1"/>
  <c r="D365" i="11"/>
  <c r="G87" i="11"/>
  <c r="H1056" i="36"/>
  <c r="H1058" i="36" s="1"/>
  <c r="F1007" i="36" s="1"/>
  <c r="G659" i="9"/>
  <c r="G615" i="9"/>
  <c r="D111" i="37"/>
  <c r="D113" i="37" s="1"/>
  <c r="D101" i="37" s="1"/>
  <c r="Z20" i="11" s="1"/>
  <c r="F956" i="13"/>
  <c r="H899" i="13"/>
  <c r="J899" i="13" s="1"/>
  <c r="D903" i="13" s="1"/>
  <c r="F903" i="13" s="1"/>
  <c r="Q60" i="11"/>
  <c r="K32" i="14"/>
  <c r="O312" i="29"/>
  <c r="P244" i="11"/>
  <c r="F2452" i="13"/>
  <c r="H2397" i="13"/>
  <c r="J2397" i="13" s="1"/>
  <c r="D2401" i="13" s="1"/>
  <c r="F2401" i="13" s="1"/>
  <c r="R59" i="11"/>
  <c r="V72" i="29"/>
  <c r="W72" i="29" s="1"/>
  <c r="E472" i="29"/>
  <c r="I472" i="29" s="1"/>
  <c r="O472" i="29" s="1"/>
  <c r="Q472" i="29" s="1"/>
  <c r="S472" i="29" s="1"/>
  <c r="U472" i="29" s="1"/>
  <c r="H363" i="11"/>
  <c r="N363" i="11" s="1"/>
  <c r="P363" i="11" s="1"/>
  <c r="R363" i="11" s="1"/>
  <c r="X20" i="11"/>
  <c r="Y20" i="11" s="1"/>
  <c r="C1565" i="16" l="1"/>
  <c r="E1512" i="16"/>
  <c r="G1512" i="16" s="1"/>
  <c r="D775" i="9"/>
  <c r="F726" i="9"/>
  <c r="H726" i="9" s="1"/>
  <c r="H247" i="11"/>
  <c r="D248" i="11"/>
  <c r="E315" i="29"/>
  <c r="Q25" i="29"/>
  <c r="S25" i="29" s="1"/>
  <c r="U25" i="29" s="1"/>
  <c r="AA20" i="11"/>
  <c r="V25" i="29"/>
  <c r="K26" i="36"/>
  <c r="P26" i="36" s="1"/>
  <c r="Q87" i="11"/>
  <c r="K1007" i="36"/>
  <c r="R86" i="11"/>
  <c r="V99" i="29"/>
  <c r="W99" i="29" s="1"/>
  <c r="E447" i="29"/>
  <c r="H338" i="11"/>
  <c r="N338" i="11" s="1"/>
  <c r="P338" i="11" s="1"/>
  <c r="R338" i="11" s="1"/>
  <c r="K340" i="29"/>
  <c r="J273" i="11"/>
  <c r="C2050" i="39"/>
  <c r="E2050" i="39" s="1"/>
  <c r="G2050" i="39" s="1"/>
  <c r="E2045" i="39"/>
  <c r="G2045" i="39" s="1"/>
  <c r="C2097" i="39"/>
  <c r="C2116" i="39"/>
  <c r="D2065" i="39"/>
  <c r="G1538" i="39"/>
  <c r="E1525" i="39" s="1"/>
  <c r="C1730" i="16"/>
  <c r="E1677" i="16"/>
  <c r="G1677" i="16" s="1"/>
  <c r="C1682" i="16"/>
  <c r="E1682" i="16" s="1"/>
  <c r="G1682" i="16" s="1"/>
  <c r="G1780" i="12"/>
  <c r="F1835" i="12"/>
  <c r="F145" i="11"/>
  <c r="F1062" i="12"/>
  <c r="H1097" i="12" s="1"/>
  <c r="H1099" i="12" s="1"/>
  <c r="F1048" i="12" s="1"/>
  <c r="Q145" i="11" s="1"/>
  <c r="J254" i="29"/>
  <c r="N254" i="29" s="1"/>
  <c r="M197" i="11"/>
  <c r="G1732" i="12"/>
  <c r="F1787" i="12"/>
  <c r="G174" i="29"/>
  <c r="I174" i="29" s="1"/>
  <c r="P174" i="29" s="1"/>
  <c r="Q174" i="29" s="1"/>
  <c r="S174" i="29" s="1"/>
  <c r="U174" i="29" s="1"/>
  <c r="H144" i="11"/>
  <c r="N144" i="11" s="1"/>
  <c r="P144" i="11" s="1"/>
  <c r="R144" i="11" s="1"/>
  <c r="H246" i="29"/>
  <c r="I246" i="29" s="1"/>
  <c r="P246" i="29" s="1"/>
  <c r="Q246" i="29" s="1"/>
  <c r="S246" i="29" s="1"/>
  <c r="U246" i="29" s="1"/>
  <c r="H189" i="11"/>
  <c r="N189" i="11" s="1"/>
  <c r="P189" i="11" s="1"/>
  <c r="R189" i="11" s="1"/>
  <c r="G1123" i="12"/>
  <c r="G1129" i="12" s="1"/>
  <c r="F1178" i="12"/>
  <c r="C1859" i="12"/>
  <c r="C1879" i="12"/>
  <c r="C1828" i="12"/>
  <c r="H100" i="29"/>
  <c r="I100" i="29" s="1"/>
  <c r="O100" i="29" s="1"/>
  <c r="Q100" i="29" s="1"/>
  <c r="S100" i="29" s="1"/>
  <c r="U100" i="29" s="1"/>
  <c r="H87" i="11"/>
  <c r="N87" i="11" s="1"/>
  <c r="P87" i="11" s="1"/>
  <c r="G1779" i="12"/>
  <c r="F1834" i="12"/>
  <c r="E474" i="29"/>
  <c r="I474" i="29" s="1"/>
  <c r="O474" i="29" s="1"/>
  <c r="Q474" i="29" s="1"/>
  <c r="S474" i="29" s="1"/>
  <c r="U474" i="29" s="1"/>
  <c r="H586" i="9"/>
  <c r="H587" i="9" s="1"/>
  <c r="F543" i="9" s="1"/>
  <c r="Q107" i="11" s="1"/>
  <c r="H317" i="29"/>
  <c r="G251" i="11"/>
  <c r="K265" i="11"/>
  <c r="L332" i="29"/>
  <c r="M264" i="11"/>
  <c r="N332" i="29" s="1"/>
  <c r="G2002" i="12"/>
  <c r="F2057" i="12"/>
  <c r="F314" i="29"/>
  <c r="E247" i="11"/>
  <c r="J215" i="11"/>
  <c r="K272" i="29" s="1"/>
  <c r="H364" i="11"/>
  <c r="N364" i="11" s="1"/>
  <c r="P364" i="11" s="1"/>
  <c r="R364" i="11" s="1"/>
  <c r="L130" i="29"/>
  <c r="N130" i="29" s="1"/>
  <c r="M108" i="11"/>
  <c r="C1397" i="39"/>
  <c r="D1345" i="39"/>
  <c r="D339" i="11"/>
  <c r="D905" i="13"/>
  <c r="F905" i="13" s="1"/>
  <c r="F2337" i="13"/>
  <c r="H2385" i="13" s="1"/>
  <c r="H2387" i="13" s="1"/>
  <c r="F2335" i="13" s="1"/>
  <c r="M46" i="13" s="1"/>
  <c r="Q365" i="11" s="1"/>
  <c r="E365" i="11"/>
  <c r="F474" i="29" s="1"/>
  <c r="G129" i="29"/>
  <c r="I129" i="29" s="1"/>
  <c r="P129" i="29" s="1"/>
  <c r="Q129" i="29" s="1"/>
  <c r="R129" i="29" s="1"/>
  <c r="S129" i="29" s="1"/>
  <c r="U129" i="29" s="1"/>
  <c r="H107" i="11"/>
  <c r="N107" i="11" s="1"/>
  <c r="O106" i="11"/>
  <c r="P106" i="11" s="1"/>
  <c r="R106" i="11" s="1"/>
  <c r="V128" i="29"/>
  <c r="W128" i="29" s="1"/>
  <c r="E2095" i="39"/>
  <c r="G2095" i="39" s="1"/>
  <c r="C2145" i="39"/>
  <c r="C2100" i="39"/>
  <c r="E2100" i="39" s="1"/>
  <c r="G2100" i="39" s="1"/>
  <c r="F1028" i="13"/>
  <c r="G971" i="13"/>
  <c r="G977" i="13" s="1"/>
  <c r="F964" i="13" s="1"/>
  <c r="F340" i="11" s="1"/>
  <c r="G449" i="29" s="1"/>
  <c r="J188" i="29"/>
  <c r="D1665" i="12"/>
  <c r="F1665" i="12" s="1"/>
  <c r="E156" i="11" s="1"/>
  <c r="F186" i="29" s="1"/>
  <c r="D156" i="11"/>
  <c r="C1101" i="16"/>
  <c r="E1101" i="16" s="1"/>
  <c r="G1101" i="16" s="1"/>
  <c r="C1149" i="16"/>
  <c r="E1096" i="16"/>
  <c r="G1096" i="16" s="1"/>
  <c r="F1600" i="12"/>
  <c r="C1500" i="39"/>
  <c r="C1551" i="39" s="1"/>
  <c r="D1448" i="39"/>
  <c r="F1637" i="12"/>
  <c r="H1637" i="12" s="1"/>
  <c r="D1642" i="12"/>
  <c r="F1642" i="12" s="1"/>
  <c r="H1642" i="12" s="1"/>
  <c r="D1692" i="12"/>
  <c r="I473" i="29"/>
  <c r="O473" i="29" s="1"/>
  <c r="Q473" i="29" s="1"/>
  <c r="S473" i="29" s="1"/>
  <c r="U473" i="29" s="1"/>
  <c r="F1729" i="12"/>
  <c r="G1674" i="12"/>
  <c r="F838" i="13"/>
  <c r="H886" i="13" s="1"/>
  <c r="H888" i="13" s="1"/>
  <c r="F836" i="13" s="1"/>
  <c r="M19" i="13" s="1"/>
  <c r="Q338" i="11" s="1"/>
  <c r="E338" i="11"/>
  <c r="F447" i="29" s="1"/>
  <c r="B1781" i="16"/>
  <c r="B1802" i="16"/>
  <c r="B1755" i="16"/>
  <c r="F1013" i="13"/>
  <c r="H956" i="13"/>
  <c r="J956" i="13" s="1"/>
  <c r="D960" i="13" s="1"/>
  <c r="F960" i="13" s="1"/>
  <c r="I159" i="11"/>
  <c r="K109" i="11"/>
  <c r="H679" i="9"/>
  <c r="F671" i="9" s="1"/>
  <c r="D1207" i="36"/>
  <c r="F1151" i="36"/>
  <c r="H1151" i="36" s="1"/>
  <c r="F1148" i="36" s="1"/>
  <c r="G1953" i="12"/>
  <c r="F2008" i="12"/>
  <c r="D1768" i="12"/>
  <c r="E1713" i="12"/>
  <c r="H1713" i="12" s="1"/>
  <c r="J1713" i="12" s="1"/>
  <c r="D1717" i="12" s="1"/>
  <c r="F1717" i="12" s="1"/>
  <c r="G1052" i="16"/>
  <c r="E1039" i="16" s="1"/>
  <c r="I199" i="11"/>
  <c r="J159" i="11"/>
  <c r="K189" i="29" s="1"/>
  <c r="E185" i="29"/>
  <c r="E823" i="16"/>
  <c r="G823" i="16" s="1"/>
  <c r="E820" i="16" s="1"/>
  <c r="C877" i="16"/>
  <c r="I268" i="11"/>
  <c r="J335" i="29"/>
  <c r="K154" i="11"/>
  <c r="H1589" i="12"/>
  <c r="F1576" i="12" s="1"/>
  <c r="V73" i="29"/>
  <c r="W73" i="29" s="1"/>
  <c r="R60" i="11"/>
  <c r="D366" i="11"/>
  <c r="D2403" i="13"/>
  <c r="F2403" i="13" s="1"/>
  <c r="D1915" i="12"/>
  <c r="F1915" i="12" s="1"/>
  <c r="H1915" i="12" s="1"/>
  <c r="D1965" i="12"/>
  <c r="F1910" i="12"/>
  <c r="H1910" i="12" s="1"/>
  <c r="F1946" i="12"/>
  <c r="G1891" i="12"/>
  <c r="B1522" i="16"/>
  <c r="B1492" i="16"/>
  <c r="B1540" i="16"/>
  <c r="D1631" i="14"/>
  <c r="F1631" i="14" s="1"/>
  <c r="H1631" i="14" s="1"/>
  <c r="L65" i="11" s="1"/>
  <c r="M78" i="29" s="1"/>
  <c r="F1575" i="14"/>
  <c r="H1575" i="14" s="1"/>
  <c r="L64" i="11" s="1"/>
  <c r="M77" i="29" s="1"/>
  <c r="G156" i="11"/>
  <c r="H186" i="29" s="1"/>
  <c r="F1681" i="12"/>
  <c r="F2507" i="13"/>
  <c r="H2507" i="13" s="1"/>
  <c r="J2507" i="13" s="1"/>
  <c r="D2511" i="13" s="1"/>
  <c r="F2511" i="13" s="1"/>
  <c r="H2452" i="13"/>
  <c r="J2452" i="13" s="1"/>
  <c r="D2456" i="13" s="1"/>
  <c r="F2456" i="13" s="1"/>
  <c r="F605" i="9"/>
  <c r="H633" i="9" s="1"/>
  <c r="F108" i="11"/>
  <c r="B1887" i="39"/>
  <c r="B1910" i="39"/>
  <c r="B1862" i="39"/>
  <c r="F1519" i="14"/>
  <c r="H1519" i="14" s="1"/>
  <c r="D1574" i="14"/>
  <c r="F1858" i="39"/>
  <c r="G1806" i="39"/>
  <c r="I1806" i="39" s="1"/>
  <c r="C1810" i="39" s="1"/>
  <c r="E1810" i="39" s="1"/>
  <c r="I314" i="29"/>
  <c r="N246" i="11"/>
  <c r="Q61" i="11"/>
  <c r="K33" i="14"/>
  <c r="E1111" i="39"/>
  <c r="G1111" i="39" s="1"/>
  <c r="E1108" i="39" s="1"/>
  <c r="G1130" i="39" s="1"/>
  <c r="G1132" i="39" s="1"/>
  <c r="E1083" i="39" s="1"/>
  <c r="Q257" i="11" s="1"/>
  <c r="C1162" i="39"/>
  <c r="E1162" i="39" s="1"/>
  <c r="G1162" i="39" s="1"/>
  <c r="E1159" i="39" s="1"/>
  <c r="G1181" i="39" s="1"/>
  <c r="G1183" i="39" s="1"/>
  <c r="E1134" i="39" s="1"/>
  <c r="Q258" i="11" s="1"/>
  <c r="C1212" i="39"/>
  <c r="D1916" i="12"/>
  <c r="F1916" i="12" s="1"/>
  <c r="H1916" i="12" s="1"/>
  <c r="F1911" i="12"/>
  <c r="H1911" i="12" s="1"/>
  <c r="J160" i="11" s="1"/>
  <c r="K190" i="29" s="1"/>
  <c r="D1966" i="12"/>
  <c r="G1141" i="13"/>
  <c r="F1198" i="13"/>
  <c r="B1122" i="39"/>
  <c r="B1191" i="39"/>
  <c r="B1140" i="39"/>
  <c r="B1093" i="39"/>
  <c r="C1836" i="39"/>
  <c r="E1786" i="39"/>
  <c r="G1786" i="39" s="1"/>
  <c r="C1791" i="39"/>
  <c r="E1791" i="39" s="1"/>
  <c r="G1791" i="39" s="1"/>
  <c r="E1934" i="39"/>
  <c r="G1934" i="39" s="1"/>
  <c r="C1984" i="39"/>
  <c r="D1794" i="12"/>
  <c r="F1739" i="12"/>
  <c r="H1739" i="12" s="1"/>
  <c r="G88" i="11"/>
  <c r="H1112" i="36"/>
  <c r="H1114" i="36" s="1"/>
  <c r="F1063" i="36" s="1"/>
  <c r="G191" i="11"/>
  <c r="G790" i="16"/>
  <c r="G792" i="16" s="1"/>
  <c r="E741" i="16" s="1"/>
  <c r="Q191" i="11" s="1"/>
  <c r="Q312" i="29"/>
  <c r="S312" i="29" s="1"/>
  <c r="U312" i="29" s="1"/>
  <c r="R244" i="11"/>
  <c r="G708" i="9"/>
  <c r="G664" i="9"/>
  <c r="F1731" i="12"/>
  <c r="G1676" i="12"/>
  <c r="N245" i="11"/>
  <c r="I313" i="29"/>
  <c r="H1464" i="14"/>
  <c r="F1451" i="14" s="1"/>
  <c r="H1466" i="14" s="1"/>
  <c r="H1468" i="14" s="1"/>
  <c r="F1416" i="14" s="1"/>
  <c r="K62" i="11"/>
  <c r="C1933" i="12"/>
  <c r="C1909" i="12"/>
  <c r="C1882" i="12"/>
  <c r="L74" i="29"/>
  <c r="N74" i="29" s="1"/>
  <c r="O74" i="29" s="1"/>
  <c r="Q74" i="29" s="1"/>
  <c r="S74" i="29" s="1"/>
  <c r="U74" i="29" s="1"/>
  <c r="M61" i="11"/>
  <c r="N61" i="11" s="1"/>
  <c r="P61" i="11" s="1"/>
  <c r="D1698" i="12"/>
  <c r="F1698" i="12" s="1"/>
  <c r="H1698" i="12" s="1"/>
  <c r="F1693" i="12"/>
  <c r="H1693" i="12" s="1"/>
  <c r="D1748" i="12"/>
  <c r="C1684" i="39"/>
  <c r="C1634" i="39"/>
  <c r="C1588" i="39"/>
  <c r="E1588" i="39" s="1"/>
  <c r="G1588" i="39" s="1"/>
  <c r="E1583" i="39"/>
  <c r="G1583" i="39" s="1"/>
  <c r="G1589" i="39" s="1"/>
  <c r="E1576" i="39" s="1"/>
  <c r="E1203" i="16"/>
  <c r="G1203" i="16" s="1"/>
  <c r="C1256" i="16"/>
  <c r="C1208" i="16"/>
  <c r="E1208" i="16" s="1"/>
  <c r="G1208" i="16" s="1"/>
  <c r="L183" i="29"/>
  <c r="N183" i="29" s="1"/>
  <c r="M153" i="11"/>
  <c r="E2154" i="12"/>
  <c r="H2099" i="12"/>
  <c r="J2099" i="12" s="1"/>
  <c r="D2103" i="12" s="1"/>
  <c r="F2103" i="12" s="1"/>
  <c r="L265" i="11"/>
  <c r="M332" i="29"/>
  <c r="G1675" i="12"/>
  <c r="F1730" i="12"/>
  <c r="G1730" i="12" l="1"/>
  <c r="F1785" i="12"/>
  <c r="B1195" i="39"/>
  <c r="B1243" i="39"/>
  <c r="B1223" i="39"/>
  <c r="B1806" i="16"/>
  <c r="B1861" i="16" s="1"/>
  <c r="B1916" i="16" s="1"/>
  <c r="B1971" i="16" s="1"/>
  <c r="B1833" i="16"/>
  <c r="B1857" i="16"/>
  <c r="L75" i="29"/>
  <c r="N75" i="29" s="1"/>
  <c r="O75" i="29" s="1"/>
  <c r="Q75" i="29" s="1"/>
  <c r="S75" i="29" s="1"/>
  <c r="U75" i="29" s="1"/>
  <c r="M62" i="11"/>
  <c r="N62" i="11" s="1"/>
  <c r="P62" i="11" s="1"/>
  <c r="C2037" i="39"/>
  <c r="E1984" i="39"/>
  <c r="G1984" i="39" s="1"/>
  <c r="K63" i="11"/>
  <c r="H1521" i="14"/>
  <c r="F1508" i="14" s="1"/>
  <c r="H1523" i="14" s="1"/>
  <c r="H1525" i="14" s="1"/>
  <c r="F1472" i="14" s="1"/>
  <c r="G1946" i="12"/>
  <c r="F2001" i="12"/>
  <c r="C931" i="16"/>
  <c r="E877" i="16"/>
  <c r="G877" i="16" s="1"/>
  <c r="E874" i="16" s="1"/>
  <c r="D1720" i="12"/>
  <c r="F1720" i="12" s="1"/>
  <c r="E157" i="11" s="1"/>
  <c r="F187" i="29" s="1"/>
  <c r="F1710" i="12"/>
  <c r="D157" i="11"/>
  <c r="J189" i="29"/>
  <c r="V129" i="29"/>
  <c r="W129" i="29" s="1"/>
  <c r="O107" i="11"/>
  <c r="P107" i="11" s="1"/>
  <c r="R107" i="11" s="1"/>
  <c r="G2057" i="12"/>
  <c r="F2112" i="12"/>
  <c r="G252" i="11"/>
  <c r="G253" i="11"/>
  <c r="H321" i="29" s="1"/>
  <c r="H319" i="29"/>
  <c r="R87" i="11"/>
  <c r="V100" i="29"/>
  <c r="W100" i="29" s="1"/>
  <c r="I447" i="29"/>
  <c r="O447" i="29" s="1"/>
  <c r="Q447" i="29" s="1"/>
  <c r="S447" i="29" s="1"/>
  <c r="U447" i="29" s="1"/>
  <c r="D2513" i="13"/>
  <c r="F2513" i="13" s="1"/>
  <c r="D368" i="11"/>
  <c r="J336" i="29"/>
  <c r="I269" i="11"/>
  <c r="D1747" i="12"/>
  <c r="D1697" i="12"/>
  <c r="F1697" i="12" s="1"/>
  <c r="H1697" i="12" s="1"/>
  <c r="F1692" i="12"/>
  <c r="H1692" i="12" s="1"/>
  <c r="D1803" i="12"/>
  <c r="D1753" i="12"/>
  <c r="F1753" i="12" s="1"/>
  <c r="H1753" i="12" s="1"/>
  <c r="F1748" i="12"/>
  <c r="H1748" i="12" s="1"/>
  <c r="E1256" i="16"/>
  <c r="G1256" i="16" s="1"/>
  <c r="K205" i="11" s="1"/>
  <c r="L262" i="29" s="1"/>
  <c r="C1261" i="16"/>
  <c r="E1261" i="16" s="1"/>
  <c r="G1261" i="16" s="1"/>
  <c r="C1308" i="16"/>
  <c r="L156" i="11"/>
  <c r="M186" i="29" s="1"/>
  <c r="Q62" i="11"/>
  <c r="K34" i="14"/>
  <c r="F1255" i="13"/>
  <c r="G1198" i="13"/>
  <c r="I160" i="11"/>
  <c r="L184" i="29"/>
  <c r="N184" i="29" s="1"/>
  <c r="M154" i="11"/>
  <c r="G192" i="11"/>
  <c r="G842" i="16"/>
  <c r="G844" i="16" s="1"/>
  <c r="G846" i="16" s="1"/>
  <c r="E794" i="16" s="1"/>
  <c r="Q192" i="11" s="1"/>
  <c r="D1823" i="12"/>
  <c r="E1768" i="12"/>
  <c r="H1768" i="12" s="1"/>
  <c r="J1768" i="12" s="1"/>
  <c r="D1772" i="12" s="1"/>
  <c r="F1772" i="12" s="1"/>
  <c r="K155" i="11"/>
  <c r="H1644" i="12"/>
  <c r="F1631" i="12" s="1"/>
  <c r="F1655" i="12"/>
  <c r="F1085" i="13"/>
  <c r="G1028" i="13"/>
  <c r="G1034" i="13" s="1"/>
  <c r="F1021" i="13" s="1"/>
  <c r="F341" i="11" s="1"/>
  <c r="G450" i="29" s="1"/>
  <c r="G175" i="29"/>
  <c r="I175" i="29" s="1"/>
  <c r="P175" i="29" s="1"/>
  <c r="Q175" i="29" s="1"/>
  <c r="S175" i="29" s="1"/>
  <c r="U175" i="29" s="1"/>
  <c r="H145" i="11"/>
  <c r="N145" i="11" s="1"/>
  <c r="P145" i="11" s="1"/>
  <c r="R145" i="11" s="1"/>
  <c r="C2168" i="39"/>
  <c r="D2116" i="39"/>
  <c r="G757" i="9"/>
  <c r="G713" i="9"/>
  <c r="F1794" i="12"/>
  <c r="H1794" i="12" s="1"/>
  <c r="D1849" i="12"/>
  <c r="F1574" i="14"/>
  <c r="H1574" i="14" s="1"/>
  <c r="D1630" i="14"/>
  <c r="F1630" i="14" s="1"/>
  <c r="H1630" i="14" s="1"/>
  <c r="L131" i="29"/>
  <c r="N131" i="29" s="1"/>
  <c r="M109" i="11"/>
  <c r="C1201" i="16"/>
  <c r="E1149" i="16"/>
  <c r="G1149" i="16" s="1"/>
  <c r="C1154" i="16"/>
  <c r="E1154" i="16" s="1"/>
  <c r="G1154" i="16" s="1"/>
  <c r="M333" i="29"/>
  <c r="L267" i="11"/>
  <c r="K203" i="11"/>
  <c r="L260" i="29" s="1"/>
  <c r="B1914" i="39"/>
  <c r="B1939" i="39"/>
  <c r="B1961" i="39"/>
  <c r="D2020" i="12"/>
  <c r="F1965" i="12"/>
  <c r="H1965" i="12" s="1"/>
  <c r="D1970" i="12"/>
  <c r="F1970" i="12" s="1"/>
  <c r="H1970" i="12" s="1"/>
  <c r="G2008" i="12"/>
  <c r="F2063" i="12"/>
  <c r="D340" i="11"/>
  <c r="D962" i="13"/>
  <c r="F962" i="13" s="1"/>
  <c r="G1448" i="39"/>
  <c r="D1500" i="39"/>
  <c r="E186" i="29"/>
  <c r="F1890" i="12"/>
  <c r="G1835" i="12"/>
  <c r="C2102" i="39"/>
  <c r="E2102" i="39" s="1"/>
  <c r="G2102" i="39" s="1"/>
  <c r="C2147" i="39"/>
  <c r="E2097" i="39"/>
  <c r="G2097" i="39" s="1"/>
  <c r="D249" i="11"/>
  <c r="E316" i="29"/>
  <c r="C1914" i="12"/>
  <c r="C1883" i="12"/>
  <c r="C1934" i="12"/>
  <c r="I315" i="29"/>
  <c r="N247" i="11"/>
  <c r="C1937" i="12"/>
  <c r="C1988" i="12"/>
  <c r="C1964" i="12"/>
  <c r="R61" i="11"/>
  <c r="V74" i="29"/>
  <c r="W74" i="29" s="1"/>
  <c r="H248" i="29"/>
  <c r="I248" i="29" s="1"/>
  <c r="P248" i="29" s="1"/>
  <c r="Q248" i="29" s="1"/>
  <c r="S248" i="29" s="1"/>
  <c r="U248" i="29" s="1"/>
  <c r="H191" i="11"/>
  <c r="N191" i="11" s="1"/>
  <c r="P191" i="11" s="1"/>
  <c r="R191" i="11" s="1"/>
  <c r="D1971" i="12"/>
  <c r="F1971" i="12" s="1"/>
  <c r="H1971" i="12" s="1"/>
  <c r="F1966" i="12"/>
  <c r="H1966" i="12" s="1"/>
  <c r="J161" i="11" s="1"/>
  <c r="K191" i="29" s="1"/>
  <c r="D2021" i="12"/>
  <c r="P246" i="11"/>
  <c r="O314" i="29"/>
  <c r="F1070" i="13"/>
  <c r="H1013" i="13"/>
  <c r="J1013" i="13" s="1"/>
  <c r="D1017" i="13" s="1"/>
  <c r="F1017" i="13" s="1"/>
  <c r="C1653" i="39"/>
  <c r="C1602" i="39"/>
  <c r="D1602" i="39" s="1"/>
  <c r="G1602" i="39" s="1"/>
  <c r="I1602" i="39" s="1"/>
  <c r="C1606" i="39" s="1"/>
  <c r="E1606" i="39" s="1"/>
  <c r="C1608" i="39" s="1"/>
  <c r="E1608" i="39" s="1"/>
  <c r="E1598" i="39" s="1"/>
  <c r="D1551" i="39"/>
  <c r="G1551" i="39" s="1"/>
  <c r="I1551" i="39" s="1"/>
  <c r="C1555" i="39" s="1"/>
  <c r="E1555" i="39" s="1"/>
  <c r="C1557" i="39" s="1"/>
  <c r="E1557" i="39" s="1"/>
  <c r="E1547" i="39" s="1"/>
  <c r="E2145" i="39"/>
  <c r="G2145" i="39" s="1"/>
  <c r="C2198" i="39"/>
  <c r="C2150" i="39"/>
  <c r="E2150" i="39" s="1"/>
  <c r="G2150" i="39" s="1"/>
  <c r="E1836" i="39"/>
  <c r="G1836" i="39" s="1"/>
  <c r="C1841" i="39"/>
  <c r="E1841" i="39" s="1"/>
  <c r="G1841" i="39" s="1"/>
  <c r="C1889" i="39"/>
  <c r="G130" i="29"/>
  <c r="I130" i="29" s="1"/>
  <c r="P130" i="29" s="1"/>
  <c r="Q130" i="29" s="1"/>
  <c r="R130" i="29" s="1"/>
  <c r="S130" i="29" s="1"/>
  <c r="U130" i="29" s="1"/>
  <c r="H108" i="11"/>
  <c r="N108" i="11" s="1"/>
  <c r="G89" i="11"/>
  <c r="H1168" i="36"/>
  <c r="H1170" i="36" s="1"/>
  <c r="F1119" i="36" s="1"/>
  <c r="F895" i="13"/>
  <c r="H943" i="13" s="1"/>
  <c r="H945" i="13" s="1"/>
  <c r="F893" i="13" s="1"/>
  <c r="M20" i="13" s="1"/>
  <c r="Q339" i="11" s="1"/>
  <c r="E339" i="11"/>
  <c r="F448" i="29" s="1"/>
  <c r="K267" i="11"/>
  <c r="L333" i="29"/>
  <c r="M265" i="11"/>
  <c r="N333" i="29" s="1"/>
  <c r="K110" i="11"/>
  <c r="H728" i="9"/>
  <c r="F720" i="9" s="1"/>
  <c r="G1787" i="12"/>
  <c r="F1842" i="12"/>
  <c r="K1063" i="36"/>
  <c r="Q88" i="11"/>
  <c r="K27" i="36"/>
  <c r="P27" i="36" s="1"/>
  <c r="E366" i="11"/>
  <c r="F475" i="29" s="1"/>
  <c r="F2393" i="13"/>
  <c r="H2440" i="13" s="1"/>
  <c r="H2442" i="13" s="1"/>
  <c r="F2391" i="13" s="1"/>
  <c r="M47" i="13" s="1"/>
  <c r="Q366" i="11" s="1"/>
  <c r="E1634" i="39"/>
  <c r="G1634" i="39" s="1"/>
  <c r="C1639" i="39"/>
  <c r="E1639" i="39" s="1"/>
  <c r="G1639" i="39" s="1"/>
  <c r="F1786" i="12"/>
  <c r="G1731" i="12"/>
  <c r="H101" i="29"/>
  <c r="I101" i="29" s="1"/>
  <c r="O101" i="29" s="1"/>
  <c r="Q101" i="29" s="1"/>
  <c r="S101" i="29" s="1"/>
  <c r="U101" i="29" s="1"/>
  <c r="H88" i="11"/>
  <c r="N88" i="11" s="1"/>
  <c r="P88" i="11" s="1"/>
  <c r="H635" i="9"/>
  <c r="H636" i="9" s="1"/>
  <c r="F592" i="9" s="1"/>
  <c r="Q108" i="11" s="1"/>
  <c r="H366" i="11"/>
  <c r="N366" i="11" s="1"/>
  <c r="P366" i="11" s="1"/>
  <c r="R366" i="11" s="1"/>
  <c r="E475" i="29"/>
  <c r="D1263" i="36"/>
  <c r="F1207" i="36"/>
  <c r="H1207" i="36" s="1"/>
  <c r="F1204" i="36" s="1"/>
  <c r="F1784" i="12"/>
  <c r="G1729" i="12"/>
  <c r="E448" i="29"/>
  <c r="I448" i="29" s="1"/>
  <c r="O448" i="29" s="1"/>
  <c r="Q448" i="29" s="1"/>
  <c r="S448" i="29" s="1"/>
  <c r="U448" i="29" s="1"/>
  <c r="H339" i="11"/>
  <c r="N339" i="11" s="1"/>
  <c r="P339" i="11" s="1"/>
  <c r="R339" i="11" s="1"/>
  <c r="E248" i="11"/>
  <c r="H248" i="11" s="1"/>
  <c r="F315" i="29"/>
  <c r="H365" i="11"/>
  <c r="N365" i="11" s="1"/>
  <c r="P365" i="11" s="1"/>
  <c r="R365" i="11" s="1"/>
  <c r="F1233" i="12"/>
  <c r="G1178" i="12"/>
  <c r="G1184" i="12" s="1"/>
  <c r="J217" i="11"/>
  <c r="K274" i="29" s="1"/>
  <c r="J274" i="11"/>
  <c r="K341" i="29"/>
  <c r="D824" i="9"/>
  <c r="F775" i="9"/>
  <c r="H775" i="9" s="1"/>
  <c r="P245" i="11"/>
  <c r="O313" i="29"/>
  <c r="H2154" i="12"/>
  <c r="J2154" i="12" s="1"/>
  <c r="D2158" i="12" s="1"/>
  <c r="F2158" i="12" s="1"/>
  <c r="E2209" i="12"/>
  <c r="H2209" i="12" s="1"/>
  <c r="J2209" i="12" s="1"/>
  <c r="D2213" i="12" s="1"/>
  <c r="F2213" i="12" s="1"/>
  <c r="B1593" i="16"/>
  <c r="B1575" i="16"/>
  <c r="B1544" i="16"/>
  <c r="C1737" i="39"/>
  <c r="E1684" i="39"/>
  <c r="G1684" i="39" s="1"/>
  <c r="C1689" i="39"/>
  <c r="E1689" i="39" s="1"/>
  <c r="G1689" i="39" s="1"/>
  <c r="F654" i="9"/>
  <c r="H682" i="9" s="1"/>
  <c r="F109" i="11"/>
  <c r="F1736" i="12"/>
  <c r="G157" i="11"/>
  <c r="H187" i="29" s="1"/>
  <c r="B1173" i="39"/>
  <c r="B1144" i="39"/>
  <c r="C1265" i="39"/>
  <c r="E1212" i="39"/>
  <c r="G1212" i="39" s="1"/>
  <c r="E1209" i="39" s="1"/>
  <c r="G1231" i="39" s="1"/>
  <c r="G1233" i="39" s="1"/>
  <c r="E1185" i="39" s="1"/>
  <c r="Q259" i="11" s="1"/>
  <c r="F1910" i="39"/>
  <c r="G1858" i="39"/>
  <c r="I1858" i="39" s="1"/>
  <c r="C1862" i="39" s="1"/>
  <c r="E1862" i="39" s="1"/>
  <c r="D367" i="11"/>
  <c r="D2458" i="13"/>
  <c r="F2458" i="13" s="1"/>
  <c r="M199" i="11"/>
  <c r="J256" i="29"/>
  <c r="N256" i="29" s="1"/>
  <c r="I200" i="11"/>
  <c r="G1105" i="16"/>
  <c r="E1092" i="16" s="1"/>
  <c r="G1345" i="39"/>
  <c r="D1397" i="39"/>
  <c r="F1889" i="12"/>
  <c r="G1834" i="12"/>
  <c r="F1117" i="12"/>
  <c r="H1152" i="12" s="1"/>
  <c r="H1154" i="12" s="1"/>
  <c r="F1103" i="12" s="1"/>
  <c r="Q146" i="11" s="1"/>
  <c r="F146" i="11"/>
  <c r="C1735" i="16"/>
  <c r="E1730" i="16"/>
  <c r="G1730" i="16" s="1"/>
  <c r="W25" i="29"/>
  <c r="E1565" i="16"/>
  <c r="G1565" i="16" s="1"/>
  <c r="C1617" i="16"/>
  <c r="I316" i="29" l="1"/>
  <c r="N248" i="11"/>
  <c r="G131" i="29"/>
  <c r="I131" i="29" s="1"/>
  <c r="P131" i="29" s="1"/>
  <c r="Q131" i="29" s="1"/>
  <c r="R131" i="29" s="1"/>
  <c r="S131" i="29" s="1"/>
  <c r="U131" i="29" s="1"/>
  <c r="H109" i="11"/>
  <c r="N109" i="11" s="1"/>
  <c r="D1019" i="13"/>
  <c r="F1019" i="13" s="1"/>
  <c r="D341" i="11"/>
  <c r="C1989" i="12"/>
  <c r="C1938" i="12"/>
  <c r="C1969" i="12"/>
  <c r="E449" i="29"/>
  <c r="L185" i="29"/>
  <c r="N185" i="29" s="1"/>
  <c r="M155" i="11"/>
  <c r="J190" i="29"/>
  <c r="I270" i="11"/>
  <c r="J337" i="29"/>
  <c r="G2001" i="12"/>
  <c r="F2056" i="12"/>
  <c r="B1888" i="16"/>
  <c r="B1912" i="16"/>
  <c r="G1397" i="39"/>
  <c r="I1397" i="39" s="1"/>
  <c r="C1401" i="39" s="1"/>
  <c r="E1401" i="39" s="1"/>
  <c r="C1403" i="39" s="1"/>
  <c r="E1403" i="39" s="1"/>
  <c r="E1393" i="39" s="1"/>
  <c r="I1345" i="39"/>
  <c r="C1349" i="39" s="1"/>
  <c r="E1349" i="39" s="1"/>
  <c r="C1351" i="39" s="1"/>
  <c r="E1351" i="39" s="1"/>
  <c r="E1341" i="39" s="1"/>
  <c r="F1961" i="39"/>
  <c r="G1910" i="39"/>
  <c r="I1910" i="39" s="1"/>
  <c r="C1914" i="39" s="1"/>
  <c r="E1914" i="39" s="1"/>
  <c r="H684" i="9"/>
  <c r="H685" i="9" s="1"/>
  <c r="F641" i="9" s="1"/>
  <c r="Q109" i="11" s="1"/>
  <c r="F147" i="11"/>
  <c r="F1172" i="12"/>
  <c r="H1207" i="12" s="1"/>
  <c r="H1209" i="12" s="1"/>
  <c r="F1158" i="12" s="1"/>
  <c r="Q147" i="11" s="1"/>
  <c r="F1839" i="12"/>
  <c r="G1784" i="12"/>
  <c r="F1127" i="13"/>
  <c r="H1070" i="13"/>
  <c r="J1070" i="13" s="1"/>
  <c r="D1074" i="13" s="1"/>
  <c r="F1074" i="13" s="1"/>
  <c r="G2063" i="12"/>
  <c r="F2118" i="12"/>
  <c r="C2219" i="39"/>
  <c r="D2168" i="39"/>
  <c r="F1765" i="12"/>
  <c r="D158" i="11"/>
  <c r="D1775" i="12"/>
  <c r="F1775" i="12" s="1"/>
  <c r="E158" i="11" s="1"/>
  <c r="F188" i="29" s="1"/>
  <c r="L157" i="11"/>
  <c r="M187" i="29" s="1"/>
  <c r="G1233" i="12"/>
  <c r="G1239" i="12" s="1"/>
  <c r="F1288" i="12"/>
  <c r="G90" i="11"/>
  <c r="H1224" i="36"/>
  <c r="H1226" i="36" s="1"/>
  <c r="F1175" i="36" s="1"/>
  <c r="V101" i="29"/>
  <c r="W101" i="29" s="1"/>
  <c r="R88" i="11"/>
  <c r="L132" i="29"/>
  <c r="N132" i="29" s="1"/>
  <c r="M110" i="11"/>
  <c r="F1945" i="12"/>
  <c r="G1890" i="12"/>
  <c r="K65" i="11"/>
  <c r="H1632" i="14"/>
  <c r="F1619" i="14" s="1"/>
  <c r="H1634" i="14" s="1"/>
  <c r="H1636" i="14" s="1"/>
  <c r="F1584" i="14" s="1"/>
  <c r="D1878" i="12"/>
  <c r="E1823" i="12"/>
  <c r="H1823" i="12" s="1"/>
  <c r="J1823" i="12" s="1"/>
  <c r="D1827" i="12" s="1"/>
  <c r="F1827" i="12" s="1"/>
  <c r="F1312" i="13"/>
  <c r="G1312" i="13" s="1"/>
  <c r="G1255" i="13"/>
  <c r="K35" i="14"/>
  <c r="Q63" i="11"/>
  <c r="G1690" i="39"/>
  <c r="E1677" i="39" s="1"/>
  <c r="F1263" i="36"/>
  <c r="H1263" i="36" s="1"/>
  <c r="D1319" i="36"/>
  <c r="F1319" i="36" s="1"/>
  <c r="H1319" i="36" s="1"/>
  <c r="F1316" i="36" s="1"/>
  <c r="H1336" i="36" s="1"/>
  <c r="H1338" i="36" s="1"/>
  <c r="F1287" i="36" s="1"/>
  <c r="K1119" i="36"/>
  <c r="Q89" i="11"/>
  <c r="K28" i="36"/>
  <c r="P28" i="36" s="1"/>
  <c r="C2249" i="39"/>
  <c r="E2198" i="39"/>
  <c r="G2198" i="39" s="1"/>
  <c r="C2203" i="39"/>
  <c r="E2203" i="39" s="1"/>
  <c r="G2203" i="39" s="1"/>
  <c r="R246" i="11"/>
  <c r="Q314" i="29"/>
  <c r="S314" i="29" s="1"/>
  <c r="U314" i="29" s="1"/>
  <c r="M335" i="29"/>
  <c r="L268" i="11"/>
  <c r="K64" i="11"/>
  <c r="H1576" i="14"/>
  <c r="F1563" i="14" s="1"/>
  <c r="H1578" i="14" s="1"/>
  <c r="H1580" i="14" s="1"/>
  <c r="F1529" i="14" s="1"/>
  <c r="F1803" i="12"/>
  <c r="H1803" i="12" s="1"/>
  <c r="L158" i="11" s="1"/>
  <c r="M188" i="29" s="1"/>
  <c r="D1858" i="12"/>
  <c r="D1808" i="12"/>
  <c r="F1808" i="12" s="1"/>
  <c r="H1808" i="12" s="1"/>
  <c r="E477" i="29"/>
  <c r="I477" i="29" s="1"/>
  <c r="O477" i="29" s="1"/>
  <c r="Q477" i="29" s="1"/>
  <c r="S477" i="29" s="1"/>
  <c r="U477" i="29" s="1"/>
  <c r="G254" i="11"/>
  <c r="H320" i="29"/>
  <c r="E187" i="29"/>
  <c r="L76" i="29"/>
  <c r="N76" i="29" s="1"/>
  <c r="O76" i="29" s="1"/>
  <c r="Q76" i="29" s="1"/>
  <c r="S76" i="29" s="1"/>
  <c r="U76" i="29" s="1"/>
  <c r="M63" i="11"/>
  <c r="N63" i="11" s="1"/>
  <c r="P63" i="11" s="1"/>
  <c r="C1788" i="16"/>
  <c r="E1788" i="16" s="1"/>
  <c r="G1788" i="16" s="1"/>
  <c r="J219" i="11" s="1"/>
  <c r="K277" i="29" s="1"/>
  <c r="E1735" i="16"/>
  <c r="G1735" i="16" s="1"/>
  <c r="J218" i="11" s="1"/>
  <c r="K275" i="29" s="1"/>
  <c r="M200" i="11"/>
  <c r="J257" i="29"/>
  <c r="N257" i="29" s="1"/>
  <c r="C1316" i="39"/>
  <c r="E1265" i="39"/>
  <c r="G1265" i="39" s="1"/>
  <c r="E1262" i="39" s="1"/>
  <c r="G1284" i="39" s="1"/>
  <c r="G1286" i="39" s="1"/>
  <c r="E1237" i="39" s="1"/>
  <c r="Q261" i="11" s="1"/>
  <c r="Q313" i="29"/>
  <c r="S313" i="29" s="1"/>
  <c r="U313" i="29" s="1"/>
  <c r="R245" i="11"/>
  <c r="G176" i="29"/>
  <c r="I176" i="29" s="1"/>
  <c r="P176" i="29" s="1"/>
  <c r="Q176" i="29" s="1"/>
  <c r="S176" i="29" s="1"/>
  <c r="U176" i="29" s="1"/>
  <c r="H146" i="11"/>
  <c r="N146" i="11" s="1"/>
  <c r="P146" i="11" s="1"/>
  <c r="R146" i="11" s="1"/>
  <c r="C1788" i="39"/>
  <c r="C1742" i="39"/>
  <c r="E1742" i="39" s="1"/>
  <c r="G1742" i="39" s="1"/>
  <c r="E1737" i="39"/>
  <c r="G1737" i="39" s="1"/>
  <c r="G1743" i="39" s="1"/>
  <c r="E1730" i="39" s="1"/>
  <c r="K111" i="11"/>
  <c r="H777" i="9"/>
  <c r="F769" i="9" s="1"/>
  <c r="I475" i="29"/>
  <c r="O475" i="29" s="1"/>
  <c r="Q475" i="29" s="1"/>
  <c r="S475" i="29" s="1"/>
  <c r="U475" i="29" s="1"/>
  <c r="H102" i="29"/>
  <c r="I102" i="29" s="1"/>
  <c r="O102" i="29" s="1"/>
  <c r="Q102" i="29" s="1"/>
  <c r="S102" i="29" s="1"/>
  <c r="U102" i="29" s="1"/>
  <c r="H89" i="11"/>
  <c r="N89" i="11" s="1"/>
  <c r="P89" i="11" s="1"/>
  <c r="D2076" i="12"/>
  <c r="F2021" i="12"/>
  <c r="H2021" i="12" s="1"/>
  <c r="D2026" i="12"/>
  <c r="F2026" i="12" s="1"/>
  <c r="H2026" i="12" s="1"/>
  <c r="C2019" i="12"/>
  <c r="C2074" i="12" s="1"/>
  <c r="C1992" i="12"/>
  <c r="C2043" i="12"/>
  <c r="I161" i="11"/>
  <c r="F1849" i="12"/>
  <c r="H1849" i="12" s="1"/>
  <c r="D1904" i="12"/>
  <c r="H249" i="29"/>
  <c r="I249" i="29" s="1"/>
  <c r="P249" i="29" s="1"/>
  <c r="Q249" i="29" s="1"/>
  <c r="S249" i="29" s="1"/>
  <c r="U249" i="29" s="1"/>
  <c r="H192" i="11"/>
  <c r="N192" i="11" s="1"/>
  <c r="P192" i="11" s="1"/>
  <c r="R192" i="11" s="1"/>
  <c r="E368" i="11"/>
  <c r="F477" i="29" s="1"/>
  <c r="F2503" i="13"/>
  <c r="H2546" i="13" s="1"/>
  <c r="H2548" i="13" s="1"/>
  <c r="F2501" i="13" s="1"/>
  <c r="G2112" i="12"/>
  <c r="F2167" i="12"/>
  <c r="B1247" i="39"/>
  <c r="B1276" i="39"/>
  <c r="B1294" i="39"/>
  <c r="D873" i="9"/>
  <c r="F824" i="9"/>
  <c r="H824" i="9" s="1"/>
  <c r="F316" i="29"/>
  <c r="E249" i="11"/>
  <c r="G1786" i="12"/>
  <c r="F1841" i="12"/>
  <c r="K268" i="11"/>
  <c r="L335" i="29"/>
  <c r="M267" i="11"/>
  <c r="N335" i="29" s="1"/>
  <c r="O108" i="11"/>
  <c r="P108" i="11" s="1"/>
  <c r="R108" i="11" s="1"/>
  <c r="V130" i="29"/>
  <c r="W130" i="29" s="1"/>
  <c r="E317" i="29"/>
  <c r="H249" i="11"/>
  <c r="D251" i="11"/>
  <c r="D2075" i="12"/>
  <c r="F2020" i="12"/>
  <c r="H2020" i="12" s="1"/>
  <c r="D2025" i="12"/>
  <c r="F2025" i="12" s="1"/>
  <c r="H2025" i="12" s="1"/>
  <c r="G158" i="11"/>
  <c r="H188" i="29" s="1"/>
  <c r="F1791" i="12"/>
  <c r="F1142" i="13"/>
  <c r="G1085" i="13"/>
  <c r="G1091" i="13" s="1"/>
  <c r="F1078" i="13" s="1"/>
  <c r="F342" i="11" s="1"/>
  <c r="G451" i="29" s="1"/>
  <c r="K156" i="11"/>
  <c r="H1699" i="12"/>
  <c r="F1686" i="12" s="1"/>
  <c r="E2037" i="39"/>
  <c r="G2037" i="39" s="1"/>
  <c r="C2089" i="39"/>
  <c r="F2448" i="13"/>
  <c r="H2495" i="13" s="1"/>
  <c r="H2497" i="13" s="1"/>
  <c r="F2446" i="13" s="1"/>
  <c r="M48" i="13" s="1"/>
  <c r="Q367" i="11" s="1"/>
  <c r="E367" i="11"/>
  <c r="F476" i="29" s="1"/>
  <c r="F1897" i="12"/>
  <c r="G1842" i="12"/>
  <c r="P247" i="11"/>
  <c r="O315" i="29"/>
  <c r="G1500" i="39"/>
  <c r="I1500" i="39" s="1"/>
  <c r="C1504" i="39" s="1"/>
  <c r="E1504" i="39" s="1"/>
  <c r="C1506" i="39" s="1"/>
  <c r="E1506" i="39" s="1"/>
  <c r="E1496" i="39" s="1"/>
  <c r="I1448" i="39"/>
  <c r="C1452" i="39" s="1"/>
  <c r="E1452" i="39" s="1"/>
  <c r="C1454" i="39" s="1"/>
  <c r="E1454" i="39" s="1"/>
  <c r="E1444" i="39" s="1"/>
  <c r="B1965" i="39"/>
  <c r="B1989" i="39"/>
  <c r="B2013" i="39"/>
  <c r="G1158" i="16"/>
  <c r="E1145" i="16" s="1"/>
  <c r="I202" i="11"/>
  <c r="F110" i="11"/>
  <c r="F703" i="9"/>
  <c r="H731" i="9" s="1"/>
  <c r="E1308" i="16"/>
  <c r="G1308" i="16" s="1"/>
  <c r="K206" i="11" s="1"/>
  <c r="L263" i="29" s="1"/>
  <c r="C1361" i="16"/>
  <c r="C1313" i="16"/>
  <c r="E1313" i="16" s="1"/>
  <c r="G1313" i="16" s="1"/>
  <c r="G194" i="11"/>
  <c r="G896" i="16"/>
  <c r="G898" i="16" s="1"/>
  <c r="E848" i="16" s="1"/>
  <c r="V75" i="29"/>
  <c r="W75" i="29" s="1"/>
  <c r="R62" i="11"/>
  <c r="G1785" i="12"/>
  <c r="F1840" i="12"/>
  <c r="C1670" i="16"/>
  <c r="E1617" i="16"/>
  <c r="G1617" i="16" s="1"/>
  <c r="F1944" i="12"/>
  <c r="G1889" i="12"/>
  <c r="E476" i="29"/>
  <c r="B1645" i="16"/>
  <c r="B1597" i="16"/>
  <c r="B1627" i="16"/>
  <c r="K342" i="29"/>
  <c r="J276" i="11"/>
  <c r="G1640" i="39"/>
  <c r="E1627" i="39" s="1"/>
  <c r="E1889" i="39"/>
  <c r="G1889" i="39" s="1"/>
  <c r="C1941" i="39"/>
  <c r="C1894" i="39"/>
  <c r="E1894" i="39" s="1"/>
  <c r="G1894" i="39" s="1"/>
  <c r="C1705" i="39"/>
  <c r="C1756" i="39" s="1"/>
  <c r="D1653" i="39"/>
  <c r="C2152" i="39"/>
  <c r="E2152" i="39" s="1"/>
  <c r="G2152" i="39" s="1"/>
  <c r="C2200" i="39"/>
  <c r="E2147" i="39"/>
  <c r="G2147" i="39" s="1"/>
  <c r="F952" i="13"/>
  <c r="H1000" i="13" s="1"/>
  <c r="H1002" i="13" s="1"/>
  <c r="F950" i="13" s="1"/>
  <c r="M21" i="13" s="1"/>
  <c r="Q340" i="11" s="1"/>
  <c r="E340" i="11"/>
  <c r="F449" i="29" s="1"/>
  <c r="C1206" i="16"/>
  <c r="E1206" i="16" s="1"/>
  <c r="G1206" i="16" s="1"/>
  <c r="C1254" i="16"/>
  <c r="E1201" i="16"/>
  <c r="G1201" i="16" s="1"/>
  <c r="G806" i="9"/>
  <c r="G762" i="9"/>
  <c r="D1752" i="12"/>
  <c r="F1752" i="12" s="1"/>
  <c r="H1752" i="12" s="1"/>
  <c r="F1747" i="12"/>
  <c r="H1747" i="12" s="1"/>
  <c r="D1802" i="12"/>
  <c r="E931" i="16"/>
  <c r="G931" i="16" s="1"/>
  <c r="E928" i="16" s="1"/>
  <c r="C983" i="16"/>
  <c r="M202" i="11" l="1"/>
  <c r="J259" i="29"/>
  <c r="N259" i="29" s="1"/>
  <c r="C1306" i="16"/>
  <c r="E1254" i="16"/>
  <c r="G1254" i="16" s="1"/>
  <c r="C1259" i="16"/>
  <c r="E1259" i="16" s="1"/>
  <c r="G1259" i="16" s="1"/>
  <c r="G1840" i="12"/>
  <c r="F1895" i="12"/>
  <c r="F1896" i="12"/>
  <c r="G1841" i="12"/>
  <c r="F1904" i="12"/>
  <c r="H1904" i="12" s="1"/>
  <c r="F1901" i="12" s="1"/>
  <c r="G160" i="11" s="1"/>
  <c r="H190" i="29" s="1"/>
  <c r="D1959" i="12"/>
  <c r="L133" i="29"/>
  <c r="N133" i="29" s="1"/>
  <c r="M111" i="11"/>
  <c r="K157" i="11"/>
  <c r="H1754" i="12"/>
  <c r="F1741" i="12" s="1"/>
  <c r="I476" i="29"/>
  <c r="O476" i="29" s="1"/>
  <c r="Q476" i="29" s="1"/>
  <c r="S476" i="29" s="1"/>
  <c r="U476" i="29" s="1"/>
  <c r="G132" i="29"/>
  <c r="I132" i="29" s="1"/>
  <c r="P132" i="29" s="1"/>
  <c r="Q132" i="29" s="1"/>
  <c r="R132" i="29" s="1"/>
  <c r="S132" i="29" s="1"/>
  <c r="U132" i="29" s="1"/>
  <c r="H110" i="11"/>
  <c r="N110" i="11" s="1"/>
  <c r="C2139" i="39"/>
  <c r="E2089" i="39"/>
  <c r="G2089" i="39" s="1"/>
  <c r="C1838" i="39"/>
  <c r="E1788" i="39"/>
  <c r="G1788" i="39" s="1"/>
  <c r="G1794" i="39" s="1"/>
  <c r="E1781" i="39" s="1"/>
  <c r="C1793" i="39"/>
  <c r="E1793" i="39" s="1"/>
  <c r="G1793" i="39" s="1"/>
  <c r="G256" i="11"/>
  <c r="H322" i="29"/>
  <c r="M336" i="29"/>
  <c r="L269" i="11"/>
  <c r="F2173" i="12"/>
  <c r="G2118" i="12"/>
  <c r="G177" i="29"/>
  <c r="I177" i="29" s="1"/>
  <c r="P177" i="29" s="1"/>
  <c r="Q177" i="29" s="1"/>
  <c r="S177" i="29" s="1"/>
  <c r="U177" i="29" s="1"/>
  <c r="H147" i="11"/>
  <c r="N147" i="11" s="1"/>
  <c r="P147" i="11" s="1"/>
  <c r="R147" i="11" s="1"/>
  <c r="E450" i="29"/>
  <c r="Q315" i="29"/>
  <c r="S315" i="29" s="1"/>
  <c r="U315" i="29" s="1"/>
  <c r="R247" i="11"/>
  <c r="M49" i="13"/>
  <c r="Q368" i="11"/>
  <c r="F2111" i="12"/>
  <c r="G2056" i="12"/>
  <c r="F752" i="9"/>
  <c r="H780" i="9" s="1"/>
  <c r="F111" i="11"/>
  <c r="C2205" i="39"/>
  <c r="E2205" i="39" s="1"/>
  <c r="G2205" i="39" s="1"/>
  <c r="C2251" i="39"/>
  <c r="E2200" i="39"/>
  <c r="G2200" i="39" s="1"/>
  <c r="K344" i="29"/>
  <c r="J277" i="11"/>
  <c r="F1999" i="12"/>
  <c r="G1944" i="12"/>
  <c r="H251" i="29"/>
  <c r="I251" i="29" s="1"/>
  <c r="P251" i="29" s="1"/>
  <c r="Q251" i="29" s="1"/>
  <c r="S251" i="29" s="1"/>
  <c r="U251" i="29" s="1"/>
  <c r="H194" i="11"/>
  <c r="N194" i="11" s="1"/>
  <c r="P194" i="11" s="1"/>
  <c r="D2130" i="12"/>
  <c r="D2080" i="12"/>
  <c r="F2080" i="12" s="1"/>
  <c r="H2080" i="12" s="1"/>
  <c r="F2075" i="12"/>
  <c r="H2075" i="12" s="1"/>
  <c r="D922" i="9"/>
  <c r="F873" i="9"/>
  <c r="H873" i="9" s="1"/>
  <c r="C2098" i="12"/>
  <c r="C2047" i="12"/>
  <c r="H368" i="11"/>
  <c r="N368" i="11" s="1"/>
  <c r="P368" i="11" s="1"/>
  <c r="R368" i="11" s="1"/>
  <c r="Q92" i="11"/>
  <c r="K31" i="36"/>
  <c r="P31" i="36" s="1"/>
  <c r="D1830" i="12"/>
  <c r="F1830" i="12" s="1"/>
  <c r="E159" i="11" s="1"/>
  <c r="F189" i="29" s="1"/>
  <c r="D159" i="11"/>
  <c r="D342" i="11"/>
  <c r="D1076" i="13"/>
  <c r="F1076" i="13" s="1"/>
  <c r="O109" i="11"/>
  <c r="P109" i="11" s="1"/>
  <c r="R109" i="11" s="1"/>
  <c r="V131" i="29"/>
  <c r="W131" i="29" s="1"/>
  <c r="Q194" i="11"/>
  <c r="J11" i="16"/>
  <c r="I162" i="11"/>
  <c r="E341" i="11"/>
  <c r="F450" i="29" s="1"/>
  <c r="F1009" i="13"/>
  <c r="H1057" i="13" s="1"/>
  <c r="H1059" i="13" s="1"/>
  <c r="F1007" i="13" s="1"/>
  <c r="M22" i="13" s="1"/>
  <c r="Q341" i="11" s="1"/>
  <c r="G855" i="9"/>
  <c r="G811" i="9"/>
  <c r="B2042" i="39"/>
  <c r="B2065" i="39"/>
  <c r="B2017" i="39"/>
  <c r="L186" i="29"/>
  <c r="N186" i="29" s="1"/>
  <c r="M156" i="11"/>
  <c r="E319" i="29"/>
  <c r="D252" i="11"/>
  <c r="B1298" i="39"/>
  <c r="B1327" i="39"/>
  <c r="B1448" i="39"/>
  <c r="B1345" i="39"/>
  <c r="V76" i="29"/>
  <c r="W76" i="29" s="1"/>
  <c r="R63" i="11"/>
  <c r="F1260" i="36"/>
  <c r="G91" i="11"/>
  <c r="D1933" i="12"/>
  <c r="E1878" i="12"/>
  <c r="H1878" i="12" s="1"/>
  <c r="J1878" i="12" s="1"/>
  <c r="D1882" i="12" s="1"/>
  <c r="F1882" i="12" s="1"/>
  <c r="F1184" i="13"/>
  <c r="H1127" i="13"/>
  <c r="J1127" i="13" s="1"/>
  <c r="D1131" i="13" s="1"/>
  <c r="F1131" i="13" s="1"/>
  <c r="H340" i="11"/>
  <c r="N340" i="11" s="1"/>
  <c r="P340" i="11" s="1"/>
  <c r="R340" i="11" s="1"/>
  <c r="K112" i="11"/>
  <c r="H826" i="9"/>
  <c r="F818" i="9" s="1"/>
  <c r="V102" i="29"/>
  <c r="W102" i="29" s="1"/>
  <c r="R89" i="11"/>
  <c r="I203" i="11"/>
  <c r="G1210" i="16"/>
  <c r="E1197" i="16" s="1"/>
  <c r="G1653" i="39"/>
  <c r="D1705" i="39"/>
  <c r="C1723" i="16"/>
  <c r="E1670" i="16"/>
  <c r="G1670" i="16" s="1"/>
  <c r="E1361" i="16"/>
  <c r="G1361" i="16" s="1"/>
  <c r="C1413" i="16"/>
  <c r="C1366" i="16"/>
  <c r="E1366" i="16" s="1"/>
  <c r="G1366" i="16" s="1"/>
  <c r="F1952" i="12"/>
  <c r="G1897" i="12"/>
  <c r="I317" i="29"/>
  <c r="N249" i="11"/>
  <c r="L336" i="29"/>
  <c r="K269" i="11"/>
  <c r="M268" i="11"/>
  <c r="N336" i="29" s="1"/>
  <c r="F1858" i="12"/>
  <c r="H1858" i="12" s="1"/>
  <c r="L159" i="11" s="1"/>
  <c r="M189" i="29" s="1"/>
  <c r="D1913" i="12"/>
  <c r="D1863" i="12"/>
  <c r="F1863" i="12" s="1"/>
  <c r="H1863" i="12" s="1"/>
  <c r="Q65" i="11"/>
  <c r="K37" i="14"/>
  <c r="Q90" i="11"/>
  <c r="K29" i="36"/>
  <c r="P29" i="36" s="1"/>
  <c r="K1175" i="36"/>
  <c r="E188" i="29"/>
  <c r="F2013" i="39"/>
  <c r="G1961" i="39"/>
  <c r="I1961" i="39" s="1"/>
  <c r="C1965" i="39" s="1"/>
  <c r="E1965" i="39" s="1"/>
  <c r="J338" i="29"/>
  <c r="I272" i="11"/>
  <c r="I449" i="29"/>
  <c r="O449" i="29" s="1"/>
  <c r="Q449" i="29" s="1"/>
  <c r="S449" i="29" s="1"/>
  <c r="U449" i="29" s="1"/>
  <c r="G1142" i="13"/>
  <c r="G1148" i="13" s="1"/>
  <c r="F1135" i="13" s="1"/>
  <c r="F343" i="11" s="1"/>
  <c r="G452" i="29" s="1"/>
  <c r="F1199" i="13"/>
  <c r="L78" i="29"/>
  <c r="N78" i="29" s="1"/>
  <c r="O78" i="29" s="1"/>
  <c r="Q78" i="29" s="1"/>
  <c r="S78" i="29" s="1"/>
  <c r="U78" i="29" s="1"/>
  <c r="M65" i="11"/>
  <c r="N65" i="11" s="1"/>
  <c r="P65" i="11" s="1"/>
  <c r="G196" i="11"/>
  <c r="G950" i="16"/>
  <c r="G952" i="16" s="1"/>
  <c r="E901" i="16" s="1"/>
  <c r="Q196" i="11" s="1"/>
  <c r="B1649" i="16"/>
  <c r="B1699" i="16"/>
  <c r="B1680" i="16"/>
  <c r="F1846" i="12"/>
  <c r="G159" i="11"/>
  <c r="H189" i="29" s="1"/>
  <c r="J162" i="11"/>
  <c r="K192" i="29" s="1"/>
  <c r="C1367" i="39"/>
  <c r="E1316" i="39"/>
  <c r="G1316" i="39" s="1"/>
  <c r="E1313" i="39" s="1"/>
  <c r="G1335" i="39" s="1"/>
  <c r="G1337" i="39" s="1"/>
  <c r="E1288" i="39" s="1"/>
  <c r="Q262" i="11" s="1"/>
  <c r="C1469" i="39"/>
  <c r="K36" i="14"/>
  <c r="Q64" i="11"/>
  <c r="E2249" i="39"/>
  <c r="G2249" i="39" s="1"/>
  <c r="C2300" i="39"/>
  <c r="C2254" i="39"/>
  <c r="E2254" i="39" s="1"/>
  <c r="G2254" i="39" s="1"/>
  <c r="G1288" i="12"/>
  <c r="G1294" i="12" s="1"/>
  <c r="F1343" i="12"/>
  <c r="F1894" i="12"/>
  <c r="G1839" i="12"/>
  <c r="P248" i="11"/>
  <c r="O316" i="29"/>
  <c r="C1036" i="16"/>
  <c r="E983" i="16"/>
  <c r="G983" i="16" s="1"/>
  <c r="E980" i="16" s="1"/>
  <c r="C1807" i="39"/>
  <c r="D1756" i="39"/>
  <c r="G1756" i="39" s="1"/>
  <c r="I1756" i="39" s="1"/>
  <c r="C1760" i="39" s="1"/>
  <c r="E1760" i="39" s="1"/>
  <c r="C1762" i="39" s="1"/>
  <c r="E1762" i="39" s="1"/>
  <c r="E1752" i="39" s="1"/>
  <c r="H103" i="29"/>
  <c r="I103" i="29" s="1"/>
  <c r="O103" i="29" s="1"/>
  <c r="Q103" i="29" s="1"/>
  <c r="S103" i="29" s="1"/>
  <c r="U103" i="29" s="1"/>
  <c r="H90" i="11"/>
  <c r="N90" i="11" s="1"/>
  <c r="P90" i="11" s="1"/>
  <c r="D1857" i="12"/>
  <c r="D1807" i="12"/>
  <c r="F1807" i="12" s="1"/>
  <c r="H1807" i="12" s="1"/>
  <c r="F1802" i="12"/>
  <c r="H1802" i="12" s="1"/>
  <c r="E1941" i="39"/>
  <c r="G1941" i="39" s="1"/>
  <c r="C1946" i="39"/>
  <c r="E1946" i="39" s="1"/>
  <c r="G1946" i="39" s="1"/>
  <c r="C1991" i="39"/>
  <c r="H367" i="11"/>
  <c r="N367" i="11" s="1"/>
  <c r="P367" i="11" s="1"/>
  <c r="R367" i="11" s="1"/>
  <c r="H733" i="9"/>
  <c r="H734" i="9" s="1"/>
  <c r="F690" i="9" s="1"/>
  <c r="Q110" i="11" s="1"/>
  <c r="E251" i="11"/>
  <c r="H251" i="11" s="1"/>
  <c r="F317" i="29"/>
  <c r="F2222" i="12"/>
  <c r="G2222" i="12" s="1"/>
  <c r="G2167" i="12"/>
  <c r="J191" i="29"/>
  <c r="D2081" i="12"/>
  <c r="F2081" i="12" s="1"/>
  <c r="H2081" i="12" s="1"/>
  <c r="D2131" i="12"/>
  <c r="F2076" i="12"/>
  <c r="H2076" i="12" s="1"/>
  <c r="L77" i="29"/>
  <c r="N77" i="29" s="1"/>
  <c r="O77" i="29" s="1"/>
  <c r="Q77" i="29" s="1"/>
  <c r="S77" i="29" s="1"/>
  <c r="U77" i="29" s="1"/>
  <c r="M64" i="11"/>
  <c r="N64" i="11" s="1"/>
  <c r="P64" i="11" s="1"/>
  <c r="G1945" i="12"/>
  <c r="F2000" i="12"/>
  <c r="F1227" i="12"/>
  <c r="H1262" i="12" s="1"/>
  <c r="H1264" i="12" s="1"/>
  <c r="F1213" i="12" s="1"/>
  <c r="Q148" i="11" s="1"/>
  <c r="F148" i="11"/>
  <c r="C2271" i="39"/>
  <c r="D2271" i="39" s="1"/>
  <c r="D2219" i="39"/>
  <c r="B1943" i="16"/>
  <c r="B1967" i="16"/>
  <c r="B1998" i="16" s="1"/>
  <c r="C1993" i="12"/>
  <c r="C2024" i="12"/>
  <c r="C2079" i="12" s="1"/>
  <c r="C2044" i="12"/>
  <c r="I319" i="29" l="1"/>
  <c r="N251" i="11"/>
  <c r="P249" i="11"/>
  <c r="O317" i="29"/>
  <c r="C1776" i="16"/>
  <c r="E1723" i="16"/>
  <c r="G1723" i="16" s="1"/>
  <c r="L134" i="29"/>
  <c r="N134" i="29" s="1"/>
  <c r="M112" i="11"/>
  <c r="H104" i="29"/>
  <c r="I104" i="29" s="1"/>
  <c r="O104" i="29" s="1"/>
  <c r="Q104" i="29" s="1"/>
  <c r="S104" i="29" s="1"/>
  <c r="U104" i="29" s="1"/>
  <c r="H91" i="11"/>
  <c r="N91" i="11" s="1"/>
  <c r="P91" i="11" s="1"/>
  <c r="D253" i="11"/>
  <c r="E320" i="29"/>
  <c r="F112" i="11"/>
  <c r="F801" i="9"/>
  <c r="H829" i="9" s="1"/>
  <c r="I163" i="11"/>
  <c r="F1951" i="12"/>
  <c r="G1896" i="12"/>
  <c r="C2099" i="12"/>
  <c r="C2048" i="12"/>
  <c r="D1807" i="39"/>
  <c r="G1807" i="39" s="1"/>
  <c r="I1807" i="39" s="1"/>
  <c r="C1811" i="39" s="1"/>
  <c r="E1811" i="39" s="1"/>
  <c r="C1813" i="39" s="1"/>
  <c r="E1813" i="39" s="1"/>
  <c r="E1803" i="39" s="1"/>
  <c r="C1859" i="39"/>
  <c r="V78" i="29"/>
  <c r="W78" i="29" s="1"/>
  <c r="R65" i="11"/>
  <c r="G92" i="11"/>
  <c r="H1280" i="36"/>
  <c r="H1282" i="36" s="1"/>
  <c r="F1231" i="36" s="1"/>
  <c r="G904" i="9"/>
  <c r="G860" i="9"/>
  <c r="G2173" i="12"/>
  <c r="F2228" i="12"/>
  <c r="G2228" i="12" s="1"/>
  <c r="C1891" i="39"/>
  <c r="E1838" i="39"/>
  <c r="G1838" i="39" s="1"/>
  <c r="C1843" i="39"/>
  <c r="E1843" i="39" s="1"/>
  <c r="G1843" i="39" s="1"/>
  <c r="L187" i="29"/>
  <c r="N187" i="29" s="1"/>
  <c r="M157" i="11"/>
  <c r="G1895" i="12"/>
  <c r="F1950" i="12"/>
  <c r="V77" i="29"/>
  <c r="W77" i="29" s="1"/>
  <c r="R64" i="11"/>
  <c r="K158" i="11"/>
  <c r="H1809" i="12"/>
  <c r="F1796" i="12" s="1"/>
  <c r="G197" i="11"/>
  <c r="G1002" i="16"/>
  <c r="G1004" i="16" s="1"/>
  <c r="E954" i="16" s="1"/>
  <c r="Q197" i="11" s="1"/>
  <c r="F1949" i="12"/>
  <c r="G1894" i="12"/>
  <c r="F2065" i="39"/>
  <c r="G2013" i="39"/>
  <c r="I2013" i="39" s="1"/>
  <c r="C2017" i="39" s="1"/>
  <c r="E2017" i="39" s="1"/>
  <c r="I1653" i="39"/>
  <c r="C1657" i="39" s="1"/>
  <c r="E1657" i="39" s="1"/>
  <c r="C1659" i="39" s="1"/>
  <c r="E1659" i="39" s="1"/>
  <c r="E1649" i="39" s="1"/>
  <c r="G1705" i="39"/>
  <c r="I1705" i="39" s="1"/>
  <c r="C1709" i="39" s="1"/>
  <c r="E1709" i="39" s="1"/>
  <c r="C1711" i="39" s="1"/>
  <c r="E1711" i="39" s="1"/>
  <c r="E1701" i="39" s="1"/>
  <c r="F2130" i="12"/>
  <c r="H2130" i="12" s="1"/>
  <c r="D2185" i="12"/>
  <c r="D2135" i="12"/>
  <c r="F2135" i="12" s="1"/>
  <c r="H2135" i="12" s="1"/>
  <c r="E2251" i="39"/>
  <c r="G2251" i="39" s="1"/>
  <c r="C2256" i="39"/>
  <c r="E2256" i="39" s="1"/>
  <c r="G2256" i="39" s="1"/>
  <c r="C2302" i="39"/>
  <c r="G178" i="29"/>
  <c r="I178" i="29" s="1"/>
  <c r="P178" i="29" s="1"/>
  <c r="Q178" i="29" s="1"/>
  <c r="S178" i="29" s="1"/>
  <c r="U178" i="29" s="1"/>
  <c r="H148" i="11"/>
  <c r="N148" i="11" s="1"/>
  <c r="P148" i="11" s="1"/>
  <c r="R148" i="11" s="1"/>
  <c r="J163" i="11"/>
  <c r="K193" i="29" s="1"/>
  <c r="F319" i="29"/>
  <c r="E252" i="11"/>
  <c r="H252" i="11" s="1"/>
  <c r="E253" i="11"/>
  <c r="F321" i="29" s="1"/>
  <c r="D2136" i="12"/>
  <c r="F2136" i="12" s="1"/>
  <c r="H2136" i="12" s="1"/>
  <c r="F2131" i="12"/>
  <c r="H2131" i="12" s="1"/>
  <c r="J164" i="11" s="1"/>
  <c r="K194" i="29" s="1"/>
  <c r="D2186" i="12"/>
  <c r="C1089" i="16"/>
  <c r="E1036" i="16"/>
  <c r="G1036" i="16" s="1"/>
  <c r="E1033" i="16" s="1"/>
  <c r="F1256" i="13"/>
  <c r="G1199" i="13"/>
  <c r="G1205" i="13" s="1"/>
  <c r="F1192" i="13" s="1"/>
  <c r="F344" i="11" s="1"/>
  <c r="G453" i="29" s="1"/>
  <c r="F1913" i="12"/>
  <c r="H1913" i="12" s="1"/>
  <c r="D1918" i="12"/>
  <c r="F1918" i="12" s="1"/>
  <c r="H1918" i="12" s="1"/>
  <c r="D1968" i="12"/>
  <c r="G1952" i="12"/>
  <c r="F2007" i="12"/>
  <c r="R194" i="11"/>
  <c r="M337" i="29"/>
  <c r="L270" i="11"/>
  <c r="C2192" i="39"/>
  <c r="E2139" i="39"/>
  <c r="G2139" i="39" s="1"/>
  <c r="F1857" i="12"/>
  <c r="H1857" i="12" s="1"/>
  <c r="D1862" i="12"/>
  <c r="F1862" i="12" s="1"/>
  <c r="H1862" i="12" s="1"/>
  <c r="D1912" i="12"/>
  <c r="F1398" i="12"/>
  <c r="G1343" i="12"/>
  <c r="G1349" i="12" s="1"/>
  <c r="E1469" i="39"/>
  <c r="G1469" i="39" s="1"/>
  <c r="E1466" i="39" s="1"/>
  <c r="G1488" i="39" s="1"/>
  <c r="G1490" i="39" s="1"/>
  <c r="E1442" i="39" s="1"/>
  <c r="Q265" i="11" s="1"/>
  <c r="C1522" i="39"/>
  <c r="B1752" i="16"/>
  <c r="B1733" i="16"/>
  <c r="B1703" i="16"/>
  <c r="J260" i="29"/>
  <c r="N260" i="29" s="1"/>
  <c r="M203" i="11"/>
  <c r="D1133" i="13"/>
  <c r="F1133" i="13" s="1"/>
  <c r="D343" i="11"/>
  <c r="B1397" i="39"/>
  <c r="B1378" i="39"/>
  <c r="B1349" i="39"/>
  <c r="E342" i="11"/>
  <c r="F451" i="29" s="1"/>
  <c r="F1066" i="13"/>
  <c r="H1114" i="13" s="1"/>
  <c r="H1116" i="13" s="1"/>
  <c r="F1064" i="13" s="1"/>
  <c r="M23" i="13" s="1"/>
  <c r="Q342" i="11" s="1"/>
  <c r="G133" i="29"/>
  <c r="I133" i="29" s="1"/>
  <c r="P133" i="29" s="1"/>
  <c r="Q133" i="29" s="1"/>
  <c r="R133" i="29" s="1"/>
  <c r="S133" i="29" s="1"/>
  <c r="U133" i="29" s="1"/>
  <c r="H111" i="11"/>
  <c r="N111" i="11" s="1"/>
  <c r="H341" i="11"/>
  <c r="N341" i="11" s="1"/>
  <c r="P341" i="11" s="1"/>
  <c r="R341" i="11" s="1"/>
  <c r="V132" i="29"/>
  <c r="W132" i="29" s="1"/>
  <c r="O110" i="11"/>
  <c r="P110" i="11" s="1"/>
  <c r="R110" i="11" s="1"/>
  <c r="G1263" i="16"/>
  <c r="E1250" i="16" s="1"/>
  <c r="I205" i="11"/>
  <c r="E1413" i="16"/>
  <c r="G1413" i="16" s="1"/>
  <c r="K209" i="11" s="1"/>
  <c r="L266" i="29" s="1"/>
  <c r="C1468" i="16"/>
  <c r="C1418" i="16"/>
  <c r="E1418" i="16" s="1"/>
  <c r="G1418" i="16" s="1"/>
  <c r="F1241" i="13"/>
  <c r="H1184" i="13"/>
  <c r="J1184" i="13" s="1"/>
  <c r="D1188" i="13" s="1"/>
  <c r="F1188" i="13" s="1"/>
  <c r="B1500" i="39"/>
  <c r="B1480" i="39"/>
  <c r="B1452" i="39"/>
  <c r="J192" i="29"/>
  <c r="E451" i="29"/>
  <c r="I451" i="29" s="1"/>
  <c r="O451" i="29" s="1"/>
  <c r="Q451" i="29" s="1"/>
  <c r="S451" i="29" s="1"/>
  <c r="U451" i="29" s="1"/>
  <c r="H342" i="11"/>
  <c r="N342" i="11" s="1"/>
  <c r="P342" i="11" s="1"/>
  <c r="R342" i="11" s="1"/>
  <c r="C2129" i="12"/>
  <c r="C2153" i="12"/>
  <c r="C2102" i="12"/>
  <c r="H782" i="9"/>
  <c r="H783" i="9"/>
  <c r="F739" i="9" s="1"/>
  <c r="Q111" i="11" s="1"/>
  <c r="I450" i="29"/>
  <c r="O450" i="29" s="1"/>
  <c r="Q450" i="29" s="1"/>
  <c r="S450" i="29" s="1"/>
  <c r="U450" i="29" s="1"/>
  <c r="F1959" i="12"/>
  <c r="H1959" i="12" s="1"/>
  <c r="F1956" i="12" s="1"/>
  <c r="G161" i="11" s="1"/>
  <c r="H191" i="29" s="1"/>
  <c r="D2014" i="12"/>
  <c r="C1359" i="16"/>
  <c r="C1311" i="16"/>
  <c r="E1311" i="16" s="1"/>
  <c r="G1311" i="16" s="1"/>
  <c r="E1306" i="16"/>
  <c r="G1306" i="16" s="1"/>
  <c r="V103" i="29"/>
  <c r="W103" i="29" s="1"/>
  <c r="R90" i="11"/>
  <c r="E1367" i="39"/>
  <c r="G1367" i="39" s="1"/>
  <c r="E1364" i="39" s="1"/>
  <c r="G1386" i="39" s="1"/>
  <c r="G1388" i="39" s="1"/>
  <c r="E1339" i="39" s="1"/>
  <c r="Q263" i="11" s="1"/>
  <c r="C1419" i="39"/>
  <c r="E1419" i="39" s="1"/>
  <c r="G1419" i="39" s="1"/>
  <c r="E1416" i="39" s="1"/>
  <c r="G1438" i="39" s="1"/>
  <c r="G1440" i="39" s="1"/>
  <c r="E1391" i="39" s="1"/>
  <c r="Q264" i="11" s="1"/>
  <c r="J340" i="29"/>
  <c r="I273" i="11"/>
  <c r="L337" i="29"/>
  <c r="K270" i="11"/>
  <c r="M269" i="11"/>
  <c r="N337" i="29" s="1"/>
  <c r="K208" i="11"/>
  <c r="L265" i="29" s="1"/>
  <c r="D160" i="11"/>
  <c r="F1875" i="12"/>
  <c r="D1885" i="12"/>
  <c r="F1885" i="12" s="1"/>
  <c r="E160" i="11" s="1"/>
  <c r="F190" i="29" s="1"/>
  <c r="B2094" i="39"/>
  <c r="B2069" i="39"/>
  <c r="B2116" i="39"/>
  <c r="E189" i="29"/>
  <c r="K113" i="11"/>
  <c r="H875" i="9"/>
  <c r="F867" i="9" s="1"/>
  <c r="G1999" i="12"/>
  <c r="F2054" i="12"/>
  <c r="G257" i="11"/>
  <c r="H324" i="29"/>
  <c r="F149" i="11"/>
  <c r="F1282" i="12"/>
  <c r="H1317" i="12" s="1"/>
  <c r="H1319" i="12" s="1"/>
  <c r="F1268" i="12" s="1"/>
  <c r="Q149" i="11" s="1"/>
  <c r="G2000" i="12"/>
  <c r="F2055" i="12"/>
  <c r="Q316" i="29"/>
  <c r="S316" i="29" s="1"/>
  <c r="U316" i="29" s="1"/>
  <c r="R248" i="11"/>
  <c r="C2044" i="39"/>
  <c r="C1996" i="39"/>
  <c r="E1996" i="39" s="1"/>
  <c r="G1996" i="39" s="1"/>
  <c r="E1991" i="39"/>
  <c r="G1991" i="39" s="1"/>
  <c r="E2300" i="39"/>
  <c r="G2300" i="39" s="1"/>
  <c r="C2305" i="39"/>
  <c r="E2305" i="39" s="1"/>
  <c r="G2305" i="39" s="1"/>
  <c r="H253" i="29"/>
  <c r="I253" i="29" s="1"/>
  <c r="P253" i="29" s="1"/>
  <c r="Q253" i="29" s="1"/>
  <c r="S253" i="29" s="1"/>
  <c r="U253" i="29" s="1"/>
  <c r="H196" i="11"/>
  <c r="N196" i="11" s="1"/>
  <c r="P196" i="11" s="1"/>
  <c r="R196" i="11" s="1"/>
  <c r="E1933" i="12"/>
  <c r="D1988" i="12"/>
  <c r="D2043" i="12" s="1"/>
  <c r="D237" i="18"/>
  <c r="D146" i="37"/>
  <c r="D143" i="18"/>
  <c r="D274" i="18"/>
  <c r="D162" i="18"/>
  <c r="D256" i="18"/>
  <c r="D295" i="18"/>
  <c r="D126" i="37"/>
  <c r="D81" i="18"/>
  <c r="D85" i="18" s="1"/>
  <c r="D87" i="18" s="1"/>
  <c r="D70" i="18" s="1"/>
  <c r="Z10" i="11" s="1"/>
  <c r="J12" i="39"/>
  <c r="D123" i="18"/>
  <c r="D181" i="18"/>
  <c r="D313" i="18"/>
  <c r="D200" i="18"/>
  <c r="D332" i="18"/>
  <c r="D104" i="18"/>
  <c r="D219" i="18"/>
  <c r="F1820" i="12"/>
  <c r="F922" i="9"/>
  <c r="H922" i="9" s="1"/>
  <c r="D971" i="9"/>
  <c r="K345" i="29"/>
  <c r="J278" i="11"/>
  <c r="G2111" i="12"/>
  <c r="F2166" i="12"/>
  <c r="I320" i="29" l="1"/>
  <c r="N252" i="11"/>
  <c r="F2110" i="12"/>
  <c r="G2055" i="12"/>
  <c r="E1359" i="16"/>
  <c r="G1359" i="16" s="1"/>
  <c r="C1364" i="16"/>
  <c r="E1364" i="16" s="1"/>
  <c r="G1364" i="16" s="1"/>
  <c r="C1411" i="16"/>
  <c r="C2208" i="12"/>
  <c r="C2184" i="12"/>
  <c r="C2157" i="12"/>
  <c r="B1504" i="39"/>
  <c r="B1533" i="39"/>
  <c r="B1551" i="39"/>
  <c r="F2186" i="12"/>
  <c r="H2186" i="12" s="1"/>
  <c r="J165" i="11" s="1"/>
  <c r="K195" i="29" s="1"/>
  <c r="D2241" i="12"/>
  <c r="D2191" i="12"/>
  <c r="F2191" i="12" s="1"/>
  <c r="H2191" i="12" s="1"/>
  <c r="G953" i="9"/>
  <c r="G909" i="9"/>
  <c r="G134" i="29"/>
  <c r="I134" i="29" s="1"/>
  <c r="P134" i="29" s="1"/>
  <c r="Q134" i="29" s="1"/>
  <c r="R134" i="29" s="1"/>
  <c r="S134" i="29" s="1"/>
  <c r="U134" i="29" s="1"/>
  <c r="H112" i="11"/>
  <c r="N112" i="11" s="1"/>
  <c r="F2014" i="12"/>
  <c r="H2014" i="12" s="1"/>
  <c r="F2011" i="12" s="1"/>
  <c r="G162" i="11" s="1"/>
  <c r="H192" i="29" s="1"/>
  <c r="D2069" i="12"/>
  <c r="D1190" i="13"/>
  <c r="F1190" i="13" s="1"/>
  <c r="D344" i="11"/>
  <c r="K159" i="11"/>
  <c r="H1864" i="12"/>
  <c r="F1851" i="12" s="1"/>
  <c r="D2023" i="12"/>
  <c r="D1973" i="12"/>
  <c r="F1973" i="12" s="1"/>
  <c r="H1973" i="12" s="1"/>
  <c r="F1968" i="12"/>
  <c r="H1968" i="12" s="1"/>
  <c r="L188" i="29"/>
  <c r="N188" i="29" s="1"/>
  <c r="M158" i="11"/>
  <c r="K30" i="36"/>
  <c r="P30" i="36" s="1"/>
  <c r="Q91" i="11"/>
  <c r="E1776" i="16"/>
  <c r="G1776" i="16" s="1"/>
  <c r="C1828" i="16"/>
  <c r="C1883" i="16" s="1"/>
  <c r="C1938" i="16" s="1"/>
  <c r="C1993" i="16" s="1"/>
  <c r="N12" i="11"/>
  <c r="X12" i="11" s="1"/>
  <c r="Y12" i="11" s="1"/>
  <c r="D127" i="18"/>
  <c r="D129" i="18" s="1"/>
  <c r="D115" i="18" s="1"/>
  <c r="Z12" i="11" s="1"/>
  <c r="F1298" i="13"/>
  <c r="H1298" i="13" s="1"/>
  <c r="J1298" i="13" s="1"/>
  <c r="D1302" i="13" s="1"/>
  <c r="F1302" i="13" s="1"/>
  <c r="H1241" i="13"/>
  <c r="J1241" i="13" s="1"/>
  <c r="D1245" i="13" s="1"/>
  <c r="F1245" i="13" s="1"/>
  <c r="B1430" i="39"/>
  <c r="B1401" i="39"/>
  <c r="B1803" i="16"/>
  <c r="B1786" i="16"/>
  <c r="B1756" i="16"/>
  <c r="C2307" i="39"/>
  <c r="E2307" i="39" s="1"/>
  <c r="G2307" i="39" s="1"/>
  <c r="E2302" i="39"/>
  <c r="G2302" i="39" s="1"/>
  <c r="H105" i="29"/>
  <c r="I105" i="29" s="1"/>
  <c r="O105" i="29" s="1"/>
  <c r="Q105" i="29" s="1"/>
  <c r="S105" i="29" s="1"/>
  <c r="U105" i="29" s="1"/>
  <c r="H92" i="11"/>
  <c r="N92" i="11" s="1"/>
  <c r="P92" i="11" s="1"/>
  <c r="C2134" i="12"/>
  <c r="C2154" i="12"/>
  <c r="C2103" i="12"/>
  <c r="D254" i="11"/>
  <c r="E321" i="29"/>
  <c r="H253" i="11"/>
  <c r="N15" i="11"/>
  <c r="X15" i="11" s="1"/>
  <c r="Y15" i="11" s="1"/>
  <c r="D166" i="18"/>
  <c r="D168" i="18" s="1"/>
  <c r="D154" i="18" s="1"/>
  <c r="Z15" i="11" s="1"/>
  <c r="G179" i="29"/>
  <c r="I179" i="29" s="1"/>
  <c r="P179" i="29" s="1"/>
  <c r="Q179" i="29" s="1"/>
  <c r="S179" i="29" s="1"/>
  <c r="U179" i="29" s="1"/>
  <c r="H149" i="11"/>
  <c r="N149" i="11" s="1"/>
  <c r="P149" i="11" s="1"/>
  <c r="R149" i="11" s="1"/>
  <c r="E452" i="29"/>
  <c r="E1522" i="39"/>
  <c r="G1522" i="39" s="1"/>
  <c r="E1519" i="39" s="1"/>
  <c r="G1541" i="39" s="1"/>
  <c r="G1543" i="39" s="1"/>
  <c r="E1494" i="39" s="1"/>
  <c r="Q267" i="11" s="1"/>
  <c r="C1573" i="39"/>
  <c r="C2243" i="39"/>
  <c r="E2192" i="39"/>
  <c r="G2192" i="39" s="1"/>
  <c r="L160" i="11"/>
  <c r="M190" i="29" s="1"/>
  <c r="F2116" i="39"/>
  <c r="G2065" i="39"/>
  <c r="I2065" i="39" s="1"/>
  <c r="C2069" i="39" s="1"/>
  <c r="E2069" i="39" s="1"/>
  <c r="G1844" i="39"/>
  <c r="E1831" i="39" s="1"/>
  <c r="Q317" i="29"/>
  <c r="S317" i="29" s="1"/>
  <c r="U317" i="29" s="1"/>
  <c r="R249" i="11"/>
  <c r="N25" i="11"/>
  <c r="X25" i="11" s="1"/>
  <c r="Y25" i="11" s="1"/>
  <c r="D317" i="18"/>
  <c r="D319" i="18" s="1"/>
  <c r="D305" i="18" s="1"/>
  <c r="Z25" i="11" s="1"/>
  <c r="N16" i="11"/>
  <c r="X16" i="11" s="1"/>
  <c r="Y16" i="11" s="1"/>
  <c r="D185" i="18"/>
  <c r="D187" i="18" s="1"/>
  <c r="D172" i="18" s="1"/>
  <c r="Z16" i="11" s="1"/>
  <c r="K114" i="11"/>
  <c r="H924" i="9"/>
  <c r="F916" i="9" s="1"/>
  <c r="B2168" i="39"/>
  <c r="B2120" i="39"/>
  <c r="B2144" i="39"/>
  <c r="L338" i="29"/>
  <c r="K272" i="11"/>
  <c r="M270" i="11"/>
  <c r="N338" i="29" s="1"/>
  <c r="C1520" i="16"/>
  <c r="C1473" i="16"/>
  <c r="E1473" i="16" s="1"/>
  <c r="G1473" i="16" s="1"/>
  <c r="E1468" i="16"/>
  <c r="G1468" i="16" s="1"/>
  <c r="K211" i="11" s="1"/>
  <c r="L268" i="29" s="1"/>
  <c r="V133" i="29"/>
  <c r="W133" i="29" s="1"/>
  <c r="O111" i="11"/>
  <c r="P111" i="11" s="1"/>
  <c r="R111" i="11" s="1"/>
  <c r="F1123" i="13"/>
  <c r="H1171" i="13" s="1"/>
  <c r="H1173" i="13" s="1"/>
  <c r="F1121" i="13" s="1"/>
  <c r="M24" i="13" s="1"/>
  <c r="Q343" i="11" s="1"/>
  <c r="E343" i="11"/>
  <c r="F452" i="29" s="1"/>
  <c r="M338" i="29"/>
  <c r="L272" i="11"/>
  <c r="C1896" i="39"/>
  <c r="E1896" i="39" s="1"/>
  <c r="G1896" i="39" s="1"/>
  <c r="E1891" i="39"/>
  <c r="G1891" i="39" s="1"/>
  <c r="C1943" i="39"/>
  <c r="G1951" i="12"/>
  <c r="F2006" i="12"/>
  <c r="R91" i="11"/>
  <c r="V104" i="29"/>
  <c r="W104" i="29" s="1"/>
  <c r="N32" i="11"/>
  <c r="X32" i="11" s="1"/>
  <c r="Y32" i="11" s="1"/>
  <c r="D150" i="37"/>
  <c r="D152" i="37" s="1"/>
  <c r="D137" i="37" s="1"/>
  <c r="Z32" i="11" s="1"/>
  <c r="F2221" i="12"/>
  <c r="G2221" i="12" s="1"/>
  <c r="G2166" i="12"/>
  <c r="E2043" i="12"/>
  <c r="D2098" i="12"/>
  <c r="D2153" i="12" s="1"/>
  <c r="D2208" i="12" s="1"/>
  <c r="G258" i="11"/>
  <c r="H325" i="29"/>
  <c r="F150" i="11"/>
  <c r="F1337" i="12"/>
  <c r="H1372" i="12" s="1"/>
  <c r="H1374" i="12" s="1"/>
  <c r="F1323" i="12" s="1"/>
  <c r="Q150" i="11" s="1"/>
  <c r="G1256" i="13"/>
  <c r="G1262" i="13" s="1"/>
  <c r="F1249" i="13" s="1"/>
  <c r="F345" i="11" s="1"/>
  <c r="G454" i="29" s="1"/>
  <c r="F1313" i="13"/>
  <c r="G1313" i="13" s="1"/>
  <c r="G1319" i="13" s="1"/>
  <c r="F1306" i="13" s="1"/>
  <c r="F346" i="11" s="1"/>
  <c r="G455" i="29" s="1"/>
  <c r="F320" i="29"/>
  <c r="E254" i="11"/>
  <c r="G1949" i="12"/>
  <c r="F2004" i="12"/>
  <c r="L135" i="29"/>
  <c r="N135" i="29" s="1"/>
  <c r="M113" i="11"/>
  <c r="N13" i="11"/>
  <c r="X13" i="11" s="1"/>
  <c r="Y13" i="11" s="1"/>
  <c r="D147" i="18"/>
  <c r="D149" i="18" s="1"/>
  <c r="D134" i="18" s="1"/>
  <c r="Z13" i="11" s="1"/>
  <c r="N19" i="11"/>
  <c r="X19" i="11" s="1"/>
  <c r="Y19" i="11" s="1"/>
  <c r="D223" i="18"/>
  <c r="D225" i="18" s="1"/>
  <c r="D210" i="18" s="1"/>
  <c r="Z19" i="11" s="1"/>
  <c r="N21" i="11"/>
  <c r="X21" i="11" s="1"/>
  <c r="Y21" i="11" s="1"/>
  <c r="D241" i="18"/>
  <c r="D243" i="18" s="1"/>
  <c r="D229" i="18" s="1"/>
  <c r="Z21" i="11" s="1"/>
  <c r="N31" i="11"/>
  <c r="X31" i="11" s="1"/>
  <c r="Y31" i="11" s="1"/>
  <c r="D130" i="37"/>
  <c r="D132" i="37" s="1"/>
  <c r="D118" i="37" s="1"/>
  <c r="Z31" i="11" s="1"/>
  <c r="E2044" i="39"/>
  <c r="G2044" i="39" s="1"/>
  <c r="C2096" i="39"/>
  <c r="C2049" i="39"/>
  <c r="E2049" i="39" s="1"/>
  <c r="G2049" i="39" s="1"/>
  <c r="N26" i="11"/>
  <c r="X26" i="11" s="1"/>
  <c r="Y26" i="11" s="1"/>
  <c r="D336" i="18"/>
  <c r="D338" i="18" s="1"/>
  <c r="D323" i="18" s="1"/>
  <c r="Z26" i="11" s="1"/>
  <c r="N24" i="11"/>
  <c r="X24" i="11" s="1"/>
  <c r="Y24" i="11" s="1"/>
  <c r="D299" i="18"/>
  <c r="D301" i="18" s="1"/>
  <c r="D286" i="18" s="1"/>
  <c r="Z24" i="11" s="1"/>
  <c r="H1933" i="12"/>
  <c r="J1933" i="12" s="1"/>
  <c r="D1937" i="12" s="1"/>
  <c r="F1937" i="12" s="1"/>
  <c r="E1988" i="12"/>
  <c r="H1988" i="12" s="1"/>
  <c r="J1988" i="12" s="1"/>
  <c r="D1992" i="12" s="1"/>
  <c r="F1992" i="12" s="1"/>
  <c r="G2054" i="12"/>
  <c r="F2109" i="12"/>
  <c r="I206" i="11"/>
  <c r="G1315" i="16"/>
  <c r="E1302" i="16" s="1"/>
  <c r="J262" i="29"/>
  <c r="N262" i="29" s="1"/>
  <c r="M205" i="11"/>
  <c r="F1453" i="12"/>
  <c r="G1398" i="12"/>
  <c r="G1404" i="12" s="1"/>
  <c r="G199" i="11"/>
  <c r="G1055" i="16"/>
  <c r="G1057" i="16" s="1"/>
  <c r="E1006" i="16" s="1"/>
  <c r="Q199" i="11" s="1"/>
  <c r="F2185" i="12"/>
  <c r="H2185" i="12" s="1"/>
  <c r="D2190" i="12"/>
  <c r="F2190" i="12" s="1"/>
  <c r="H2190" i="12" s="1"/>
  <c r="D2240" i="12"/>
  <c r="F2005" i="12"/>
  <c r="G1950" i="12"/>
  <c r="J193" i="29"/>
  <c r="O319" i="29"/>
  <c r="P251" i="11"/>
  <c r="D1020" i="9"/>
  <c r="F971" i="9"/>
  <c r="H971" i="9" s="1"/>
  <c r="N23" i="11"/>
  <c r="X23" i="11" s="1"/>
  <c r="Y23" i="11" s="1"/>
  <c r="D278" i="18"/>
  <c r="D280" i="18" s="1"/>
  <c r="D266" i="18" s="1"/>
  <c r="Z23" i="11" s="1"/>
  <c r="E190" i="29"/>
  <c r="N10" i="11"/>
  <c r="X10" i="11" s="1"/>
  <c r="Y10" i="11" s="1"/>
  <c r="N11" i="11"/>
  <c r="X11" i="11" s="1"/>
  <c r="Y11" i="11" s="1"/>
  <c r="D108" i="18"/>
  <c r="D110" i="18" s="1"/>
  <c r="D92" i="18" s="1"/>
  <c r="Z11" i="11" s="1"/>
  <c r="J280" i="11"/>
  <c r="K346" i="29"/>
  <c r="N18" i="11"/>
  <c r="X18" i="11" s="1"/>
  <c r="Y18" i="11" s="1"/>
  <c r="D204" i="18"/>
  <c r="D206" i="18" s="1"/>
  <c r="D192" i="18" s="1"/>
  <c r="Z18" i="11" s="1"/>
  <c r="N22" i="11"/>
  <c r="X22" i="11" s="1"/>
  <c r="Y22" i="11" s="1"/>
  <c r="D260" i="18"/>
  <c r="D262" i="18" s="1"/>
  <c r="D247" i="18" s="1"/>
  <c r="Z22" i="11" s="1"/>
  <c r="J341" i="29"/>
  <c r="I274" i="11"/>
  <c r="F1912" i="12"/>
  <c r="H1912" i="12" s="1"/>
  <c r="D1917" i="12"/>
  <c r="F1917" i="12" s="1"/>
  <c r="H1917" i="12" s="1"/>
  <c r="D1967" i="12"/>
  <c r="G2007" i="12"/>
  <c r="F2062" i="12"/>
  <c r="C1142" i="16"/>
  <c r="E1089" i="16"/>
  <c r="G1089" i="16" s="1"/>
  <c r="E1086" i="16" s="1"/>
  <c r="I164" i="11"/>
  <c r="H254" i="29"/>
  <c r="I254" i="29" s="1"/>
  <c r="P254" i="29" s="1"/>
  <c r="Q254" i="29" s="1"/>
  <c r="S254" i="29" s="1"/>
  <c r="U254" i="29" s="1"/>
  <c r="H197" i="11"/>
  <c r="N197" i="11" s="1"/>
  <c r="P197" i="11" s="1"/>
  <c r="R197" i="11" s="1"/>
  <c r="F850" i="9"/>
  <c r="H878" i="9" s="1"/>
  <c r="F113" i="11"/>
  <c r="C1911" i="39"/>
  <c r="D1859" i="39"/>
  <c r="G1859" i="39" s="1"/>
  <c r="I1859" i="39" s="1"/>
  <c r="C1863" i="39" s="1"/>
  <c r="E1863" i="39" s="1"/>
  <c r="C1865" i="39" s="1"/>
  <c r="E1865" i="39" s="1"/>
  <c r="E1855" i="39" s="1"/>
  <c r="H831" i="9"/>
  <c r="H832" i="9" s="1"/>
  <c r="F788" i="9" s="1"/>
  <c r="Q112" i="11" s="1"/>
  <c r="V23" i="29" l="1"/>
  <c r="AA18" i="11"/>
  <c r="Q23" i="29"/>
  <c r="S23" i="29" s="1"/>
  <c r="U23" i="29" s="1"/>
  <c r="F1508" i="12"/>
  <c r="G1453" i="12"/>
  <c r="G1459" i="12" s="1"/>
  <c r="D161" i="11"/>
  <c r="D1940" i="12"/>
  <c r="F1940" i="12" s="1"/>
  <c r="E161" i="11" s="1"/>
  <c r="F191" i="29" s="1"/>
  <c r="AA13" i="11"/>
  <c r="V18" i="29"/>
  <c r="Q18" i="29"/>
  <c r="S18" i="29" s="1"/>
  <c r="U18" i="29" s="1"/>
  <c r="C1993" i="39"/>
  <c r="E1943" i="39"/>
  <c r="G1943" i="39" s="1"/>
  <c r="G1949" i="39" s="1"/>
  <c r="E1936" i="39" s="1"/>
  <c r="C1948" i="39"/>
  <c r="E1948" i="39" s="1"/>
  <c r="G1948" i="39" s="1"/>
  <c r="V30" i="29"/>
  <c r="Q30" i="29"/>
  <c r="S30" i="29" s="1"/>
  <c r="U30" i="29" s="1"/>
  <c r="AA25" i="11"/>
  <c r="E2243" i="39"/>
  <c r="G2243" i="39" s="1"/>
  <c r="C2294" i="39"/>
  <c r="E2294" i="39" s="1"/>
  <c r="G2294" i="39" s="1"/>
  <c r="C2189" i="12"/>
  <c r="C2158" i="12"/>
  <c r="C2209" i="12"/>
  <c r="AA12" i="11"/>
  <c r="V17" i="29"/>
  <c r="W17" i="29" s="1"/>
  <c r="Q17" i="29"/>
  <c r="S17" i="29" s="1"/>
  <c r="U17" i="29" s="1"/>
  <c r="L161" i="11"/>
  <c r="M191" i="29" s="1"/>
  <c r="F2241" i="12"/>
  <c r="H2241" i="12" s="1"/>
  <c r="J166" i="11" s="1"/>
  <c r="K196" i="29" s="1"/>
  <c r="D2246" i="12"/>
  <c r="F2246" i="12" s="1"/>
  <c r="H2246" i="12" s="1"/>
  <c r="C1466" i="16"/>
  <c r="E1411" i="16"/>
  <c r="G1411" i="16" s="1"/>
  <c r="C1416" i="16"/>
  <c r="E1416" i="16" s="1"/>
  <c r="G1416" i="16" s="1"/>
  <c r="J194" i="29"/>
  <c r="V28" i="29"/>
  <c r="AA23" i="11"/>
  <c r="Q28" i="29"/>
  <c r="S28" i="29" s="1"/>
  <c r="U28" i="29" s="1"/>
  <c r="F2060" i="12"/>
  <c r="G2005" i="12"/>
  <c r="AA31" i="11"/>
  <c r="Q36" i="29"/>
  <c r="S36" i="29" s="1"/>
  <c r="U36" i="29" s="1"/>
  <c r="V36" i="29"/>
  <c r="G1897" i="39"/>
  <c r="E1884" i="39" s="1"/>
  <c r="E1573" i="39"/>
  <c r="G1573" i="39" s="1"/>
  <c r="E1570" i="39" s="1"/>
  <c r="G1592" i="39" s="1"/>
  <c r="G1594" i="39" s="1"/>
  <c r="E1545" i="39" s="1"/>
  <c r="Q268" i="11" s="1"/>
  <c r="C1624" i="39"/>
  <c r="E1624" i="39" s="1"/>
  <c r="G1624" i="39" s="1"/>
  <c r="E1621" i="39" s="1"/>
  <c r="G1643" i="39" s="1"/>
  <c r="G1645" i="39" s="1"/>
  <c r="E1596" i="39" s="1"/>
  <c r="Q269" i="11" s="1"/>
  <c r="C1674" i="39"/>
  <c r="O112" i="11"/>
  <c r="P112" i="11" s="1"/>
  <c r="R112" i="11" s="1"/>
  <c r="V134" i="29"/>
  <c r="W134" i="29" s="1"/>
  <c r="J342" i="29"/>
  <c r="I276" i="11"/>
  <c r="G180" i="29"/>
  <c r="I180" i="29" s="1"/>
  <c r="P180" i="29" s="1"/>
  <c r="Q180" i="29" s="1"/>
  <c r="S180" i="29" s="1"/>
  <c r="U180" i="29" s="1"/>
  <c r="H150" i="11"/>
  <c r="N150" i="11" s="1"/>
  <c r="P150" i="11" s="1"/>
  <c r="R150" i="11" s="1"/>
  <c r="B2197" i="39"/>
  <c r="B2219" i="39"/>
  <c r="B2172" i="39"/>
  <c r="V105" i="29"/>
  <c r="W105" i="29" s="1"/>
  <c r="R92" i="11"/>
  <c r="B1838" i="16"/>
  <c r="B1807" i="16"/>
  <c r="B1862" i="16" s="1"/>
  <c r="B1917" i="16" s="1"/>
  <c r="B1972" i="16" s="1"/>
  <c r="B1858" i="16"/>
  <c r="D2078" i="12"/>
  <c r="D2028" i="12"/>
  <c r="F2028" i="12" s="1"/>
  <c r="H2028" i="12" s="1"/>
  <c r="F2023" i="12"/>
  <c r="H2023" i="12" s="1"/>
  <c r="L162" i="11" s="1"/>
  <c r="M192" i="29" s="1"/>
  <c r="B1602" i="39"/>
  <c r="B1584" i="39"/>
  <c r="B1653" i="39"/>
  <c r="B1555" i="39"/>
  <c r="I208" i="11"/>
  <c r="G1368" i="16"/>
  <c r="E1355" i="16" s="1"/>
  <c r="K115" i="11"/>
  <c r="H973" i="9"/>
  <c r="F965" i="9" s="1"/>
  <c r="D1911" i="39"/>
  <c r="G1911" i="39" s="1"/>
  <c r="I1911" i="39" s="1"/>
  <c r="C1915" i="39" s="1"/>
  <c r="E1915" i="39" s="1"/>
  <c r="C1917" i="39" s="1"/>
  <c r="E1917" i="39" s="1"/>
  <c r="E1907" i="39" s="1"/>
  <c r="C1962" i="39"/>
  <c r="F1020" i="9"/>
  <c r="H1020" i="9" s="1"/>
  <c r="D1069" i="9"/>
  <c r="Q26" i="29"/>
  <c r="S26" i="29" s="1"/>
  <c r="U26" i="29" s="1"/>
  <c r="AA21" i="11"/>
  <c r="V26" i="29"/>
  <c r="W26" i="29" s="1"/>
  <c r="F2059" i="12"/>
  <c r="G2004" i="12"/>
  <c r="Q37" i="29"/>
  <c r="S37" i="29" s="1"/>
  <c r="U37" i="29" s="1"/>
  <c r="AA32" i="11"/>
  <c r="V37" i="29"/>
  <c r="W37" i="29" s="1"/>
  <c r="L273" i="11"/>
  <c r="M340" i="29"/>
  <c r="H343" i="11"/>
  <c r="N343" i="11" s="1"/>
  <c r="P343" i="11" s="1"/>
  <c r="R343" i="11" s="1"/>
  <c r="V20" i="29"/>
  <c r="W20" i="29" s="1"/>
  <c r="AA15" i="11"/>
  <c r="Q20" i="29"/>
  <c r="S20" i="29" s="1"/>
  <c r="U20" i="29" s="1"/>
  <c r="Q29" i="29"/>
  <c r="S29" i="29" s="1"/>
  <c r="U29" i="29" s="1"/>
  <c r="AA24" i="11"/>
  <c r="V29" i="29"/>
  <c r="G135" i="29"/>
  <c r="I135" i="29" s="1"/>
  <c r="P135" i="29" s="1"/>
  <c r="Q135" i="29" s="1"/>
  <c r="R135" i="29" s="1"/>
  <c r="S135" i="29" s="1"/>
  <c r="U135" i="29" s="1"/>
  <c r="H113" i="11"/>
  <c r="N113" i="11" s="1"/>
  <c r="G2062" i="12"/>
  <c r="F2117" i="12"/>
  <c r="V16" i="29"/>
  <c r="W16" i="29" s="1"/>
  <c r="AA11" i="11"/>
  <c r="Q16" i="29"/>
  <c r="S16" i="29" s="1"/>
  <c r="U16" i="29" s="1"/>
  <c r="R251" i="11"/>
  <c r="Q319" i="29"/>
  <c r="S319" i="29" s="1"/>
  <c r="U319" i="29" s="1"/>
  <c r="I165" i="11"/>
  <c r="M206" i="11"/>
  <c r="J263" i="29"/>
  <c r="N263" i="29" s="1"/>
  <c r="Q31" i="29"/>
  <c r="S31" i="29" s="1"/>
  <c r="U31" i="29" s="1"/>
  <c r="AA26" i="11"/>
  <c r="V31" i="29"/>
  <c r="C1525" i="16"/>
  <c r="E1525" i="16" s="1"/>
  <c r="G1525" i="16" s="1"/>
  <c r="C1573" i="16"/>
  <c r="E1520" i="16"/>
  <c r="G1520" i="16" s="1"/>
  <c r="L136" i="29"/>
  <c r="N136" i="29" s="1"/>
  <c r="M114" i="11"/>
  <c r="I452" i="29"/>
  <c r="O452" i="29" s="1"/>
  <c r="Q452" i="29" s="1"/>
  <c r="S452" i="29" s="1"/>
  <c r="U452" i="29" s="1"/>
  <c r="N253" i="11"/>
  <c r="I321" i="29"/>
  <c r="L189" i="29"/>
  <c r="N189" i="29" s="1"/>
  <c r="M159" i="11"/>
  <c r="F114" i="11"/>
  <c r="F899" i="9"/>
  <c r="H927" i="9" s="1"/>
  <c r="K160" i="11"/>
  <c r="H1919" i="12"/>
  <c r="F1906" i="12" s="1"/>
  <c r="C1194" i="16"/>
  <c r="E1142" i="16"/>
  <c r="G1142" i="16" s="1"/>
  <c r="E1139" i="16" s="1"/>
  <c r="H880" i="9"/>
  <c r="H881" i="9" s="1"/>
  <c r="F837" i="9" s="1"/>
  <c r="Q113" i="11" s="1"/>
  <c r="Q15" i="29"/>
  <c r="S15" i="29" s="1"/>
  <c r="U15" i="29" s="1"/>
  <c r="AA10" i="11"/>
  <c r="V15" i="29"/>
  <c r="F2164" i="12"/>
  <c r="G2109" i="12"/>
  <c r="V24" i="29"/>
  <c r="W24" i="29" s="1"/>
  <c r="Q24" i="29"/>
  <c r="S24" i="29" s="1"/>
  <c r="U24" i="29" s="1"/>
  <c r="AA19" i="11"/>
  <c r="E256" i="11"/>
  <c r="F322" i="29"/>
  <c r="G259" i="11"/>
  <c r="H326" i="29"/>
  <c r="F2168" i="39"/>
  <c r="G2116" i="39"/>
  <c r="I2116" i="39" s="1"/>
  <c r="C2120" i="39" s="1"/>
  <c r="E2120" i="39" s="1"/>
  <c r="D345" i="11"/>
  <c r="D1247" i="13"/>
  <c r="F1247" i="13" s="1"/>
  <c r="E453" i="29"/>
  <c r="I453" i="29" s="1"/>
  <c r="O453" i="29" s="1"/>
  <c r="Q453" i="29" s="1"/>
  <c r="S453" i="29" s="1"/>
  <c r="U453" i="29" s="1"/>
  <c r="G1002" i="9"/>
  <c r="G958" i="9"/>
  <c r="G2110" i="12"/>
  <c r="F2165" i="12"/>
  <c r="G200" i="11"/>
  <c r="G1108" i="16"/>
  <c r="G1110" i="16" s="1"/>
  <c r="E1060" i="16" s="1"/>
  <c r="Q200" i="11" s="1"/>
  <c r="J281" i="11"/>
  <c r="K348" i="29"/>
  <c r="F2240" i="12"/>
  <c r="H2240" i="12" s="1"/>
  <c r="D2245" i="12"/>
  <c r="F2245" i="12" s="1"/>
  <c r="H2245" i="12" s="1"/>
  <c r="F1967" i="12"/>
  <c r="H1967" i="12" s="1"/>
  <c r="D2022" i="12"/>
  <c r="D1972" i="12"/>
  <c r="F1972" i="12" s="1"/>
  <c r="H1972" i="12" s="1"/>
  <c r="V27" i="29"/>
  <c r="AA22" i="11"/>
  <c r="Q27" i="29"/>
  <c r="S27" i="29" s="1"/>
  <c r="U27" i="29" s="1"/>
  <c r="H256" i="29"/>
  <c r="I256" i="29" s="1"/>
  <c r="P256" i="29" s="1"/>
  <c r="Q256" i="29" s="1"/>
  <c r="S256" i="29" s="1"/>
  <c r="U256" i="29" s="1"/>
  <c r="H199" i="11"/>
  <c r="N199" i="11" s="1"/>
  <c r="P199" i="11" s="1"/>
  <c r="R199" i="11" s="1"/>
  <c r="C2146" i="39"/>
  <c r="E2096" i="39"/>
  <c r="G2096" i="39" s="1"/>
  <c r="C2101" i="39"/>
  <c r="E2101" i="39" s="1"/>
  <c r="G2101" i="39" s="1"/>
  <c r="G2006" i="12"/>
  <c r="F2061" i="12"/>
  <c r="L340" i="29"/>
  <c r="K273" i="11"/>
  <c r="M272" i="11"/>
  <c r="N340" i="29" s="1"/>
  <c r="AA16" i="11"/>
  <c r="Q21" i="29"/>
  <c r="S21" i="29" s="1"/>
  <c r="U21" i="29" s="1"/>
  <c r="V21" i="29"/>
  <c r="W21" i="29" s="1"/>
  <c r="D256" i="11"/>
  <c r="H254" i="11"/>
  <c r="E322" i="29"/>
  <c r="D346" i="11"/>
  <c r="D1304" i="13"/>
  <c r="F1304" i="13" s="1"/>
  <c r="E344" i="11"/>
  <c r="F453" i="29" s="1"/>
  <c r="F1180" i="13"/>
  <c r="H1228" i="13" s="1"/>
  <c r="H1230" i="13" s="1"/>
  <c r="F1178" i="13" s="1"/>
  <c r="M25" i="13" s="1"/>
  <c r="Q344" i="11" s="1"/>
  <c r="O320" i="29"/>
  <c r="P252" i="11"/>
  <c r="F1392" i="12"/>
  <c r="H1427" i="12" s="1"/>
  <c r="H1429" i="12" s="1"/>
  <c r="F1378" i="12" s="1"/>
  <c r="Q151" i="11" s="1"/>
  <c r="F151" i="11"/>
  <c r="D162" i="11"/>
  <c r="D1995" i="12"/>
  <c r="F1995" i="12" s="1"/>
  <c r="E162" i="11" s="1"/>
  <c r="F192" i="29" s="1"/>
  <c r="F1985" i="12"/>
  <c r="E2098" i="12"/>
  <c r="H2043" i="12"/>
  <c r="J2043" i="12" s="1"/>
  <c r="D2047" i="12" s="1"/>
  <c r="F2047" i="12" s="1"/>
  <c r="D2124" i="12"/>
  <c r="F2069" i="12"/>
  <c r="H2069" i="12" s="1"/>
  <c r="F2066" i="12" s="1"/>
  <c r="G163" i="11" s="1"/>
  <c r="H193" i="29" s="1"/>
  <c r="C2239" i="12"/>
  <c r="C2212" i="12"/>
  <c r="E346" i="11" l="1"/>
  <c r="F455" i="29" s="1"/>
  <c r="F1294" i="13"/>
  <c r="H1342" i="13" s="1"/>
  <c r="H1344" i="13" s="1"/>
  <c r="F1292" i="13" s="1"/>
  <c r="M27" i="13" s="1"/>
  <c r="Q346" i="11" s="1"/>
  <c r="D2077" i="12"/>
  <c r="D2027" i="12"/>
  <c r="F2027" i="12" s="1"/>
  <c r="H2027" i="12" s="1"/>
  <c r="F2022" i="12"/>
  <c r="H2022" i="12" s="1"/>
  <c r="G2165" i="12"/>
  <c r="F2220" i="12"/>
  <c r="G2220" i="12" s="1"/>
  <c r="G202" i="11"/>
  <c r="G1161" i="16"/>
  <c r="G1163" i="16" s="1"/>
  <c r="E1112" i="16" s="1"/>
  <c r="Q202" i="11" s="1"/>
  <c r="C1578" i="16"/>
  <c r="E1578" i="16" s="1"/>
  <c r="G1578" i="16" s="1"/>
  <c r="E1573" i="16"/>
  <c r="G1573" i="16" s="1"/>
  <c r="K214" i="11" s="1"/>
  <c r="L271" i="29" s="1"/>
  <c r="C1625" i="16"/>
  <c r="V135" i="29"/>
  <c r="W135" i="29" s="1"/>
  <c r="O113" i="11"/>
  <c r="P113" i="11" s="1"/>
  <c r="R113" i="11" s="1"/>
  <c r="G2059" i="12"/>
  <c r="F2114" i="12"/>
  <c r="H346" i="11"/>
  <c r="N346" i="11" s="1"/>
  <c r="P346" i="11" s="1"/>
  <c r="R346" i="11" s="1"/>
  <c r="E455" i="29"/>
  <c r="I455" i="29" s="1"/>
  <c r="O455" i="29" s="1"/>
  <c r="Q455" i="29" s="1"/>
  <c r="S455" i="29" s="1"/>
  <c r="U455" i="29" s="1"/>
  <c r="K161" i="11"/>
  <c r="H1974" i="12"/>
  <c r="F1961" i="12" s="1"/>
  <c r="F2219" i="39"/>
  <c r="G2168" i="39"/>
  <c r="I2168" i="39" s="1"/>
  <c r="C2172" i="39" s="1"/>
  <c r="E2172" i="39" s="1"/>
  <c r="C1247" i="16"/>
  <c r="E1194" i="16"/>
  <c r="G1194" i="16" s="1"/>
  <c r="E1191" i="16" s="1"/>
  <c r="O321" i="29"/>
  <c r="P253" i="11"/>
  <c r="L137" i="29"/>
  <c r="N137" i="29" s="1"/>
  <c r="M115" i="11"/>
  <c r="B2223" i="39"/>
  <c r="B2271" i="39"/>
  <c r="B2248" i="39"/>
  <c r="W30" i="29"/>
  <c r="E191" i="29"/>
  <c r="E192" i="29"/>
  <c r="F115" i="11"/>
  <c r="F948" i="9"/>
  <c r="H976" i="9" s="1"/>
  <c r="G2164" i="12"/>
  <c r="F2219" i="12"/>
  <c r="G2219" i="12" s="1"/>
  <c r="W31" i="29"/>
  <c r="W29" i="29"/>
  <c r="D2083" i="12"/>
  <c r="F2083" i="12" s="1"/>
  <c r="H2083" i="12" s="1"/>
  <c r="D2133" i="12"/>
  <c r="F2078" i="12"/>
  <c r="H2078" i="12" s="1"/>
  <c r="L163" i="11" s="1"/>
  <c r="M193" i="29" s="1"/>
  <c r="G1420" i="16"/>
  <c r="E1407" i="16" s="1"/>
  <c r="I209" i="11"/>
  <c r="C2213" i="12"/>
  <c r="C2244" i="12"/>
  <c r="F1930" i="12"/>
  <c r="G181" i="29"/>
  <c r="I181" i="29" s="1"/>
  <c r="P181" i="29" s="1"/>
  <c r="Q181" i="29" s="1"/>
  <c r="S181" i="29" s="1"/>
  <c r="U181" i="29" s="1"/>
  <c r="H151" i="11"/>
  <c r="N151" i="11" s="1"/>
  <c r="P151" i="11" s="1"/>
  <c r="R151" i="11" s="1"/>
  <c r="K274" i="11"/>
  <c r="L341" i="29"/>
  <c r="M273" i="11"/>
  <c r="N341" i="29" s="1"/>
  <c r="D2179" i="12"/>
  <c r="F2124" i="12"/>
  <c r="H2124" i="12" s="1"/>
  <c r="F2121" i="12" s="1"/>
  <c r="G164" i="11" s="1"/>
  <c r="H194" i="29" s="1"/>
  <c r="D2050" i="12"/>
  <c r="F2050" i="12" s="1"/>
  <c r="E163" i="11" s="1"/>
  <c r="F193" i="29" s="1"/>
  <c r="F2040" i="12"/>
  <c r="D163" i="11"/>
  <c r="I322" i="29"/>
  <c r="N254" i="11"/>
  <c r="F2116" i="12"/>
  <c r="G2061" i="12"/>
  <c r="I166" i="11"/>
  <c r="G1051" i="9"/>
  <c r="G1007" i="9"/>
  <c r="H327" i="29"/>
  <c r="G261" i="11"/>
  <c r="W15" i="29"/>
  <c r="L190" i="29"/>
  <c r="N190" i="29" s="1"/>
  <c r="M160" i="11"/>
  <c r="L274" i="11"/>
  <c r="M341" i="29"/>
  <c r="J265" i="29"/>
  <c r="N265" i="29" s="1"/>
  <c r="M208" i="11"/>
  <c r="B1893" i="16"/>
  <c r="B1913" i="16"/>
  <c r="E1674" i="39"/>
  <c r="G1674" i="39" s="1"/>
  <c r="E1671" i="39" s="1"/>
  <c r="G1693" i="39" s="1"/>
  <c r="G1695" i="39" s="1"/>
  <c r="E1647" i="39" s="1"/>
  <c r="Q270" i="11" s="1"/>
  <c r="C1727" i="39"/>
  <c r="F2115" i="12"/>
  <c r="G2060" i="12"/>
  <c r="C1471" i="16"/>
  <c r="E1471" i="16" s="1"/>
  <c r="G1471" i="16" s="1"/>
  <c r="C1518" i="16"/>
  <c r="E1466" i="16"/>
  <c r="G1466" i="16" s="1"/>
  <c r="F1447" i="12"/>
  <c r="H1482" i="12" s="1"/>
  <c r="H1484" i="12" s="1"/>
  <c r="F1433" i="12" s="1"/>
  <c r="Q152" i="11" s="1"/>
  <c r="F152" i="11"/>
  <c r="H930" i="9"/>
  <c r="F886" i="9" s="1"/>
  <c r="Q114" i="11" s="1"/>
  <c r="H929" i="9"/>
  <c r="D1118" i="9"/>
  <c r="F1069" i="9"/>
  <c r="H1069" i="9" s="1"/>
  <c r="C2046" i="39"/>
  <c r="E1993" i="39"/>
  <c r="G1993" i="39" s="1"/>
  <c r="C1998" i="39"/>
  <c r="E1998" i="39" s="1"/>
  <c r="G1998" i="39" s="1"/>
  <c r="F1563" i="12"/>
  <c r="G1508" i="12"/>
  <c r="G1514" i="12" s="1"/>
  <c r="E2153" i="12"/>
  <c r="H2098" i="12"/>
  <c r="J2098" i="12" s="1"/>
  <c r="D2102" i="12" s="1"/>
  <c r="F2102" i="12" s="1"/>
  <c r="J282" i="11"/>
  <c r="K349" i="29"/>
  <c r="H344" i="11"/>
  <c r="N344" i="11" s="1"/>
  <c r="P344" i="11" s="1"/>
  <c r="R344" i="11" s="1"/>
  <c r="E257" i="11"/>
  <c r="F324" i="29"/>
  <c r="G136" i="29"/>
  <c r="I136" i="29" s="1"/>
  <c r="P136" i="29" s="1"/>
  <c r="Q136" i="29" s="1"/>
  <c r="R136" i="29" s="1"/>
  <c r="S136" i="29" s="1"/>
  <c r="U136" i="29" s="1"/>
  <c r="H114" i="11"/>
  <c r="N114" i="11" s="1"/>
  <c r="K116" i="11"/>
  <c r="H1022" i="9"/>
  <c r="F1014" i="9" s="1"/>
  <c r="B1685" i="39"/>
  <c r="B1705" i="39"/>
  <c r="B1657" i="39"/>
  <c r="D257" i="11"/>
  <c r="H256" i="11"/>
  <c r="E324" i="29"/>
  <c r="W27" i="29"/>
  <c r="E345" i="11"/>
  <c r="F454" i="29" s="1"/>
  <c r="F1237" i="13"/>
  <c r="H1285" i="13" s="1"/>
  <c r="H1287" i="13" s="1"/>
  <c r="F1235" i="13" s="1"/>
  <c r="M26" i="13" s="1"/>
  <c r="Q345" i="11" s="1"/>
  <c r="F2172" i="12"/>
  <c r="G2117" i="12"/>
  <c r="C2014" i="39"/>
  <c r="D1962" i="39"/>
  <c r="G1962" i="39" s="1"/>
  <c r="I1962" i="39" s="1"/>
  <c r="C1966" i="39" s="1"/>
  <c r="E1966" i="39" s="1"/>
  <c r="C1968" i="39" s="1"/>
  <c r="E1968" i="39" s="1"/>
  <c r="E1958" i="39" s="1"/>
  <c r="J344" i="29"/>
  <c r="I277" i="11"/>
  <c r="W28" i="29"/>
  <c r="W18" i="29"/>
  <c r="R252" i="11"/>
  <c r="Q320" i="29"/>
  <c r="S320" i="29" s="1"/>
  <c r="U320" i="29" s="1"/>
  <c r="C2199" i="39"/>
  <c r="E2146" i="39"/>
  <c r="G2146" i="39" s="1"/>
  <c r="C2151" i="39"/>
  <c r="E2151" i="39" s="1"/>
  <c r="G2151" i="39" s="1"/>
  <c r="H257" i="29"/>
  <c r="I257" i="29" s="1"/>
  <c r="P257" i="29" s="1"/>
  <c r="Q257" i="29" s="1"/>
  <c r="S257" i="29" s="1"/>
  <c r="U257" i="29" s="1"/>
  <c r="H200" i="11"/>
  <c r="N200" i="11" s="1"/>
  <c r="P200" i="11" s="1"/>
  <c r="R200" i="11" s="1"/>
  <c r="H345" i="11"/>
  <c r="N345" i="11" s="1"/>
  <c r="P345" i="11" s="1"/>
  <c r="R345" i="11" s="1"/>
  <c r="E454" i="29"/>
  <c r="I454" i="29" s="1"/>
  <c r="O454" i="29" s="1"/>
  <c r="Q454" i="29" s="1"/>
  <c r="S454" i="29" s="1"/>
  <c r="U454" i="29" s="1"/>
  <c r="K212" i="11"/>
  <c r="L269" i="29" s="1"/>
  <c r="J195" i="29"/>
  <c r="B1635" i="39"/>
  <c r="B1606" i="39"/>
  <c r="W36" i="29"/>
  <c r="W23" i="29"/>
  <c r="L138" i="29" l="1"/>
  <c r="N138" i="29" s="1"/>
  <c r="M116" i="11"/>
  <c r="D2105" i="12"/>
  <c r="F2105" i="12" s="1"/>
  <c r="E164" i="11" s="1"/>
  <c r="F194" i="29" s="1"/>
  <c r="D164" i="11"/>
  <c r="F2095" i="12"/>
  <c r="D1167" i="9"/>
  <c r="F1118" i="9"/>
  <c r="H1118" i="9" s="1"/>
  <c r="G1100" i="9"/>
  <c r="G1056" i="9"/>
  <c r="C2250" i="39"/>
  <c r="C2204" i="39"/>
  <c r="E2204" i="39" s="1"/>
  <c r="G2204" i="39" s="1"/>
  <c r="E2199" i="39"/>
  <c r="G2199" i="39" s="1"/>
  <c r="C2066" i="39"/>
  <c r="D2014" i="39"/>
  <c r="G2014" i="39" s="1"/>
  <c r="I2014" i="39" s="1"/>
  <c r="C2018" i="39" s="1"/>
  <c r="E2018" i="39" s="1"/>
  <c r="C2020" i="39" s="1"/>
  <c r="E2020" i="39" s="1"/>
  <c r="E2010" i="39" s="1"/>
  <c r="O114" i="11"/>
  <c r="P114" i="11" s="1"/>
  <c r="R114" i="11" s="1"/>
  <c r="V136" i="29"/>
  <c r="W136" i="29" s="1"/>
  <c r="H2153" i="12"/>
  <c r="J2153" i="12" s="1"/>
  <c r="D2157" i="12" s="1"/>
  <c r="F2157" i="12" s="1"/>
  <c r="E2208" i="12"/>
  <c r="H2208" i="12" s="1"/>
  <c r="J2208" i="12" s="1"/>
  <c r="D2212" i="12" s="1"/>
  <c r="F2212" i="12" s="1"/>
  <c r="G2115" i="12"/>
  <c r="F2170" i="12"/>
  <c r="L276" i="11"/>
  <c r="M342" i="29"/>
  <c r="R253" i="11"/>
  <c r="Q321" i="29"/>
  <c r="S321" i="29" s="1"/>
  <c r="U321" i="29" s="1"/>
  <c r="L191" i="29"/>
  <c r="N191" i="29" s="1"/>
  <c r="M161" i="11"/>
  <c r="N256" i="11"/>
  <c r="I324" i="29"/>
  <c r="F153" i="11"/>
  <c r="F1502" i="12"/>
  <c r="H1537" i="12" s="1"/>
  <c r="H1539" i="12" s="1"/>
  <c r="F1488" i="12" s="1"/>
  <c r="Q153" i="11" s="1"/>
  <c r="C1778" i="39"/>
  <c r="E1727" i="39"/>
  <c r="G1727" i="39" s="1"/>
  <c r="E1724" i="39" s="1"/>
  <c r="G1746" i="39" s="1"/>
  <c r="G1748" i="39" s="1"/>
  <c r="E1699" i="39" s="1"/>
  <c r="Q272" i="11" s="1"/>
  <c r="J196" i="29"/>
  <c r="C1678" i="16"/>
  <c r="C1630" i="16"/>
  <c r="E1630" i="16" s="1"/>
  <c r="G1630" i="16" s="1"/>
  <c r="E1625" i="16"/>
  <c r="G1625" i="16" s="1"/>
  <c r="K215" i="11" s="1"/>
  <c r="L272" i="29" s="1"/>
  <c r="D258" i="11"/>
  <c r="H257" i="11"/>
  <c r="E325" i="29"/>
  <c r="F1618" i="12"/>
  <c r="G1563" i="12"/>
  <c r="G1569" i="12" s="1"/>
  <c r="G182" i="29"/>
  <c r="I182" i="29" s="1"/>
  <c r="P182" i="29" s="1"/>
  <c r="Q182" i="29" s="1"/>
  <c r="S182" i="29" s="1"/>
  <c r="U182" i="29" s="1"/>
  <c r="H152" i="11"/>
  <c r="N152" i="11" s="1"/>
  <c r="P152" i="11" s="1"/>
  <c r="R152" i="11" s="1"/>
  <c r="F2179" i="12"/>
  <c r="H2179" i="12" s="1"/>
  <c r="F2176" i="12" s="1"/>
  <c r="G165" i="11" s="1"/>
  <c r="H195" i="29" s="1"/>
  <c r="D2234" i="12"/>
  <c r="F2234" i="12" s="1"/>
  <c r="H2234" i="12" s="1"/>
  <c r="F2231" i="12" s="1"/>
  <c r="G166" i="11" s="1"/>
  <c r="H196" i="29" s="1"/>
  <c r="G203" i="11"/>
  <c r="G1213" i="16"/>
  <c r="G1215" i="16" s="1"/>
  <c r="E1165" i="16" s="1"/>
  <c r="Q203" i="11" s="1"/>
  <c r="K162" i="11"/>
  <c r="H2029" i="12"/>
  <c r="F2016" i="12" s="1"/>
  <c r="F2227" i="12"/>
  <c r="G2227" i="12" s="1"/>
  <c r="G2172" i="12"/>
  <c r="F325" i="29"/>
  <c r="E258" i="11"/>
  <c r="B1948" i="16"/>
  <c r="B1968" i="16"/>
  <c r="B2003" i="16" s="1"/>
  <c r="F2171" i="12"/>
  <c r="G2116" i="12"/>
  <c r="M209" i="11"/>
  <c r="J266" i="29"/>
  <c r="N266" i="29" s="1"/>
  <c r="E1247" i="16"/>
  <c r="G1247" i="16" s="1"/>
  <c r="E1244" i="16" s="1"/>
  <c r="C1299" i="16"/>
  <c r="B1756" i="39"/>
  <c r="B1709" i="39"/>
  <c r="B1738" i="39"/>
  <c r="G1999" i="39"/>
  <c r="E1986" i="39" s="1"/>
  <c r="I211" i="11"/>
  <c r="G1475" i="16"/>
  <c r="E1462" i="16" s="1"/>
  <c r="G262" i="11"/>
  <c r="H329" i="29"/>
  <c r="O322" i="29"/>
  <c r="P254" i="11"/>
  <c r="H978" i="9"/>
  <c r="H979" i="9" s="1"/>
  <c r="F935" i="9" s="1"/>
  <c r="Q115" i="11" s="1"/>
  <c r="B2275" i="39"/>
  <c r="B2299" i="39"/>
  <c r="F2169" i="12"/>
  <c r="G2114" i="12"/>
  <c r="D2132" i="12"/>
  <c r="D2082" i="12"/>
  <c r="F2082" i="12" s="1"/>
  <c r="H2082" i="12" s="1"/>
  <c r="F2077" i="12"/>
  <c r="H2077" i="12" s="1"/>
  <c r="C2051" i="39"/>
  <c r="E2051" i="39" s="1"/>
  <c r="G2051" i="39" s="1"/>
  <c r="C2098" i="39"/>
  <c r="E2046" i="39"/>
  <c r="G2046" i="39" s="1"/>
  <c r="G2052" i="39" s="1"/>
  <c r="E2039" i="39" s="1"/>
  <c r="E1518" i="16"/>
  <c r="G1518" i="16" s="1"/>
  <c r="C1523" i="16"/>
  <c r="E1523" i="16" s="1"/>
  <c r="G1523" i="16" s="1"/>
  <c r="C1571" i="16"/>
  <c r="K276" i="11"/>
  <c r="L342" i="29"/>
  <c r="M274" i="11"/>
  <c r="N342" i="29" s="1"/>
  <c r="G137" i="29"/>
  <c r="I137" i="29" s="1"/>
  <c r="P137" i="29" s="1"/>
  <c r="Q137" i="29" s="1"/>
  <c r="R137" i="29" s="1"/>
  <c r="S137" i="29" s="1"/>
  <c r="U137" i="29" s="1"/>
  <c r="H115" i="11"/>
  <c r="N115" i="11" s="1"/>
  <c r="H259" i="29"/>
  <c r="I259" i="29" s="1"/>
  <c r="P259" i="29" s="1"/>
  <c r="Q259" i="29" s="1"/>
  <c r="S259" i="29" s="1"/>
  <c r="U259" i="29" s="1"/>
  <c r="H202" i="11"/>
  <c r="N202" i="11" s="1"/>
  <c r="P202" i="11" s="1"/>
  <c r="R202" i="11" s="1"/>
  <c r="I278" i="11"/>
  <c r="J345" i="29"/>
  <c r="K350" i="29"/>
  <c r="J284" i="11"/>
  <c r="K117" i="11"/>
  <c r="H1071" i="9"/>
  <c r="F1063" i="9" s="1"/>
  <c r="F116" i="11"/>
  <c r="F997" i="9"/>
  <c r="H1025" i="9" s="1"/>
  <c r="E193" i="29"/>
  <c r="F2133" i="12"/>
  <c r="H2133" i="12" s="1"/>
  <c r="D2138" i="12"/>
  <c r="F2138" i="12" s="1"/>
  <c r="H2138" i="12" s="1"/>
  <c r="D2188" i="12"/>
  <c r="F2271" i="39"/>
  <c r="G2271" i="39" s="1"/>
  <c r="I2271" i="39" s="1"/>
  <c r="C2275" i="39" s="1"/>
  <c r="E2275" i="39" s="1"/>
  <c r="G2219" i="39"/>
  <c r="I2219" i="39" s="1"/>
  <c r="C2223" i="39" s="1"/>
  <c r="E2223" i="39" s="1"/>
  <c r="H1027" i="9" l="1"/>
  <c r="H1028" i="9"/>
  <c r="F984" i="9" s="1"/>
  <c r="Q116" i="11" s="1"/>
  <c r="D2193" i="12"/>
  <c r="F2193" i="12" s="1"/>
  <c r="H2193" i="12" s="1"/>
  <c r="D2243" i="12"/>
  <c r="F2188" i="12"/>
  <c r="H2188" i="12" s="1"/>
  <c r="L165" i="11" s="1"/>
  <c r="M195" i="29" s="1"/>
  <c r="L139" i="29"/>
  <c r="N139" i="29" s="1"/>
  <c r="M117" i="11"/>
  <c r="K277" i="11"/>
  <c r="L344" i="29"/>
  <c r="M276" i="11"/>
  <c r="N344" i="29" s="1"/>
  <c r="R254" i="11"/>
  <c r="Q322" i="29"/>
  <c r="S322" i="29" s="1"/>
  <c r="U322" i="29" s="1"/>
  <c r="F2226" i="12"/>
  <c r="G2226" i="12" s="1"/>
  <c r="G2171" i="12"/>
  <c r="L192" i="29"/>
  <c r="N192" i="29" s="1"/>
  <c r="M162" i="11"/>
  <c r="F1557" i="12"/>
  <c r="H1592" i="12" s="1"/>
  <c r="H1594" i="12" s="1"/>
  <c r="F1543" i="12" s="1"/>
  <c r="Q154" i="11" s="1"/>
  <c r="F154" i="11"/>
  <c r="P256" i="11"/>
  <c r="O324" i="29"/>
  <c r="F2225" i="12"/>
  <c r="G2225" i="12" s="1"/>
  <c r="G2170" i="12"/>
  <c r="C2117" i="39"/>
  <c r="D2066" i="39"/>
  <c r="G2066" i="39" s="1"/>
  <c r="I2066" i="39" s="1"/>
  <c r="C2070" i="39" s="1"/>
  <c r="E2070" i="39" s="1"/>
  <c r="C2072" i="39" s="1"/>
  <c r="E2072" i="39" s="1"/>
  <c r="E2062" i="39" s="1"/>
  <c r="K118" i="11"/>
  <c r="H1120" i="9"/>
  <c r="F1112" i="9" s="1"/>
  <c r="C1623" i="16"/>
  <c r="E1571" i="16"/>
  <c r="G1571" i="16" s="1"/>
  <c r="C1576" i="16"/>
  <c r="E1576" i="16" s="1"/>
  <c r="G1576" i="16" s="1"/>
  <c r="D2187" i="12"/>
  <c r="F2132" i="12"/>
  <c r="H2132" i="12" s="1"/>
  <c r="D2137" i="12"/>
  <c r="F2137" i="12" s="1"/>
  <c r="H2137" i="12" s="1"/>
  <c r="B1807" i="39"/>
  <c r="B1760" i="39"/>
  <c r="B1789" i="39"/>
  <c r="F1673" i="12"/>
  <c r="G1618" i="12"/>
  <c r="G1624" i="12" s="1"/>
  <c r="F1167" i="9"/>
  <c r="H1167" i="9" s="1"/>
  <c r="D1216" i="9"/>
  <c r="L164" i="11"/>
  <c r="M194" i="29" s="1"/>
  <c r="E1299" i="16"/>
  <c r="G1299" i="16" s="1"/>
  <c r="E1296" i="16" s="1"/>
  <c r="C1352" i="16"/>
  <c r="H260" i="29"/>
  <c r="I260" i="29" s="1"/>
  <c r="P260" i="29" s="1"/>
  <c r="Q260" i="29" s="1"/>
  <c r="S260" i="29" s="1"/>
  <c r="U260" i="29" s="1"/>
  <c r="H203" i="11"/>
  <c r="N203" i="11" s="1"/>
  <c r="P203" i="11" s="1"/>
  <c r="R203" i="11" s="1"/>
  <c r="F2205" i="12"/>
  <c r="D166" i="11"/>
  <c r="D2215" i="12"/>
  <c r="F2215" i="12" s="1"/>
  <c r="E166" i="11" s="1"/>
  <c r="F196" i="29" s="1"/>
  <c r="G1527" i="16"/>
  <c r="E1514" i="16" s="1"/>
  <c r="I212" i="11"/>
  <c r="G2169" i="12"/>
  <c r="F2224" i="12"/>
  <c r="G2224" i="12" s="1"/>
  <c r="G263" i="11"/>
  <c r="H330" i="29"/>
  <c r="G205" i="11"/>
  <c r="G1266" i="16"/>
  <c r="G1268" i="16" s="1"/>
  <c r="E1217" i="16" s="1"/>
  <c r="Q205" i="11" s="1"/>
  <c r="E259" i="11"/>
  <c r="F326" i="29"/>
  <c r="I325" i="29"/>
  <c r="N257" i="11"/>
  <c r="D165" i="11"/>
  <c r="F2150" i="12"/>
  <c r="D2160" i="12"/>
  <c r="F2160" i="12" s="1"/>
  <c r="E165" i="11" s="1"/>
  <c r="F195" i="29" s="1"/>
  <c r="E2250" i="39"/>
  <c r="G2250" i="39" s="1"/>
  <c r="C2255" i="39"/>
  <c r="E2255" i="39" s="1"/>
  <c r="G2255" i="39" s="1"/>
  <c r="C2301" i="39"/>
  <c r="E194" i="29"/>
  <c r="O115" i="11"/>
  <c r="P115" i="11" s="1"/>
  <c r="R115" i="11" s="1"/>
  <c r="V137" i="29"/>
  <c r="W137" i="29" s="1"/>
  <c r="D259" i="11"/>
  <c r="E326" i="29"/>
  <c r="H258" i="11"/>
  <c r="E1778" i="39"/>
  <c r="G1778" i="39" s="1"/>
  <c r="E1775" i="39" s="1"/>
  <c r="G1797" i="39" s="1"/>
  <c r="G1799" i="39" s="1"/>
  <c r="E1750" i="39" s="1"/>
  <c r="Q273" i="11" s="1"/>
  <c r="C1828" i="39"/>
  <c r="K352" i="29"/>
  <c r="J285" i="11"/>
  <c r="C2148" i="39"/>
  <c r="E2098" i="39"/>
  <c r="G2098" i="39" s="1"/>
  <c r="G2104" i="39" s="1"/>
  <c r="E2091" i="39" s="1"/>
  <c r="C2103" i="39"/>
  <c r="E2103" i="39" s="1"/>
  <c r="G2103" i="39" s="1"/>
  <c r="M211" i="11"/>
  <c r="J268" i="29"/>
  <c r="N268" i="29" s="1"/>
  <c r="G138" i="29"/>
  <c r="I138" i="29" s="1"/>
  <c r="P138" i="29" s="1"/>
  <c r="Q138" i="29" s="1"/>
  <c r="R138" i="29" s="1"/>
  <c r="S138" i="29" s="1"/>
  <c r="U138" i="29" s="1"/>
  <c r="H116" i="11"/>
  <c r="N116" i="11" s="1"/>
  <c r="I280" i="11"/>
  <c r="J346" i="29"/>
  <c r="G183" i="29"/>
  <c r="I183" i="29" s="1"/>
  <c r="P183" i="29" s="1"/>
  <c r="Q183" i="29" s="1"/>
  <c r="S183" i="29" s="1"/>
  <c r="U183" i="29" s="1"/>
  <c r="H153" i="11"/>
  <c r="N153" i="11" s="1"/>
  <c r="P153" i="11" s="1"/>
  <c r="R153" i="11" s="1"/>
  <c r="F1046" i="9"/>
  <c r="H1074" i="9" s="1"/>
  <c r="F117" i="11"/>
  <c r="K163" i="11"/>
  <c r="H2084" i="12"/>
  <c r="F2071" i="12" s="1"/>
  <c r="C1731" i="16"/>
  <c r="E1678" i="16"/>
  <c r="G1678" i="16" s="1"/>
  <c r="C1683" i="16"/>
  <c r="E1683" i="16" s="1"/>
  <c r="G1683" i="16" s="1"/>
  <c r="M344" i="29"/>
  <c r="L277" i="11"/>
  <c r="G1149" i="9"/>
  <c r="G1105" i="9"/>
  <c r="E196" i="29" l="1"/>
  <c r="K119" i="11"/>
  <c r="H1169" i="9"/>
  <c r="F1161" i="9" s="1"/>
  <c r="L345" i="29"/>
  <c r="K278" i="11"/>
  <c r="M277" i="11"/>
  <c r="N345" i="29" s="1"/>
  <c r="K217" i="11"/>
  <c r="L274" i="29" s="1"/>
  <c r="C1881" i="39"/>
  <c r="E1828" i="39"/>
  <c r="G1828" i="39" s="1"/>
  <c r="E1825" i="39" s="1"/>
  <c r="G1847" i="39" s="1"/>
  <c r="G1849" i="39" s="1"/>
  <c r="E1801" i="39" s="1"/>
  <c r="Q274" i="11" s="1"/>
  <c r="E195" i="29"/>
  <c r="G264" i="11"/>
  <c r="H331" i="29"/>
  <c r="K164" i="11"/>
  <c r="H2139" i="12"/>
  <c r="F2126" i="12" s="1"/>
  <c r="D2117" i="39"/>
  <c r="G2117" i="39" s="1"/>
  <c r="I2117" i="39" s="1"/>
  <c r="C2121" i="39" s="1"/>
  <c r="E2121" i="39" s="1"/>
  <c r="C2123" i="39" s="1"/>
  <c r="E2123" i="39" s="1"/>
  <c r="E2113" i="39" s="1"/>
  <c r="C2169" i="39"/>
  <c r="H1076" i="9"/>
  <c r="H1077" i="9" s="1"/>
  <c r="F1033" i="9" s="1"/>
  <c r="Q117" i="11" s="1"/>
  <c r="O325" i="29"/>
  <c r="P257" i="11"/>
  <c r="D2192" i="12"/>
  <c r="F2192" i="12" s="1"/>
  <c r="H2192" i="12" s="1"/>
  <c r="F2187" i="12"/>
  <c r="H2187" i="12" s="1"/>
  <c r="D2242" i="12"/>
  <c r="F118" i="11"/>
  <c r="F1095" i="9"/>
  <c r="H1123" i="9" s="1"/>
  <c r="F1612" i="12"/>
  <c r="H1647" i="12" s="1"/>
  <c r="H1649" i="12" s="1"/>
  <c r="F1598" i="12" s="1"/>
  <c r="Q155" i="11" s="1"/>
  <c r="F155" i="11"/>
  <c r="C1736" i="16"/>
  <c r="E1731" i="16"/>
  <c r="G1731" i="16" s="1"/>
  <c r="G1198" i="9"/>
  <c r="G1154" i="9"/>
  <c r="L193" i="29"/>
  <c r="N193" i="29" s="1"/>
  <c r="M163" i="11"/>
  <c r="J348" i="29"/>
  <c r="I281" i="11"/>
  <c r="E2301" i="39"/>
  <c r="G2301" i="39" s="1"/>
  <c r="C2306" i="39"/>
  <c r="E2306" i="39" s="1"/>
  <c r="G2306" i="39" s="1"/>
  <c r="J269" i="29"/>
  <c r="N269" i="29" s="1"/>
  <c r="M212" i="11"/>
  <c r="E1352" i="16"/>
  <c r="G1352" i="16" s="1"/>
  <c r="E1349" i="16" s="1"/>
  <c r="C1404" i="16"/>
  <c r="F1728" i="12"/>
  <c r="G1673" i="12"/>
  <c r="G1679" i="12" s="1"/>
  <c r="I214" i="11"/>
  <c r="G1580" i="16"/>
  <c r="E1567" i="16" s="1"/>
  <c r="D2248" i="12"/>
  <c r="F2248" i="12" s="1"/>
  <c r="H2248" i="12" s="1"/>
  <c r="F2243" i="12"/>
  <c r="H2243" i="12" s="1"/>
  <c r="L166" i="11" s="1"/>
  <c r="M196" i="29" s="1"/>
  <c r="D261" i="11"/>
  <c r="E327" i="29"/>
  <c r="H259" i="11"/>
  <c r="E261" i="11"/>
  <c r="F327" i="29"/>
  <c r="G206" i="11"/>
  <c r="G1318" i="16"/>
  <c r="G1320" i="16" s="1"/>
  <c r="E1270" i="16" s="1"/>
  <c r="Q206" i="11" s="1"/>
  <c r="C1676" i="16"/>
  <c r="C1628" i="16"/>
  <c r="E1628" i="16" s="1"/>
  <c r="G1628" i="16" s="1"/>
  <c r="E1623" i="16"/>
  <c r="G1623" i="16" s="1"/>
  <c r="Q324" i="29"/>
  <c r="S324" i="29" s="1"/>
  <c r="U324" i="29" s="1"/>
  <c r="R256" i="11"/>
  <c r="N258" i="11"/>
  <c r="I326" i="29"/>
  <c r="M345" i="29"/>
  <c r="L278" i="11"/>
  <c r="O116" i="11"/>
  <c r="P116" i="11" s="1"/>
  <c r="R116" i="11" s="1"/>
  <c r="V138" i="29"/>
  <c r="W138" i="29" s="1"/>
  <c r="E2148" i="39"/>
  <c r="G2148" i="39" s="1"/>
  <c r="C2153" i="39"/>
  <c r="E2153" i="39" s="1"/>
  <c r="G2153" i="39" s="1"/>
  <c r="C2201" i="39"/>
  <c r="G184" i="29"/>
  <c r="I184" i="29" s="1"/>
  <c r="P184" i="29" s="1"/>
  <c r="Q184" i="29" s="1"/>
  <c r="S184" i="29" s="1"/>
  <c r="U184" i="29" s="1"/>
  <c r="H154" i="11"/>
  <c r="N154" i="11" s="1"/>
  <c r="P154" i="11" s="1"/>
  <c r="R154" i="11" s="1"/>
  <c r="G139" i="29"/>
  <c r="I139" i="29" s="1"/>
  <c r="P139" i="29" s="1"/>
  <c r="Q139" i="29" s="1"/>
  <c r="R139" i="29" s="1"/>
  <c r="S139" i="29" s="1"/>
  <c r="U139" i="29" s="1"/>
  <c r="H117" i="11"/>
  <c r="N117" i="11" s="1"/>
  <c r="J286" i="11"/>
  <c r="K354" i="29" s="1"/>
  <c r="K353" i="29"/>
  <c r="H262" i="29"/>
  <c r="I262" i="29" s="1"/>
  <c r="P262" i="29" s="1"/>
  <c r="Q262" i="29" s="1"/>
  <c r="S262" i="29" s="1"/>
  <c r="U262" i="29" s="1"/>
  <c r="H205" i="11"/>
  <c r="N205" i="11" s="1"/>
  <c r="P205" i="11" s="1"/>
  <c r="R205" i="11" s="1"/>
  <c r="F1216" i="9"/>
  <c r="H1216" i="9" s="1"/>
  <c r="D1265" i="9"/>
  <c r="B1839" i="39"/>
  <c r="B1811" i="39"/>
  <c r="B1859" i="39"/>
  <c r="L140" i="29"/>
  <c r="N140" i="29" s="1"/>
  <c r="M118" i="11"/>
  <c r="I215" i="11" l="1"/>
  <c r="G1632" i="16"/>
  <c r="E1619" i="16" s="1"/>
  <c r="C1459" i="16"/>
  <c r="E1404" i="16"/>
  <c r="G1404" i="16" s="1"/>
  <c r="E1401" i="16" s="1"/>
  <c r="L346" i="29"/>
  <c r="K280" i="11"/>
  <c r="M278" i="11"/>
  <c r="N346" i="29" s="1"/>
  <c r="D1314" i="9"/>
  <c r="F1314" i="9" s="1"/>
  <c r="H1314" i="9" s="1"/>
  <c r="F1265" i="9"/>
  <c r="H1265" i="9" s="1"/>
  <c r="D262" i="11"/>
  <c r="H261" i="11"/>
  <c r="E329" i="29"/>
  <c r="G208" i="11"/>
  <c r="G1371" i="16"/>
  <c r="G1373" i="16" s="1"/>
  <c r="E1322" i="16" s="1"/>
  <c r="Q208" i="11" s="1"/>
  <c r="H332" i="29"/>
  <c r="G265" i="11"/>
  <c r="M346" i="29"/>
  <c r="L280" i="11"/>
  <c r="C1729" i="16"/>
  <c r="E1676" i="16"/>
  <c r="G1676" i="16" s="1"/>
  <c r="C1681" i="16"/>
  <c r="E1681" i="16" s="1"/>
  <c r="G1681" i="16" s="1"/>
  <c r="H1125" i="9"/>
  <c r="H1126" i="9" s="1"/>
  <c r="F1082" i="9" s="1"/>
  <c r="Q118" i="11" s="1"/>
  <c r="F1144" i="9"/>
  <c r="H1172" i="9" s="1"/>
  <c r="F119" i="11"/>
  <c r="G140" i="29"/>
  <c r="I140" i="29" s="1"/>
  <c r="P140" i="29" s="1"/>
  <c r="Q140" i="29" s="1"/>
  <c r="R140" i="29" s="1"/>
  <c r="S140" i="29" s="1"/>
  <c r="U140" i="29" s="1"/>
  <c r="H118" i="11"/>
  <c r="N118" i="11" s="1"/>
  <c r="C2220" i="39"/>
  <c r="D2169" i="39"/>
  <c r="G2169" i="39" s="1"/>
  <c r="I2169" i="39" s="1"/>
  <c r="C2173" i="39" s="1"/>
  <c r="E2173" i="39" s="1"/>
  <c r="C2175" i="39" s="1"/>
  <c r="E2175" i="39" s="1"/>
  <c r="E2165" i="39" s="1"/>
  <c r="G1247" i="9"/>
  <c r="G1203" i="9"/>
  <c r="F2242" i="12"/>
  <c r="H2242" i="12" s="1"/>
  <c r="D2247" i="12"/>
  <c r="F2247" i="12" s="1"/>
  <c r="H2247" i="12" s="1"/>
  <c r="L141" i="29"/>
  <c r="N141" i="29" s="1"/>
  <c r="M119" i="11"/>
  <c r="O326" i="29"/>
  <c r="P258" i="11"/>
  <c r="J271" i="29"/>
  <c r="N271" i="29" s="1"/>
  <c r="M214" i="11"/>
  <c r="K165" i="11"/>
  <c r="H2194" i="12"/>
  <c r="F2181" i="12" s="1"/>
  <c r="E1881" i="39"/>
  <c r="G1881" i="39" s="1"/>
  <c r="E1878" i="39" s="1"/>
  <c r="G1900" i="39" s="1"/>
  <c r="G1902" i="39" s="1"/>
  <c r="E1853" i="39" s="1"/>
  <c r="Q276" i="11" s="1"/>
  <c r="C1933" i="39"/>
  <c r="B1863" i="39"/>
  <c r="B1892" i="39"/>
  <c r="B1911" i="39"/>
  <c r="G2154" i="39"/>
  <c r="E2141" i="39" s="1"/>
  <c r="E262" i="11"/>
  <c r="F329" i="29"/>
  <c r="F1667" i="12"/>
  <c r="H1702" i="12" s="1"/>
  <c r="H1704" i="12" s="1"/>
  <c r="F1653" i="12" s="1"/>
  <c r="Q156" i="11" s="1"/>
  <c r="F156" i="11"/>
  <c r="E1736" i="16"/>
  <c r="G1736" i="16" s="1"/>
  <c r="K218" i="11" s="1"/>
  <c r="L275" i="29" s="1"/>
  <c r="C1789" i="16"/>
  <c r="E1789" i="16" s="1"/>
  <c r="G1789" i="16" s="1"/>
  <c r="K219" i="11" s="1"/>
  <c r="L277" i="29" s="1"/>
  <c r="L194" i="29"/>
  <c r="N194" i="29" s="1"/>
  <c r="M164" i="11"/>
  <c r="K120" i="11"/>
  <c r="H1218" i="9"/>
  <c r="F1210" i="9" s="1"/>
  <c r="E2201" i="39"/>
  <c r="G2201" i="39" s="1"/>
  <c r="G2207" i="39" s="1"/>
  <c r="E2194" i="39" s="1"/>
  <c r="C2252" i="39"/>
  <c r="C2206" i="39"/>
  <c r="E2206" i="39" s="1"/>
  <c r="G2206" i="39" s="1"/>
  <c r="H263" i="29"/>
  <c r="I263" i="29" s="1"/>
  <c r="P263" i="29" s="1"/>
  <c r="Q263" i="29" s="1"/>
  <c r="S263" i="29" s="1"/>
  <c r="U263" i="29" s="1"/>
  <c r="H206" i="11"/>
  <c r="N206" i="11" s="1"/>
  <c r="P206" i="11" s="1"/>
  <c r="R206" i="11" s="1"/>
  <c r="O117" i="11"/>
  <c r="P117" i="11" s="1"/>
  <c r="R117" i="11" s="1"/>
  <c r="V139" i="29"/>
  <c r="W139" i="29" s="1"/>
  <c r="N259" i="11"/>
  <c r="I327" i="29"/>
  <c r="F1783" i="12"/>
  <c r="G1728" i="12"/>
  <c r="G1734" i="12" s="1"/>
  <c r="J349" i="29"/>
  <c r="I282" i="11"/>
  <c r="G185" i="29"/>
  <c r="I185" i="29" s="1"/>
  <c r="P185" i="29" s="1"/>
  <c r="Q185" i="29" s="1"/>
  <c r="S185" i="29" s="1"/>
  <c r="U185" i="29" s="1"/>
  <c r="H155" i="11"/>
  <c r="N155" i="11" s="1"/>
  <c r="P155" i="11" s="1"/>
  <c r="R155" i="11" s="1"/>
  <c r="R257" i="11"/>
  <c r="Q325" i="29"/>
  <c r="S325" i="29" s="1"/>
  <c r="U325" i="29" s="1"/>
  <c r="C2257" i="39" l="1"/>
  <c r="E2257" i="39" s="1"/>
  <c r="G2257" i="39" s="1"/>
  <c r="E2252" i="39"/>
  <c r="G2252" i="39" s="1"/>
  <c r="G2258" i="39" s="1"/>
  <c r="E2245" i="39" s="1"/>
  <c r="C2303" i="39"/>
  <c r="F120" i="11"/>
  <c r="F1193" i="9"/>
  <c r="H1221" i="9" s="1"/>
  <c r="G267" i="11"/>
  <c r="H333" i="29"/>
  <c r="K122" i="11"/>
  <c r="H1316" i="9"/>
  <c r="F1308" i="9" s="1"/>
  <c r="G186" i="29"/>
  <c r="I186" i="29" s="1"/>
  <c r="P186" i="29" s="1"/>
  <c r="Q186" i="29" s="1"/>
  <c r="S186" i="29" s="1"/>
  <c r="U186" i="29" s="1"/>
  <c r="H156" i="11"/>
  <c r="N156" i="11" s="1"/>
  <c r="P156" i="11" s="1"/>
  <c r="R156" i="11" s="1"/>
  <c r="E1933" i="39"/>
  <c r="G1933" i="39" s="1"/>
  <c r="E1930" i="39" s="1"/>
  <c r="G1952" i="39" s="1"/>
  <c r="G1954" i="39" s="1"/>
  <c r="E1905" i="39" s="1"/>
  <c r="Q277" i="11" s="1"/>
  <c r="C1983" i="39"/>
  <c r="R258" i="11"/>
  <c r="Q326" i="29"/>
  <c r="S326" i="29" s="1"/>
  <c r="U326" i="29" s="1"/>
  <c r="G1296" i="9"/>
  <c r="G1301" i="9" s="1"/>
  <c r="G1252" i="9"/>
  <c r="F1242" i="9" s="1"/>
  <c r="K281" i="11"/>
  <c r="L348" i="29"/>
  <c r="M280" i="11"/>
  <c r="N348" i="29" s="1"/>
  <c r="J350" i="29"/>
  <c r="I284" i="11"/>
  <c r="L142" i="29"/>
  <c r="N142" i="29" s="1"/>
  <c r="M120" i="11"/>
  <c r="D2220" i="39"/>
  <c r="G2220" i="39" s="1"/>
  <c r="I2220" i="39" s="1"/>
  <c r="C2224" i="39" s="1"/>
  <c r="E2224" i="39" s="1"/>
  <c r="C2226" i="39" s="1"/>
  <c r="E2226" i="39" s="1"/>
  <c r="E2216" i="39" s="1"/>
  <c r="C2272" i="39"/>
  <c r="D2272" i="39" s="1"/>
  <c r="G2272" i="39" s="1"/>
  <c r="I2272" i="39" s="1"/>
  <c r="C2276" i="39" s="1"/>
  <c r="E2276" i="39" s="1"/>
  <c r="C2278" i="39" s="1"/>
  <c r="E2278" i="39" s="1"/>
  <c r="E2268" i="39" s="1"/>
  <c r="H265" i="29"/>
  <c r="I265" i="29" s="1"/>
  <c r="P265" i="29" s="1"/>
  <c r="Q265" i="29" s="1"/>
  <c r="S265" i="29" s="1"/>
  <c r="U265" i="29" s="1"/>
  <c r="H208" i="11"/>
  <c r="N208" i="11" s="1"/>
  <c r="P208" i="11" s="1"/>
  <c r="R208" i="11" s="1"/>
  <c r="O327" i="29"/>
  <c r="P259" i="11"/>
  <c r="E263" i="11"/>
  <c r="F330" i="29"/>
  <c r="L195" i="29"/>
  <c r="N195" i="29" s="1"/>
  <c r="M165" i="11"/>
  <c r="V140" i="29"/>
  <c r="W140" i="29" s="1"/>
  <c r="O118" i="11"/>
  <c r="P118" i="11"/>
  <c r="R118" i="11" s="1"/>
  <c r="I217" i="11"/>
  <c r="G1685" i="16"/>
  <c r="E1672" i="16" s="1"/>
  <c r="G209" i="11"/>
  <c r="G1423" i="16"/>
  <c r="G1425" i="16" s="1"/>
  <c r="E1375" i="16" s="1"/>
  <c r="Q209" i="11" s="1"/>
  <c r="E1729" i="16"/>
  <c r="G1729" i="16" s="1"/>
  <c r="C1734" i="16"/>
  <c r="N261" i="11"/>
  <c r="I329" i="29"/>
  <c r="E1459" i="16"/>
  <c r="G1459" i="16" s="1"/>
  <c r="E1456" i="16" s="1"/>
  <c r="C1511" i="16"/>
  <c r="F157" i="11"/>
  <c r="F1722" i="12"/>
  <c r="H1757" i="12" s="1"/>
  <c r="H1759" i="12" s="1"/>
  <c r="F1708" i="12" s="1"/>
  <c r="Q157" i="11" s="1"/>
  <c r="B1915" i="39"/>
  <c r="B1944" i="39"/>
  <c r="B1962" i="39"/>
  <c r="G141" i="29"/>
  <c r="I141" i="29" s="1"/>
  <c r="P141" i="29" s="1"/>
  <c r="Q141" i="29" s="1"/>
  <c r="R141" i="29" s="1"/>
  <c r="S141" i="29" s="1"/>
  <c r="U141" i="29" s="1"/>
  <c r="H119" i="11"/>
  <c r="N119" i="11" s="1"/>
  <c r="M348" i="29"/>
  <c r="L281" i="11"/>
  <c r="H262" i="11"/>
  <c r="D263" i="11"/>
  <c r="E330" i="29"/>
  <c r="F1838" i="12"/>
  <c r="G1783" i="12"/>
  <c r="G1789" i="12" s="1"/>
  <c r="K166" i="11"/>
  <c r="H2249" i="12"/>
  <c r="F2236" i="12" s="1"/>
  <c r="H1174" i="9"/>
  <c r="H1175" i="9" s="1"/>
  <c r="F1131" i="9" s="1"/>
  <c r="Q119" i="11" s="1"/>
  <c r="K121" i="11"/>
  <c r="H1267" i="9"/>
  <c r="F1259" i="9" s="1"/>
  <c r="J272" i="29"/>
  <c r="N272" i="29" s="1"/>
  <c r="M215" i="11"/>
  <c r="L143" i="29" l="1"/>
  <c r="N143" i="29" s="1"/>
  <c r="M121" i="11"/>
  <c r="L196" i="29"/>
  <c r="N196" i="29" s="1"/>
  <c r="M166" i="11"/>
  <c r="V141" i="29"/>
  <c r="W141" i="29" s="1"/>
  <c r="O119" i="11"/>
  <c r="P119" i="11" s="1"/>
  <c r="R119" i="11" s="1"/>
  <c r="G211" i="11"/>
  <c r="G1478" i="16"/>
  <c r="G1480" i="16" s="1"/>
  <c r="E1429" i="16" s="1"/>
  <c r="Q211" i="11" s="1"/>
  <c r="J274" i="29"/>
  <c r="N274" i="29" s="1"/>
  <c r="M217" i="11"/>
  <c r="Q327" i="29"/>
  <c r="S327" i="29" s="1"/>
  <c r="U327" i="29" s="1"/>
  <c r="R259" i="11"/>
  <c r="F122" i="11"/>
  <c r="F1291" i="9"/>
  <c r="H1319" i="9" s="1"/>
  <c r="L144" i="29"/>
  <c r="N144" i="29" s="1"/>
  <c r="M122" i="11"/>
  <c r="I285" i="11"/>
  <c r="J352" i="29"/>
  <c r="F1777" i="12"/>
  <c r="H1812" i="12" s="1"/>
  <c r="H1814" i="12" s="1"/>
  <c r="F1763" i="12" s="1"/>
  <c r="Q158" i="11" s="1"/>
  <c r="F158" i="11"/>
  <c r="F1893" i="12"/>
  <c r="G1838" i="12"/>
  <c r="G1844" i="12" s="1"/>
  <c r="B2014" i="39"/>
  <c r="B1994" i="39"/>
  <c r="B1966" i="39"/>
  <c r="P261" i="11"/>
  <c r="O329" i="29"/>
  <c r="G268" i="11"/>
  <c r="H335" i="29"/>
  <c r="E1734" i="16"/>
  <c r="G1734" i="16" s="1"/>
  <c r="I218" i="11" s="1"/>
  <c r="C1787" i="16"/>
  <c r="E1787" i="16" s="1"/>
  <c r="G1787" i="16" s="1"/>
  <c r="C2036" i="39"/>
  <c r="E1983" i="39"/>
  <c r="G1983" i="39" s="1"/>
  <c r="E1980" i="39" s="1"/>
  <c r="G2002" i="39" s="1"/>
  <c r="G2004" i="39" s="1"/>
  <c r="E1956" i="39" s="1"/>
  <c r="Q278" i="11" s="1"/>
  <c r="H1223" i="9"/>
  <c r="H1224" i="9"/>
  <c r="F1180" i="9" s="1"/>
  <c r="Q120" i="11" s="1"/>
  <c r="G142" i="29"/>
  <c r="I142" i="29" s="1"/>
  <c r="P142" i="29" s="1"/>
  <c r="Q142" i="29" s="1"/>
  <c r="R142" i="29" s="1"/>
  <c r="S142" i="29" s="1"/>
  <c r="U142" i="29" s="1"/>
  <c r="H120" i="11"/>
  <c r="N120" i="11" s="1"/>
  <c r="L349" i="29"/>
  <c r="K282" i="11"/>
  <c r="M281" i="11"/>
  <c r="N349" i="29" s="1"/>
  <c r="E2303" i="39"/>
  <c r="G2303" i="39" s="1"/>
  <c r="C2308" i="39"/>
  <c r="E2308" i="39" s="1"/>
  <c r="G2308" i="39" s="1"/>
  <c r="L282" i="11"/>
  <c r="M349" i="29"/>
  <c r="H266" i="29"/>
  <c r="I266" i="29" s="1"/>
  <c r="P266" i="29" s="1"/>
  <c r="Q266" i="29" s="1"/>
  <c r="S266" i="29" s="1"/>
  <c r="U266" i="29" s="1"/>
  <c r="H209" i="11"/>
  <c r="N209" i="11" s="1"/>
  <c r="P209" i="11" s="1"/>
  <c r="R209" i="11" s="1"/>
  <c r="E331" i="29"/>
  <c r="H263" i="11"/>
  <c r="D264" i="11"/>
  <c r="I330" i="29"/>
  <c r="N262" i="11"/>
  <c r="G187" i="29"/>
  <c r="I187" i="29" s="1"/>
  <c r="P187" i="29" s="1"/>
  <c r="Q187" i="29" s="1"/>
  <c r="S187" i="29" s="1"/>
  <c r="U187" i="29" s="1"/>
  <c r="H157" i="11"/>
  <c r="N157" i="11" s="1"/>
  <c r="P157" i="11" s="1"/>
  <c r="R157" i="11" s="1"/>
  <c r="E1511" i="16"/>
  <c r="G1511" i="16" s="1"/>
  <c r="E1508" i="16" s="1"/>
  <c r="C1564" i="16"/>
  <c r="F331" i="29"/>
  <c r="E264" i="11"/>
  <c r="F121" i="11"/>
  <c r="H1270" i="9"/>
  <c r="M218" i="11" l="1"/>
  <c r="J275" i="29"/>
  <c r="N275" i="29" s="1"/>
  <c r="F1832" i="12"/>
  <c r="H1867" i="12" s="1"/>
  <c r="H1869" i="12" s="1"/>
  <c r="F1818" i="12" s="1"/>
  <c r="Q159" i="11" s="1"/>
  <c r="F159" i="11"/>
  <c r="H268" i="29"/>
  <c r="I268" i="29" s="1"/>
  <c r="P268" i="29" s="1"/>
  <c r="Q268" i="29" s="1"/>
  <c r="S268" i="29" s="1"/>
  <c r="U268" i="29" s="1"/>
  <c r="H211" i="11"/>
  <c r="N211" i="11" s="1"/>
  <c r="P211" i="11" s="1"/>
  <c r="R211" i="11" s="1"/>
  <c r="G2309" i="39"/>
  <c r="E2296" i="39" s="1"/>
  <c r="G1738" i="16"/>
  <c r="E1725" i="16" s="1"/>
  <c r="G1893" i="12"/>
  <c r="G1899" i="12" s="1"/>
  <c r="F1887" i="12" s="1"/>
  <c r="F1948" i="12"/>
  <c r="H1321" i="9"/>
  <c r="H1322" i="9" s="1"/>
  <c r="F1278" i="9" s="1"/>
  <c r="Q122" i="11" s="1"/>
  <c r="E265" i="11"/>
  <c r="F332" i="29"/>
  <c r="D265" i="11"/>
  <c r="E332" i="29"/>
  <c r="H264" i="11"/>
  <c r="I331" i="29"/>
  <c r="N263" i="11"/>
  <c r="G269" i="11"/>
  <c r="H336" i="29"/>
  <c r="G188" i="29"/>
  <c r="I188" i="29" s="1"/>
  <c r="P188" i="29" s="1"/>
  <c r="Q188" i="29" s="1"/>
  <c r="S188" i="29" s="1"/>
  <c r="U188" i="29" s="1"/>
  <c r="H158" i="11"/>
  <c r="N158" i="11" s="1"/>
  <c r="P158" i="11" s="1"/>
  <c r="R158" i="11" s="1"/>
  <c r="G144" i="29"/>
  <c r="I144" i="29" s="1"/>
  <c r="P144" i="29" s="1"/>
  <c r="Q144" i="29" s="1"/>
  <c r="R144" i="29" s="1"/>
  <c r="S144" i="29" s="1"/>
  <c r="U144" i="29" s="1"/>
  <c r="H122" i="11"/>
  <c r="N122" i="11" s="1"/>
  <c r="C1616" i="16"/>
  <c r="E1564" i="16"/>
  <c r="G1564" i="16" s="1"/>
  <c r="E1561" i="16" s="1"/>
  <c r="L350" i="29"/>
  <c r="K284" i="11"/>
  <c r="M282" i="11"/>
  <c r="N350" i="29" s="1"/>
  <c r="G212" i="11"/>
  <c r="G1530" i="16"/>
  <c r="G1532" i="16" s="1"/>
  <c r="E1482" i="16" s="1"/>
  <c r="Q212" i="11" s="1"/>
  <c r="Q329" i="29"/>
  <c r="S329" i="29" s="1"/>
  <c r="U329" i="29" s="1"/>
  <c r="R261" i="11"/>
  <c r="G143" i="29"/>
  <c r="I143" i="29" s="1"/>
  <c r="P143" i="29" s="1"/>
  <c r="Q143" i="29" s="1"/>
  <c r="R143" i="29" s="1"/>
  <c r="S143" i="29" s="1"/>
  <c r="U143" i="29" s="1"/>
  <c r="H121" i="11"/>
  <c r="N121" i="11" s="1"/>
  <c r="O120" i="11"/>
  <c r="P120" i="11"/>
  <c r="R120" i="11" s="1"/>
  <c r="V142" i="29"/>
  <c r="W142" i="29" s="1"/>
  <c r="E2036" i="39"/>
  <c r="G2036" i="39" s="1"/>
  <c r="E2033" i="39" s="1"/>
  <c r="G2055" i="39" s="1"/>
  <c r="G2057" i="39" s="1"/>
  <c r="E2008" i="39" s="1"/>
  <c r="Q280" i="11" s="1"/>
  <c r="C2088" i="39"/>
  <c r="J353" i="29"/>
  <c r="I286" i="11"/>
  <c r="H1272" i="9"/>
  <c r="H1273" i="9"/>
  <c r="F1229" i="9" s="1"/>
  <c r="Q121" i="11" s="1"/>
  <c r="O330" i="29"/>
  <c r="P262" i="11"/>
  <c r="L284" i="11"/>
  <c r="M350" i="29"/>
  <c r="G1791" i="16"/>
  <c r="E1778" i="16" s="1"/>
  <c r="I219" i="11"/>
  <c r="B2066" i="39"/>
  <c r="B2018" i="39"/>
  <c r="B2047" i="39"/>
  <c r="H269" i="29" l="1"/>
  <c r="I269" i="29" s="1"/>
  <c r="P269" i="29" s="1"/>
  <c r="Q269" i="29" s="1"/>
  <c r="S269" i="29" s="1"/>
  <c r="U269" i="29" s="1"/>
  <c r="H212" i="11"/>
  <c r="N212" i="11" s="1"/>
  <c r="P212" i="11" s="1"/>
  <c r="R212" i="11" s="1"/>
  <c r="H265" i="11"/>
  <c r="D267" i="11"/>
  <c r="E333" i="29"/>
  <c r="Q330" i="29"/>
  <c r="S330" i="29" s="1"/>
  <c r="U330" i="29" s="1"/>
  <c r="R262" i="11"/>
  <c r="E267" i="11"/>
  <c r="F333" i="29"/>
  <c r="K285" i="11"/>
  <c r="L352" i="29"/>
  <c r="M284" i="11"/>
  <c r="N352" i="29" s="1"/>
  <c r="J277" i="29"/>
  <c r="N277" i="29" s="1"/>
  <c r="M219" i="11"/>
  <c r="J354" i="29"/>
  <c r="O121" i="11"/>
  <c r="P121" i="11" s="1"/>
  <c r="R121" i="11" s="1"/>
  <c r="V143" i="29"/>
  <c r="W143" i="29" s="1"/>
  <c r="G270" i="11"/>
  <c r="H337" i="29"/>
  <c r="G189" i="29"/>
  <c r="I189" i="29" s="1"/>
  <c r="P189" i="29" s="1"/>
  <c r="Q189" i="29" s="1"/>
  <c r="S189" i="29" s="1"/>
  <c r="U189" i="29" s="1"/>
  <c r="H159" i="11"/>
  <c r="N159" i="11" s="1"/>
  <c r="P159" i="11" s="1"/>
  <c r="R159" i="11" s="1"/>
  <c r="G214" i="11"/>
  <c r="G1583" i="16"/>
  <c r="G1585" i="16" s="1"/>
  <c r="E1534" i="16" s="1"/>
  <c r="Q214" i="11" s="1"/>
  <c r="O331" i="29"/>
  <c r="P263" i="11"/>
  <c r="C1669" i="16"/>
  <c r="E1616" i="16"/>
  <c r="G1616" i="16" s="1"/>
  <c r="E1613" i="16" s="1"/>
  <c r="G1948" i="12"/>
  <c r="G1954" i="12" s="1"/>
  <c r="F1942" i="12" s="1"/>
  <c r="F2003" i="12"/>
  <c r="B2099" i="39"/>
  <c r="B2117" i="39"/>
  <c r="B2070" i="39"/>
  <c r="M352" i="29"/>
  <c r="L285" i="11"/>
  <c r="C2138" i="39"/>
  <c r="E2088" i="39"/>
  <c r="G2088" i="39" s="1"/>
  <c r="E2085" i="39" s="1"/>
  <c r="G2107" i="39" s="1"/>
  <c r="G2109" i="39" s="1"/>
  <c r="E2060" i="39" s="1"/>
  <c r="Q281" i="11" s="1"/>
  <c r="O122" i="11"/>
  <c r="P122" i="11" s="1"/>
  <c r="R122" i="11" s="1"/>
  <c r="V144" i="29"/>
  <c r="W144" i="29" s="1"/>
  <c r="I332" i="29"/>
  <c r="N264" i="11"/>
  <c r="F160" i="11"/>
  <c r="H1922" i="12"/>
  <c r="H1924" i="12" s="1"/>
  <c r="F1873" i="12" s="1"/>
  <c r="Q160" i="11" s="1"/>
  <c r="H271" i="29" l="1"/>
  <c r="I271" i="29" s="1"/>
  <c r="P271" i="29" s="1"/>
  <c r="Q271" i="29" s="1"/>
  <c r="S271" i="29" s="1"/>
  <c r="U271" i="29" s="1"/>
  <c r="H214" i="11"/>
  <c r="N214" i="11" s="1"/>
  <c r="P214" i="11" s="1"/>
  <c r="R214" i="11" s="1"/>
  <c r="E268" i="11"/>
  <c r="F335" i="29"/>
  <c r="G215" i="11"/>
  <c r="G1635" i="16"/>
  <c r="G1637" i="16" s="1"/>
  <c r="E1587" i="16" s="1"/>
  <c r="Q215" i="11" s="1"/>
  <c r="F161" i="11"/>
  <c r="H1977" i="12"/>
  <c r="H1979" i="12" s="1"/>
  <c r="F1928" i="12" s="1"/>
  <c r="Q161" i="11" s="1"/>
  <c r="G190" i="29"/>
  <c r="I190" i="29" s="1"/>
  <c r="P190" i="29" s="1"/>
  <c r="Q190" i="29" s="1"/>
  <c r="S190" i="29" s="1"/>
  <c r="U190" i="29" s="1"/>
  <c r="H160" i="11"/>
  <c r="N160" i="11" s="1"/>
  <c r="P160" i="11" s="1"/>
  <c r="R160" i="11" s="1"/>
  <c r="M353" i="29"/>
  <c r="L286" i="11"/>
  <c r="M354" i="29" s="1"/>
  <c r="E1669" i="16"/>
  <c r="G1669" i="16" s="1"/>
  <c r="E1666" i="16" s="1"/>
  <c r="C1722" i="16"/>
  <c r="G272" i="11"/>
  <c r="H338" i="29"/>
  <c r="D268" i="11"/>
  <c r="E335" i="29"/>
  <c r="H267" i="11"/>
  <c r="F2058" i="12"/>
  <c r="G2003" i="12"/>
  <c r="G2009" i="12" s="1"/>
  <c r="F1997" i="12" s="1"/>
  <c r="C2191" i="39"/>
  <c r="E2138" i="39"/>
  <c r="G2138" i="39" s="1"/>
  <c r="E2135" i="39" s="1"/>
  <c r="G2157" i="39" s="1"/>
  <c r="G2159" i="39" s="1"/>
  <c r="E2111" i="39" s="1"/>
  <c r="Q282" i="11" s="1"/>
  <c r="P264" i="11"/>
  <c r="O332" i="29"/>
  <c r="R263" i="11"/>
  <c r="Q331" i="29"/>
  <c r="S331" i="29" s="1"/>
  <c r="U331" i="29" s="1"/>
  <c r="N265" i="11"/>
  <c r="I333" i="29"/>
  <c r="K286" i="11"/>
  <c r="L353" i="29"/>
  <c r="M285" i="11"/>
  <c r="N353" i="29" s="1"/>
  <c r="B2149" i="39"/>
  <c r="B2121" i="39"/>
  <c r="B2169" i="39"/>
  <c r="H340" i="29" l="1"/>
  <c r="G273" i="11"/>
  <c r="G191" i="29"/>
  <c r="I191" i="29" s="1"/>
  <c r="P191" i="29" s="1"/>
  <c r="Q191" i="29" s="1"/>
  <c r="S191" i="29" s="1"/>
  <c r="U191" i="29" s="1"/>
  <c r="H161" i="11"/>
  <c r="N161" i="11" s="1"/>
  <c r="P161" i="11" s="1"/>
  <c r="R161" i="11" s="1"/>
  <c r="L354" i="29"/>
  <c r="M286" i="11"/>
  <c r="N354" i="29" s="1"/>
  <c r="C1775" i="16"/>
  <c r="E1722" i="16"/>
  <c r="G1722" i="16" s="1"/>
  <c r="E1719" i="16" s="1"/>
  <c r="G217" i="11"/>
  <c r="G1688" i="16"/>
  <c r="G1690" i="16" s="1"/>
  <c r="E1639" i="16" s="1"/>
  <c r="Q217" i="11" s="1"/>
  <c r="H272" i="29"/>
  <c r="I272" i="29" s="1"/>
  <c r="P272" i="29" s="1"/>
  <c r="Q272" i="29" s="1"/>
  <c r="S272" i="29" s="1"/>
  <c r="U272" i="29" s="1"/>
  <c r="H215" i="11"/>
  <c r="N215" i="11" s="1"/>
  <c r="P215" i="11" s="1"/>
  <c r="R215" i="11" s="1"/>
  <c r="F162" i="11"/>
  <c r="H2032" i="12"/>
  <c r="H2034" i="12" s="1"/>
  <c r="F1983" i="12" s="1"/>
  <c r="Q162" i="11" s="1"/>
  <c r="P265" i="11"/>
  <c r="O333" i="29"/>
  <c r="F2113" i="12"/>
  <c r="G2058" i="12"/>
  <c r="G2064" i="12" s="1"/>
  <c r="F2052" i="12" s="1"/>
  <c r="R264" i="11"/>
  <c r="Q332" i="29"/>
  <c r="S332" i="29" s="1"/>
  <c r="U332" i="29" s="1"/>
  <c r="C2242" i="39"/>
  <c r="E2191" i="39"/>
  <c r="G2191" i="39" s="1"/>
  <c r="E2188" i="39" s="1"/>
  <c r="G2210" i="39" s="1"/>
  <c r="G2212" i="39" s="1"/>
  <c r="E2163" i="39" s="1"/>
  <c r="Q284" i="11" s="1"/>
  <c r="B2202" i="39"/>
  <c r="B2220" i="39"/>
  <c r="B2173" i="39"/>
  <c r="I335" i="29"/>
  <c r="N267" i="11"/>
  <c r="E269" i="11"/>
  <c r="F336" i="29"/>
  <c r="D269" i="11"/>
  <c r="E336" i="29"/>
  <c r="H268" i="11"/>
  <c r="B2272" i="39" l="1"/>
  <c r="B2253" i="39"/>
  <c r="B2224" i="39"/>
  <c r="G218" i="11"/>
  <c r="G1741" i="16"/>
  <c r="G1743" i="16" s="1"/>
  <c r="E1693" i="16" s="1"/>
  <c r="Q218" i="11" s="1"/>
  <c r="I336" i="29"/>
  <c r="N268" i="11"/>
  <c r="Q333" i="29"/>
  <c r="S333" i="29" s="1"/>
  <c r="U333" i="29" s="1"/>
  <c r="R265" i="11"/>
  <c r="E1775" i="16"/>
  <c r="G1775" i="16" s="1"/>
  <c r="E1772" i="16" s="1"/>
  <c r="C1827" i="16"/>
  <c r="C1882" i="16" s="1"/>
  <c r="C1937" i="16" s="1"/>
  <c r="C1992" i="16" s="1"/>
  <c r="C2293" i="39"/>
  <c r="E2293" i="39" s="1"/>
  <c r="G2293" i="39" s="1"/>
  <c r="E2290" i="39" s="1"/>
  <c r="G2312" i="39" s="1"/>
  <c r="G2314" i="39" s="1"/>
  <c r="E2266" i="39" s="1"/>
  <c r="Q286" i="11" s="1"/>
  <c r="E2242" i="39"/>
  <c r="G2242" i="39" s="1"/>
  <c r="E2239" i="39" s="1"/>
  <c r="G2261" i="39" s="1"/>
  <c r="G2263" i="39" s="1"/>
  <c r="E2214" i="39" s="1"/>
  <c r="Q285" i="11" s="1"/>
  <c r="G192" i="29"/>
  <c r="I192" i="29" s="1"/>
  <c r="P192" i="29" s="1"/>
  <c r="Q192" i="29" s="1"/>
  <c r="S192" i="29" s="1"/>
  <c r="U192" i="29" s="1"/>
  <c r="H162" i="11"/>
  <c r="N162" i="11" s="1"/>
  <c r="P162" i="11" s="1"/>
  <c r="R162" i="11" s="1"/>
  <c r="D270" i="11"/>
  <c r="E337" i="29"/>
  <c r="H269" i="11"/>
  <c r="E270" i="11"/>
  <c r="F337" i="29"/>
  <c r="O335" i="29"/>
  <c r="P267" i="11"/>
  <c r="H341" i="29"/>
  <c r="G274" i="11"/>
  <c r="F163" i="11"/>
  <c r="H2087" i="12"/>
  <c r="H2089" i="12" s="1"/>
  <c r="F2038" i="12" s="1"/>
  <c r="Q163" i="11" s="1"/>
  <c r="G2113" i="12"/>
  <c r="G2119" i="12" s="1"/>
  <c r="F2107" i="12" s="1"/>
  <c r="F2168" i="12"/>
  <c r="H274" i="29"/>
  <c r="I274" i="29" s="1"/>
  <c r="P274" i="29" s="1"/>
  <c r="Q274" i="29" s="1"/>
  <c r="S274" i="29" s="1"/>
  <c r="U274" i="29" s="1"/>
  <c r="H217" i="11"/>
  <c r="N217" i="11" s="1"/>
  <c r="P217" i="11" s="1"/>
  <c r="R217" i="11" s="1"/>
  <c r="H342" i="29" l="1"/>
  <c r="G276" i="11"/>
  <c r="D272" i="11"/>
  <c r="E338" i="29"/>
  <c r="H270" i="11"/>
  <c r="O336" i="29"/>
  <c r="P268" i="11"/>
  <c r="H275" i="29"/>
  <c r="I275" i="29" s="1"/>
  <c r="P275" i="29" s="1"/>
  <c r="Q275" i="29" s="1"/>
  <c r="S275" i="29" s="1"/>
  <c r="U275" i="29" s="1"/>
  <c r="H218" i="11"/>
  <c r="N218" i="11" s="1"/>
  <c r="P218" i="11" s="1"/>
  <c r="R218" i="11" s="1"/>
  <c r="F2223" i="12"/>
  <c r="G2223" i="12" s="1"/>
  <c r="G2229" i="12" s="1"/>
  <c r="F2217" i="12" s="1"/>
  <c r="G2168" i="12"/>
  <c r="G2174" i="12" s="1"/>
  <c r="F2162" i="12" s="1"/>
  <c r="E272" i="11"/>
  <c r="F338" i="29"/>
  <c r="R267" i="11"/>
  <c r="Q335" i="29"/>
  <c r="S335" i="29" s="1"/>
  <c r="U335" i="29" s="1"/>
  <c r="G219" i="11"/>
  <c r="G1793" i="16"/>
  <c r="G1795" i="16" s="1"/>
  <c r="E1746" i="16" s="1"/>
  <c r="Q219" i="11" s="1"/>
  <c r="F164" i="11"/>
  <c r="H2142" i="12"/>
  <c r="H2144" i="12" s="1"/>
  <c r="F2093" i="12" s="1"/>
  <c r="Q164" i="11" s="1"/>
  <c r="I337" i="29"/>
  <c r="N269" i="11"/>
  <c r="G193" i="29"/>
  <c r="I193" i="29" s="1"/>
  <c r="P193" i="29" s="1"/>
  <c r="Q193" i="29" s="1"/>
  <c r="S193" i="29" s="1"/>
  <c r="U193" i="29" s="1"/>
  <c r="H163" i="11"/>
  <c r="N163" i="11" s="1"/>
  <c r="P163" i="11" s="1"/>
  <c r="R163" i="11" s="1"/>
  <c r="B2276" i="39"/>
  <c r="B2304" i="39"/>
  <c r="Q336" i="29" l="1"/>
  <c r="S336" i="29" s="1"/>
  <c r="U336" i="29" s="1"/>
  <c r="R268" i="11"/>
  <c r="O337" i="29"/>
  <c r="P269" i="11"/>
  <c r="I338" i="29"/>
  <c r="N270" i="11"/>
  <c r="H277" i="29"/>
  <c r="I277" i="29" s="1"/>
  <c r="P277" i="29" s="1"/>
  <c r="Q277" i="29" s="1"/>
  <c r="S277" i="29" s="1"/>
  <c r="U277" i="29" s="1"/>
  <c r="H219" i="11"/>
  <c r="N219" i="11" s="1"/>
  <c r="P219" i="11" s="1"/>
  <c r="R219" i="11" s="1"/>
  <c r="E273" i="11"/>
  <c r="F340" i="29"/>
  <c r="F165" i="11"/>
  <c r="H2197" i="12"/>
  <c r="H2199" i="12" s="1"/>
  <c r="F2148" i="12" s="1"/>
  <c r="Q165" i="11" s="1"/>
  <c r="D273" i="11"/>
  <c r="H272" i="11"/>
  <c r="E340" i="29"/>
  <c r="G194" i="29"/>
  <c r="I194" i="29" s="1"/>
  <c r="P194" i="29" s="1"/>
  <c r="Q194" i="29" s="1"/>
  <c r="S194" i="29" s="1"/>
  <c r="U194" i="29" s="1"/>
  <c r="H164" i="11"/>
  <c r="N164" i="11" s="1"/>
  <c r="P164" i="11" s="1"/>
  <c r="R164" i="11" s="1"/>
  <c r="F166" i="11"/>
  <c r="H2252" i="12"/>
  <c r="H2254" i="12" s="1"/>
  <c r="F2203" i="12" s="1"/>
  <c r="Q166" i="11" s="1"/>
  <c r="G277" i="11"/>
  <c r="H344" i="29"/>
  <c r="O338" i="29" l="1"/>
  <c r="P270" i="11"/>
  <c r="D274" i="11"/>
  <c r="E341" i="29"/>
  <c r="H273" i="11"/>
  <c r="I340" i="29"/>
  <c r="N272" i="11"/>
  <c r="H345" i="29"/>
  <c r="G278" i="11"/>
  <c r="Q337" i="29"/>
  <c r="S337" i="29" s="1"/>
  <c r="U337" i="29" s="1"/>
  <c r="R269" i="11"/>
  <c r="G195" i="29"/>
  <c r="I195" i="29" s="1"/>
  <c r="P195" i="29" s="1"/>
  <c r="Q195" i="29" s="1"/>
  <c r="S195" i="29" s="1"/>
  <c r="U195" i="29" s="1"/>
  <c r="H165" i="11"/>
  <c r="N165" i="11" s="1"/>
  <c r="P165" i="11" s="1"/>
  <c r="R165" i="11" s="1"/>
  <c r="G196" i="29"/>
  <c r="I196" i="29" s="1"/>
  <c r="P196" i="29" s="1"/>
  <c r="Q196" i="29" s="1"/>
  <c r="S196" i="29" s="1"/>
  <c r="U196" i="29" s="1"/>
  <c r="H166" i="11"/>
  <c r="N166" i="11" s="1"/>
  <c r="P166" i="11" s="1"/>
  <c r="R166" i="11" s="1"/>
  <c r="E274" i="11"/>
  <c r="F341" i="29"/>
  <c r="N273" i="11" l="1"/>
  <c r="I341" i="29"/>
  <c r="D276" i="11"/>
  <c r="E342" i="29"/>
  <c r="H274" i="11"/>
  <c r="E276" i="11"/>
  <c r="F342" i="29"/>
  <c r="P272" i="11"/>
  <c r="O340" i="29"/>
  <c r="R270" i="11"/>
  <c r="Q338" i="29"/>
  <c r="S338" i="29" s="1"/>
  <c r="U338" i="29" s="1"/>
  <c r="G280" i="11"/>
  <c r="H346" i="29"/>
  <c r="N274" i="11" l="1"/>
  <c r="I342" i="29"/>
  <c r="R272" i="11"/>
  <c r="Q340" i="29"/>
  <c r="S340" i="29" s="1"/>
  <c r="U340" i="29" s="1"/>
  <c r="H348" i="29"/>
  <c r="G281" i="11"/>
  <c r="H276" i="11"/>
  <c r="D277" i="11"/>
  <c r="E344" i="29"/>
  <c r="E277" i="11"/>
  <c r="F344" i="29"/>
  <c r="O341" i="29"/>
  <c r="P273" i="11"/>
  <c r="R273" i="11" l="1"/>
  <c r="Q341" i="29"/>
  <c r="S341" i="29" s="1"/>
  <c r="U341" i="29" s="1"/>
  <c r="I344" i="29"/>
  <c r="N276" i="11"/>
  <c r="F345" i="29"/>
  <c r="E278" i="11"/>
  <c r="D278" i="11"/>
  <c r="E345" i="29"/>
  <c r="H277" i="11"/>
  <c r="G282" i="11"/>
  <c r="H349" i="29"/>
  <c r="O342" i="29"/>
  <c r="P274" i="11"/>
  <c r="O344" i="29" l="1"/>
  <c r="P276" i="11"/>
  <c r="D280" i="11"/>
  <c r="H278" i="11"/>
  <c r="E346" i="29"/>
  <c r="R274" i="11"/>
  <c r="Q342" i="29"/>
  <c r="S342" i="29" s="1"/>
  <c r="U342" i="29" s="1"/>
  <c r="E280" i="11"/>
  <c r="F346" i="29"/>
  <c r="G284" i="11"/>
  <c r="H350" i="29"/>
  <c r="I345" i="29"/>
  <c r="N277" i="11"/>
  <c r="O345" i="29" l="1"/>
  <c r="P277" i="11"/>
  <c r="H280" i="11"/>
  <c r="D281" i="11"/>
  <c r="E348" i="29"/>
  <c r="E281" i="11"/>
  <c r="F348" i="29"/>
  <c r="N278" i="11"/>
  <c r="I346" i="29"/>
  <c r="R276" i="11"/>
  <c r="Q344" i="29"/>
  <c r="S344" i="29" s="1"/>
  <c r="U344" i="29" s="1"/>
  <c r="G285" i="11"/>
  <c r="H352" i="29"/>
  <c r="E282" i="11" l="1"/>
  <c r="F349" i="29"/>
  <c r="G286" i="11"/>
  <c r="H354" i="29" s="1"/>
  <c r="H353" i="29"/>
  <c r="O346" i="29"/>
  <c r="P278" i="11"/>
  <c r="N280" i="11"/>
  <c r="I348" i="29"/>
  <c r="H281" i="11"/>
  <c r="E349" i="29"/>
  <c r="D282" i="11"/>
  <c r="Q345" i="29"/>
  <c r="S345" i="29" s="1"/>
  <c r="U345" i="29" s="1"/>
  <c r="R277" i="11"/>
  <c r="O348" i="29" l="1"/>
  <c r="P280" i="11"/>
  <c r="D284" i="11"/>
  <c r="E350" i="29"/>
  <c r="H282" i="11"/>
  <c r="Q346" i="29"/>
  <c r="S346" i="29" s="1"/>
  <c r="U346" i="29" s="1"/>
  <c r="R278" i="11"/>
  <c r="I349" i="29"/>
  <c r="N281" i="11"/>
  <c r="F350" i="29"/>
  <c r="E284" i="11"/>
  <c r="D285" i="11" l="1"/>
  <c r="E352" i="29"/>
  <c r="H284" i="11"/>
  <c r="R280" i="11"/>
  <c r="Q348" i="29"/>
  <c r="S348" i="29" s="1"/>
  <c r="U348" i="29" s="1"/>
  <c r="I350" i="29"/>
  <c r="N282" i="11"/>
  <c r="E285" i="11"/>
  <c r="F352" i="29"/>
  <c r="O349" i="29"/>
  <c r="P281" i="11"/>
  <c r="O350" i="29" l="1"/>
  <c r="P282" i="11"/>
  <c r="N284" i="11"/>
  <c r="I352" i="29"/>
  <c r="E286" i="11"/>
  <c r="F354" i="29" s="1"/>
  <c r="F353" i="29"/>
  <c r="Q349" i="29"/>
  <c r="S349" i="29" s="1"/>
  <c r="U349" i="29" s="1"/>
  <c r="R281" i="11"/>
  <c r="E353" i="29"/>
  <c r="H285" i="11"/>
  <c r="D286" i="11"/>
  <c r="P284" i="11" l="1"/>
  <c r="O352" i="29"/>
  <c r="R282" i="11"/>
  <c r="Q350" i="29"/>
  <c r="S350" i="29" s="1"/>
  <c r="U350" i="29" s="1"/>
  <c r="H286" i="11"/>
  <c r="E354" i="29"/>
  <c r="I353" i="29"/>
  <c r="N285" i="11"/>
  <c r="I354" i="29" l="1"/>
  <c r="N286" i="11"/>
  <c r="P285" i="11"/>
  <c r="O353" i="29"/>
  <c r="Q352" i="29"/>
  <c r="S352" i="29" s="1"/>
  <c r="U352" i="29" s="1"/>
  <c r="R284" i="11"/>
  <c r="P286" i="11" l="1"/>
  <c r="O354" i="29"/>
  <c r="Q353" i="29"/>
  <c r="S353" i="29" s="1"/>
  <c r="U353" i="29" s="1"/>
  <c r="R285" i="11"/>
  <c r="Q354" i="29" l="1"/>
  <c r="S354" i="29" s="1"/>
  <c r="U354" i="29" s="1"/>
  <c r="R286" i="11"/>
</calcChain>
</file>

<file path=xl/sharedStrings.xml><?xml version="1.0" encoding="utf-8"?>
<sst xmlns="http://schemas.openxmlformats.org/spreadsheetml/2006/main" count="21229" uniqueCount="1219">
  <si>
    <t>Спірографія легень</t>
  </si>
  <si>
    <t>Одиниця виміру</t>
  </si>
  <si>
    <t>Ціна за уп.</t>
  </si>
  <si>
    <t>Обстеження</t>
  </si>
  <si>
    <t>уп/г</t>
  </si>
  <si>
    <t>Марля медична 5м</t>
  </si>
  <si>
    <t>уп/метр</t>
  </si>
  <si>
    <t>Маска на резинці</t>
  </si>
  <si>
    <t>Мікрасепт 250мл</t>
  </si>
  <si>
    <t>фл/мл</t>
  </si>
  <si>
    <t>фл/гр.</t>
  </si>
  <si>
    <t>л/мл</t>
  </si>
  <si>
    <t>Спирт 96 100 мл.</t>
  </si>
  <si>
    <t>кг/гр</t>
  </si>
  <si>
    <t>уп/рул</t>
  </si>
  <si>
    <t>РЕХ</t>
  </si>
  <si>
    <t>Ендоскопія</t>
  </si>
  <si>
    <t>Лідокаїн 2% 2,0 амп.№10</t>
  </si>
  <si>
    <t>уп/амп</t>
  </si>
  <si>
    <t>Консультація лікаря</t>
  </si>
  <si>
    <t>Натрію хлорид 0,9%  200мл</t>
  </si>
  <si>
    <t>Система в/в ПК</t>
  </si>
  <si>
    <t>Система в/в ПР</t>
  </si>
  <si>
    <t>Шприц 10</t>
  </si>
  <si>
    <t>Бинт марлевий 7*14см</t>
  </si>
  <si>
    <t>Еуфілін р-н д/ін. 20мг/мл амп.№10</t>
  </si>
  <si>
    <t>Лідокаїна гідрохл. р-н д/ін. 2% №10</t>
  </si>
  <si>
    <t>Послуга</t>
  </si>
  <si>
    <t>Лабораторні послуги</t>
  </si>
  <si>
    <t>Ультразвукова діагностика</t>
  </si>
  <si>
    <t>Штучне пв</t>
  </si>
  <si>
    <t>Корекція зору</t>
  </si>
  <si>
    <t>Фізіотерапевтичне відділення</t>
  </si>
  <si>
    <t xml:space="preserve">Азотна кислота хч </t>
  </si>
  <si>
    <t>фл/літр/мл</t>
  </si>
  <si>
    <t xml:space="preserve">Білірубін загальний і прямий- метод Ієндрашика </t>
  </si>
  <si>
    <t>Набір реактивів для визначення концентрації гемоглобіну (геміглобінціанідний метод)</t>
  </si>
  <si>
    <t>Ревматоїдний фактор (РФ) латекс – тест</t>
  </si>
  <si>
    <t>С-реактивний білок (СРБ) латекс –тест</t>
  </si>
  <si>
    <t>Сульфосаліцилова кислота</t>
  </si>
  <si>
    <t xml:space="preserve">Фарбник-фіксатор Еозин- метиленовий синій по Май – Грюнвальду </t>
  </si>
  <si>
    <t xml:space="preserve">Азур – еозин по Романовському </t>
  </si>
  <si>
    <t xml:space="preserve">Набір реактивів для визначення холестерину-ферментований метод </t>
  </si>
  <si>
    <t>Папір ЕКГ 110*25</t>
  </si>
  <si>
    <t>Вартість 1-го обстеження лікаря (поліклініка)</t>
  </si>
  <si>
    <t>Робоче місце ПК (ноутбук)</t>
  </si>
  <si>
    <t>Аналізатор Гематологічний автоматичний BC-30S</t>
  </si>
  <si>
    <t>Коагулометр HumaClot Duo Plus</t>
  </si>
  <si>
    <t>Комплект аналізаторів Cllover 1c</t>
  </si>
  <si>
    <t>Ультразвукове дослідження</t>
  </si>
  <si>
    <t>Система ультразвукова діагностична HD11 XE Standart</t>
  </si>
  <si>
    <t>Датчик кардіол. S4-2 з картріджним портом</t>
  </si>
  <si>
    <t>Масаж</t>
  </si>
  <si>
    <t>Гастрофіброскоп FG - 29W "Pentax"</t>
  </si>
  <si>
    <t>Комплекс рентгенiвський дiагностичний стацiонарний "Рентген - 30"</t>
  </si>
  <si>
    <t xml:space="preserve">Рентгенiвський флюграфiчний апарат 12 Ф 4, </t>
  </si>
  <si>
    <t>Апарат рентгенiвський дентальний стацiонарний "5Д2"</t>
  </si>
  <si>
    <t>Негатоскоп МТ - 48</t>
  </si>
  <si>
    <t>Апарат ренгенівський діагностичний переносний "Арма - 1"</t>
  </si>
  <si>
    <t>Фартух рентгенозахисний, 10, 10%, 1 шт.</t>
  </si>
  <si>
    <t>Бак для обробки рентгеном, 10, 10%, 1 шт.</t>
  </si>
  <si>
    <t>Прояв. комплекс "Онiко УФОРП-с", 10, 10%, 1 шт.</t>
  </si>
  <si>
    <t>Комплект iндив.засоб.захисту перс.та пац.рентген.кабiнету, 10, 10%, 1 шт</t>
  </si>
  <si>
    <t>Апарат ренгенівський діагностичний переносний "Chirana", 10, 10%, 1 шт.</t>
  </si>
  <si>
    <t>Комплекс рентгенiвський дiагностичний стацiонарний "Рентген - 30", 10, 10%, 1 шт.</t>
  </si>
  <si>
    <t>Мобiльна рентгенiвська система PLX - 102</t>
  </si>
  <si>
    <t>Консультативна медична допомога</t>
  </si>
  <si>
    <t xml:space="preserve">Робоче місце ПК </t>
  </si>
  <si>
    <t>Операції штучного переривання вагітності</t>
  </si>
  <si>
    <t>Крісло гінекологічне</t>
  </si>
  <si>
    <t>Відсмоктувач хірургічний</t>
  </si>
  <si>
    <t>Стіл інструментальний</t>
  </si>
  <si>
    <t>Поліпшене сервісне обслуговування</t>
  </si>
  <si>
    <t>Холодильник (пологове)</t>
  </si>
  <si>
    <t>Олія для масажу 100мл</t>
  </si>
  <si>
    <t>Дослідження крові  "EQUI SARS-CoV-2 IgМ" (ІФА)</t>
  </si>
  <si>
    <t>Тест-система "EQUI SARS-CoV-2 IgМ"</t>
  </si>
  <si>
    <t>Дослідження крові "EQUI SARS-CoV-2 IgG" (ІФА)</t>
  </si>
  <si>
    <t xml:space="preserve">К-сть визначень </t>
  </si>
  <si>
    <t>Тест-система "EQUI SARS-CoV-2 IgG"</t>
  </si>
  <si>
    <t>2.30</t>
  </si>
  <si>
    <t>2.31</t>
  </si>
  <si>
    <t>Дослідження крові "EQUI SARS-CoV-2 IgA" (ІФА)</t>
  </si>
  <si>
    <t>Тест-система "EQUI SARS-CoV-2 IgА"</t>
  </si>
  <si>
    <t xml:space="preserve">Комплект обладнання для проведення досліджень методом ІФА: мікропланшетний ІФА аналізатор PrisMatic, автоматичний мікропланшетний промивач Plate Wash      </t>
  </si>
  <si>
    <t>Термошейкер для планшетів PST -  60HL</t>
  </si>
  <si>
    <t>Пробірка вакуумна д/заб.крові VACUSERA 13*100мм з активат.згорт.6мл №1</t>
  </si>
  <si>
    <t>Пробірка з черв. ковпачком</t>
  </si>
  <si>
    <t>Кювет одноразовий</t>
  </si>
  <si>
    <t>Кювет одноразоаий</t>
  </si>
  <si>
    <t xml:space="preserve">Витрати </t>
  </si>
  <si>
    <t>Гастрофіброскоп FG - 29W "Pentax", ПК</t>
  </si>
  <si>
    <t>Шапочка з електродами-антенами</t>
  </si>
  <si>
    <t>Принтер, сканер , ксерокс Canon MF-4410</t>
  </si>
  <si>
    <t xml:space="preserve">Мікрасепт </t>
  </si>
  <si>
    <t xml:space="preserve">Ціна </t>
  </si>
  <si>
    <t>Видача</t>
  </si>
  <si>
    <t>Сервіс</t>
  </si>
  <si>
    <t>Папір офісний А4</t>
  </si>
  <si>
    <t>Розгорутий аналіз крові (Визначення кількості тромбоцитів, гематокріту згортання крові) на гематологічному аналізаторі</t>
  </si>
  <si>
    <t>Медичні огляди</t>
  </si>
  <si>
    <t xml:space="preserve"> </t>
  </si>
  <si>
    <t>ГГТ</t>
  </si>
  <si>
    <t>2.32</t>
  </si>
  <si>
    <t>Дослідження крові "EQUI SARS-CoV-2 IgМ" (ІФА)</t>
  </si>
  <si>
    <t>Забір аналізу</t>
  </si>
  <si>
    <t>Непрямі (комунальні) (власні кошти)</t>
  </si>
  <si>
    <t>Непрямі (відділення) %</t>
  </si>
  <si>
    <t>УВАГА !!! Не змінювати порядок стовпців та рядків</t>
  </si>
  <si>
    <t>Система рентгенівська діагностична KAIGEN - 40R, 10, 10%, 1 компл.</t>
  </si>
  <si>
    <t>Похвилинна оплата праці працівників КП "Рожищенська багатопрофільна лікарня"</t>
  </si>
  <si>
    <t>Без оглядового набору</t>
  </si>
  <si>
    <t>1.18.1</t>
  </si>
  <si>
    <t>1.19.1</t>
  </si>
  <si>
    <t>Загальний аналіз крові (Гемоглобін, Еритроцити, Колоьоровий показник, Лейкоцити, ШОЄ)</t>
  </si>
  <si>
    <t>Розгорнутий аналіз крові (Визначення лейкоцитарної формули)</t>
  </si>
  <si>
    <t>Біохімічні дослідження крові (Ниркові проби)</t>
  </si>
  <si>
    <t>Біохімічні дослідження крові (Печінкові проби)</t>
  </si>
  <si>
    <t>Біохімічні дослідження крові (Ревмо проби)</t>
  </si>
  <si>
    <t>Розгорнутий аналіз крові (Визначення лейкоцитарної формули) на гематологічному аналізаторі</t>
  </si>
  <si>
    <t>Масаж попереково - крижової ділянки</t>
  </si>
  <si>
    <t>Сегментарний масаж попереково - крижової ділянки</t>
  </si>
  <si>
    <t>Сегментарний масаж шийно - грудного відділу хребта</t>
  </si>
  <si>
    <t>10.11 послуга</t>
  </si>
  <si>
    <t>10.19 послуга</t>
  </si>
  <si>
    <t>10.12 ; 10.17 послуги</t>
  </si>
  <si>
    <t>Апарат для магнітотерапії та магнітофорезу"ПОЛЮС-3", 10, 10%, 1 шт.</t>
  </si>
  <si>
    <t>Апарат МИТ-1 МЛТ, 10, 10%, 1 шт</t>
  </si>
  <si>
    <t>Апарат ультр.терапії "Біомед" Sonic-Stimu ProUT1041, 10, 10%, 1 шт</t>
  </si>
  <si>
    <t>Апарат для низьк.електротерап."Радіус -01" СМТ.ДДТ.ГТ, 10, 10%, 1 шт</t>
  </si>
  <si>
    <t>коефіцієнт в грамах</t>
  </si>
  <si>
    <t xml:space="preserve">Набір реагентів для визначення активності аланінамінотрансферази в сироватці, крові, АЛаТ </t>
  </si>
  <si>
    <t>Набір реагентів для визначення активності Спартатамінотрансферази в сироватці, крові, АСаТ</t>
  </si>
  <si>
    <t xml:space="preserve">Набір реактивів для забарвлення по Ціль – Нільсену </t>
  </si>
  <si>
    <t>Діагностичний моноклональний реагент Анти-А</t>
  </si>
  <si>
    <t xml:space="preserve">Діагностичний моноклональний реагент Анти-В 10 </t>
  </si>
  <si>
    <t>Діагностичний моноклональний реагент Анти-D 10</t>
  </si>
  <si>
    <t>Набір реагентів для визначення кількості сечовини в сироватці, плазмі крові та сечі СЕЧОВИНА</t>
  </si>
  <si>
    <t>Фіз розчин № 200</t>
  </si>
  <si>
    <t>Формалін фл.</t>
  </si>
  <si>
    <t>фл.</t>
  </si>
  <si>
    <t xml:space="preserve">Гель для УЗД , 1000 гр. </t>
  </si>
  <si>
    <t xml:space="preserve">Дослідження крові на сифіліс </t>
  </si>
  <si>
    <t>Ультразвукове дослідження Новий</t>
  </si>
  <si>
    <t>Ультразвукова система AFFINITI 30</t>
  </si>
  <si>
    <t>Рентгенографія зуба</t>
  </si>
  <si>
    <t>Дослідження крові на сифіліс</t>
  </si>
  <si>
    <t>Папір  офісний  А 4</t>
  </si>
  <si>
    <t>Рентгенографія зубів</t>
  </si>
  <si>
    <t>Лікар - невропатолог</t>
  </si>
  <si>
    <t>Лікар - терапевт</t>
  </si>
  <si>
    <t xml:space="preserve">Гель для УЗД </t>
  </si>
  <si>
    <t>Спiрографiчна приставка БТЛ - 08</t>
  </si>
  <si>
    <t>Дентальна мед.рентг.плівка 3*4см №150</t>
  </si>
  <si>
    <t>Салфетки стерильні</t>
  </si>
  <si>
    <t>Додаток 1</t>
  </si>
  <si>
    <t>до рішення виконкому міської ради</t>
  </si>
  <si>
    <t>Тарифи на платні послуги ,</t>
  </si>
  <si>
    <t>які надаються комунальним підприємством "Рожищенська багатопрофільна лікарня" Рожищенської міської ради</t>
  </si>
  <si>
    <t>Аналiзатор бiохiмiчний STAT FAX 1904 Plus</t>
  </si>
  <si>
    <t>Лабораторні послуги за зверненнями громадян, що надаються без направлення лікаря:</t>
  </si>
  <si>
    <t>Діагностичні послуги за зверненнями громадян, що надаються без направлення лікаря:</t>
  </si>
  <si>
    <t>Операції штучного переривання вагітності у стаціонарі (до 12 тижнів вагітності), крім абортів за медичними та соціальними показаннями</t>
  </si>
  <si>
    <t>Діагностичні послуги за зверненнями громадян,  що надаються без направлення лікаря:</t>
  </si>
  <si>
    <t>Оздоровчий масаж:</t>
  </si>
  <si>
    <r>
      <t xml:space="preserve"> </t>
    </r>
    <r>
      <rPr>
        <b/>
        <u/>
        <sz val="13"/>
        <rFont val="Times New Roman"/>
        <family val="1"/>
        <charset val="204"/>
      </rPr>
      <t>Операції штучного переривання вагітності у стаціонарі (до 12 тижнів вагітності), крім абортів за медичними та соціальними показаннями</t>
    </r>
  </si>
  <si>
    <t>1.7.1</t>
  </si>
  <si>
    <t>1.9.1</t>
  </si>
  <si>
    <t>1.11.1</t>
  </si>
  <si>
    <t>1.20</t>
  </si>
  <si>
    <t>1.21</t>
  </si>
  <si>
    <t>Обов'язковий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Пологові будинки(відділення),  дитячі лікарні (відділення), відділення патології новонароджених,недоношених (жінки)</t>
  </si>
  <si>
    <t>1.22</t>
  </si>
  <si>
    <t>2.33</t>
  </si>
  <si>
    <t>2.34</t>
  </si>
  <si>
    <t>2.35</t>
  </si>
  <si>
    <t>Аналіз сечі за Зимницьким</t>
  </si>
  <si>
    <t>2.36</t>
  </si>
  <si>
    <t>2.37</t>
  </si>
  <si>
    <t>2.38</t>
  </si>
  <si>
    <t>2.39</t>
  </si>
  <si>
    <t>2.40</t>
  </si>
  <si>
    <t>Аналіз крові на LE - клітини</t>
  </si>
  <si>
    <t>Мікроскопічне дослідження на Демодекс</t>
  </si>
  <si>
    <t>Аналіз сечі на кетони (ацетон)</t>
  </si>
  <si>
    <t>Мазок на генітальні інфекції</t>
  </si>
  <si>
    <t>Дослідження мікрофлори ротової порожнини</t>
  </si>
  <si>
    <t>2.41</t>
  </si>
  <si>
    <t>Обстеження на загальний білок</t>
  </si>
  <si>
    <t>Циліндр 50 мл.</t>
  </si>
  <si>
    <t>Урометр</t>
  </si>
  <si>
    <t>Ацетонтест</t>
  </si>
  <si>
    <t>Смужка індикаторна для визначення кетонових тіл у сечі "Норма"</t>
  </si>
  <si>
    <t>Скло Покривне</t>
  </si>
  <si>
    <t>30 % розчин їдкий натрій</t>
  </si>
  <si>
    <t>має бути за 1 мл.</t>
  </si>
  <si>
    <t>Набір Загальний білок</t>
  </si>
  <si>
    <t>Біохімічні дослідження крові (Коагулогрма)</t>
  </si>
  <si>
    <t>Дослідження калу на лямблії</t>
  </si>
  <si>
    <t>Мікроскопічне дослідження на патологічні грибки</t>
  </si>
  <si>
    <t xml:space="preserve">Вата </t>
  </si>
  <si>
    <t>Шприц 5 мл</t>
  </si>
  <si>
    <t>Обов'язковий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Дошкільні навчальні заклади (дитячі ясла, дитячі садки, дитячі ясла-садки, будинки дитини, дитячі будинки, інші типи дошкільних навчальних закладів)</t>
  </si>
  <si>
    <t>Обов'язковий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Дошкільні навчальні заклади (дитячі ясла, дитячі садки, дитячі ясла-садки, будинки дитини, дитячі будинки, інші типи дошкільних навчальних закладів) (жінки)</t>
  </si>
  <si>
    <t>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Дошкільні навчальні заклади (дитячі ясла, дитячі садки, дитячі ясла-садки, будинки дитини, дитячі будинки, інші типи дошкільних навчальних закладів) (жінки)</t>
  </si>
  <si>
    <t>Обов'язковий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Загальноосвітні навчальні заклади</t>
  </si>
  <si>
    <t>Обов'язковий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Загальноосвітні навчальні заклади (жінки)</t>
  </si>
  <si>
    <t>Обов'язковий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Позашкільні навчальні заклади</t>
  </si>
  <si>
    <t>Обов'язковий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Позашкільні навчальні заклади (жінки)</t>
  </si>
  <si>
    <t>Обов'язковий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Суб'єкти господарювання, що займаються розведенням, вирощуванням і реалізацією тварин</t>
  </si>
  <si>
    <t>Обов'язковий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Суб'єкти господарювання, що займаються розведенням, вирощуванням і реалізацією тварин (жінки)</t>
  </si>
  <si>
    <t>2.55</t>
  </si>
  <si>
    <t>Визначення нейтралізуючих антитіл до коронавірусу</t>
  </si>
  <si>
    <t>Тест-система для визначення нейтралізуючих антитіл до коронавірусу</t>
  </si>
  <si>
    <t>Тест-система для визначення феритину</t>
  </si>
  <si>
    <t>2.56</t>
  </si>
  <si>
    <t>Визначення феритину</t>
  </si>
  <si>
    <t>плівка 13*18</t>
  </si>
  <si>
    <t>Рентгенографія зубів 3*4</t>
  </si>
  <si>
    <t>було</t>
  </si>
  <si>
    <t>стало</t>
  </si>
  <si>
    <t>штатні посади-вакансії = фактично зайняті на 01.12.2021</t>
  </si>
  <si>
    <t>92 (за 9 місяців 2021 рік  1 НС)</t>
  </si>
  <si>
    <t>94 (за 9 місяців 2021 рік  1 НС)</t>
  </si>
  <si>
    <t>звіт плата за послуги на 01.12.2021</t>
  </si>
  <si>
    <t>91 (за 9 місяців 2021 рік  1 НС) власні</t>
  </si>
  <si>
    <t>Суха медична плівка 20*25*100</t>
  </si>
  <si>
    <t>Суха медична плівка 35*43*100</t>
  </si>
  <si>
    <t>Рентген Фл</t>
  </si>
  <si>
    <t>Рентген новий</t>
  </si>
  <si>
    <t>20*25-1шт</t>
  </si>
  <si>
    <t>35*43-1шт</t>
  </si>
  <si>
    <t>35*43-2шт</t>
  </si>
  <si>
    <t>35*43-3шт</t>
  </si>
  <si>
    <t>35*43-4шт</t>
  </si>
  <si>
    <t>плівка 20*25</t>
  </si>
  <si>
    <t>плівка 35*43 - 1 шт</t>
  </si>
  <si>
    <t>плівка 35*43 - 2 шт</t>
  </si>
  <si>
    <t>плівка 35*43 - 3 шт</t>
  </si>
  <si>
    <t>плівка 35*43 - 4 шт</t>
  </si>
  <si>
    <t>11.1</t>
  </si>
  <si>
    <t>11.1.1</t>
  </si>
  <si>
    <t>11.1.2</t>
  </si>
  <si>
    <t>11.1.3</t>
  </si>
  <si>
    <t>11.1.4</t>
  </si>
  <si>
    <t>11.2</t>
  </si>
  <si>
    <t>11.3</t>
  </si>
  <si>
    <t>11.4</t>
  </si>
  <si>
    <t>11.5</t>
  </si>
  <si>
    <t>11.6</t>
  </si>
  <si>
    <t>11.7</t>
  </si>
  <si>
    <t>11.2.1</t>
  </si>
  <si>
    <t>11.2.3</t>
  </si>
  <si>
    <t>11.3.1</t>
  </si>
  <si>
    <t>11.3.2</t>
  </si>
  <si>
    <t>11.3.3</t>
  </si>
  <si>
    <t>11.3.4</t>
  </si>
  <si>
    <t>11.3.5</t>
  </si>
  <si>
    <t>11.3.6</t>
  </si>
  <si>
    <t>11.4.1</t>
  </si>
  <si>
    <t>11.4.2</t>
  </si>
  <si>
    <t>11.4.3</t>
  </si>
  <si>
    <t>11.5.1</t>
  </si>
  <si>
    <t>20*25-1 шт</t>
  </si>
  <si>
    <t>11.5.2</t>
  </si>
  <si>
    <t>35*43-1 шт</t>
  </si>
  <si>
    <t>11.5.3</t>
  </si>
  <si>
    <t>11.6.1</t>
  </si>
  <si>
    <t>11.6.2</t>
  </si>
  <si>
    <t>11.6.3</t>
  </si>
  <si>
    <t>35*43-2 шт</t>
  </si>
  <si>
    <t>11.6.4</t>
  </si>
  <si>
    <t>11.7.1</t>
  </si>
  <si>
    <t>11.7.2</t>
  </si>
  <si>
    <t>11.7.3</t>
  </si>
  <si>
    <t>11.8</t>
  </si>
  <si>
    <t>11.8.1</t>
  </si>
  <si>
    <t>11.8.2</t>
  </si>
  <si>
    <t>11.9</t>
  </si>
  <si>
    <t>11.9.1</t>
  </si>
  <si>
    <t>20*25 - 1 шт</t>
  </si>
  <si>
    <t>11.9.2</t>
  </si>
  <si>
    <t>11.10</t>
  </si>
  <si>
    <t>11.10.1</t>
  </si>
  <si>
    <t>35*43 - 4 шт</t>
  </si>
  <si>
    <t>11.10.2</t>
  </si>
  <si>
    <t>11.11</t>
  </si>
  <si>
    <t>11.11.1</t>
  </si>
  <si>
    <t>11.11.2</t>
  </si>
  <si>
    <t>11.2.2</t>
  </si>
  <si>
    <t>плівка 20*25 - 1 шт</t>
  </si>
  <si>
    <t>______ грудня 2021 року</t>
  </si>
  <si>
    <t>07.12.2021</t>
  </si>
  <si>
    <t>Вартість 1-го обстеження лікаря-психіатра</t>
  </si>
  <si>
    <t>1.23</t>
  </si>
  <si>
    <t>Попередній,періодичний та психіатричний огляд ,  у тому числі на вживання психоактивних речовин з видачею довідки (форма № 100-2/о)</t>
  </si>
  <si>
    <t>______ серпня 2023 року</t>
  </si>
  <si>
    <t>Тестування сечі на наявність в організмі наркотичних засобів і психотропних речовин</t>
  </si>
  <si>
    <t>Довідка про проходження попереднього , періодичного та позачергового психіатричних оглядів , у тому числі на предмет вживання психоактивних речовин (форма № 100-2/о)</t>
  </si>
  <si>
    <t>1.23.1</t>
  </si>
  <si>
    <t>Попередній,періодичний та психіатричний огляд ,  у тому числі на вживання психоактивних речовин з видачею довідки (форма № 100-2/о) з ПДВ</t>
  </si>
  <si>
    <t>Протокол про проходження попереднього , періодичного та позачергового психіатричних оглядів , у тому числі на предмет вживання психоактивних речовин ( форма № 100-1/о)</t>
  </si>
  <si>
    <t>друк власними силами</t>
  </si>
  <si>
    <t>2.57</t>
  </si>
  <si>
    <t>Комбінований тест на наркотики</t>
  </si>
  <si>
    <t>Попередній,періодичний та позачерговий психіатричні огляди,  у тому числі на предмет вживання психоактивних речовин з видачею довідки (форма № 100-2/о)</t>
  </si>
  <si>
    <t>Попередній,періодичний та позачерговий психіатричні огляди,  у тому числі на предмет вживання психоактивних речовин з видачею довідки (форма № 100-2/о) (з ПДВ)</t>
  </si>
  <si>
    <t>Обов'язковий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Пологові будинки(відділення),  дитячі лікарні (відділення), відділення патології новонароджених,недоношених</t>
  </si>
  <si>
    <t>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Пологові будинки(відділення),  дитячі лікарні (відділення), відділення патології новонароджених,недоношених</t>
  </si>
  <si>
    <t>Набір Загальний білок 1000 мл</t>
  </si>
  <si>
    <t>Обов'язковий попередній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Харчова та переробна промисловість ; Підприємства громадського харчування</t>
  </si>
  <si>
    <t>Обов'язковий попередній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Харчова та переробна промисловість ; Підприємства громадського харчування (жінки)</t>
  </si>
  <si>
    <t>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Харчова та переробна промисловість ; Підприємства громадського харчування</t>
  </si>
  <si>
    <t>Обов'язковий попередній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Підприємства продовольчої торгівлі, у тому числі роздрібної, а також ті, що розташовані на території ринків ; Перукарні , косметичні та масажні кабінети ; Готелі ; Гуртожитки ; Спортивно-оздоровчі комплекси ; Водоочисні та каналізаційні споруди</t>
  </si>
  <si>
    <t>Обов'язковий попередній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Підприємства продовольчої торгівлі, у тому числі роздрібної, а також ті, що розташовані на території ринків ; Перукарні, косметичні та масажні кабінети; Готелі ; Гуртожитки ; Спортивно-оздоровчі комплекси ; Водоочисні та каналізаційні споруди (жінки)</t>
  </si>
  <si>
    <t>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Підприємства продовольчої торгівлі, у тому числі роздрібної, а також ті, що розташовані на території ринків ; Перукарні , косметичні та масажні кабінети ; Спортивно-оздоровчі комплекси ; Водоочисні та каналізаційні споруди</t>
  </si>
  <si>
    <t>2.42</t>
  </si>
  <si>
    <t>2.43</t>
  </si>
  <si>
    <t>2.44</t>
  </si>
  <si>
    <t>2.45</t>
  </si>
  <si>
    <t>2.46</t>
  </si>
  <si>
    <t>2.47</t>
  </si>
  <si>
    <t>2.48</t>
  </si>
  <si>
    <t>2.49</t>
  </si>
  <si>
    <t>СРБ (С- реактивний білок)</t>
  </si>
  <si>
    <t>Прокальцитонін</t>
  </si>
  <si>
    <t>D - димер</t>
  </si>
  <si>
    <t>Вітамін D ( 25 - OH - D3 )</t>
  </si>
  <si>
    <t>ТТГ (тиреотропний гормон )</t>
  </si>
  <si>
    <t>Т3 (трийодтиронін)</t>
  </si>
  <si>
    <t>Т4 (тироксин)</t>
  </si>
  <si>
    <t>ХГЛ (хоріонічний гонадотропін людини)</t>
  </si>
  <si>
    <t>2.50</t>
  </si>
  <si>
    <t>2.51</t>
  </si>
  <si>
    <t>2.52</t>
  </si>
  <si>
    <t>2.53</t>
  </si>
  <si>
    <t>2.54</t>
  </si>
  <si>
    <t>ФСГ (фолікулостимулюючий гормон)</t>
  </si>
  <si>
    <t>Пролактин</t>
  </si>
  <si>
    <t>АМГ (антимюллерів гормон )</t>
  </si>
  <si>
    <t>Глікований гемоглобін (HbF1c )</t>
  </si>
  <si>
    <t>ПСА (простато-специфічний антиген)</t>
  </si>
  <si>
    <t>Тест-система для визначення СРБ</t>
  </si>
  <si>
    <t>25 в наборі</t>
  </si>
  <si>
    <t>Тест-система для визначення прокальцитоніну</t>
  </si>
  <si>
    <t>Тест-система для визначення вітаміну D</t>
  </si>
  <si>
    <t>Тест-система для визначення D - димеру</t>
  </si>
  <si>
    <t>Тест-система для визначення глікованого гемоглобіну</t>
  </si>
  <si>
    <t>Тест-система для визначення ТТГ</t>
  </si>
  <si>
    <t>Тест-система для визначення ТЗ</t>
  </si>
  <si>
    <t>Тест-система для визначення Т4</t>
  </si>
  <si>
    <t>Тест-система для визначення ХГЛ</t>
  </si>
  <si>
    <t>Тест-система для визначення ФСГ</t>
  </si>
  <si>
    <t>Тест-система для визначення пролактину</t>
  </si>
  <si>
    <t>Тест-система для визначення АМГ</t>
  </si>
  <si>
    <t>Тест-система для визначення ПСА</t>
  </si>
  <si>
    <t>LS-1100 Аналізатор імунофлуоресцентний</t>
  </si>
  <si>
    <t>СРБ (С- реактивний білок) (кількісні результати)</t>
  </si>
  <si>
    <t>Прокальцитонін (кількісні результати)</t>
  </si>
  <si>
    <t>D - димер (кількісні результати)</t>
  </si>
  <si>
    <t>Вітамін D ( 25 - OH - D3 ) (кількісні результати)</t>
  </si>
  <si>
    <t>ТТГ (тиреотропний гормон ) (кількісні результати)</t>
  </si>
  <si>
    <t>Т3 (трийодтиронін) (кількісні результати)</t>
  </si>
  <si>
    <t>Т4 (тироксин) (кількісні результати)</t>
  </si>
  <si>
    <t>ХГЛ (хоріонічний гонадотропін людини) (кількісні результати)</t>
  </si>
  <si>
    <t>ФСГ (фолікулостимулюючий гормон) (кількісні результати)</t>
  </si>
  <si>
    <t>Пролактин (кількісні результати)</t>
  </si>
  <si>
    <t>АМГ (антимюллерів гормон ) (кількісні результати)</t>
  </si>
  <si>
    <t>Глікований гемоглобін (HbF1c ) (кількісні результати)</t>
  </si>
  <si>
    <t>ПСА (простато-специфічний антиген) (кількісні результати)</t>
  </si>
  <si>
    <t>Наконечник для лабораторних дозаторів</t>
  </si>
  <si>
    <t>МАСАЖ</t>
  </si>
  <si>
    <t>Маска одноразова тришарова на резинці</t>
  </si>
  <si>
    <t>Антисептик швидкої дії</t>
  </si>
  <si>
    <t>Антисептик для обробки рук</t>
  </si>
  <si>
    <t>Мило рідке</t>
  </si>
  <si>
    <t>Рушник паперовий</t>
  </si>
  <si>
    <t>Олія для масажу 100 мл</t>
  </si>
  <si>
    <t>Пелюшка поглинаюча 60/60</t>
  </si>
  <si>
    <t>Простирадло одноразове 100 м</t>
  </si>
  <si>
    <t>Ультрфіолетове опромінення загальне - Ультрфіолетове опромінення місцеве - Опромінення інфрачервоними променями - Лазотерапія низькочастотна - Лазотерапія високочастотна</t>
  </si>
  <si>
    <t>Електроди одноразові поверхневі з гідрофільною прокладкою з целюлози прямокутні № 25</t>
  </si>
  <si>
    <t>Крізшкірна електронейростимуляція одноразовими електродами</t>
  </si>
  <si>
    <t>Крізшкірна електронейростимуляція багаторазовими електродами</t>
  </si>
  <si>
    <t>Гідрофільні прокладки багаторазові поверхневі</t>
  </si>
  <si>
    <t>10.7.1</t>
  </si>
  <si>
    <t>10.8.1</t>
  </si>
  <si>
    <t>Нервово-мязова електростимуляція одноразовими електродами</t>
  </si>
  <si>
    <t>Нервово-мязова електростимуляція багаторазовими електродами</t>
  </si>
  <si>
    <t>Аерозольтерапія індивідуальна (без вартості медичних препаратів)</t>
  </si>
  <si>
    <t>10.9.1</t>
  </si>
  <si>
    <t>10.9.2</t>
  </si>
  <si>
    <t>10.9.3</t>
  </si>
  <si>
    <t>10.9.4</t>
  </si>
  <si>
    <t>10.9.5</t>
  </si>
  <si>
    <t>Аерозольтерапія індивідуальна (з декасаном)</t>
  </si>
  <si>
    <t>Аерозольтерапія індивідуальна (з небутамолом)</t>
  </si>
  <si>
    <t>Аерозольтерапія індивідуальна (з пульмікортом)</t>
  </si>
  <si>
    <t>Аерозольтерапія індивідуальна (з пульмікортом) доросла</t>
  </si>
  <si>
    <t>Аерозольтерапія індивідуальна (з пульмікортом) дитяча</t>
  </si>
  <si>
    <t>Аерозольтерапія індивідуальна з протинабряковою сумішшю</t>
  </si>
  <si>
    <t>Синусоїдальні модульовані струми (ампліпульстерапія) (одноразовими електродами )</t>
  </si>
  <si>
    <t>10.11.1</t>
  </si>
  <si>
    <t>Синусоїдальні модульовані струми (ампліпульстерапія) (багаторазовими електродами )</t>
  </si>
  <si>
    <t>Діадинамічні струми (одноразовими електродами )</t>
  </si>
  <si>
    <t>Діадинамічні струми (багаторазовими електродами )</t>
  </si>
  <si>
    <t>10.15.1</t>
  </si>
  <si>
    <t>Ультрафонофорез</t>
  </si>
  <si>
    <t>Теплолікування</t>
  </si>
  <si>
    <t>Галотерапія (соляна шахта )</t>
  </si>
  <si>
    <t>10.6.1</t>
  </si>
  <si>
    <t>Електрофорез лікарський з кальцієм хлоридом ( одноразовими електродами )</t>
  </si>
  <si>
    <t>10.6.2</t>
  </si>
  <si>
    <t>Електрофорез лікарський з кальцієм хлоридом (багаторазовими електродами )</t>
  </si>
  <si>
    <t>10.6.3</t>
  </si>
  <si>
    <t>10.6.4</t>
  </si>
  <si>
    <t>10.6.5</t>
  </si>
  <si>
    <t>10.6.6</t>
  </si>
  <si>
    <t>Електрофорез лікарський з нікотиновою кислотою ( одноразовими електродами )</t>
  </si>
  <si>
    <t>Електрофорез лікарський з нікотиновою кислотою ( багаторазовими електродами )</t>
  </si>
  <si>
    <t>Електрофорез лікарський з новокаїном ( одноразовими електродами )</t>
  </si>
  <si>
    <t>Електрофорез лікарський з новокаїном ( багаторазовими електродами )</t>
  </si>
  <si>
    <t>10.6.7</t>
  </si>
  <si>
    <t>10.6.8</t>
  </si>
  <si>
    <t>10.6.9</t>
  </si>
  <si>
    <t>10.6.10</t>
  </si>
  <si>
    <t>10.6.11</t>
  </si>
  <si>
    <t>10.6.12</t>
  </si>
  <si>
    <t>10.6.13</t>
  </si>
  <si>
    <t>10.6.14</t>
  </si>
  <si>
    <t>10.6.15</t>
  </si>
  <si>
    <t>10.6.16</t>
  </si>
  <si>
    <t>10.6.17</t>
  </si>
  <si>
    <t>10.6.18</t>
  </si>
  <si>
    <t>Електрофорез лікарський з медичною жовчю ( одноразовими електродами )</t>
  </si>
  <si>
    <t>Електрофорез лікарський з медичною жовчю ( багаторазовими електродами )</t>
  </si>
  <si>
    <t>Електрофорез лікарський комір по Щербаку з магнію сульфатом ( одноразовими електродами )</t>
  </si>
  <si>
    <t>Електрофорез лікарський комір по Щербаку з магнію сульфатом ( багаторазовими електродами )</t>
  </si>
  <si>
    <t>Електрофорез лікарський комір по Щербаку з еуфіліном ( одноразовими електродами )</t>
  </si>
  <si>
    <t>Електрофорез лікарський комір по Щербаку з еуфіліном ( багаторазовими електродами )</t>
  </si>
  <si>
    <t>Електрофорез лікарський з лідазою ( одноразовими електродами )</t>
  </si>
  <si>
    <t>Електрофорез лікарський з лідазою ( багаторазовими електродами )</t>
  </si>
  <si>
    <t>Електрофорез лікарський з диклоберлом ( одноразовими електродами )</t>
  </si>
  <si>
    <t>Електрофорез лікарський з диклоберлом ( багаторазовими електродами )</t>
  </si>
  <si>
    <t>Електрофорез лікарський з диклофенаком ( одноразовими електродами )</t>
  </si>
  <si>
    <t>Електрофорез лікарський з диклофенаком ( багаторазовими електродами )</t>
  </si>
  <si>
    <t>Кальцій хлорид р-н д/ін. 10 % - 5 мл № 10</t>
  </si>
  <si>
    <t>Електрофорез лікарський  ( одноразовими електродами )</t>
  </si>
  <si>
    <t>Електрофорез лікарський  (багаторазовими електродами )</t>
  </si>
  <si>
    <t>Електрофорез лікарський з кальцієм хлоридом</t>
  </si>
  <si>
    <t>Електрофорез лікарський з нікотиновою кислотою</t>
  </si>
  <si>
    <t>Електрофорез лікарський з новокаїном</t>
  </si>
  <si>
    <t>Електрофорез лікарський з медичною жовчю</t>
  </si>
  <si>
    <t>Електрофорез лікарський комір по Щербаку з магнію сульфатом</t>
  </si>
  <si>
    <t>Електрофорез лікарський комір по Щербаку з еуфіліном</t>
  </si>
  <si>
    <t>Електрофорез лікарський з лідазою</t>
  </si>
  <si>
    <t xml:space="preserve">Електрофорез лікарський з диклоберлом </t>
  </si>
  <si>
    <t>Електрофорез лікарський з диклофенаком</t>
  </si>
  <si>
    <t>Нікотинова кислота р-н д/ін 1 % - 1 мл № 10</t>
  </si>
  <si>
    <t>Медична жовч фл. - 250 мл.</t>
  </si>
  <si>
    <t>Магнію сульфат р-н д/ін. 25% - 5 мл № 10</t>
  </si>
  <si>
    <t>Новокаїн р-н д/ін 2 % - 2 мл № 10</t>
  </si>
  <si>
    <t>Еуфілін р-н д/ін. 2,4 % 5 мл №10</t>
  </si>
  <si>
    <t>Лідаза амп - 2 мл (64 ОД) № 10</t>
  </si>
  <si>
    <t>Диклоберл р-н д/ін 75 мг - 3 мл № 5</t>
  </si>
  <si>
    <t>Диклофенак р-н д/ін 25 мг - 3 мл № 10</t>
  </si>
  <si>
    <t>амп</t>
  </si>
  <si>
    <t>Небутамол небули 1 мг/мл - 2 мл № 10</t>
  </si>
  <si>
    <t>Пульмікорт 0,5 мг/мл - 2 мл № 20</t>
  </si>
  <si>
    <t>Аерозольтерапія індивідуальна (з протинабряковою сумішшю)</t>
  </si>
  <si>
    <t>Атропіну сульфат 0,1 % - 1 мл № 10</t>
  </si>
  <si>
    <t>Адреналін 0,18 % - 1 мл № 10</t>
  </si>
  <si>
    <t>Преднізолон 30 мг/мл - 1 мл № 3</t>
  </si>
  <si>
    <t>Димедрол 0,5 % - 1 мл № 10</t>
  </si>
  <si>
    <t>Аскорбінова кислота 10 % - 2 мл № 10</t>
  </si>
  <si>
    <t>Вода для ін'єкцій 2 мл № 10</t>
  </si>
  <si>
    <t>Перекис водню 3 % 100 мл</t>
  </si>
  <si>
    <t>Магнітотерапія ( низькочастотна )</t>
  </si>
  <si>
    <t>Вазелін туба 25 г</t>
  </si>
  <si>
    <t>Бахіли одноразові</t>
  </si>
  <si>
    <t>Гальванізація</t>
  </si>
  <si>
    <t>Галотерапія (соляна шахта ) ( 60 хв. - перебування )</t>
  </si>
  <si>
    <t>Галотерапія ( соляна шахта ) - ( 30 хв. - перебування )</t>
  </si>
  <si>
    <t>Галотерапія ( соляна шахта )  ( 30 хв. - перебування )</t>
  </si>
  <si>
    <t>Набір ДСУ-РПГА-АНТИ-ЛЮІС</t>
  </si>
  <si>
    <t>ДСУ-ЛЮІС-тест</t>
  </si>
  <si>
    <t>Реагент Diluent</t>
  </si>
  <si>
    <t>Рентген 13 * 18 № 100</t>
  </si>
  <si>
    <t>Рентген 30 * 40 № 100</t>
  </si>
  <si>
    <t>Рентген 24 * 30 № 100</t>
  </si>
  <si>
    <t>Рентген 18 * 24 № 100</t>
  </si>
  <si>
    <t>Рентген МРФ 70 * 30,5 м</t>
  </si>
  <si>
    <t>Дентальна медична рентгенівська плівка 3*4см №150</t>
  </si>
  <si>
    <t>Ціна за 1 шт. , 1мл (гр.) метр, 1 тест</t>
  </si>
  <si>
    <t>25.02.2021 Попередні</t>
  </si>
  <si>
    <t>1.1.1</t>
  </si>
  <si>
    <t>1.2.1</t>
  </si>
  <si>
    <t>1.3.1</t>
  </si>
  <si>
    <t>Медичний огляд для отримання дозволу (ліцензії) на об'єкт дозвільної системи (жінки)</t>
  </si>
  <si>
    <t>Попередній медичний огляд кандидатів у водії (водіїв) транспортних засобів (жінки)</t>
  </si>
  <si>
    <t>Періодичний медичний огляд кандидатів у водії (водіїв) транспортних засобів (жінки)</t>
  </si>
  <si>
    <t>4.46.1</t>
  </si>
  <si>
    <t xml:space="preserve">Рентгенографія кісток </t>
  </si>
  <si>
    <t>18*24</t>
  </si>
  <si>
    <t>24*30</t>
  </si>
  <si>
    <t>4.46.2</t>
  </si>
  <si>
    <t>30*40</t>
  </si>
  <si>
    <t>4.47.1</t>
  </si>
  <si>
    <t xml:space="preserve">на плівку </t>
  </si>
  <si>
    <t>плівка 18*24</t>
  </si>
  <si>
    <t>плівка 24*30</t>
  </si>
  <si>
    <t>плівка 30*40</t>
  </si>
  <si>
    <t>4.47.2</t>
  </si>
  <si>
    <t>Найменування</t>
  </si>
  <si>
    <t>Річна</t>
  </si>
  <si>
    <t>Оздоровчі</t>
  </si>
  <si>
    <t>Річна норма</t>
  </si>
  <si>
    <t>Лікар-терапевт</t>
  </si>
  <si>
    <t>Лікар-невропатолог</t>
  </si>
  <si>
    <t>Лікар-дерматовенеролог</t>
  </si>
  <si>
    <t>Лікар-ендокринолог</t>
  </si>
  <si>
    <t>Лікар-отоларинголог</t>
  </si>
  <si>
    <t>Лікар-офтальмолога</t>
  </si>
  <si>
    <t>Лікар-онколог</t>
  </si>
  <si>
    <t>Лікар-інфекціоніст</t>
  </si>
  <si>
    <t>Лікар-ортопед-травматолог</t>
  </si>
  <si>
    <t>Лікар-фтизіатр</t>
  </si>
  <si>
    <t>Лікар-хірург</t>
  </si>
  <si>
    <t>Лікар-уролог</t>
  </si>
  <si>
    <t>Лікар-кардіолог</t>
  </si>
  <si>
    <t>Лікар-психіатр</t>
  </si>
  <si>
    <t>Лікар-педіатр</t>
  </si>
  <si>
    <t>Лікар-нарколог</t>
  </si>
  <si>
    <t>Лікар-ендоскопіст</t>
  </si>
  <si>
    <t>Лікар-лаборант</t>
  </si>
  <si>
    <t>Лікар-стоматолог</t>
  </si>
  <si>
    <t>Сестра медична УЗД</t>
  </si>
  <si>
    <t>Сестра медична ендоскопічний</t>
  </si>
  <si>
    <t>Сестра медична психіатричний</t>
  </si>
  <si>
    <t>Сестра медична поліклініки</t>
  </si>
  <si>
    <t>Зарплата лікарня</t>
  </si>
  <si>
    <t>Середьомісячний баланс</t>
  </si>
  <si>
    <t>Норми часу</t>
  </si>
  <si>
    <t>Діагностичні послуги</t>
  </si>
  <si>
    <t>4.2</t>
  </si>
  <si>
    <t>Ультразвукова доплерографія екстракраніальних артерій і вен голови</t>
  </si>
  <si>
    <t>4.3</t>
  </si>
  <si>
    <t>Ультразвукове дослідження паращитоподібних залоз</t>
  </si>
  <si>
    <t>4.4</t>
  </si>
  <si>
    <t>Ультразвукове дослідження щитоподібної залози</t>
  </si>
  <si>
    <t>4.5</t>
  </si>
  <si>
    <t>Ультразвукове дослідження надниркових залоз</t>
  </si>
  <si>
    <t>4.6</t>
  </si>
  <si>
    <t>Ехокардіографія (з колторовим доплерівським картування)</t>
  </si>
  <si>
    <t>4.7</t>
  </si>
  <si>
    <t>Ультразвукове визначення кількості вільної рідини у плевральних порожнинах</t>
  </si>
  <si>
    <t>4.8</t>
  </si>
  <si>
    <t>Ультразвукове дослідження грудної залози</t>
  </si>
  <si>
    <t>4.9</t>
  </si>
  <si>
    <t>Ультразвукове дослідження шлунку</t>
  </si>
  <si>
    <t>4.10</t>
  </si>
  <si>
    <t>Ультразвукове дослідження товстої кишки</t>
  </si>
  <si>
    <t>4.11</t>
  </si>
  <si>
    <t>Ультразвукове дослідження печінки</t>
  </si>
  <si>
    <t>4.12</t>
  </si>
  <si>
    <t>Ультразвукове дослідження жовчного міхура і жовчних проток</t>
  </si>
  <si>
    <t>4.13</t>
  </si>
  <si>
    <t>Ультразвукове визначення скорочувальної функції жовчного міхура</t>
  </si>
  <si>
    <t>4.14</t>
  </si>
  <si>
    <t>Ультразвукове дослідження черевної порожнини і заочеревинного простору</t>
  </si>
  <si>
    <t>4.15</t>
  </si>
  <si>
    <t>Ультразвукове визначення кількості вільної рідини у черевній порожнині</t>
  </si>
  <si>
    <t>4.16</t>
  </si>
  <si>
    <t>Ультразвукове дослідження печінки, жовчного міхура і жовчних проток</t>
  </si>
  <si>
    <t>4.17</t>
  </si>
  <si>
    <t>Ультразвукове дослідження печінки, жовчного міхура і підшлункової залози</t>
  </si>
  <si>
    <t>4.18</t>
  </si>
  <si>
    <t>Ультразвукове дослідження нирок</t>
  </si>
  <si>
    <t>4.19</t>
  </si>
  <si>
    <t>Ультразвукове дослідження сечоводів</t>
  </si>
  <si>
    <t>4.20</t>
  </si>
  <si>
    <t>Ультразвукове дослідження сечового міхура</t>
  </si>
  <si>
    <t>4.21</t>
  </si>
  <si>
    <t>Ультразвукове дослідження сечового міхура з визначенням залишкової сечі</t>
  </si>
  <si>
    <t>4.22</t>
  </si>
  <si>
    <t>Ультразвукове дослідження передміхурової залози і сім'яних пухирців</t>
  </si>
  <si>
    <t>4.23</t>
  </si>
  <si>
    <t>Ультразвукове дослідження органів калитки</t>
  </si>
  <si>
    <t>4.24</t>
  </si>
  <si>
    <t>Ультразвукове дослідження суглобів</t>
  </si>
  <si>
    <t>4.25</t>
  </si>
  <si>
    <t>Ультразвукове дослідження м'яких тканин</t>
  </si>
  <si>
    <t>4.26</t>
  </si>
  <si>
    <t>Ультразвукове дослідження селезінки</t>
  </si>
  <si>
    <t>4.27</t>
  </si>
  <si>
    <t>Ультразвукове дослідження лімфатичних вузлів</t>
  </si>
  <si>
    <t>4.28</t>
  </si>
  <si>
    <t>Доплерографія судин нирок</t>
  </si>
  <si>
    <t>4.29</t>
  </si>
  <si>
    <t>Доплерографія судин печінки</t>
  </si>
  <si>
    <t>4.30</t>
  </si>
  <si>
    <t>Доплерографія селезінкових судин</t>
  </si>
  <si>
    <t>4.31</t>
  </si>
  <si>
    <t>Доплерографія артерій верхніх кінцівок</t>
  </si>
  <si>
    <t>4.32</t>
  </si>
  <si>
    <t>Доплерографія артерій нижніх кінцівок</t>
  </si>
  <si>
    <t>4.33</t>
  </si>
  <si>
    <t>Електроенцефалографія (ЕЕГ головного мозку)</t>
  </si>
  <si>
    <t>4.34</t>
  </si>
  <si>
    <t>РЕХ судин головного мозку</t>
  </si>
  <si>
    <t>4.35</t>
  </si>
  <si>
    <t>Спінографія легень</t>
  </si>
  <si>
    <t>4.36</t>
  </si>
  <si>
    <t>Електрокардіографі́я серця</t>
  </si>
  <si>
    <t>4.37</t>
  </si>
  <si>
    <t>Гістероскопія</t>
  </si>
  <si>
    <t>4.38</t>
  </si>
  <si>
    <t>Ендоскопічне видалення стороннього тіла з езофагогастродуоденальної зони</t>
  </si>
  <si>
    <t>4.39</t>
  </si>
  <si>
    <t>Ендоскопічне переміщення стороннього тіла зі стравоходу в шлунок</t>
  </si>
  <si>
    <t>4.40</t>
  </si>
  <si>
    <t>Ендоскопічна медикаментозна аплікація ерозивно-виразкових уражень ШКТ</t>
  </si>
  <si>
    <t>4.41</t>
  </si>
  <si>
    <t>Ендоскопічна зупинка кровотечі при езофагогастродуоденоскопії (накладенням гемокліпси)</t>
  </si>
  <si>
    <t>4.42</t>
  </si>
  <si>
    <t>Ендоскопічна зупинка кровотечі при езофагогастродуоденоскопії (ін'єкцією засобів, що коагулюють)</t>
  </si>
  <si>
    <t>4.43</t>
  </si>
  <si>
    <t>Ендоскопічна зупинка кровотечі при езофагогастродуоденоскопії (електрокоагуляцією)</t>
  </si>
  <si>
    <t>4.44</t>
  </si>
  <si>
    <t>Ендоскопічне склерозування варикозно розширених вен стравоходу і шлунку</t>
  </si>
  <si>
    <t>4.45</t>
  </si>
  <si>
    <t>Ендоскопічна поліпектомія (шлунок)</t>
  </si>
  <si>
    <t>4.46</t>
  </si>
  <si>
    <t>Введення з допомогою ендоскопа зонда для ентерального харчування</t>
  </si>
  <si>
    <t>4.47</t>
  </si>
  <si>
    <t>Ендоскопічне видалення стороннього тіла з товстої кишки</t>
  </si>
  <si>
    <t>4.48</t>
  </si>
  <si>
    <t>Ендоскопічна зупинка кровотечі при колоноскопії (накладенням гемокліпси)</t>
  </si>
  <si>
    <t>4.49</t>
  </si>
  <si>
    <t>Ендоскопічна зупинка кровотечі при колоноскопії (ін'єкцією засобів, що коагулюють)</t>
  </si>
  <si>
    <t>4.50</t>
  </si>
  <si>
    <t>Ендоскопічна зупинка кровотечі при колоноскопії (електрокоагуляцією)</t>
  </si>
  <si>
    <t>4.51</t>
  </si>
  <si>
    <t>Ендоскопічна поліпектомія з товстої кишки</t>
  </si>
  <si>
    <t>4.52</t>
  </si>
  <si>
    <t>Бронхоскопія</t>
  </si>
  <si>
    <t>4.53</t>
  </si>
  <si>
    <t>Цистоскопія</t>
  </si>
  <si>
    <t>4.54</t>
  </si>
  <si>
    <t>Ультразвукове інтраректальне дослідження жіночих статевих органів</t>
  </si>
  <si>
    <t>4.55</t>
  </si>
  <si>
    <t>Ультразвукове інтравагінальне дослідження жіночих статевих органів</t>
  </si>
  <si>
    <t>4.56</t>
  </si>
  <si>
    <t>Ультразвукове дослідження матки і яєчників</t>
  </si>
  <si>
    <t>4.57</t>
  </si>
  <si>
    <t>Ультразвукове дослідження вагітної матки з визначенням терміну вагітності</t>
  </si>
  <si>
    <t>4.58</t>
  </si>
  <si>
    <t>Ультразвукове дослідження вагітної матки з визначенням статі плоду</t>
  </si>
  <si>
    <t>4.59</t>
  </si>
  <si>
    <t>Ультразвукове дослідження вагітної матки з визначенням стану плаценти</t>
  </si>
  <si>
    <t>4.60</t>
  </si>
  <si>
    <t>Доплерометричне дослідження фетоплацентарного і маточно-плацентарного кровообігу</t>
  </si>
  <si>
    <t>4.61</t>
  </si>
  <si>
    <t>Ультразвукове дослідження патології плоду</t>
  </si>
  <si>
    <t>4.62</t>
  </si>
  <si>
    <t>Доплерометричне дослідження кровообігу органів малого тазу</t>
  </si>
  <si>
    <t>4.63</t>
  </si>
  <si>
    <t>Ультразвукові дослідження в акушерстві</t>
  </si>
  <si>
    <t>4.64</t>
  </si>
  <si>
    <t>Рентгенографія черепа</t>
  </si>
  <si>
    <t>4.65</t>
  </si>
  <si>
    <t>Рентгенографія черепа в двох проекціях</t>
  </si>
  <si>
    <t>4.66</t>
  </si>
  <si>
    <t>Рентгенографія хребта</t>
  </si>
  <si>
    <t>4.67</t>
  </si>
  <si>
    <t>Рентгенографія хребта в двох проекціях</t>
  </si>
  <si>
    <t>4.68</t>
  </si>
  <si>
    <t>Рентгенографія кісток</t>
  </si>
  <si>
    <t>4.69</t>
  </si>
  <si>
    <t>Рентгенографія кісток в двох проекціях</t>
  </si>
  <si>
    <t>4.70</t>
  </si>
  <si>
    <t>Рентгенографія приносових пазух</t>
  </si>
  <si>
    <t>4.71</t>
  </si>
  <si>
    <t>Рентгенографія щелепи</t>
  </si>
  <si>
    <t>4.72</t>
  </si>
  <si>
    <t>Флюорографія органів грудної клітки</t>
  </si>
  <si>
    <t>4.73</t>
  </si>
  <si>
    <t>Рентгенографія органів грудної клітки</t>
  </si>
  <si>
    <t>4.74</t>
  </si>
  <si>
    <t>Рентгенографія органів грудної клітки в двох проекціях</t>
  </si>
  <si>
    <t>4.75</t>
  </si>
  <si>
    <t>Рентгенографія органів черевної порожнини</t>
  </si>
  <si>
    <t>4.76</t>
  </si>
  <si>
    <t>Рентгенографія органів черевної порожнини в двох проекціях</t>
  </si>
  <si>
    <t>4.77</t>
  </si>
  <si>
    <t>Ренгенографія шлунку з контрастом</t>
  </si>
  <si>
    <t>4.78</t>
  </si>
  <si>
    <t>Холецистографія</t>
  </si>
  <si>
    <t>4.79</t>
  </si>
  <si>
    <t>Оглядова урографія</t>
  </si>
  <si>
    <t>Екстреторна внутрішньовенна урографія</t>
  </si>
  <si>
    <t>5</t>
  </si>
  <si>
    <t>Консультативні послуги за зверненням громадян, що надаються без направлення лікаря</t>
  </si>
  <si>
    <t>5.1</t>
  </si>
  <si>
    <t>Консультативна медична допомога лікаря-терапевта</t>
  </si>
  <si>
    <t>5.2</t>
  </si>
  <si>
    <t>Консультативна медична допомога лікаря-невропатолога</t>
  </si>
  <si>
    <t>5.3</t>
  </si>
  <si>
    <t>Консультативна медична допомога лікаря дерматовенеролога</t>
  </si>
  <si>
    <t>5.4</t>
  </si>
  <si>
    <t>Консультативна медична допомога лікаря-ендокринолог</t>
  </si>
  <si>
    <t>5.5</t>
  </si>
  <si>
    <t>5.6</t>
  </si>
  <si>
    <t>Консультативна медична допомога лікаря-офтальмолога</t>
  </si>
  <si>
    <t>5.7</t>
  </si>
  <si>
    <t>Консультативна медична допомога лікаря-онколога</t>
  </si>
  <si>
    <t>5.8</t>
  </si>
  <si>
    <t>Консультативна медична допомога лікаря-інфекціоніста</t>
  </si>
  <si>
    <t>5.9</t>
  </si>
  <si>
    <t>Консультативна медична допомога лікаря-ортопеда-травматолога</t>
  </si>
  <si>
    <t>5.10</t>
  </si>
  <si>
    <t>Консультативна медична допомога лікаря-фтизіатра</t>
  </si>
  <si>
    <t>5.11</t>
  </si>
  <si>
    <t>Консультативна медична допомога лікаря-хірург</t>
  </si>
  <si>
    <t>5.12</t>
  </si>
  <si>
    <t>Консультативна медична допомога лікаря-уролога</t>
  </si>
  <si>
    <t>5.13</t>
  </si>
  <si>
    <t>Консультативна медична допомога лікаря-фізіатерапевта</t>
  </si>
  <si>
    <t>Лабораторні послуги:</t>
  </si>
  <si>
    <t>2.1</t>
  </si>
  <si>
    <t>Загальний аналіз сечі</t>
  </si>
  <si>
    <t>2.2</t>
  </si>
  <si>
    <t>Аналіз сечі по Нечипоренко</t>
  </si>
  <si>
    <t>2.3</t>
  </si>
  <si>
    <t>Дослідження калу на гельмінтози</t>
  </si>
  <si>
    <t>2.4</t>
  </si>
  <si>
    <t>Мікроскопія калу - копрограма</t>
  </si>
  <si>
    <t>2.5</t>
  </si>
  <si>
    <t>Дослідження зішкрібка на гостриці</t>
  </si>
  <si>
    <t>2.6</t>
  </si>
  <si>
    <t>Мікроскопія харкотиння</t>
  </si>
  <si>
    <t>2.7</t>
  </si>
  <si>
    <t>Бактеріоскопія харкотиння (Мікобактерії туберкульозу)</t>
  </si>
  <si>
    <t>2.8</t>
  </si>
  <si>
    <t>Загальний аналіз крові (Гемоглобін, Еритроцити, Колоьоровий показниу, Лейкоцити, ШОЄ)</t>
  </si>
  <si>
    <t>2.9</t>
  </si>
  <si>
    <t>Розгорнутий аналіз крові (визначення лейкоцитарної формули)</t>
  </si>
  <si>
    <t>2.10</t>
  </si>
  <si>
    <t>2.11</t>
  </si>
  <si>
    <t>Аналіз крові на глюкозу</t>
  </si>
  <si>
    <t>2.12</t>
  </si>
  <si>
    <t>Аналіз крові на визначення групи та резусу</t>
  </si>
  <si>
    <t>2.13</t>
  </si>
  <si>
    <t>2.14</t>
  </si>
  <si>
    <t>Біохімічні дослідження крові (ниркові проби)</t>
  </si>
  <si>
    <t>2.15</t>
  </si>
  <si>
    <t>Біохімічні дослідження крові (печінкові проби)</t>
  </si>
  <si>
    <t>2.16</t>
  </si>
  <si>
    <t>Біохімічні дослідження крові (ревмо проби)</t>
  </si>
  <si>
    <t>2.17</t>
  </si>
  <si>
    <t>Біохімічні дослідження крові (Ліпідограма)</t>
  </si>
  <si>
    <t>2.18</t>
  </si>
  <si>
    <t>Біохімічні дослідження крові (Коагулогрмаа)</t>
  </si>
  <si>
    <t>2.19</t>
  </si>
  <si>
    <t>Біохімічні дослідження крові (Сечова кислота)</t>
  </si>
  <si>
    <t>2.20</t>
  </si>
  <si>
    <t>Біохімічні дослідження крові (Електроліти)</t>
  </si>
  <si>
    <t>2.21</t>
  </si>
  <si>
    <t>Біохімічні дослідження крові (ГГТ)</t>
  </si>
  <si>
    <t>2.22</t>
  </si>
  <si>
    <t>Мікрореакція преципітації для діагностики сифілісу</t>
  </si>
  <si>
    <t>2.23</t>
  </si>
  <si>
    <t>Дослідження крові на сифіліс (ІФА)</t>
  </si>
  <si>
    <t>2.24</t>
  </si>
  <si>
    <t>Мазок на флору</t>
  </si>
  <si>
    <t>2.25</t>
  </si>
  <si>
    <t>Зішкрібок на хламідії</t>
  </si>
  <si>
    <t>2.26</t>
  </si>
  <si>
    <t>Розгорнутий аналіз крові (визначення лейкоцитарної формули) на гематологічному аналізаторі</t>
  </si>
  <si>
    <t>2.27</t>
  </si>
  <si>
    <t>Розгорутий аналіз крові(Визначення кількості тромбоцитів, гематокріту згортання крові) на гематологічному аналізаторі</t>
  </si>
  <si>
    <t>2.28</t>
  </si>
  <si>
    <t>Біохімічні дослідження крові (ниркові проби) на біохімічному аналізаторі</t>
  </si>
  <si>
    <t>2.29</t>
  </si>
  <si>
    <t>Біохімічні дослідження крові (печінкові проби) на біохімічному аналізаторі</t>
  </si>
  <si>
    <t>Біохімічні дослідження крові (Ліпідограма) на біохімічному аналізаторі</t>
  </si>
  <si>
    <t>Біохімічні дослідження крові (Коагулогрмаа) на коагулометр</t>
  </si>
  <si>
    <t>161,06 год. = 9663 хв.</t>
  </si>
  <si>
    <t>Оздоровчий масаж</t>
  </si>
  <si>
    <t>3.1</t>
  </si>
  <si>
    <t>Масаж голови</t>
  </si>
  <si>
    <t>3.2</t>
  </si>
  <si>
    <t>Масаж обличчя</t>
  </si>
  <si>
    <t>3.3</t>
  </si>
  <si>
    <t>Масаж шиї</t>
  </si>
  <si>
    <t>3.4</t>
  </si>
  <si>
    <t>Масаж комірцевої зони</t>
  </si>
  <si>
    <t>3.5</t>
  </si>
  <si>
    <t>Масаж шийно-грудного відділу хребта</t>
  </si>
  <si>
    <t>3.6</t>
  </si>
  <si>
    <t>Масаж верхньої кінцівки, надпліччя й ділянки лопатки</t>
  </si>
  <si>
    <t>3.7</t>
  </si>
  <si>
    <t>Масаж верхньої кінцівки</t>
  </si>
  <si>
    <t>3.8</t>
  </si>
  <si>
    <t>Масаж плечового суглоба</t>
  </si>
  <si>
    <t>3.9</t>
  </si>
  <si>
    <t>Масаж ліктьового суглоба</t>
  </si>
  <si>
    <t>3.10</t>
  </si>
  <si>
    <t>Масаж променево-зап'ясткового суглоба</t>
  </si>
  <si>
    <t>3.11</t>
  </si>
  <si>
    <t>Масаж кисті і передпліччя</t>
  </si>
  <si>
    <t>3.12</t>
  </si>
  <si>
    <t>Масаж спини (від VII шийного до I поперекового хребця)</t>
  </si>
  <si>
    <t>3.13</t>
  </si>
  <si>
    <t>Масаж спини (від VII шийного хребця до V поперекового хребця)</t>
  </si>
  <si>
    <t>3.14</t>
  </si>
  <si>
    <t>Масаж грудної клітки</t>
  </si>
  <si>
    <t>3.15</t>
  </si>
  <si>
    <t>Масаж передньої черевної стінки</t>
  </si>
  <si>
    <t>3.16</t>
  </si>
  <si>
    <t>Масаж попереково-крижової ділянки</t>
  </si>
  <si>
    <t>3.17</t>
  </si>
  <si>
    <t>Сегментарний масаж попереково-крижової ділянки</t>
  </si>
  <si>
    <t>3.18</t>
  </si>
  <si>
    <t>Масаж ділянки хребта</t>
  </si>
  <si>
    <t>3.19</t>
  </si>
  <si>
    <t>Масаж нижньої кінцівки і попереку</t>
  </si>
  <si>
    <t>3.20</t>
  </si>
  <si>
    <t>Масаж кульшового суглоба</t>
  </si>
  <si>
    <t>3.21</t>
  </si>
  <si>
    <t>Масаж колінного суглоба</t>
  </si>
  <si>
    <t>3.22</t>
  </si>
  <si>
    <t>Масаж гомілковоступневого суглоба</t>
  </si>
  <si>
    <t>3.23</t>
  </si>
  <si>
    <t>Масаж ступні і гомілки</t>
  </si>
  <si>
    <t>3.24</t>
  </si>
  <si>
    <t>Загальний масаж у дітей грудного і ясельного віку</t>
  </si>
  <si>
    <t>3.25</t>
  </si>
  <si>
    <t>Сегментарний масаж шийно-грудного відділу хребта</t>
  </si>
  <si>
    <t>3.26</t>
  </si>
  <si>
    <t>Масаж нижньої кінцівки</t>
  </si>
  <si>
    <t>3.27</t>
  </si>
  <si>
    <t>Масаж грудної клітки (біля ліжка хворого)</t>
  </si>
  <si>
    <t>10.1</t>
  </si>
  <si>
    <t>Ультрафіолетове опромінення загальне</t>
  </si>
  <si>
    <t>10.2</t>
  </si>
  <si>
    <t>Ультрафіолетове опромінення місцеве</t>
  </si>
  <si>
    <t>10.3</t>
  </si>
  <si>
    <t>Опромінення інфрачервоними променями</t>
  </si>
  <si>
    <t>10.4</t>
  </si>
  <si>
    <t>Лазеротерапія низькочастотна</t>
  </si>
  <si>
    <t>10.5</t>
  </si>
  <si>
    <t>Лазеротерапія високочастотна</t>
  </si>
  <si>
    <t>10.6</t>
  </si>
  <si>
    <t>Електрофорез лікарський</t>
  </si>
  <si>
    <t>10.7</t>
  </si>
  <si>
    <t>Функціональна електростимуляція</t>
  </si>
  <si>
    <t>10.8</t>
  </si>
  <si>
    <t>Крізшкірна електронейростимуляція</t>
  </si>
  <si>
    <t>10.9</t>
  </si>
  <si>
    <t>Нервово-мязова електростимуляція</t>
  </si>
  <si>
    <t>10.10</t>
  </si>
  <si>
    <t>Аерозольтерапія індивідуальна</t>
  </si>
  <si>
    <t>10.11</t>
  </si>
  <si>
    <t>Магнітотерапія (низькочастотна)</t>
  </si>
  <si>
    <t>10.12</t>
  </si>
  <si>
    <t>Синусоїдальні модульовані струми (ампліпульстерапія)</t>
  </si>
  <si>
    <t>10.13</t>
  </si>
  <si>
    <t>Ударно-хвильова терапія</t>
  </si>
  <si>
    <t>10.14</t>
  </si>
  <si>
    <t>Дарсонвалізація</t>
  </si>
  <si>
    <t>10.15</t>
  </si>
  <si>
    <t>Мікрохвильова терапія</t>
  </si>
  <si>
    <t>10.16</t>
  </si>
  <si>
    <t>Ультрависокочастотна терапія</t>
  </si>
  <si>
    <t>10.17</t>
  </si>
  <si>
    <t>Діадинамічні струми</t>
  </si>
  <si>
    <t>10.18</t>
  </si>
  <si>
    <t>Озекеритолікування</t>
  </si>
  <si>
    <t>10.19</t>
  </si>
  <si>
    <t>Ультразвукова терапія</t>
  </si>
  <si>
    <t>Медичні огляди:</t>
  </si>
  <si>
    <t>1.1</t>
  </si>
  <si>
    <t>Медичний огляд для отримання дозволу (ліцензії) на об'єкт дозвільної системи</t>
  </si>
  <si>
    <t>1.2</t>
  </si>
  <si>
    <t>Попередній медичний огляд кандидатів у водії (водіїв) транспортних засобів</t>
  </si>
  <si>
    <t>1.3</t>
  </si>
  <si>
    <t>Періодичний медичний огляд кандидатів у водії (водіїв) транспортних засобів</t>
  </si>
  <si>
    <t>1.4</t>
  </si>
  <si>
    <t>Попередній медичний огляд працівників певних категорій</t>
  </si>
  <si>
    <t>1.5</t>
  </si>
  <si>
    <t>Попередній медичний огляд працівників певних категорій (жінки)</t>
  </si>
  <si>
    <t>1.6</t>
  </si>
  <si>
    <t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Харчова та переробна промисловість</t>
  </si>
  <si>
    <t>1.7</t>
  </si>
  <si>
    <t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Харчова та переробна промисловість (жінки)</t>
  </si>
  <si>
    <t>1.8</t>
  </si>
  <si>
    <t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Підприємства продовольчої торгівлі, у тому числі роздрібної, а також ті, що розташовані на території ринків.</t>
  </si>
  <si>
    <t>1.9</t>
  </si>
  <si>
    <t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Підприємства продовольчої торгівлі, у тому числі роздрібної, а також ті, що розташовані на території ринків (жінки)</t>
  </si>
  <si>
    <t>1.10</t>
  </si>
  <si>
    <t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Дошкільні навчальні заклади (дитячі ясла, дитячі садки, дитячі ясла-садки, будинки дитини, дитячі будинки, інші типи дошкільних навчальних закладів)</t>
  </si>
  <si>
    <t>1.11</t>
  </si>
  <si>
    <t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Дошкільні навчальні заклади (дитячі ясла, дитячі садки, дитячі ясла-садки, будинки дитини, дитячі будинки, інші типи дошкільних навчальних закладів) (жінки)</t>
  </si>
  <si>
    <t>1.12</t>
  </si>
  <si>
    <t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Загальноосвітні навчальні заклади</t>
  </si>
  <si>
    <t>1.13</t>
  </si>
  <si>
    <t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Загальноосвітні навчальні заклади (жінки)</t>
  </si>
  <si>
    <t>1.14</t>
  </si>
  <si>
    <t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Позашкільні навчальні заклади</t>
  </si>
  <si>
    <t>1.15</t>
  </si>
  <si>
    <t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Позашкільні навчальні заклади (жінки)</t>
  </si>
  <si>
    <t>1.16</t>
  </si>
  <si>
    <t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Суб'єкти господарювання, що займаються розведенням, вирощуванням і реалізацією тварин</t>
  </si>
  <si>
    <t>1.17</t>
  </si>
  <si>
    <t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Суб'єкти господарювання, що займаються розведенням, вирощуванням і реалізацією тварин (жінки)</t>
  </si>
  <si>
    <t>1.18</t>
  </si>
  <si>
    <t>Попередній або періодичний медичний огляд лікаря-нарколога з видачею сертифіката</t>
  </si>
  <si>
    <t>1.19</t>
  </si>
  <si>
    <t>Попередній або періодичний медичний огляд лікаря-психіатра з видачею сертифіката</t>
  </si>
  <si>
    <t>Електрокардіографі́я серця (ЕКГ)</t>
  </si>
  <si>
    <t xml:space="preserve"> Операції штучного переривання вагітності</t>
  </si>
  <si>
    <t>Корекція зору за допомогою окулярів та контактних лінз</t>
  </si>
  <si>
    <t>Видача копії медичної довідки, витягу з історії хвороби</t>
  </si>
  <si>
    <t>Перебування громадян за їх бажанням у медичних закладах з поліпшеним сервісним обслуговуванням</t>
  </si>
  <si>
    <t>4.1</t>
  </si>
  <si>
    <t>Фонд</t>
  </si>
  <si>
    <t>Вартість хв.</t>
  </si>
  <si>
    <t>Місячна</t>
  </si>
  <si>
    <t>Виконавець послуги</t>
  </si>
  <si>
    <t>Норма часу хв.</t>
  </si>
  <si>
    <t>Зарплата</t>
  </si>
  <si>
    <t>Фонд зарплати з нарахуванням</t>
  </si>
  <si>
    <t>Нарахування на оплату праці</t>
  </si>
  <si>
    <t>Рукавиці н/с</t>
  </si>
  <si>
    <t>пара</t>
  </si>
  <si>
    <t>Мікрасепт</t>
  </si>
  <si>
    <t>мл</t>
  </si>
  <si>
    <t>Марля медична</t>
  </si>
  <si>
    <t>метр</t>
  </si>
  <si>
    <t>Маска на резинці, стерильна.</t>
  </si>
  <si>
    <t>шт</t>
  </si>
  <si>
    <t xml:space="preserve">Спирт 70% 100мл </t>
  </si>
  <si>
    <t>Вата</t>
  </si>
  <si>
    <t>г</t>
  </si>
  <si>
    <t>Вартість усіх лікарських засобів</t>
  </si>
  <si>
    <t>Медикамети та вироби медичного призначення</t>
  </si>
  <si>
    <t>літр</t>
  </si>
  <si>
    <t>Накладні витрати</t>
  </si>
  <si>
    <t>Паперові рушники "Fesko Professional"</t>
  </si>
  <si>
    <t>рул</t>
  </si>
  <si>
    <t>Непрямі (адміністративні)</t>
  </si>
  <si>
    <t>Непрямі (поточні)</t>
  </si>
  <si>
    <t>Непрямі (комунальні)</t>
  </si>
  <si>
    <t>Накладні 1 хв.</t>
  </si>
  <si>
    <t>Витрати на 1 штатну посаду</t>
  </si>
  <si>
    <t>Вартість Накладних витрат</t>
  </si>
  <si>
    <t>Вартість усіх накладних витрат</t>
  </si>
  <si>
    <t>Тариф на платні медичні послуги</t>
  </si>
  <si>
    <t>Загальна вартість усіх витрат</t>
  </si>
  <si>
    <t>Тариф на медичну послугу</t>
  </si>
  <si>
    <t>Вартість грн.</t>
  </si>
  <si>
    <t>Стимулюючі</t>
  </si>
  <si>
    <t>Сестра медична з масажу</t>
  </si>
  <si>
    <t>Рукавиці не стерильні</t>
  </si>
  <si>
    <t xml:space="preserve">Септил 70% 100мл </t>
  </si>
  <si>
    <t xml:space="preserve">Мікрасепт 1л. </t>
  </si>
  <si>
    <t>пляшка</t>
  </si>
  <si>
    <t>Амортизаційні відрахування</t>
  </si>
  <si>
    <t>Річна амортизація</t>
  </si>
  <si>
    <t xml:space="preserve">Вартість </t>
  </si>
  <si>
    <t>грн.</t>
  </si>
  <si>
    <t>Вата 100 гр.</t>
  </si>
  <si>
    <t>Глюкотест</t>
  </si>
  <si>
    <t>фл</t>
  </si>
  <si>
    <t>Рн-тест</t>
  </si>
  <si>
    <t>Сульфасаліцилова кислота</t>
  </si>
  <si>
    <t>кг</t>
  </si>
  <si>
    <t>Азотна кислота</t>
  </si>
  <si>
    <t>літра</t>
  </si>
  <si>
    <t>Кето тест</t>
  </si>
  <si>
    <t>Пробірка</t>
  </si>
  <si>
    <t>Піпетка</t>
  </si>
  <si>
    <t>Груша</t>
  </si>
  <si>
    <t>Скло Предметне</t>
  </si>
  <si>
    <t>Мікросепт</t>
  </si>
  <si>
    <t>Найменування матеріалу</t>
  </si>
  <si>
    <t>Одиниці виміру</t>
  </si>
  <si>
    <t>Вартість</t>
  </si>
  <si>
    <t xml:space="preserve">Кількість визначень </t>
  </si>
  <si>
    <t>Вартість на послугу</t>
  </si>
  <si>
    <t>№ п/п</t>
  </si>
  <si>
    <t>Вартість 1-го обстеження лікаря-терапевта</t>
  </si>
  <si>
    <t>1</t>
  </si>
  <si>
    <t>Вартість 1-го обстеження лікаря-хірурга</t>
  </si>
  <si>
    <t>Вартість 1-го обстеження лікаря-невропатолога</t>
  </si>
  <si>
    <t>2</t>
  </si>
  <si>
    <t>3</t>
  </si>
  <si>
    <t>Ціна</t>
  </si>
  <si>
    <t>Вартість 1-го обстеження лікаря-офтальмолога</t>
  </si>
  <si>
    <t>4</t>
  </si>
  <si>
    <t>Вартість 1-го обстеження лікаря-отоларинголога</t>
  </si>
  <si>
    <t>6</t>
  </si>
  <si>
    <t>Вартість 1-го обстеження лікаря-дерматовенеролога</t>
  </si>
  <si>
    <t>7</t>
  </si>
  <si>
    <t>Вартість 1-го обстеження лікаря-акушер-гінеколога</t>
  </si>
  <si>
    <t>8</t>
  </si>
  <si>
    <t>Вартість 1-го обстеження лікаря-стоматолога</t>
  </si>
  <si>
    <t>Вартість 1-го обстеження лікаря-психіатр</t>
  </si>
  <si>
    <t>9</t>
  </si>
  <si>
    <t>Вартість 1-го обстеження лікаря-нарколога</t>
  </si>
  <si>
    <t>10</t>
  </si>
  <si>
    <t>Вартість 1-го обстеження лікаря-психіатра для видачі сертифіката</t>
  </si>
  <si>
    <t>Вартість 1-го обстеження лікаря-нарколога для видачі сертифіката</t>
  </si>
  <si>
    <t>11</t>
  </si>
  <si>
    <t>12</t>
  </si>
  <si>
    <t xml:space="preserve">        </t>
  </si>
  <si>
    <t>Камера Гараєва</t>
  </si>
  <si>
    <t>Фіз розчин №200</t>
  </si>
  <si>
    <t>Аналіз сечі Нечипоренко</t>
  </si>
  <si>
    <t>Загальні аналіз сечі</t>
  </si>
  <si>
    <t>Маска на резинці, стерильна</t>
  </si>
  <si>
    <t>на А4 форматі</t>
  </si>
  <si>
    <t>на плівку</t>
  </si>
  <si>
    <t>Проявник "Lisoform" ХімРей</t>
  </si>
  <si>
    <t>Фіксаж "Lisoform" ХімРей для фотохімічної обробки медичних рентг. плівок</t>
  </si>
  <si>
    <t>Плівка для загальної рентг. "Lisoform" 24х30</t>
  </si>
  <si>
    <t>Плівка для загальної рентг. "Lisoform" 30х40</t>
  </si>
  <si>
    <t>Парір ЕКГ</t>
  </si>
  <si>
    <t>Лідокаїн амп.</t>
  </si>
  <si>
    <t>Адреналін амп.</t>
  </si>
  <si>
    <t>Азопірамова проба</t>
  </si>
  <si>
    <t>Забарвлення по цілю-нільсону</t>
  </si>
  <si>
    <t>уп</t>
  </si>
  <si>
    <t>Імерсійне масло</t>
  </si>
  <si>
    <t>Набір на гемоглобін</t>
  </si>
  <si>
    <t>шт.</t>
  </si>
  <si>
    <t>Оцтова кислота</t>
  </si>
  <si>
    <t>л</t>
  </si>
  <si>
    <t>Натрій лимоннокислий</t>
  </si>
  <si>
    <t>Капіляри Панченка</t>
  </si>
  <si>
    <t>Скарифікатор</t>
  </si>
  <si>
    <t>Фарба Романовського</t>
  </si>
  <si>
    <t>Фарба Май-Грюнвальд</t>
  </si>
  <si>
    <t>Набір на гюкозу</t>
  </si>
  <si>
    <t>набір</t>
  </si>
  <si>
    <t>Реагент А</t>
  </si>
  <si>
    <t>Реагент В</t>
  </si>
  <si>
    <t>Реагент Д</t>
  </si>
  <si>
    <t>Палочка скляна</t>
  </si>
  <si>
    <t>Шприц 5</t>
  </si>
  <si>
    <t>Сечовина</t>
  </si>
  <si>
    <t>Креатинін</t>
  </si>
  <si>
    <t>Асат</t>
  </si>
  <si>
    <t>Алат</t>
  </si>
  <si>
    <t>Білірубін</t>
  </si>
  <si>
    <t>Тимолова проба</t>
  </si>
  <si>
    <t>Ревмофактор</t>
  </si>
  <si>
    <t>СРБ-латекс тест</t>
  </si>
  <si>
    <t>Серомукоїди</t>
  </si>
  <si>
    <t>Холестирин</t>
  </si>
  <si>
    <t>Тригліцириди</t>
  </si>
  <si>
    <t>Тромбопластин</t>
  </si>
  <si>
    <t>Кальцій хлористий</t>
  </si>
  <si>
    <t>Натрій лимонно кислий</t>
  </si>
  <si>
    <t>Спирт 96 50 мл.</t>
  </si>
  <si>
    <t>Сечова кислота</t>
  </si>
  <si>
    <t>Калібратор А,В</t>
  </si>
  <si>
    <t>Набір на ГГТ</t>
  </si>
  <si>
    <t>Кардіоліпідовий антиген</t>
  </si>
  <si>
    <t>Набір на ІФА</t>
  </si>
  <si>
    <t>Дозатор піпетковий</t>
  </si>
  <si>
    <t>Наконечник одноразовий</t>
  </si>
  <si>
    <t>Метиленовий синій</t>
  </si>
  <si>
    <t>Пробірка з фіолетовим ковпачком</t>
  </si>
  <si>
    <t>Реагент М-30Р Pride СЛ</t>
  </si>
  <si>
    <t>Реагент Lize</t>
  </si>
  <si>
    <t>Реагент Dilent</t>
  </si>
  <si>
    <t xml:space="preserve">Сечовина </t>
  </si>
  <si>
    <t>Білірубін загальний</t>
  </si>
  <si>
    <t>Білірубін прямий</t>
  </si>
  <si>
    <t>Біохімічні дослідження крові (Коагулогрма) на коагулометр</t>
  </si>
  <si>
    <t>Бинт еластичний</t>
  </si>
  <si>
    <t>Кальцію хлорид р-н д/ін. 10%</t>
  </si>
  <si>
    <t xml:space="preserve">Гідрокортизону ацетат 2,5% </t>
  </si>
  <si>
    <t>Декасан небули р-н 2мл №10</t>
  </si>
  <si>
    <t>Мазь гідрокортизонова 1% туба 10 г</t>
  </si>
  <si>
    <t>Загальний аналіз крові</t>
  </si>
  <si>
    <t>Розгорнутий аналіз крові на гематологічному аналізаторі</t>
  </si>
  <si>
    <t>Розгорутий аналіз крові на гематологічному аналізаторі</t>
  </si>
  <si>
    <t>Клінічна лабораторія</t>
  </si>
  <si>
    <t>Електрокардіограф портативний  6 -ти  канальний Мідас 6/12</t>
  </si>
  <si>
    <t>Консультативна медична допомога лікаря-отоларинголог</t>
  </si>
  <si>
    <t>Рентген</t>
  </si>
  <si>
    <t xml:space="preserve">Комплекс Реовазограф        </t>
  </si>
  <si>
    <t>Ультразвукові дослідження в акушерстві</t>
  </si>
  <si>
    <t>Офтальмоскоп</t>
  </si>
  <si>
    <t>Сестра медична акуш-гін</t>
  </si>
  <si>
    <t>Рукавиці стерильні</t>
  </si>
  <si>
    <t>Шприц 20</t>
  </si>
  <si>
    <t>Натрію хлорид 0,9%  200</t>
  </si>
  <si>
    <t>Сестра медична</t>
  </si>
  <si>
    <t>Молодша медична сестра</t>
  </si>
  <si>
    <t>Холодильник</t>
  </si>
  <si>
    <t>Телевізор</t>
  </si>
  <si>
    <t>Оглядовий набір</t>
  </si>
  <si>
    <t>Бланк довідки</t>
  </si>
  <si>
    <t>Фізіотерапія</t>
  </si>
  <si>
    <t>Річна амортиз.</t>
  </si>
  <si>
    <t>Непрямі (відділення)</t>
  </si>
  <si>
    <t>Витрати на 1 шт.п.</t>
  </si>
  <si>
    <t>Вартість НВ</t>
  </si>
  <si>
    <t>Од.вим.</t>
  </si>
  <si>
    <t>К-сть виз</t>
  </si>
  <si>
    <t>Річна аморт.</t>
  </si>
  <si>
    <t>Стiл масажний</t>
  </si>
  <si>
    <t>Паперові рушники</t>
  </si>
  <si>
    <t>Робоче місце ПК</t>
  </si>
  <si>
    <t>З.П.</t>
  </si>
  <si>
    <t>мат</t>
  </si>
  <si>
    <t>Прямі</t>
  </si>
  <si>
    <t>адмін</t>
  </si>
  <si>
    <t>пот</t>
  </si>
  <si>
    <t>відд</t>
  </si>
  <si>
    <t>Деззасоби</t>
  </si>
  <si>
    <t>аморт</t>
  </si>
  <si>
    <t>ком</t>
  </si>
  <si>
    <t>Накладні</t>
  </si>
  <si>
    <t>без плівки</t>
  </si>
  <si>
    <t>А4</t>
  </si>
  <si>
    <t>плівка</t>
  </si>
  <si>
    <t>Парафін</t>
  </si>
  <si>
    <t>Озокерит</t>
  </si>
  <si>
    <t>Вартість 1-го обстеження лікаря-оталаринголога</t>
  </si>
  <si>
    <t>Вартість 1-го обстеження лікаря-акушера-гінеколога</t>
  </si>
  <si>
    <t>Вартість 1-го обстеження лікарянарколога для видачі сертифіката</t>
  </si>
  <si>
    <t>Попередній медичний огляд працівників певних категорій жінки</t>
  </si>
  <si>
    <t>тер</t>
  </si>
  <si>
    <t>лор</t>
  </si>
  <si>
    <t>окуліс</t>
  </si>
  <si>
    <t>невроп</t>
  </si>
  <si>
    <t>хір</t>
  </si>
  <si>
    <t>екг</t>
  </si>
  <si>
    <t>кров</t>
  </si>
  <si>
    <t>сеча</t>
  </si>
  <si>
    <t>глюк</t>
  </si>
  <si>
    <t>група</t>
  </si>
  <si>
    <t>флюро</t>
  </si>
  <si>
    <t>псих</t>
  </si>
  <si>
    <t>нарко</t>
  </si>
  <si>
    <t>гін</t>
  </si>
  <si>
    <t>дерм</t>
  </si>
  <si>
    <t>стомат</t>
  </si>
  <si>
    <t>флора</t>
  </si>
  <si>
    <t>бланк</t>
  </si>
  <si>
    <t>сифіліс</t>
  </si>
  <si>
    <t>мл.</t>
  </si>
  <si>
    <t>Цикломед оч. кап. 1% фл.10 мг.</t>
  </si>
  <si>
    <t>Автоматизоване робоче місце</t>
  </si>
  <si>
    <t>Інстументарій</t>
  </si>
  <si>
    <t>хв.</t>
  </si>
  <si>
    <t>Автоматизоване робоче місце, ПК</t>
  </si>
  <si>
    <t>Оглядовий набір №6</t>
  </si>
  <si>
    <t xml:space="preserve">Марля </t>
  </si>
  <si>
    <t>м</t>
  </si>
  <si>
    <t>Пеленка підкладна</t>
  </si>
  <si>
    <t>Катетер в/в</t>
  </si>
  <si>
    <t>Шприци 20</t>
  </si>
  <si>
    <t>Шприци 5</t>
  </si>
  <si>
    <t>Система в/в</t>
  </si>
  <si>
    <t>Бетайод 50 мл.</t>
  </si>
  <si>
    <t>Тіопентал р-ну д/ін. по 1 г №1</t>
  </si>
  <si>
    <t>Формалін 100 мл.</t>
  </si>
  <si>
    <t>Шприци 2</t>
  </si>
  <si>
    <t>Натрія хлорид 0,9%  400 мл</t>
  </si>
  <si>
    <t>Стим.</t>
  </si>
  <si>
    <t xml:space="preserve">Річна </t>
  </si>
  <si>
    <t>Н часу хв.</t>
  </si>
  <si>
    <t>ПДВ 20%</t>
  </si>
  <si>
    <t>Тариф на медичну послугу з ПДВ</t>
  </si>
  <si>
    <t>Річна амортиз</t>
  </si>
  <si>
    <t>ПДВ</t>
  </si>
  <si>
    <t>Миючі засоби</t>
  </si>
  <si>
    <t>Затверджено</t>
  </si>
  <si>
    <t>Забір аналізів</t>
  </si>
  <si>
    <t>№</t>
  </si>
  <si>
    <t>Найменування послуги</t>
  </si>
  <si>
    <t>Тариф</t>
  </si>
  <si>
    <t>Лікар-анестезіолог</t>
  </si>
  <si>
    <t>Консультативна медична допомога лікаря-хірурга</t>
  </si>
  <si>
    <t>Консультативна медична допомога лікаря-ендокринолога</t>
  </si>
  <si>
    <t>Лікар-фізіотерапевт</t>
  </si>
  <si>
    <t>Лікар-акушер-гінеколог</t>
  </si>
  <si>
    <t xml:space="preserve">Сестра медична </t>
  </si>
  <si>
    <t>Сестра медична поліклініки (хірург)</t>
  </si>
  <si>
    <t>Статистик медичний</t>
  </si>
  <si>
    <t>Консультативна медична допомога лікаря-отоларинголога</t>
  </si>
  <si>
    <t>Сестра медична з фізіотерапії</t>
  </si>
  <si>
    <t>Папір офісний А 4</t>
  </si>
  <si>
    <t>Лікар-офтальмолог</t>
  </si>
  <si>
    <t>Сестра медична стаціонару (процедурна)</t>
  </si>
  <si>
    <t>Сестра медична- анестезист</t>
  </si>
  <si>
    <t>Сестра медична-анестизист</t>
  </si>
  <si>
    <t>Крісло гінекологічне, відсмоктувач , стіл інстр.</t>
  </si>
  <si>
    <t>Стіл масажний</t>
  </si>
  <si>
    <t xml:space="preserve">Сестра медична поліклініки </t>
  </si>
  <si>
    <t>Консультативна медична допомога лікаря-фізіотерапевта</t>
  </si>
  <si>
    <t>Лаборант клінічної лабораторії</t>
  </si>
  <si>
    <t>Загальний аналіз крові (Гемоглобін, Еритроцити, Кольоровий показник, Лейкоцити, ШОЕ)</t>
  </si>
  <si>
    <t>Лікар з ультразвукової діагностики</t>
  </si>
  <si>
    <t>Перелік  платних послуг згідно постанови КМУ від 17.09.1996 року № 1138</t>
  </si>
  <si>
    <t>Лікар-рентгенолог</t>
  </si>
  <si>
    <t>Рентгенолаборант</t>
  </si>
  <si>
    <t xml:space="preserve">Сестра медична УЗД </t>
  </si>
  <si>
    <t>Сестра медична (приймальне)</t>
  </si>
  <si>
    <t>Сестра медична дерматологічний</t>
  </si>
  <si>
    <t>Бинт марлевий 7х14</t>
  </si>
  <si>
    <t>Рукавиці нестерильні</t>
  </si>
  <si>
    <t>Фіброезофагогастродуеденоскопія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</si>
</sst>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₴_-;\-* #,##0.00_₴_-;_-* &quot;-&quot;??_₴_-;_-@_-"/>
    <numFmt numFmtId="165" formatCode="0.0000"/>
    <numFmt numFmtId="166" formatCode="0.0"/>
    <numFmt numFmtId="167" formatCode="0.000"/>
    <numFmt numFmtId="168" formatCode="0.00000"/>
  </numFmts>
  <fonts count="162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4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u/>
      <sz val="14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color indexed="8"/>
      <name val="Calibri"/>
      <family val="2"/>
    </font>
    <font>
      <sz val="8"/>
      <name val="Calibri"/>
      <family val="2"/>
    </font>
    <font>
      <sz val="11"/>
      <color indexed="8"/>
      <name val="Times New Roman"/>
      <family val="1"/>
      <charset val="204"/>
    </font>
    <font>
      <u/>
      <sz val="11"/>
      <color indexed="3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indexed="12"/>
      <name val="Times New Roman"/>
      <family val="1"/>
      <charset val="204"/>
    </font>
    <font>
      <u/>
      <sz val="11"/>
      <color indexed="12"/>
      <name val="Times New Roman"/>
      <family val="1"/>
      <charset val="204"/>
    </font>
    <font>
      <b/>
      <i/>
      <sz val="11"/>
      <color indexed="8"/>
      <name val="Times New Roman"/>
      <family val="1"/>
      <charset val="204"/>
    </font>
    <font>
      <b/>
      <u/>
      <sz val="15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5"/>
      <color indexed="12"/>
      <name val="Times New Roman"/>
      <family val="1"/>
      <charset val="204"/>
    </font>
    <font>
      <sz val="15"/>
      <color indexed="8"/>
      <name val="Calibri"/>
      <family val="2"/>
    </font>
    <font>
      <b/>
      <sz val="15"/>
      <color indexed="8"/>
      <name val="Times New Roman"/>
      <family val="1"/>
      <charset val="204"/>
    </font>
    <font>
      <b/>
      <sz val="11"/>
      <color indexed="8"/>
      <name val="Calibri"/>
      <family val="2"/>
    </font>
    <font>
      <b/>
      <sz val="15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u/>
      <sz val="15"/>
      <color indexed="12"/>
      <name val="Times New Roman"/>
      <family val="1"/>
      <charset val="204"/>
    </font>
    <font>
      <u/>
      <sz val="11"/>
      <color indexed="18"/>
      <name val="Times New Roman"/>
      <family val="1"/>
      <charset val="204"/>
    </font>
    <font>
      <u/>
      <sz val="15"/>
      <color indexed="18"/>
      <name val="Times New Roman"/>
      <family val="1"/>
      <charset val="204"/>
    </font>
    <font>
      <sz val="11"/>
      <color indexed="18"/>
      <name val="Times New Roman"/>
      <family val="1"/>
      <charset val="204"/>
    </font>
    <font>
      <sz val="11"/>
      <color indexed="18"/>
      <name val="Calibri"/>
      <family val="2"/>
      <charset val="204"/>
    </font>
    <font>
      <sz val="15"/>
      <color indexed="18"/>
      <name val="Times New Roman"/>
      <family val="1"/>
      <charset val="204"/>
    </font>
    <font>
      <sz val="15"/>
      <color indexed="18"/>
      <name val="Calibri"/>
      <family val="2"/>
      <charset val="204"/>
    </font>
    <font>
      <b/>
      <u/>
      <sz val="15"/>
      <name val="Times New Roman"/>
      <family val="1"/>
      <charset val="204"/>
    </font>
    <font>
      <b/>
      <sz val="11"/>
      <color indexed="18"/>
      <name val="Times New Roman"/>
      <family val="1"/>
      <charset val="204"/>
    </font>
    <font>
      <b/>
      <sz val="15"/>
      <color indexed="18"/>
      <name val="Times New Roman"/>
      <family val="1"/>
      <charset val="204"/>
    </font>
    <font>
      <b/>
      <sz val="14"/>
      <color indexed="18"/>
      <name val="Calibri"/>
      <family val="2"/>
      <charset val="204"/>
    </font>
    <font>
      <sz val="11"/>
      <color indexed="18"/>
      <name val="Calibri"/>
      <family val="2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sz val="11"/>
      <color indexed="10"/>
      <name val="Calibri"/>
      <family val="2"/>
    </font>
    <font>
      <b/>
      <sz val="10"/>
      <name val="Times New Roman"/>
      <family val="1"/>
      <charset val="204"/>
    </font>
    <font>
      <sz val="11"/>
      <name val="Calibri"/>
      <family val="2"/>
    </font>
    <font>
      <b/>
      <sz val="14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4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</font>
    <font>
      <sz val="11"/>
      <color indexed="8"/>
      <name val="Times New Roman"/>
      <family val="1"/>
      <charset val="204"/>
    </font>
    <font>
      <b/>
      <u/>
      <sz val="14"/>
      <color indexed="8"/>
      <name val="Calibri"/>
      <family val="2"/>
      <charset val="204"/>
    </font>
    <font>
      <b/>
      <sz val="11"/>
      <color indexed="18"/>
      <name val="Calibri"/>
      <family val="2"/>
    </font>
    <font>
      <b/>
      <sz val="11"/>
      <color indexed="18"/>
      <name val="Calibri"/>
      <family val="2"/>
      <charset val="204"/>
    </font>
    <font>
      <sz val="11"/>
      <color indexed="18"/>
      <name val="Calibri"/>
      <family val="2"/>
    </font>
    <font>
      <sz val="27"/>
      <name val="Times New Roman"/>
      <family val="1"/>
      <charset val="204"/>
    </font>
    <font>
      <sz val="27"/>
      <name val="Calibri"/>
      <family val="2"/>
    </font>
    <font>
      <b/>
      <sz val="27"/>
      <name val="Times New Roman"/>
      <family val="1"/>
      <charset val="204"/>
    </font>
    <font>
      <sz val="28"/>
      <name val="Times New Roman"/>
      <family val="1"/>
      <charset val="204"/>
    </font>
    <font>
      <b/>
      <sz val="28"/>
      <name val="Times New Roman"/>
      <family val="1"/>
      <charset val="204"/>
    </font>
    <font>
      <b/>
      <sz val="18"/>
      <color indexed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u/>
      <sz val="14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5"/>
      <color indexed="12"/>
      <name val="Calibri"/>
      <family val="2"/>
    </font>
    <font>
      <sz val="11"/>
      <color indexed="12"/>
      <name val="Times New Roman"/>
      <family val="1"/>
      <charset val="204"/>
    </font>
    <font>
      <u/>
      <sz val="11"/>
      <color indexed="12"/>
      <name val="Times New Roman"/>
      <family val="1"/>
      <charset val="204"/>
    </font>
    <font>
      <sz val="15"/>
      <color indexed="12"/>
      <name val="Times New Roman"/>
      <family val="1"/>
      <charset val="204"/>
    </font>
    <font>
      <b/>
      <sz val="11"/>
      <color indexed="18"/>
      <name val="Times New Roman"/>
      <family val="1"/>
      <charset val="204"/>
    </font>
    <font>
      <sz val="11"/>
      <color indexed="18"/>
      <name val="Times New Roman"/>
      <family val="1"/>
      <charset val="204"/>
    </font>
    <font>
      <u/>
      <sz val="11"/>
      <color indexed="18"/>
      <name val="Times New Roman"/>
      <family val="1"/>
      <charset val="204"/>
    </font>
    <font>
      <b/>
      <u/>
      <sz val="14"/>
      <name val="Times New Roman"/>
      <family val="1"/>
      <charset val="204"/>
    </font>
    <font>
      <sz val="11"/>
      <name val="Calibri"/>
      <family val="2"/>
      <charset val="204"/>
    </font>
    <font>
      <sz val="13"/>
      <color indexed="8"/>
      <name val="Times New Roman"/>
      <family val="1"/>
      <charset val="204"/>
    </font>
    <font>
      <b/>
      <sz val="13"/>
      <color indexed="8"/>
      <name val="Times New Roman"/>
      <family val="1"/>
      <charset val="204"/>
    </font>
    <font>
      <sz val="13"/>
      <color indexed="8"/>
      <name val="Times New Roman"/>
      <family val="1"/>
      <charset val="204"/>
    </font>
    <font>
      <b/>
      <sz val="13"/>
      <color indexed="8"/>
      <name val="Calibri"/>
      <family val="2"/>
      <charset val="204"/>
    </font>
    <font>
      <sz val="13"/>
      <color indexed="8"/>
      <name val="Calibri"/>
      <family val="2"/>
    </font>
    <font>
      <b/>
      <u/>
      <sz val="13"/>
      <color indexed="8"/>
      <name val="Times New Roman"/>
      <family val="1"/>
      <charset val="204"/>
    </font>
    <font>
      <sz val="13"/>
      <name val="Times New Roman"/>
      <family val="1"/>
      <charset val="204"/>
    </font>
    <font>
      <i/>
      <sz val="13"/>
      <color indexed="8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Calibri"/>
      <family val="2"/>
      <charset val="204"/>
    </font>
    <font>
      <sz val="13"/>
      <name val="Calibri"/>
      <family val="2"/>
    </font>
    <font>
      <b/>
      <sz val="13"/>
      <name val="Calibri"/>
      <family val="2"/>
      <charset val="204"/>
    </font>
    <font>
      <sz val="13"/>
      <name val="Calibri"/>
      <family val="2"/>
    </font>
    <font>
      <b/>
      <sz val="32"/>
      <name val="Times New Roman"/>
      <family val="1"/>
      <charset val="204"/>
    </font>
    <font>
      <sz val="32"/>
      <name val="Times New Roman"/>
      <family val="1"/>
      <charset val="204"/>
    </font>
    <font>
      <sz val="32"/>
      <color indexed="8"/>
      <name val="Times New Roman"/>
      <family val="1"/>
      <charset val="204"/>
    </font>
    <font>
      <b/>
      <sz val="32"/>
      <color indexed="8"/>
      <name val="Times New Roman"/>
      <family val="1"/>
      <charset val="204"/>
    </font>
    <font>
      <b/>
      <sz val="32"/>
      <color indexed="8"/>
      <name val="Times New Roman"/>
      <family val="1"/>
      <charset val="204"/>
    </font>
    <font>
      <b/>
      <sz val="30"/>
      <name val="Times New Roman"/>
      <family val="1"/>
      <charset val="204"/>
    </font>
    <font>
      <b/>
      <sz val="30"/>
      <name val="Calibri"/>
      <family val="2"/>
    </font>
    <font>
      <b/>
      <u/>
      <sz val="30"/>
      <name val="Times New Roman"/>
      <family val="1"/>
      <charset val="204"/>
    </font>
    <font>
      <sz val="30"/>
      <name val="Times New Roman"/>
      <family val="1"/>
      <charset val="204"/>
    </font>
    <font>
      <b/>
      <u/>
      <sz val="28"/>
      <name val="Times New Roman"/>
      <family val="1"/>
      <charset val="204"/>
    </font>
    <font>
      <sz val="30"/>
      <color indexed="8"/>
      <name val="Calibri"/>
      <family val="2"/>
    </font>
    <font>
      <b/>
      <sz val="30"/>
      <color indexed="8"/>
      <name val="Calibri"/>
      <family val="2"/>
      <charset val="204"/>
    </font>
    <font>
      <b/>
      <sz val="30"/>
      <color indexed="8"/>
      <name val="Calibri"/>
      <family val="2"/>
    </font>
    <font>
      <sz val="30"/>
      <color indexed="10"/>
      <name val="Calibri"/>
      <family val="2"/>
    </font>
    <font>
      <b/>
      <sz val="30"/>
      <color indexed="10"/>
      <name val="Calibri"/>
      <family val="2"/>
      <charset val="204"/>
    </font>
    <font>
      <b/>
      <sz val="30"/>
      <color indexed="10"/>
      <name val="Calibri"/>
      <family val="2"/>
    </font>
    <font>
      <sz val="30"/>
      <name val="Calibri"/>
      <family val="2"/>
    </font>
    <font>
      <b/>
      <u/>
      <sz val="13"/>
      <name val="Times New Roman"/>
      <family val="1"/>
      <charset val="204"/>
    </font>
    <font>
      <b/>
      <sz val="13"/>
      <name val="Calibri"/>
      <family val="2"/>
    </font>
    <font>
      <b/>
      <sz val="11"/>
      <name val="Calibri"/>
      <family val="2"/>
    </font>
    <font>
      <sz val="12"/>
      <color indexed="18"/>
      <name val="Times New Roman"/>
      <family val="1"/>
      <charset val="204"/>
    </font>
    <font>
      <sz val="12"/>
      <color indexed="18"/>
      <name val="Times New Roman"/>
      <family val="1"/>
      <charset val="204"/>
    </font>
    <font>
      <b/>
      <sz val="22"/>
      <color indexed="10"/>
      <name val="Times New Roman"/>
      <family val="1"/>
      <charset val="204"/>
    </font>
    <font>
      <sz val="18"/>
      <color indexed="8"/>
      <name val="Calibri"/>
      <family val="2"/>
      <charset val="204"/>
    </font>
    <font>
      <sz val="18"/>
      <name val="Calibri"/>
      <family val="2"/>
      <charset val="204"/>
    </font>
    <font>
      <sz val="18"/>
      <name val="Calibri"/>
      <family val="2"/>
      <charset val="204"/>
    </font>
    <font>
      <b/>
      <sz val="12"/>
      <color indexed="18"/>
      <name val="Times New Roman"/>
      <family val="1"/>
      <charset val="204"/>
    </font>
    <font>
      <b/>
      <u/>
      <sz val="12"/>
      <color indexed="18"/>
      <name val="Times New Roman"/>
      <family val="1"/>
      <charset val="204"/>
    </font>
    <font>
      <sz val="14"/>
      <name val="Times New Roman"/>
      <family val="1"/>
      <charset val="204"/>
    </font>
    <font>
      <sz val="14"/>
      <name val="Calibri"/>
      <family val="2"/>
    </font>
    <font>
      <b/>
      <sz val="12"/>
      <color indexed="10"/>
      <name val="Times New Roman"/>
      <family val="1"/>
      <charset val="204"/>
    </font>
    <font>
      <b/>
      <sz val="11"/>
      <color indexed="12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sz val="9"/>
      <color indexed="8"/>
      <name val="Times New Roman"/>
      <family val="1"/>
      <charset val="204"/>
    </font>
    <font>
      <u/>
      <sz val="12"/>
      <color indexed="18"/>
      <name val="Times New Roman"/>
      <family val="1"/>
      <charset val="204"/>
    </font>
    <font>
      <sz val="15"/>
      <color indexed="18"/>
      <name val="Times New Roman"/>
      <family val="1"/>
      <charset val="204"/>
    </font>
    <font>
      <b/>
      <u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5"/>
      <color indexed="1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sz val="20"/>
      <color indexed="8"/>
      <name val="Times New Roman"/>
      <family val="1"/>
      <charset val="204"/>
    </font>
    <font>
      <b/>
      <sz val="20"/>
      <color indexed="18"/>
      <name val="Calibri"/>
      <family val="2"/>
    </font>
    <font>
      <sz val="20"/>
      <color indexed="18"/>
      <name val="Calibri"/>
      <family val="2"/>
    </font>
    <font>
      <sz val="20"/>
      <color indexed="8"/>
      <name val="Calibri"/>
      <family val="2"/>
    </font>
    <font>
      <b/>
      <sz val="20"/>
      <color indexed="8"/>
      <name val="Calibri"/>
      <family val="2"/>
    </font>
    <font>
      <sz val="20"/>
      <color indexed="10"/>
      <name val="Calibri"/>
      <family val="2"/>
    </font>
    <font>
      <b/>
      <sz val="20"/>
      <color indexed="10"/>
      <name val="Calibri"/>
      <family val="2"/>
    </font>
    <font>
      <sz val="20"/>
      <name val="Calibri"/>
      <family val="2"/>
    </font>
    <font>
      <b/>
      <sz val="11"/>
      <color indexed="18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sz val="13"/>
      <color indexed="8"/>
      <name val="Times New Roman"/>
      <family val="1"/>
      <charset val="204"/>
    </font>
    <font>
      <b/>
      <sz val="13"/>
      <color indexed="8"/>
      <name val="Calibri"/>
      <family val="2"/>
    </font>
    <font>
      <b/>
      <sz val="11"/>
      <color indexed="12"/>
      <name val="Times New Roman"/>
      <family val="1"/>
      <charset val="204"/>
    </font>
    <font>
      <b/>
      <sz val="11"/>
      <color indexed="8"/>
      <name val="Calibri"/>
      <family val="2"/>
    </font>
    <font>
      <sz val="11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22"/>
      <name val="Times New Roman"/>
      <family val="1"/>
      <charset val="204"/>
    </font>
    <font>
      <b/>
      <sz val="22"/>
      <name val="Calibri"/>
      <family val="2"/>
    </font>
    <font>
      <sz val="22"/>
      <name val="Calibri"/>
      <family val="2"/>
    </font>
    <font>
      <b/>
      <sz val="22"/>
      <name val="Times New Roman"/>
      <family val="1"/>
      <charset val="204"/>
    </font>
    <font>
      <b/>
      <sz val="27"/>
      <name val="Calibri"/>
      <family val="2"/>
    </font>
    <font>
      <b/>
      <sz val="11"/>
      <color indexed="8"/>
      <name val="Calibri"/>
      <family val="2"/>
      <charset val="204"/>
    </font>
    <font>
      <sz val="22"/>
      <color indexed="8"/>
      <name val="Times New Roman"/>
      <family val="1"/>
      <charset val="204"/>
    </font>
    <font>
      <b/>
      <u/>
      <sz val="22"/>
      <name val="Times New Roman"/>
      <family val="1"/>
      <charset val="204"/>
    </font>
    <font>
      <sz val="22"/>
      <color indexed="8"/>
      <name val="Times New Roman"/>
      <family val="1"/>
      <charset val="204"/>
    </font>
    <font>
      <sz val="15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sz val="15"/>
      <color indexed="10"/>
      <name val="Times New Roman"/>
      <family val="1"/>
      <charset val="204"/>
    </font>
    <font>
      <b/>
      <sz val="15"/>
      <color indexed="10"/>
      <name val="Times New Roman"/>
      <family val="1"/>
      <charset val="204"/>
    </font>
    <font>
      <b/>
      <sz val="15"/>
      <color indexed="10"/>
      <name val="Calibri"/>
      <family val="2"/>
    </font>
    <font>
      <b/>
      <sz val="10"/>
      <color indexed="10"/>
      <name val="Times New Roman"/>
      <family val="1"/>
      <charset val="204"/>
    </font>
    <font>
      <b/>
      <sz val="11"/>
      <color indexed="10"/>
      <name val="Calibri"/>
      <family val="2"/>
    </font>
    <font>
      <b/>
      <sz val="18"/>
      <name val="Calibri"/>
      <family val="2"/>
      <charset val="204"/>
    </font>
    <font>
      <b/>
      <i/>
      <sz val="13"/>
      <name val="Times New Roman"/>
      <family val="1"/>
      <charset val="204"/>
    </font>
    <font>
      <b/>
      <sz val="11"/>
      <name val="Calibri"/>
      <family val="2"/>
    </font>
    <font>
      <u/>
      <sz val="11"/>
      <color theme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61" fillId="0" borderId="0" applyNumberFormat="0" applyFill="0" applyBorder="0" applyAlignment="0" applyProtection="0"/>
    <xf numFmtId="164" fontId="2" fillId="0" borderId="0" applyFont="0" applyFill="0" applyBorder="0" applyAlignment="0" applyProtection="0"/>
  </cellStyleXfs>
  <cellXfs count="1072">
    <xf numFmtId="0" fontId="0" fillId="0" borderId="0" xfId="0"/>
    <xf numFmtId="0" fontId="0" fillId="0" borderId="0" xfId="0" applyBorder="1"/>
    <xf numFmtId="2" fontId="0" fillId="0" borderId="0" xfId="0" applyNumberFormat="1" applyBorder="1"/>
    <xf numFmtId="0" fontId="1" fillId="0" borderId="0" xfId="0" applyFont="1"/>
    <xf numFmtId="2" fontId="4" fillId="0" borderId="1" xfId="0" applyNumberFormat="1" applyFont="1" applyBorder="1"/>
    <xf numFmtId="2" fontId="4" fillId="0" borderId="0" xfId="0" applyNumberFormat="1" applyFont="1" applyBorder="1"/>
    <xf numFmtId="0" fontId="0" fillId="0" borderId="0" xfId="0" applyFill="1"/>
    <xf numFmtId="0" fontId="9" fillId="0" borderId="0" xfId="0" applyFont="1"/>
    <xf numFmtId="49" fontId="9" fillId="0" borderId="0" xfId="0" applyNumberFormat="1" applyFont="1" applyAlignment="1">
      <alignment horizontal="right"/>
    </xf>
    <xf numFmtId="0" fontId="10" fillId="0" borderId="0" xfId="1" applyFont="1"/>
    <xf numFmtId="0" fontId="9" fillId="2" borderId="0" xfId="0" applyFont="1" applyFill="1"/>
    <xf numFmtId="2" fontId="11" fillId="2" borderId="0" xfId="0" applyNumberFormat="1" applyFont="1" applyFill="1"/>
    <xf numFmtId="0" fontId="11" fillId="2" borderId="0" xfId="0" applyFont="1" applyFill="1"/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wrapText="1"/>
    </xf>
    <xf numFmtId="2" fontId="9" fillId="0" borderId="1" xfId="0" applyNumberFormat="1" applyFont="1" applyBorder="1"/>
    <xf numFmtId="0" fontId="9" fillId="0" borderId="1" xfId="0" applyFont="1" applyBorder="1"/>
    <xf numFmtId="2" fontId="11" fillId="0" borderId="1" xfId="0" applyNumberFormat="1" applyFont="1" applyBorder="1"/>
    <xf numFmtId="0" fontId="9" fillId="0" borderId="0" xfId="0" applyFont="1" applyBorder="1" applyAlignment="1">
      <alignment horizontal="center" vertical="center" wrapText="1"/>
    </xf>
    <xf numFmtId="9" fontId="9" fillId="0" borderId="1" xfId="0" applyNumberFormat="1" applyFont="1" applyBorder="1"/>
    <xf numFmtId="0" fontId="11" fillId="0" borderId="1" xfId="0" applyFont="1" applyBorder="1"/>
    <xf numFmtId="0" fontId="11" fillId="0" borderId="0" xfId="0" applyFont="1"/>
    <xf numFmtId="2" fontId="11" fillId="0" borderId="0" xfId="0" applyNumberFormat="1" applyFont="1"/>
    <xf numFmtId="2" fontId="9" fillId="0" borderId="1" xfId="0" applyNumberFormat="1" applyFont="1" applyFill="1" applyBorder="1"/>
    <xf numFmtId="49" fontId="12" fillId="3" borderId="0" xfId="0" applyNumberFormat="1" applyFont="1" applyFill="1" applyAlignment="1">
      <alignment horizontal="right"/>
    </xf>
    <xf numFmtId="2" fontId="12" fillId="2" borderId="0" xfId="0" applyNumberFormat="1" applyFont="1" applyFill="1"/>
    <xf numFmtId="0" fontId="13" fillId="0" borderId="1" xfId="0" applyFont="1" applyFill="1" applyBorder="1" applyAlignment="1" applyProtection="1">
      <alignment horizontal="left" vertical="center" wrapText="1"/>
      <protection hidden="1"/>
    </xf>
    <xf numFmtId="0" fontId="13" fillId="0" borderId="1" xfId="0" applyFont="1" applyFill="1" applyBorder="1" applyAlignment="1" applyProtection="1">
      <alignment horizontal="center" vertical="center"/>
      <protection hidden="1"/>
    </xf>
    <xf numFmtId="2" fontId="13" fillId="0" borderId="1" xfId="0" applyNumberFormat="1" applyFont="1" applyFill="1" applyBorder="1" applyAlignment="1" applyProtection="1">
      <alignment horizontal="right" vertical="center"/>
      <protection hidden="1"/>
    </xf>
    <xf numFmtId="0" fontId="13" fillId="0" borderId="1" xfId="0" applyFont="1" applyFill="1" applyBorder="1" applyAlignment="1" applyProtection="1">
      <alignment horizontal="right" vertical="center"/>
      <protection hidden="1"/>
    </xf>
    <xf numFmtId="0" fontId="14" fillId="0" borderId="1" xfId="0" applyFont="1" applyFill="1" applyBorder="1" applyAlignment="1" applyProtection="1">
      <alignment horizontal="right" vertical="center"/>
      <protection hidden="1"/>
    </xf>
    <xf numFmtId="2" fontId="11" fillId="2" borderId="1" xfId="0" applyNumberFormat="1" applyFont="1" applyFill="1" applyBorder="1"/>
    <xf numFmtId="0" fontId="11" fillId="0" borderId="0" xfId="0" applyFont="1" applyFill="1" applyBorder="1" applyAlignment="1">
      <alignment horizontal="center"/>
    </xf>
    <xf numFmtId="2" fontId="11" fillId="0" borderId="0" xfId="0" applyNumberFormat="1" applyFont="1" applyBorder="1"/>
    <xf numFmtId="166" fontId="11" fillId="2" borderId="1" xfId="0" applyNumberFormat="1" applyFont="1" applyFill="1" applyBorder="1"/>
    <xf numFmtId="0" fontId="11" fillId="0" borderId="0" xfId="0" applyFont="1" applyAlignment="1">
      <alignment horizontal="center"/>
    </xf>
    <xf numFmtId="0" fontId="9" fillId="0" borderId="1" xfId="0" applyFont="1" applyFill="1" applyBorder="1"/>
    <xf numFmtId="2" fontId="9" fillId="0" borderId="0" xfId="0" applyNumberFormat="1" applyFont="1" applyBorder="1"/>
    <xf numFmtId="0" fontId="4" fillId="0" borderId="0" xfId="0" applyFont="1" applyFill="1" applyBorder="1" applyAlignment="1">
      <alignment horizontal="center"/>
    </xf>
    <xf numFmtId="49" fontId="15" fillId="0" borderId="0" xfId="0" applyNumberFormat="1" applyFont="1" applyAlignment="1">
      <alignment horizontal="right"/>
    </xf>
    <xf numFmtId="0" fontId="15" fillId="0" borderId="0" xfId="0" applyFont="1"/>
    <xf numFmtId="49" fontId="16" fillId="0" borderId="0" xfId="1" applyNumberFormat="1" applyFont="1" applyAlignment="1">
      <alignment horizontal="left"/>
    </xf>
    <xf numFmtId="0" fontId="9" fillId="0" borderId="1" xfId="0" applyFont="1" applyBorder="1" applyAlignment="1">
      <alignment vertical="center" wrapText="1"/>
    </xf>
    <xf numFmtId="0" fontId="9" fillId="0" borderId="0" xfId="0" applyFont="1" applyFill="1"/>
    <xf numFmtId="165" fontId="13" fillId="0" borderId="1" xfId="0" applyNumberFormat="1" applyFont="1" applyFill="1" applyBorder="1" applyAlignment="1" applyProtection="1">
      <alignment horizontal="right" vertical="center"/>
      <protection hidden="1"/>
    </xf>
    <xf numFmtId="0" fontId="9" fillId="0" borderId="1" xfId="0" applyFont="1" applyBorder="1" applyAlignment="1">
      <alignment horizontal="left" vertical="center" wrapText="1"/>
    </xf>
    <xf numFmtId="0" fontId="17" fillId="0" borderId="0" xfId="0" applyFont="1" applyFill="1" applyBorder="1" applyAlignment="1">
      <alignment horizontal="right"/>
    </xf>
    <xf numFmtId="0" fontId="17" fillId="0" borderId="0" xfId="0" applyFont="1" applyFill="1" applyBorder="1"/>
    <xf numFmtId="0" fontId="17" fillId="4" borderId="1" xfId="0" applyFont="1" applyFill="1" applyBorder="1"/>
    <xf numFmtId="49" fontId="18" fillId="3" borderId="0" xfId="0" applyNumberFormat="1" applyFont="1" applyFill="1" applyAlignment="1">
      <alignment horizontal="right"/>
    </xf>
    <xf numFmtId="0" fontId="18" fillId="2" borderId="0" xfId="0" applyFont="1" applyFill="1" applyAlignment="1">
      <alignment horizontal="left" wrapText="1"/>
    </xf>
    <xf numFmtId="2" fontId="18" fillId="2" borderId="0" xfId="0" applyNumberFormat="1" applyFont="1" applyFill="1"/>
    <xf numFmtId="0" fontId="19" fillId="0" borderId="0" xfId="0" applyFont="1"/>
    <xf numFmtId="0" fontId="21" fillId="0" borderId="0" xfId="0" applyFont="1"/>
    <xf numFmtId="0" fontId="20" fillId="0" borderId="0" xfId="0" applyFont="1"/>
    <xf numFmtId="0" fontId="19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166" fontId="13" fillId="0" borderId="1" xfId="0" applyNumberFormat="1" applyFont="1" applyFill="1" applyBorder="1" applyAlignment="1" applyProtection="1">
      <alignment horizontal="right" vertical="center"/>
      <protection hidden="1"/>
    </xf>
    <xf numFmtId="1" fontId="13" fillId="0" borderId="1" xfId="0" applyNumberFormat="1" applyFont="1" applyFill="1" applyBorder="1" applyAlignment="1" applyProtection="1">
      <alignment horizontal="right" vertical="center"/>
      <protection hidden="1"/>
    </xf>
    <xf numFmtId="2" fontId="11" fillId="0" borderId="0" xfId="0" applyNumberFormat="1" applyFont="1" applyFill="1" applyBorder="1"/>
    <xf numFmtId="166" fontId="9" fillId="0" borderId="1" xfId="0" applyNumberFormat="1" applyFont="1" applyFill="1" applyBorder="1"/>
    <xf numFmtId="166" fontId="9" fillId="0" borderId="1" xfId="0" applyNumberFormat="1" applyFont="1" applyBorder="1"/>
    <xf numFmtId="49" fontId="5" fillId="0" borderId="0" xfId="0" applyNumberFormat="1" applyFont="1" applyAlignment="1">
      <alignment horizontal="right"/>
    </xf>
    <xf numFmtId="2" fontId="5" fillId="0" borderId="0" xfId="0" applyNumberFormat="1" applyFont="1"/>
    <xf numFmtId="0" fontId="9" fillId="0" borderId="0" xfId="0" applyFont="1" applyBorder="1"/>
    <xf numFmtId="0" fontId="12" fillId="2" borderId="0" xfId="0" applyFont="1" applyFill="1" applyAlignment="1">
      <alignment wrapText="1"/>
    </xf>
    <xf numFmtId="0" fontId="18" fillId="2" borderId="0" xfId="0" applyFont="1" applyFill="1" applyAlignment="1">
      <alignment wrapText="1"/>
    </xf>
    <xf numFmtId="0" fontId="19" fillId="2" borderId="0" xfId="0" applyFont="1" applyFill="1"/>
    <xf numFmtId="0" fontId="15" fillId="0" borderId="0" xfId="0" applyFont="1" applyBorder="1"/>
    <xf numFmtId="0" fontId="22" fillId="0" borderId="0" xfId="0" applyFont="1"/>
    <xf numFmtId="0" fontId="16" fillId="0" borderId="0" xfId="0" applyFont="1" applyFill="1" applyBorder="1" applyAlignment="1">
      <alignment horizontal="left" vertical="center" wrapText="1"/>
    </xf>
    <xf numFmtId="0" fontId="16" fillId="0" borderId="0" xfId="0" applyFont="1" applyAlignment="1">
      <alignment wrapText="1"/>
    </xf>
    <xf numFmtId="0" fontId="9" fillId="0" borderId="1" xfId="0" applyFont="1" applyBorder="1" applyAlignment="1">
      <alignment horizontal="center"/>
    </xf>
    <xf numFmtId="0" fontId="9" fillId="0" borderId="0" xfId="0" applyFont="1" applyAlignment="1">
      <alignment horizontal="center"/>
    </xf>
    <xf numFmtId="2" fontId="9" fillId="0" borderId="2" xfId="0" applyNumberFormat="1" applyFont="1" applyBorder="1" applyAlignment="1">
      <alignment horizontal="center"/>
    </xf>
    <xf numFmtId="2" fontId="9" fillId="0" borderId="3" xfId="0" applyNumberFormat="1" applyFont="1" applyBorder="1" applyAlignment="1">
      <alignment horizontal="center"/>
    </xf>
    <xf numFmtId="1" fontId="9" fillId="0" borderId="3" xfId="0" applyNumberFormat="1" applyFont="1" applyBorder="1" applyAlignment="1">
      <alignment horizontal="center"/>
    </xf>
    <xf numFmtId="2" fontId="9" fillId="0" borderId="1" xfId="0" applyNumberFormat="1" applyFont="1" applyBorder="1" applyAlignment="1">
      <alignment horizontal="center"/>
    </xf>
    <xf numFmtId="0" fontId="9" fillId="0" borderId="3" xfId="0" applyFont="1" applyBorder="1" applyAlignment="1">
      <alignment horizontal="left" wrapText="1"/>
    </xf>
    <xf numFmtId="1" fontId="9" fillId="0" borderId="2" xfId="0" applyNumberFormat="1" applyFont="1" applyBorder="1" applyAlignment="1">
      <alignment horizontal="center"/>
    </xf>
    <xf numFmtId="2" fontId="13" fillId="0" borderId="1" xfId="0" applyNumberFormat="1" applyFont="1" applyFill="1" applyBorder="1" applyAlignment="1" applyProtection="1">
      <alignment horizontal="center" vertical="center"/>
      <protection hidden="1"/>
    </xf>
    <xf numFmtId="0" fontId="14" fillId="0" borderId="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wrapText="1"/>
    </xf>
    <xf numFmtId="0" fontId="13" fillId="0" borderId="3" xfId="0" applyFont="1" applyBorder="1" applyAlignment="1">
      <alignment horizontal="left" wrapText="1"/>
    </xf>
    <xf numFmtId="0" fontId="13" fillId="0" borderId="3" xfId="0" applyFont="1" applyBorder="1" applyAlignment="1">
      <alignment horizontal="center" wrapText="1"/>
    </xf>
    <xf numFmtId="2" fontId="13" fillId="0" borderId="3" xfId="0" applyNumberFormat="1" applyFont="1" applyBorder="1" applyAlignment="1">
      <alignment horizontal="center" wrapText="1"/>
    </xf>
    <xf numFmtId="2" fontId="13" fillId="0" borderId="1" xfId="0" applyNumberFormat="1" applyFont="1" applyBorder="1" applyAlignment="1">
      <alignment horizontal="center" wrapText="1"/>
    </xf>
    <xf numFmtId="2" fontId="14" fillId="0" borderId="1" xfId="0" applyNumberFormat="1" applyFont="1" applyFill="1" applyBorder="1" applyAlignment="1" applyProtection="1">
      <alignment horizontal="right" vertical="center"/>
      <protection hidden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2" fontId="22" fillId="2" borderId="0" xfId="0" applyNumberFormat="1" applyFont="1" applyFill="1"/>
    <xf numFmtId="0" fontId="22" fillId="2" borderId="0" xfId="0" applyFont="1" applyFill="1"/>
    <xf numFmtId="49" fontId="9" fillId="0" borderId="1" xfId="0" applyNumberFormat="1" applyFont="1" applyBorder="1" applyAlignment="1">
      <alignment horizontal="right"/>
    </xf>
    <xf numFmtId="0" fontId="13" fillId="0" borderId="1" xfId="0" applyFont="1" applyFill="1" applyBorder="1" applyAlignment="1">
      <alignment horizontal="left" vertical="center" wrapText="1"/>
    </xf>
    <xf numFmtId="0" fontId="12" fillId="0" borderId="1" xfId="0" applyFont="1" applyBorder="1"/>
    <xf numFmtId="0" fontId="9" fillId="0" borderId="1" xfId="0" applyFont="1" applyBorder="1" applyAlignment="1">
      <alignment horizontal="center" wrapText="1"/>
    </xf>
    <xf numFmtId="0" fontId="23" fillId="0" borderId="0" xfId="0" applyFont="1"/>
    <xf numFmtId="0" fontId="24" fillId="0" borderId="0" xfId="0" applyFont="1"/>
    <xf numFmtId="0" fontId="25" fillId="0" borderId="0" xfId="0" applyFont="1"/>
    <xf numFmtId="0" fontId="16" fillId="0" borderId="0" xfId="0" applyFont="1"/>
    <xf numFmtId="49" fontId="16" fillId="0" borderId="0" xfId="0" applyNumberFormat="1" applyFont="1" applyBorder="1" applyAlignment="1">
      <alignment horizontal="right"/>
    </xf>
    <xf numFmtId="0" fontId="16" fillId="0" borderId="0" xfId="0" applyFont="1" applyBorder="1" applyAlignment="1">
      <alignment wrapText="1"/>
    </xf>
    <xf numFmtId="0" fontId="26" fillId="0" borderId="0" xfId="0" applyFont="1"/>
    <xf numFmtId="0" fontId="27" fillId="0" borderId="0" xfId="0" applyFont="1"/>
    <xf numFmtId="49" fontId="27" fillId="0" borderId="0" xfId="0" applyNumberFormat="1" applyFont="1" applyAlignment="1">
      <alignment horizontal="right"/>
    </xf>
    <xf numFmtId="0" fontId="27" fillId="0" borderId="0" xfId="0" applyFont="1" applyAlignment="1"/>
    <xf numFmtId="0" fontId="27" fillId="0" borderId="0" xfId="1" applyFont="1" applyAlignment="1"/>
    <xf numFmtId="0" fontId="27" fillId="0" borderId="0" xfId="1" applyFont="1" applyFill="1" applyBorder="1" applyAlignment="1">
      <alignment horizontal="left"/>
    </xf>
    <xf numFmtId="0" fontId="28" fillId="0" borderId="0" xfId="0" applyFont="1"/>
    <xf numFmtId="0" fontId="9" fillId="0" borderId="0" xfId="0" applyFont="1" applyAlignment="1"/>
    <xf numFmtId="1" fontId="9" fillId="0" borderId="1" xfId="0" applyNumberFormat="1" applyFont="1" applyBorder="1"/>
    <xf numFmtId="166" fontId="14" fillId="0" borderId="1" xfId="0" applyNumberFormat="1" applyFont="1" applyFill="1" applyBorder="1" applyAlignment="1" applyProtection="1">
      <alignment horizontal="right" vertical="center"/>
      <protection hidden="1"/>
    </xf>
    <xf numFmtId="0" fontId="29" fillId="0" borderId="0" xfId="0" applyFont="1"/>
    <xf numFmtId="49" fontId="29" fillId="0" borderId="0" xfId="0" applyNumberFormat="1" applyFont="1" applyAlignment="1">
      <alignment horizontal="right"/>
    </xf>
    <xf numFmtId="0" fontId="27" fillId="0" borderId="0" xfId="1" applyFont="1"/>
    <xf numFmtId="0" fontId="27" fillId="0" borderId="0" xfId="1" applyFont="1" applyFill="1" applyBorder="1" applyAlignment="1">
      <alignment horizontal="left" vertical="center"/>
    </xf>
    <xf numFmtId="0" fontId="29" fillId="0" borderId="0" xfId="0" applyFont="1" applyAlignment="1"/>
    <xf numFmtId="0" fontId="27" fillId="0" borderId="0" xfId="1" applyFont="1" applyAlignment="1">
      <alignment horizontal="left"/>
    </xf>
    <xf numFmtId="0" fontId="29" fillId="0" borderId="0" xfId="0" applyFont="1" applyAlignment="1">
      <alignment horizontal="left"/>
    </xf>
    <xf numFmtId="164" fontId="9" fillId="0" borderId="1" xfId="2" applyFont="1" applyBorder="1" applyAlignment="1">
      <alignment horizontal="right"/>
    </xf>
    <xf numFmtId="164" fontId="9" fillId="0" borderId="1" xfId="2" applyFont="1" applyFill="1" applyBorder="1" applyAlignment="1">
      <alignment horizontal="right"/>
    </xf>
    <xf numFmtId="0" fontId="30" fillId="0" borderId="0" xfId="0" applyFont="1"/>
    <xf numFmtId="2" fontId="18" fillId="0" borderId="0" xfId="0" applyNumberFormat="1" applyFont="1"/>
    <xf numFmtId="2" fontId="18" fillId="0" borderId="0" xfId="0" applyNumberFormat="1" applyFont="1" applyAlignment="1">
      <alignment horizontal="right"/>
    </xf>
    <xf numFmtId="0" fontId="31" fillId="0" borderId="0" xfId="0" applyFont="1"/>
    <xf numFmtId="0" fontId="32" fillId="0" borderId="0" xfId="0" applyFont="1"/>
    <xf numFmtId="49" fontId="33" fillId="3" borderId="0" xfId="0" applyNumberFormat="1" applyFont="1" applyFill="1" applyAlignment="1">
      <alignment horizontal="right"/>
    </xf>
    <xf numFmtId="0" fontId="27" fillId="0" borderId="0" xfId="1" quotePrefix="1" applyFont="1" applyAlignment="1">
      <alignment horizontal="left"/>
    </xf>
    <xf numFmtId="0" fontId="34" fillId="0" borderId="0" xfId="0" applyFont="1"/>
    <xf numFmtId="2" fontId="34" fillId="0" borderId="0" xfId="0" applyNumberFormat="1" applyFont="1"/>
    <xf numFmtId="0" fontId="35" fillId="0" borderId="0" xfId="0" applyFont="1"/>
    <xf numFmtId="0" fontId="11" fillId="0" borderId="0" xfId="0" applyFont="1" applyFill="1"/>
    <xf numFmtId="0" fontId="9" fillId="0" borderId="1" xfId="0" applyFont="1" applyBorder="1" applyAlignment="1">
      <alignment horizontal="left"/>
    </xf>
    <xf numFmtId="0" fontId="4" fillId="0" borderId="1" xfId="0" applyFont="1" applyFill="1" applyBorder="1" applyAlignment="1">
      <alignment horizontal="center"/>
    </xf>
    <xf numFmtId="0" fontId="5" fillId="0" borderId="0" xfId="0" applyFont="1" applyAlignment="1">
      <alignment horizontal="center" wrapText="1"/>
    </xf>
    <xf numFmtId="0" fontId="35" fillId="0" borderId="0" xfId="0" applyFont="1" applyAlignment="1">
      <alignment horizontal="center"/>
    </xf>
    <xf numFmtId="0" fontId="34" fillId="0" borderId="0" xfId="0" applyFont="1" applyBorder="1" applyAlignment="1">
      <alignment horizontal="center" vertical="center" wrapText="1"/>
    </xf>
    <xf numFmtId="0" fontId="27" fillId="0" borderId="0" xfId="1" quotePrefix="1" applyFont="1"/>
    <xf numFmtId="2" fontId="34" fillId="0" borderId="0" xfId="0" applyNumberFormat="1" applyFont="1" applyBorder="1"/>
    <xf numFmtId="0" fontId="34" fillId="0" borderId="0" xfId="0" applyFont="1" applyAlignment="1">
      <alignment horizontal="center"/>
    </xf>
    <xf numFmtId="2" fontId="29" fillId="0" borderId="0" xfId="0" applyNumberFormat="1" applyFont="1" applyBorder="1"/>
    <xf numFmtId="0" fontId="9" fillId="0" borderId="0" xfId="0" applyFont="1" applyBorder="1" applyAlignment="1"/>
    <xf numFmtId="49" fontId="27" fillId="0" borderId="0" xfId="0" applyNumberFormat="1" applyFont="1" applyBorder="1" applyAlignment="1">
      <alignment horizontal="right"/>
    </xf>
    <xf numFmtId="0" fontId="16" fillId="0" borderId="0" xfId="0" applyFont="1" applyFill="1" applyBorder="1" applyAlignment="1">
      <alignment horizontal="left" wrapText="1"/>
    </xf>
    <xf numFmtId="0" fontId="16" fillId="0" borderId="0" xfId="0" applyFont="1" applyAlignment="1"/>
    <xf numFmtId="0" fontId="27" fillId="0" borderId="0" xfId="0" applyFont="1" applyFill="1" applyBorder="1" applyAlignment="1">
      <alignment horizontal="left" wrapText="1"/>
    </xf>
    <xf numFmtId="0" fontId="27" fillId="0" borderId="0" xfId="0" applyFont="1" applyAlignment="1">
      <alignment horizontal="left"/>
    </xf>
    <xf numFmtId="0" fontId="22" fillId="0" borderId="0" xfId="0" applyFont="1" applyFill="1" applyBorder="1" applyAlignment="1">
      <alignment horizontal="center"/>
    </xf>
    <xf numFmtId="2" fontId="9" fillId="0" borderId="1" xfId="0" applyNumberFormat="1" applyFont="1" applyBorder="1" applyAlignment="1">
      <alignment horizontal="center" wrapText="1"/>
    </xf>
    <xf numFmtId="165" fontId="9" fillId="0" borderId="1" xfId="0" applyNumberFormat="1" applyFont="1" applyBorder="1" applyAlignment="1">
      <alignment horizontal="center" wrapText="1"/>
    </xf>
    <xf numFmtId="2" fontId="22" fillId="0" borderId="0" xfId="0" applyNumberFormat="1" applyFont="1" applyBorder="1"/>
    <xf numFmtId="0" fontId="19" fillId="0" borderId="0" xfId="0" applyFont="1" applyAlignment="1"/>
    <xf numFmtId="0" fontId="36" fillId="0" borderId="0" xfId="0" applyFont="1" applyAlignment="1"/>
    <xf numFmtId="0" fontId="37" fillId="0" borderId="0" xfId="0" applyFont="1"/>
    <xf numFmtId="0" fontId="29" fillId="0" borderId="0" xfId="0" applyFont="1" applyBorder="1"/>
    <xf numFmtId="0" fontId="37" fillId="0" borderId="0" xfId="0" applyFont="1" applyBorder="1"/>
    <xf numFmtId="165" fontId="13" fillId="0" borderId="1" xfId="0" applyNumberFormat="1" applyFont="1" applyFill="1" applyBorder="1" applyAlignment="1" applyProtection="1">
      <alignment horizontal="center" vertical="center"/>
      <protection hidden="1"/>
    </xf>
    <xf numFmtId="0" fontId="13" fillId="0" borderId="1" xfId="0" applyFont="1" applyFill="1" applyBorder="1" applyAlignment="1">
      <alignment horizontal="left" wrapText="1"/>
    </xf>
    <xf numFmtId="0" fontId="13" fillId="0" borderId="1" xfId="0" applyFont="1" applyFill="1" applyBorder="1" applyAlignment="1">
      <alignment horizontal="left" vertical="top" wrapText="1"/>
    </xf>
    <xf numFmtId="0" fontId="9" fillId="0" borderId="1" xfId="0" applyFont="1" applyFill="1" applyBorder="1" applyAlignment="1">
      <alignment horizontal="left" wrapText="1"/>
    </xf>
    <xf numFmtId="0" fontId="9" fillId="5" borderId="1" xfId="0" applyFont="1" applyFill="1" applyBorder="1" applyAlignment="1">
      <alignment horizontal="right"/>
    </xf>
    <xf numFmtId="2" fontId="9" fillId="0" borderId="1" xfId="0" applyNumberFormat="1" applyFont="1" applyBorder="1" applyAlignment="1">
      <alignment horizontal="right"/>
    </xf>
    <xf numFmtId="0" fontId="9" fillId="5" borderId="1" xfId="0" applyFont="1" applyFill="1" applyBorder="1"/>
    <xf numFmtId="0" fontId="13" fillId="5" borderId="1" xfId="0" applyFont="1" applyFill="1" applyBorder="1" applyAlignment="1" applyProtection="1">
      <alignment horizontal="left" vertical="center" wrapText="1"/>
      <protection hidden="1"/>
    </xf>
    <xf numFmtId="0" fontId="11" fillId="5" borderId="1" xfId="0" applyFont="1" applyFill="1" applyBorder="1"/>
    <xf numFmtId="2" fontId="11" fillId="5" borderId="1" xfId="0" applyNumberFormat="1" applyFont="1" applyFill="1" applyBorder="1"/>
    <xf numFmtId="2" fontId="9" fillId="5" borderId="1" xfId="0" applyNumberFormat="1" applyFont="1" applyFill="1" applyBorder="1"/>
    <xf numFmtId="2" fontId="9" fillId="5" borderId="1" xfId="0" applyNumberFormat="1" applyFont="1" applyFill="1" applyBorder="1" applyAlignment="1">
      <alignment horizontal="right"/>
    </xf>
    <xf numFmtId="0" fontId="11" fillId="5" borderId="1" xfId="0" applyFont="1" applyFill="1" applyBorder="1" applyAlignment="1">
      <alignment horizontal="right"/>
    </xf>
    <xf numFmtId="0" fontId="9" fillId="0" borderId="1" xfId="0" applyFont="1" applyBorder="1" applyAlignment="1">
      <alignment horizontal="right"/>
    </xf>
    <xf numFmtId="0" fontId="34" fillId="0" borderId="0" xfId="0" applyFont="1" applyFill="1"/>
    <xf numFmtId="0" fontId="29" fillId="0" borderId="0" xfId="0" applyFont="1" applyFill="1"/>
    <xf numFmtId="0" fontId="38" fillId="5" borderId="0" xfId="0" applyFont="1" applyFill="1"/>
    <xf numFmtId="2" fontId="39" fillId="5" borderId="1" xfId="0" applyNumberFormat="1" applyFont="1" applyFill="1" applyBorder="1" applyAlignment="1" applyProtection="1">
      <alignment horizontal="right" vertical="center"/>
      <protection hidden="1"/>
    </xf>
    <xf numFmtId="0" fontId="39" fillId="5" borderId="0" xfId="0" applyFont="1" applyFill="1"/>
    <xf numFmtId="0" fontId="0" fillId="5" borderId="0" xfId="0" applyFont="1" applyFill="1"/>
    <xf numFmtId="0" fontId="40" fillId="5" borderId="0" xfId="0" applyFont="1" applyFill="1"/>
    <xf numFmtId="0" fontId="41" fillId="5" borderId="0" xfId="0" applyFont="1" applyFill="1"/>
    <xf numFmtId="0" fontId="9" fillId="5" borderId="0" xfId="0" applyFont="1" applyFill="1"/>
    <xf numFmtId="0" fontId="13" fillId="5" borderId="1" xfId="0" applyFont="1" applyFill="1" applyBorder="1" applyAlignment="1" applyProtection="1">
      <alignment horizontal="center" vertical="center"/>
      <protection hidden="1"/>
    </xf>
    <xf numFmtId="2" fontId="13" fillId="5" borderId="1" xfId="0" applyNumberFormat="1" applyFont="1" applyFill="1" applyBorder="1" applyAlignment="1" applyProtection="1">
      <alignment horizontal="right" vertical="center"/>
      <protection hidden="1"/>
    </xf>
    <xf numFmtId="0" fontId="13" fillId="5" borderId="1" xfId="0" applyFont="1" applyFill="1" applyBorder="1" applyAlignment="1" applyProtection="1">
      <alignment horizontal="right" vertical="center"/>
      <protection hidden="1"/>
    </xf>
    <xf numFmtId="0" fontId="0" fillId="5" borderId="0" xfId="0" applyFill="1"/>
    <xf numFmtId="0" fontId="9" fillId="5" borderId="1" xfId="0" applyFont="1" applyFill="1" applyBorder="1" applyAlignment="1">
      <alignment wrapText="1"/>
    </xf>
    <xf numFmtId="0" fontId="9" fillId="5" borderId="1" xfId="0" applyFont="1" applyFill="1" applyBorder="1" applyAlignment="1">
      <alignment horizontal="center"/>
    </xf>
    <xf numFmtId="0" fontId="34" fillId="5" borderId="0" xfId="0" applyFont="1" applyFill="1"/>
    <xf numFmtId="0" fontId="30" fillId="5" borderId="0" xfId="0" applyFont="1" applyFill="1"/>
    <xf numFmtId="0" fontId="29" fillId="5" borderId="0" xfId="0" applyFont="1" applyFill="1"/>
    <xf numFmtId="166" fontId="13" fillId="5" borderId="1" xfId="0" applyNumberFormat="1" applyFont="1" applyFill="1" applyBorder="1" applyAlignment="1" applyProtection="1">
      <alignment horizontal="right" vertical="center"/>
      <protection hidden="1"/>
    </xf>
    <xf numFmtId="166" fontId="9" fillId="5" borderId="1" xfId="0" applyNumberFormat="1" applyFont="1" applyFill="1" applyBorder="1"/>
    <xf numFmtId="0" fontId="11" fillId="5" borderId="0" xfId="0" applyFont="1" applyFill="1"/>
    <xf numFmtId="0" fontId="1" fillId="5" borderId="0" xfId="0" applyFont="1" applyFill="1"/>
    <xf numFmtId="0" fontId="38" fillId="0" borderId="3" xfId="0" applyFont="1" applyBorder="1" applyAlignment="1">
      <alignment horizontal="left" wrapText="1"/>
    </xf>
    <xf numFmtId="49" fontId="5" fillId="3" borderId="0" xfId="0" applyNumberFormat="1" applyFont="1" applyFill="1" applyAlignment="1">
      <alignment horizontal="right"/>
    </xf>
    <xf numFmtId="2" fontId="5" fillId="2" borderId="0" xfId="0" applyNumberFormat="1" applyFont="1" applyFill="1"/>
    <xf numFmtId="0" fontId="38" fillId="2" borderId="0" xfId="0" applyFont="1" applyFill="1"/>
    <xf numFmtId="2" fontId="39" fillId="2" borderId="0" xfId="0" applyNumberFormat="1" applyFont="1" applyFill="1"/>
    <xf numFmtId="0" fontId="39" fillId="2" borderId="0" xfId="0" applyFont="1" applyFill="1"/>
    <xf numFmtId="0" fontId="38" fillId="0" borderId="0" xfId="0" applyFont="1"/>
    <xf numFmtId="0" fontId="38" fillId="0" borderId="1" xfId="0" applyFont="1" applyBorder="1" applyAlignment="1">
      <alignment wrapText="1"/>
    </xf>
    <xf numFmtId="2" fontId="38" fillId="0" borderId="1" xfId="0" applyNumberFormat="1" applyFont="1" applyBorder="1"/>
    <xf numFmtId="0" fontId="38" fillId="0" borderId="1" xfId="0" applyFont="1" applyBorder="1"/>
    <xf numFmtId="2" fontId="39" fillId="0" borderId="1" xfId="0" applyNumberFormat="1" applyFont="1" applyBorder="1"/>
    <xf numFmtId="2" fontId="42" fillId="0" borderId="1" xfId="0" applyNumberFormat="1" applyFont="1" applyFill="1" applyBorder="1" applyAlignment="1" applyProtection="1">
      <alignment horizontal="right" vertical="center"/>
      <protection hidden="1"/>
    </xf>
    <xf numFmtId="0" fontId="39" fillId="0" borderId="0" xfId="0" applyFont="1"/>
    <xf numFmtId="2" fontId="39" fillId="0" borderId="0" xfId="0" applyNumberFormat="1" applyFont="1"/>
    <xf numFmtId="2" fontId="4" fillId="2" borderId="1" xfId="0" applyNumberFormat="1" applyFont="1" applyFill="1" applyBorder="1"/>
    <xf numFmtId="2" fontId="4" fillId="0" borderId="0" xfId="0" applyNumberFormat="1" applyFont="1" applyFill="1" applyBorder="1"/>
    <xf numFmtId="2" fontId="13" fillId="0" borderId="2" xfId="0" applyNumberFormat="1" applyFont="1" applyBorder="1" applyAlignment="1">
      <alignment horizontal="center" wrapText="1"/>
    </xf>
    <xf numFmtId="2" fontId="38" fillId="0" borderId="2" xfId="0" applyNumberFormat="1" applyFont="1" applyBorder="1" applyAlignment="1">
      <alignment horizontal="center"/>
    </xf>
    <xf numFmtId="2" fontId="38" fillId="0" borderId="3" xfId="0" applyNumberFormat="1" applyFont="1" applyBorder="1" applyAlignment="1">
      <alignment horizontal="center"/>
    </xf>
    <xf numFmtId="1" fontId="38" fillId="0" borderId="3" xfId="0" applyNumberFormat="1" applyFont="1" applyBorder="1" applyAlignment="1">
      <alignment horizontal="center"/>
    </xf>
    <xf numFmtId="2" fontId="38" fillId="0" borderId="1" xfId="0" applyNumberFormat="1" applyFont="1" applyBorder="1" applyAlignment="1">
      <alignment horizontal="center"/>
    </xf>
    <xf numFmtId="0" fontId="38" fillId="0" borderId="1" xfId="0" applyFont="1" applyBorder="1" applyAlignment="1">
      <alignment horizontal="center" vertical="center" wrapText="1"/>
    </xf>
    <xf numFmtId="2" fontId="38" fillId="0" borderId="0" xfId="0" applyNumberFormat="1" applyFont="1" applyBorder="1"/>
    <xf numFmtId="2" fontId="13" fillId="5" borderId="3" xfId="0" applyNumberFormat="1" applyFont="1" applyFill="1" applyBorder="1" applyAlignment="1">
      <alignment horizontal="center" wrapText="1"/>
    </xf>
    <xf numFmtId="2" fontId="9" fillId="5" borderId="2" xfId="0" applyNumberFormat="1" applyFont="1" applyFill="1" applyBorder="1" applyAlignment="1">
      <alignment horizontal="center"/>
    </xf>
    <xf numFmtId="0" fontId="13" fillId="0" borderId="0" xfId="0" applyFont="1"/>
    <xf numFmtId="0" fontId="43" fillId="0" borderId="0" xfId="0" applyFont="1"/>
    <xf numFmtId="1" fontId="9" fillId="0" borderId="1" xfId="0" applyNumberFormat="1" applyFont="1" applyBorder="1" applyAlignment="1">
      <alignment horizontal="center"/>
    </xf>
    <xf numFmtId="1" fontId="11" fillId="0" borderId="1" xfId="0" applyNumberFormat="1" applyFont="1" applyBorder="1" applyAlignment="1">
      <alignment horizontal="center"/>
    </xf>
    <xf numFmtId="1" fontId="38" fillId="0" borderId="1" xfId="0" applyNumberFormat="1" applyFont="1" applyBorder="1"/>
    <xf numFmtId="1" fontId="9" fillId="0" borderId="1" xfId="0" applyNumberFormat="1" applyFont="1" applyFill="1" applyBorder="1"/>
    <xf numFmtId="0" fontId="19" fillId="0" borderId="0" xfId="0" applyFont="1" applyAlignment="1">
      <alignment horizontal="center"/>
    </xf>
    <xf numFmtId="2" fontId="9" fillId="0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45" fillId="0" borderId="1" xfId="0" applyFont="1" applyFill="1" applyBorder="1" applyAlignment="1">
      <alignment horizontal="right" wrapText="1"/>
    </xf>
    <xf numFmtId="0" fontId="45" fillId="0" borderId="1" xfId="0" applyFont="1" applyFill="1" applyBorder="1" applyAlignment="1">
      <alignment wrapText="1"/>
    </xf>
    <xf numFmtId="0" fontId="18" fillId="0" borderId="0" xfId="0" applyFont="1" applyFill="1" applyAlignment="1">
      <alignment horizontal="left" wrapText="1"/>
    </xf>
    <xf numFmtId="0" fontId="38" fillId="0" borderId="0" xfId="0" applyFont="1" applyFill="1"/>
    <xf numFmtId="0" fontId="44" fillId="6" borderId="1" xfId="0" applyFont="1" applyFill="1" applyBorder="1" applyAlignment="1">
      <alignment horizontal="left" wrapText="1"/>
    </xf>
    <xf numFmtId="0" fontId="13" fillId="0" borderId="1" xfId="0" applyFont="1" applyFill="1" applyBorder="1" applyAlignment="1" applyProtection="1">
      <alignment horizontal="right" vertical="center" wrapText="1"/>
      <protection hidden="1"/>
    </xf>
    <xf numFmtId="0" fontId="9" fillId="0" borderId="1" xfId="0" applyFont="1" applyBorder="1" applyAlignment="1">
      <alignment horizontal="right" wrapText="1"/>
    </xf>
    <xf numFmtId="0" fontId="13" fillId="5" borderId="1" xfId="0" applyFont="1" applyFill="1" applyBorder="1" applyAlignment="1" applyProtection="1">
      <alignment horizontal="right" vertical="center" wrapText="1"/>
      <protection hidden="1"/>
    </xf>
    <xf numFmtId="0" fontId="9" fillId="5" borderId="1" xfId="0" applyFont="1" applyFill="1" applyBorder="1" applyAlignment="1">
      <alignment horizontal="right" vertical="center" wrapText="1"/>
    </xf>
    <xf numFmtId="0" fontId="9" fillId="5" borderId="1" xfId="0" applyFont="1" applyFill="1" applyBorder="1" applyAlignment="1">
      <alignment horizontal="right" vertical="top" wrapText="1"/>
    </xf>
    <xf numFmtId="0" fontId="6" fillId="0" borderId="1" xfId="0" applyFont="1" applyFill="1" applyBorder="1" applyAlignment="1">
      <alignment horizontal="right" wrapText="1"/>
    </xf>
    <xf numFmtId="0" fontId="9" fillId="0" borderId="0" xfId="0" applyFont="1" applyAlignment="1">
      <alignment horizontal="right"/>
    </xf>
    <xf numFmtId="0" fontId="44" fillId="6" borderId="0" xfId="0" applyFont="1" applyFill="1"/>
    <xf numFmtId="0" fontId="44" fillId="6" borderId="1" xfId="0" applyFont="1" applyFill="1" applyBorder="1" applyAlignment="1" applyProtection="1">
      <alignment horizontal="left" vertical="center" wrapText="1"/>
      <protection hidden="1"/>
    </xf>
    <xf numFmtId="0" fontId="46" fillId="6" borderId="0" xfId="0" applyFont="1" applyFill="1"/>
    <xf numFmtId="0" fontId="4" fillId="6" borderId="0" xfId="0" applyFont="1" applyFill="1"/>
    <xf numFmtId="0" fontId="4" fillId="6" borderId="1" xfId="0" applyFont="1" applyFill="1" applyBorder="1" applyAlignment="1">
      <alignment horizontal="left" vertical="center" wrapText="1"/>
    </xf>
    <xf numFmtId="2" fontId="4" fillId="6" borderId="1" xfId="0" applyNumberFormat="1" applyFont="1" applyFill="1" applyBorder="1"/>
    <xf numFmtId="0" fontId="7" fillId="6" borderId="0" xfId="0" applyFont="1" applyFill="1"/>
    <xf numFmtId="0" fontId="4" fillId="6" borderId="1" xfId="0" applyFont="1" applyFill="1" applyBorder="1"/>
    <xf numFmtId="0" fontId="4" fillId="6" borderId="1" xfId="0" applyFont="1" applyFill="1" applyBorder="1" applyAlignment="1">
      <alignment horizontal="left" wrapText="1"/>
    </xf>
    <xf numFmtId="2" fontId="4" fillId="6" borderId="1" xfId="0" applyNumberFormat="1" applyFont="1" applyFill="1" applyBorder="1" applyAlignment="1">
      <alignment horizontal="right"/>
    </xf>
    <xf numFmtId="0" fontId="4" fillId="6" borderId="1" xfId="0" applyFont="1" applyFill="1" applyBorder="1" applyAlignment="1">
      <alignment horizontal="right"/>
    </xf>
    <xf numFmtId="0" fontId="4" fillId="6" borderId="1" xfId="0" applyFont="1" applyFill="1" applyBorder="1" applyAlignment="1">
      <alignment horizontal="right" vertical="center" wrapText="1"/>
    </xf>
    <xf numFmtId="0" fontId="4" fillId="0" borderId="0" xfId="0" applyFont="1"/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7" fillId="0" borderId="0" xfId="0" applyFont="1"/>
    <xf numFmtId="0" fontId="13" fillId="0" borderId="1" xfId="0" applyFont="1" applyFill="1" applyBorder="1" applyAlignment="1">
      <alignment horizontal="center" wrapText="1"/>
    </xf>
    <xf numFmtId="2" fontId="13" fillId="0" borderId="1" xfId="0" applyNumberFormat="1" applyFont="1" applyFill="1" applyBorder="1" applyAlignment="1">
      <alignment horizontal="center" wrapText="1"/>
    </xf>
    <xf numFmtId="166" fontId="9" fillId="0" borderId="1" xfId="0" applyNumberFormat="1" applyFont="1" applyFill="1" applyBorder="1" applyAlignment="1">
      <alignment horizontal="right"/>
    </xf>
    <xf numFmtId="166" fontId="9" fillId="0" borderId="1" xfId="2" applyNumberFormat="1" applyFont="1" applyFill="1" applyBorder="1" applyAlignment="1">
      <alignment horizontal="right"/>
    </xf>
    <xf numFmtId="166" fontId="18" fillId="2" borderId="0" xfId="0" applyNumberFormat="1" applyFont="1" applyFill="1"/>
    <xf numFmtId="0" fontId="27" fillId="0" borderId="0" xfId="0" applyFont="1" applyAlignment="1">
      <alignment horizontal="right"/>
    </xf>
    <xf numFmtId="0" fontId="11" fillId="5" borderId="1" xfId="0" applyFont="1" applyFill="1" applyBorder="1" applyAlignment="1">
      <alignment wrapText="1"/>
    </xf>
    <xf numFmtId="0" fontId="9" fillId="5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166" fontId="11" fillId="5" borderId="1" xfId="0" applyNumberFormat="1" applyFont="1" applyFill="1" applyBorder="1"/>
    <xf numFmtId="0" fontId="47" fillId="5" borderId="0" xfId="0" applyFont="1" applyFill="1"/>
    <xf numFmtId="166" fontId="9" fillId="0" borderId="1" xfId="0" applyNumberFormat="1" applyFont="1" applyBorder="1" applyAlignment="1">
      <alignment horizontal="center"/>
    </xf>
    <xf numFmtId="0" fontId="13" fillId="0" borderId="1" xfId="0" applyFont="1" applyFill="1" applyBorder="1"/>
    <xf numFmtId="0" fontId="48" fillId="0" borderId="0" xfId="0" applyFont="1" applyFill="1"/>
    <xf numFmtId="2" fontId="9" fillId="5" borderId="1" xfId="0" applyNumberFormat="1" applyFont="1" applyFill="1" applyBorder="1" applyAlignment="1">
      <alignment horizontal="left" vertical="top" wrapText="1"/>
    </xf>
    <xf numFmtId="2" fontId="44" fillId="6" borderId="1" xfId="0" applyNumberFormat="1" applyFont="1" applyFill="1" applyBorder="1" applyAlignment="1">
      <alignment horizontal="right"/>
    </xf>
    <xf numFmtId="2" fontId="13" fillId="5" borderId="1" xfId="0" applyNumberFormat="1" applyFont="1" applyFill="1" applyBorder="1" applyAlignment="1">
      <alignment horizontal="right"/>
    </xf>
    <xf numFmtId="0" fontId="49" fillId="0" borderId="1" xfId="0" applyFont="1" applyFill="1" applyBorder="1" applyAlignment="1">
      <alignment horizontal="right" vertical="top" wrapText="1"/>
    </xf>
    <xf numFmtId="0" fontId="49" fillId="0" borderId="4" xfId="0" applyFont="1" applyFill="1" applyBorder="1" applyAlignment="1">
      <alignment horizontal="left" vertical="top" wrapText="1"/>
    </xf>
    <xf numFmtId="0" fontId="11" fillId="2" borderId="0" xfId="0" applyFont="1" applyFill="1" applyBorder="1" applyAlignment="1">
      <alignment horizontal="center"/>
    </xf>
    <xf numFmtId="2" fontId="11" fillId="2" borderId="0" xfId="0" applyNumberFormat="1" applyFont="1" applyFill="1" applyBorder="1"/>
    <xf numFmtId="2" fontId="9" fillId="0" borderId="1" xfId="0" applyNumberFormat="1" applyFont="1" applyBorder="1" applyAlignment="1">
      <alignment wrapText="1"/>
    </xf>
    <xf numFmtId="16" fontId="13" fillId="0" borderId="0" xfId="0" applyNumberFormat="1" applyFont="1"/>
    <xf numFmtId="2" fontId="49" fillId="0" borderId="1" xfId="0" applyNumberFormat="1" applyFont="1" applyFill="1" applyBorder="1" applyAlignment="1">
      <alignment horizontal="left" vertical="top" wrapText="1"/>
    </xf>
    <xf numFmtId="0" fontId="9" fillId="0" borderId="0" xfId="0" applyFont="1" applyBorder="1" applyAlignment="1">
      <alignment horizontal="center"/>
    </xf>
    <xf numFmtId="165" fontId="9" fillId="0" borderId="0" xfId="0" applyNumberFormat="1" applyFont="1" applyBorder="1" applyAlignment="1">
      <alignment horizontal="center" wrapText="1"/>
    </xf>
    <xf numFmtId="165" fontId="13" fillId="0" borderId="0" xfId="0" applyNumberFormat="1" applyFont="1" applyFill="1" applyBorder="1" applyAlignment="1" applyProtection="1">
      <alignment horizontal="center" vertical="center"/>
      <protection hidden="1"/>
    </xf>
    <xf numFmtId="167" fontId="13" fillId="0" borderId="1" xfId="0" applyNumberFormat="1" applyFont="1" applyFill="1" applyBorder="1" applyAlignment="1" applyProtection="1">
      <alignment horizontal="center" vertical="center"/>
      <protection hidden="1"/>
    </xf>
    <xf numFmtId="0" fontId="54" fillId="0" borderId="0" xfId="0" applyFont="1" applyAlignment="1">
      <alignment horizontal="center"/>
    </xf>
    <xf numFmtId="0" fontId="11" fillId="2" borderId="5" xfId="0" applyFont="1" applyFill="1" applyBorder="1" applyAlignment="1">
      <alignment horizontal="center"/>
    </xf>
    <xf numFmtId="0" fontId="11" fillId="2" borderId="6" xfId="0" applyFont="1" applyFill="1" applyBorder="1" applyAlignment="1">
      <alignment horizontal="center"/>
    </xf>
    <xf numFmtId="0" fontId="54" fillId="0" borderId="0" xfId="0" applyFont="1"/>
    <xf numFmtId="0" fontId="55" fillId="0" borderId="0" xfId="0" applyFont="1" applyAlignment="1">
      <alignment horizontal="center"/>
    </xf>
    <xf numFmtId="2" fontId="17" fillId="4" borderId="1" xfId="0" applyNumberFormat="1" applyFont="1" applyFill="1" applyBorder="1"/>
    <xf numFmtId="2" fontId="59" fillId="0" borderId="0" xfId="0" applyNumberFormat="1" applyFont="1"/>
    <xf numFmtId="0" fontId="49" fillId="0" borderId="0" xfId="0" applyFont="1"/>
    <xf numFmtId="0" fontId="49" fillId="0" borderId="1" xfId="0" applyFont="1" applyBorder="1" applyAlignment="1">
      <alignment horizontal="center" vertical="center" wrapText="1"/>
    </xf>
    <xf numFmtId="0" fontId="49" fillId="0" borderId="0" xfId="0" applyFont="1" applyBorder="1" applyAlignment="1">
      <alignment horizontal="center" vertical="center" wrapText="1"/>
    </xf>
    <xf numFmtId="0" fontId="60" fillId="0" borderId="0" xfId="0" applyFont="1" applyFill="1" applyBorder="1" applyAlignment="1">
      <alignment horizontal="center"/>
    </xf>
    <xf numFmtId="2" fontId="18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2" fontId="11" fillId="2" borderId="0" xfId="0" applyNumberFormat="1" applyFont="1" applyFill="1" applyAlignment="1">
      <alignment horizontal="center"/>
    </xf>
    <xf numFmtId="2" fontId="11" fillId="0" borderId="1" xfId="0" applyNumberFormat="1" applyFont="1" applyBorder="1" applyAlignment="1">
      <alignment horizontal="center"/>
    </xf>
    <xf numFmtId="9" fontId="9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2" fontId="11" fillId="0" borderId="0" xfId="0" applyNumberFormat="1" applyFont="1" applyAlignment="1">
      <alignment horizontal="center"/>
    </xf>
    <xf numFmtId="0" fontId="13" fillId="0" borderId="1" xfId="0" applyFont="1" applyFill="1" applyBorder="1" applyAlignment="1" applyProtection="1">
      <alignment horizontal="center" vertical="center" wrapText="1"/>
      <protection hidden="1"/>
    </xf>
    <xf numFmtId="0" fontId="49" fillId="0" borderId="0" xfId="0" applyFont="1" applyAlignment="1">
      <alignment horizontal="center"/>
    </xf>
    <xf numFmtId="2" fontId="61" fillId="2" borderId="0" xfId="0" applyNumberFormat="1" applyFont="1" applyFill="1" applyAlignment="1">
      <alignment horizontal="center"/>
    </xf>
    <xf numFmtId="0" fontId="49" fillId="2" borderId="0" xfId="0" applyFont="1" applyFill="1" applyAlignment="1">
      <alignment horizontal="center"/>
    </xf>
    <xf numFmtId="2" fontId="62" fillId="2" borderId="0" xfId="0" applyNumberFormat="1" applyFont="1" applyFill="1" applyAlignment="1">
      <alignment horizontal="center"/>
    </xf>
    <xf numFmtId="2" fontId="49" fillId="0" borderId="1" xfId="0" applyNumberFormat="1" applyFont="1" applyBorder="1" applyAlignment="1">
      <alignment horizontal="center"/>
    </xf>
    <xf numFmtId="0" fontId="49" fillId="0" borderId="1" xfId="0" applyFont="1" applyBorder="1" applyAlignment="1">
      <alignment horizontal="center"/>
    </xf>
    <xf numFmtId="2" fontId="62" fillId="0" borderId="1" xfId="0" applyNumberFormat="1" applyFont="1" applyBorder="1" applyAlignment="1">
      <alignment horizontal="center"/>
    </xf>
    <xf numFmtId="9" fontId="49" fillId="0" borderId="1" xfId="0" applyNumberFormat="1" applyFont="1" applyBorder="1" applyAlignment="1">
      <alignment horizontal="center"/>
    </xf>
    <xf numFmtId="0" fontId="62" fillId="0" borderId="1" xfId="0" applyFont="1" applyBorder="1" applyAlignment="1">
      <alignment horizontal="center"/>
    </xf>
    <xf numFmtId="0" fontId="62" fillId="2" borderId="0" xfId="0" applyFont="1" applyFill="1" applyAlignment="1">
      <alignment horizontal="center"/>
    </xf>
    <xf numFmtId="0" fontId="62" fillId="0" borderId="0" xfId="0" applyFont="1" applyAlignment="1">
      <alignment horizontal="center"/>
    </xf>
    <xf numFmtId="2" fontId="62" fillId="0" borderId="0" xfId="0" applyNumberFormat="1" applyFont="1" applyAlignment="1">
      <alignment horizontal="center"/>
    </xf>
    <xf numFmtId="1" fontId="49" fillId="0" borderId="1" xfId="0" applyNumberFormat="1" applyFont="1" applyBorder="1" applyAlignment="1">
      <alignment horizontal="center"/>
    </xf>
    <xf numFmtId="0" fontId="9" fillId="0" borderId="0" xfId="0" applyFont="1" applyAlignment="1">
      <alignment horizontal="left"/>
    </xf>
    <xf numFmtId="0" fontId="9" fillId="0" borderId="1" xfId="0" applyFont="1" applyBorder="1" applyAlignment="1">
      <alignment horizontal="left" vertical="center"/>
    </xf>
    <xf numFmtId="2" fontId="9" fillId="0" borderId="1" xfId="0" applyNumberFormat="1" applyFont="1" applyBorder="1" applyAlignment="1">
      <alignment horizontal="left"/>
    </xf>
    <xf numFmtId="0" fontId="9" fillId="0" borderId="1" xfId="0" applyFont="1" applyBorder="1" applyAlignment="1">
      <alignment horizontal="left" wrapText="1"/>
    </xf>
    <xf numFmtId="0" fontId="11" fillId="2" borderId="0" xfId="0" applyFont="1" applyFill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Fill="1" applyBorder="1" applyAlignment="1">
      <alignment horizontal="left"/>
    </xf>
    <xf numFmtId="0" fontId="49" fillId="0" borderId="0" xfId="0" applyFont="1" applyAlignment="1">
      <alignment horizontal="left"/>
    </xf>
    <xf numFmtId="0" fontId="49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left"/>
    </xf>
    <xf numFmtId="0" fontId="49" fillId="0" borderId="1" xfId="0" applyFont="1" applyBorder="1" applyAlignment="1">
      <alignment horizontal="left" wrapText="1"/>
    </xf>
    <xf numFmtId="0" fontId="62" fillId="2" borderId="0" xfId="0" applyFont="1" applyFill="1" applyAlignment="1">
      <alignment horizontal="left"/>
    </xf>
    <xf numFmtId="0" fontId="62" fillId="0" borderId="0" xfId="0" applyFont="1" applyAlignment="1">
      <alignment horizontal="left"/>
    </xf>
    <xf numFmtId="0" fontId="49" fillId="0" borderId="1" xfId="0" applyFont="1" applyBorder="1" applyAlignment="1">
      <alignment horizontal="left" vertical="center" wrapText="1"/>
    </xf>
    <xf numFmtId="0" fontId="60" fillId="0" borderId="0" xfId="0" applyFont="1" applyFill="1" applyBorder="1" applyAlignment="1">
      <alignment horizontal="left"/>
    </xf>
    <xf numFmtId="0" fontId="14" fillId="0" borderId="1" xfId="0" applyFont="1" applyFill="1" applyBorder="1" applyAlignment="1" applyProtection="1">
      <alignment horizontal="center" vertical="center"/>
      <protection hidden="1"/>
    </xf>
    <xf numFmtId="2" fontId="9" fillId="0" borderId="0" xfId="0" applyNumberFormat="1" applyFont="1" applyBorder="1" applyAlignment="1">
      <alignment horizontal="center"/>
    </xf>
    <xf numFmtId="2" fontId="11" fillId="2" borderId="1" xfId="0" applyNumberFormat="1" applyFont="1" applyFill="1" applyBorder="1" applyAlignment="1">
      <alignment horizontal="center"/>
    </xf>
    <xf numFmtId="2" fontId="11" fillId="0" borderId="0" xfId="0" applyNumberFormat="1" applyFont="1" applyBorder="1" applyAlignment="1">
      <alignment horizontal="center"/>
    </xf>
    <xf numFmtId="0" fontId="9" fillId="5" borderId="0" xfId="0" applyFont="1" applyFill="1" applyAlignment="1">
      <alignment horizontal="center"/>
    </xf>
    <xf numFmtId="0" fontId="49" fillId="0" borderId="1" xfId="0" applyFont="1" applyFill="1" applyBorder="1" applyAlignment="1">
      <alignment horizontal="center"/>
    </xf>
    <xf numFmtId="2" fontId="49" fillId="0" borderId="0" xfId="0" applyNumberFormat="1" applyFont="1" applyBorder="1" applyAlignment="1">
      <alignment horizontal="center"/>
    </xf>
    <xf numFmtId="2" fontId="60" fillId="2" borderId="1" xfId="0" applyNumberFormat="1" applyFont="1" applyFill="1" applyBorder="1" applyAlignment="1">
      <alignment horizontal="center"/>
    </xf>
    <xf numFmtId="2" fontId="60" fillId="0" borderId="0" xfId="0" applyNumberFormat="1" applyFont="1" applyBorder="1" applyAlignment="1">
      <alignment horizontal="center"/>
    </xf>
    <xf numFmtId="166" fontId="49" fillId="0" borderId="1" xfId="0" applyNumberFormat="1" applyFont="1" applyFill="1" applyBorder="1" applyAlignment="1">
      <alignment horizontal="center"/>
    </xf>
    <xf numFmtId="0" fontId="63" fillId="0" borderId="0" xfId="0" applyFont="1"/>
    <xf numFmtId="49" fontId="64" fillId="0" borderId="0" xfId="0" applyNumberFormat="1" applyFont="1" applyAlignment="1">
      <alignment horizontal="right"/>
    </xf>
    <xf numFmtId="0" fontId="65" fillId="0" borderId="0" xfId="1" applyFont="1"/>
    <xf numFmtId="0" fontId="65" fillId="0" borderId="0" xfId="1" applyFont="1" applyFill="1" applyBorder="1" applyAlignment="1">
      <alignment horizontal="left" vertical="center"/>
    </xf>
    <xf numFmtId="0" fontId="64" fillId="0" borderId="0" xfId="0" applyFont="1"/>
    <xf numFmtId="0" fontId="65" fillId="0" borderId="0" xfId="1" quotePrefix="1" applyFont="1"/>
    <xf numFmtId="0" fontId="66" fillId="0" borderId="0" xfId="0" applyFont="1"/>
    <xf numFmtId="0" fontId="64" fillId="5" borderId="0" xfId="0" applyFont="1" applyFill="1"/>
    <xf numFmtId="0" fontId="0" fillId="0" borderId="0" xfId="0" applyFont="1"/>
    <xf numFmtId="49" fontId="64" fillId="0" borderId="0" xfId="0" applyNumberFormat="1" applyFont="1"/>
    <xf numFmtId="2" fontId="67" fillId="0" borderId="0" xfId="0" applyNumberFormat="1" applyFont="1"/>
    <xf numFmtId="2" fontId="67" fillId="0" borderId="0" xfId="0" applyNumberFormat="1" applyFont="1" applyBorder="1"/>
    <xf numFmtId="49" fontId="68" fillId="0" borderId="0" xfId="0" applyNumberFormat="1" applyFont="1" applyAlignment="1">
      <alignment horizontal="right"/>
    </xf>
    <xf numFmtId="0" fontId="69" fillId="0" borderId="0" xfId="1" applyFont="1"/>
    <xf numFmtId="49" fontId="70" fillId="3" borderId="0" xfId="0" applyNumberFormat="1" applyFont="1" applyFill="1" applyAlignment="1">
      <alignment horizontal="right"/>
    </xf>
    <xf numFmtId="0" fontId="13" fillId="0" borderId="1" xfId="0" applyFont="1" applyBorder="1" applyAlignment="1">
      <alignment horizontal="center"/>
    </xf>
    <xf numFmtId="2" fontId="13" fillId="0" borderId="2" xfId="0" applyNumberFormat="1" applyFont="1" applyBorder="1" applyAlignment="1">
      <alignment horizontal="center"/>
    </xf>
    <xf numFmtId="2" fontId="13" fillId="0" borderId="3" xfId="0" applyNumberFormat="1" applyFont="1" applyBorder="1" applyAlignment="1">
      <alignment horizontal="center"/>
    </xf>
    <xf numFmtId="1" fontId="13" fillId="0" borderId="3" xfId="0" applyNumberFormat="1" applyFont="1" applyBorder="1" applyAlignment="1">
      <alignment horizontal="center"/>
    </xf>
    <xf numFmtId="2" fontId="13" fillId="0" borderId="1" xfId="0" applyNumberFormat="1" applyFont="1" applyBorder="1" applyAlignment="1">
      <alignment horizontal="center"/>
    </xf>
    <xf numFmtId="0" fontId="38" fillId="0" borderId="1" xfId="0" applyFont="1" applyFill="1" applyBorder="1" applyAlignment="1">
      <alignment horizontal="center"/>
    </xf>
    <xf numFmtId="167" fontId="38" fillId="0" borderId="1" xfId="0" applyNumberFormat="1" applyFont="1" applyFill="1" applyBorder="1" applyAlignment="1">
      <alignment horizontal="center"/>
    </xf>
    <xf numFmtId="0" fontId="38" fillId="0" borderId="0" xfId="0" applyFont="1" applyFill="1" applyBorder="1" applyAlignment="1">
      <alignment horizontal="center"/>
    </xf>
    <xf numFmtId="0" fontId="38" fillId="0" borderId="1" xfId="0" applyFont="1" applyFill="1" applyBorder="1" applyAlignment="1">
      <alignment horizontal="left" wrapText="1"/>
    </xf>
    <xf numFmtId="168" fontId="13" fillId="0" borderId="1" xfId="0" applyNumberFormat="1" applyFont="1" applyFill="1" applyBorder="1" applyAlignment="1" applyProtection="1">
      <alignment horizontal="center" vertical="center"/>
      <protection hidden="1"/>
    </xf>
    <xf numFmtId="0" fontId="13" fillId="5" borderId="1" xfId="0" applyFont="1" applyFill="1" applyBorder="1" applyAlignment="1" applyProtection="1">
      <alignment horizontal="left" wrapText="1"/>
      <protection hidden="1"/>
    </xf>
    <xf numFmtId="0" fontId="13" fillId="5" borderId="1" xfId="0" applyFont="1" applyFill="1" applyBorder="1" applyAlignment="1" applyProtection="1">
      <alignment horizontal="center"/>
      <protection hidden="1"/>
    </xf>
    <xf numFmtId="2" fontId="13" fillId="5" borderId="1" xfId="0" applyNumberFormat="1" applyFont="1" applyFill="1" applyBorder="1" applyAlignment="1" applyProtection="1">
      <alignment horizontal="right"/>
      <protection hidden="1"/>
    </xf>
    <xf numFmtId="166" fontId="13" fillId="5" borderId="1" xfId="0" applyNumberFormat="1" applyFont="1" applyFill="1" applyBorder="1" applyAlignment="1" applyProtection="1">
      <alignment horizontal="right"/>
      <protection hidden="1"/>
    </xf>
    <xf numFmtId="0" fontId="9" fillId="5" borderId="1" xfId="0" applyFont="1" applyFill="1" applyBorder="1" applyAlignment="1"/>
    <xf numFmtId="166" fontId="9" fillId="5" borderId="1" xfId="0" applyNumberFormat="1" applyFont="1" applyFill="1" applyBorder="1" applyAlignment="1"/>
    <xf numFmtId="2" fontId="14" fillId="5" borderId="1" xfId="0" applyNumberFormat="1" applyFont="1" applyFill="1" applyBorder="1" applyAlignment="1" applyProtection="1">
      <alignment horizontal="right"/>
      <protection hidden="1"/>
    </xf>
    <xf numFmtId="2" fontId="9" fillId="5" borderId="1" xfId="0" applyNumberFormat="1" applyFont="1" applyFill="1" applyBorder="1" applyAlignment="1"/>
    <xf numFmtId="0" fontId="76" fillId="0" borderId="0" xfId="0" applyFont="1" applyFill="1"/>
    <xf numFmtId="0" fontId="72" fillId="0" borderId="1" xfId="0" applyFont="1" applyFill="1" applyBorder="1"/>
    <xf numFmtId="0" fontId="77" fillId="0" borderId="1" xfId="0" applyFont="1" applyFill="1" applyBorder="1"/>
    <xf numFmtId="0" fontId="72" fillId="0" borderId="1" xfId="0" applyFont="1" applyFill="1" applyBorder="1" applyAlignment="1">
      <alignment horizontal="center"/>
    </xf>
    <xf numFmtId="0" fontId="11" fillId="2" borderId="3" xfId="0" applyFont="1" applyFill="1" applyBorder="1" applyAlignment="1">
      <alignment horizontal="center"/>
    </xf>
    <xf numFmtId="0" fontId="73" fillId="0" borderId="1" xfId="0" applyFont="1" applyFill="1" applyBorder="1" applyAlignment="1">
      <alignment horizontal="center"/>
    </xf>
    <xf numFmtId="49" fontId="72" fillId="0" borderId="1" xfId="0" applyNumberFormat="1" applyFont="1" applyFill="1" applyBorder="1" applyAlignment="1">
      <alignment horizontal="right"/>
    </xf>
    <xf numFmtId="0" fontId="78" fillId="0" borderId="1" xfId="0" applyFont="1" applyFill="1" applyBorder="1" applyAlignment="1">
      <alignment wrapText="1"/>
    </xf>
    <xf numFmtId="2" fontId="72" fillId="0" borderId="1" xfId="0" applyNumberFormat="1" applyFont="1" applyFill="1" applyBorder="1" applyAlignment="1">
      <alignment horizontal="center"/>
    </xf>
    <xf numFmtId="2" fontId="73" fillId="0" borderId="1" xfId="0" applyNumberFormat="1" applyFont="1" applyFill="1" applyBorder="1" applyAlignment="1">
      <alignment horizontal="center"/>
    </xf>
    <xf numFmtId="0" fontId="72" fillId="0" borderId="1" xfId="0" applyFont="1" applyFill="1" applyBorder="1" applyAlignment="1">
      <alignment wrapText="1"/>
    </xf>
    <xf numFmtId="0" fontId="72" fillId="0" borderId="1" xfId="0" applyFont="1" applyFill="1" applyBorder="1" applyAlignment="1">
      <alignment horizontal="center" vertical="center"/>
    </xf>
    <xf numFmtId="9" fontId="72" fillId="0" borderId="1" xfId="0" applyNumberFormat="1" applyFont="1" applyFill="1" applyBorder="1" applyAlignment="1">
      <alignment horizontal="center" vertical="center"/>
    </xf>
    <xf numFmtId="0" fontId="73" fillId="0" borderId="1" xfId="0" applyFont="1" applyFill="1" applyBorder="1" applyAlignment="1">
      <alignment horizontal="center" vertical="center"/>
    </xf>
    <xf numFmtId="0" fontId="72" fillId="0" borderId="1" xfId="0" applyFont="1" applyFill="1" applyBorder="1" applyAlignment="1">
      <alignment horizontal="left" wrapText="1"/>
    </xf>
    <xf numFmtId="2" fontId="72" fillId="0" borderId="1" xfId="0" applyNumberFormat="1" applyFont="1" applyFill="1" applyBorder="1" applyAlignment="1">
      <alignment horizontal="center" wrapText="1"/>
    </xf>
    <xf numFmtId="0" fontId="72" fillId="0" borderId="1" xfId="0" applyFont="1" applyFill="1" applyBorder="1" applyAlignment="1">
      <alignment horizontal="center" wrapText="1"/>
    </xf>
    <xf numFmtId="49" fontId="79" fillId="0" borderId="1" xfId="0" applyNumberFormat="1" applyFont="1" applyFill="1" applyBorder="1" applyAlignment="1">
      <alignment horizontal="right"/>
    </xf>
    <xf numFmtId="0" fontId="79" fillId="0" borderId="1" xfId="0" applyFont="1" applyFill="1" applyBorder="1"/>
    <xf numFmtId="0" fontId="78" fillId="0" borderId="1" xfId="0" applyFont="1" applyFill="1" applyBorder="1" applyAlignment="1">
      <alignment horizontal="left" vertical="center" wrapText="1"/>
    </xf>
    <xf numFmtId="0" fontId="78" fillId="0" borderId="1" xfId="1" applyFont="1" applyFill="1" applyBorder="1" applyAlignment="1">
      <alignment horizontal="left"/>
    </xf>
    <xf numFmtId="0" fontId="78" fillId="0" borderId="1" xfId="0" applyFont="1" applyFill="1" applyBorder="1" applyAlignment="1" applyProtection="1">
      <alignment horizontal="left" vertical="center" wrapText="1"/>
      <protection hidden="1"/>
    </xf>
    <xf numFmtId="49" fontId="78" fillId="0" borderId="1" xfId="0" applyNumberFormat="1" applyFont="1" applyFill="1" applyBorder="1" applyAlignment="1">
      <alignment horizontal="right"/>
    </xf>
    <xf numFmtId="2" fontId="78" fillId="0" borderId="1" xfId="0" applyNumberFormat="1" applyFont="1" applyFill="1" applyBorder="1" applyAlignment="1">
      <alignment horizontal="center"/>
    </xf>
    <xf numFmtId="2" fontId="80" fillId="0" borderId="1" xfId="0" applyNumberFormat="1" applyFont="1" applyFill="1" applyBorder="1" applyAlignment="1">
      <alignment horizontal="center"/>
    </xf>
    <xf numFmtId="0" fontId="82" fillId="0" borderId="0" xfId="0" applyFont="1" applyFill="1"/>
    <xf numFmtId="0" fontId="80" fillId="0" borderId="1" xfId="0" applyFont="1" applyFill="1" applyBorder="1" applyAlignment="1">
      <alignment horizontal="left" vertical="center" wrapText="1"/>
    </xf>
    <xf numFmtId="0" fontId="78" fillId="0" borderId="1" xfId="0" applyFont="1" applyFill="1" applyBorder="1" applyAlignment="1">
      <alignment horizontal="left" vertical="center"/>
    </xf>
    <xf numFmtId="0" fontId="78" fillId="0" borderId="1" xfId="0" applyFont="1" applyFill="1" applyBorder="1"/>
    <xf numFmtId="0" fontId="78" fillId="0" borderId="1" xfId="0" applyFont="1" applyFill="1" applyBorder="1" applyAlignment="1">
      <alignment horizontal="center"/>
    </xf>
    <xf numFmtId="0" fontId="80" fillId="0" borderId="1" xfId="0" applyFont="1" applyFill="1" applyBorder="1" applyAlignment="1">
      <alignment horizontal="center"/>
    </xf>
    <xf numFmtId="0" fontId="72" fillId="0" borderId="0" xfId="0" applyFont="1"/>
    <xf numFmtId="0" fontId="72" fillId="0" borderId="0" xfId="0" applyFont="1" applyAlignment="1">
      <alignment horizontal="center"/>
    </xf>
    <xf numFmtId="0" fontId="73" fillId="0" borderId="0" xfId="0" applyFont="1" applyAlignment="1">
      <alignment horizontal="center"/>
    </xf>
    <xf numFmtId="0" fontId="73" fillId="6" borderId="0" xfId="0" applyFont="1" applyFill="1" applyAlignment="1">
      <alignment horizontal="center"/>
    </xf>
    <xf numFmtId="0" fontId="76" fillId="0" borderId="0" xfId="0" applyFont="1"/>
    <xf numFmtId="2" fontId="72" fillId="0" borderId="1" xfId="0" applyNumberFormat="1" applyFont="1" applyFill="1" applyBorder="1"/>
    <xf numFmtId="0" fontId="74" fillId="0" borderId="1" xfId="0" applyFont="1" applyFill="1" applyBorder="1"/>
    <xf numFmtId="0" fontId="84" fillId="0" borderId="0" xfId="0" applyFont="1" applyFill="1"/>
    <xf numFmtId="0" fontId="43" fillId="0" borderId="0" xfId="0" applyFont="1" applyFill="1"/>
    <xf numFmtId="0" fontId="51" fillId="5" borderId="0" xfId="0" applyFont="1" applyFill="1"/>
    <xf numFmtId="0" fontId="52" fillId="5" borderId="0" xfId="0" applyFont="1" applyFill="1"/>
    <xf numFmtId="0" fontId="53" fillId="5" borderId="0" xfId="0" applyFont="1" applyFill="1"/>
    <xf numFmtId="49" fontId="54" fillId="5" borderId="0" xfId="0" applyNumberFormat="1" applyFont="1" applyFill="1" applyAlignment="1">
      <alignment horizontal="center"/>
    </xf>
    <xf numFmtId="0" fontId="54" fillId="5" borderId="0" xfId="0" applyFont="1" applyFill="1"/>
    <xf numFmtId="0" fontId="55" fillId="5" borderId="0" xfId="0" applyFont="1" applyFill="1" applyAlignment="1">
      <alignment horizontal="center"/>
    </xf>
    <xf numFmtId="0" fontId="54" fillId="5" borderId="0" xfId="0" applyFont="1" applyFill="1" applyAlignment="1"/>
    <xf numFmtId="0" fontId="0" fillId="5" borderId="0" xfId="0" applyFill="1" applyAlignment="1"/>
    <xf numFmtId="0" fontId="1" fillId="5" borderId="0" xfId="0" applyFont="1" applyFill="1" applyAlignment="1"/>
    <xf numFmtId="0" fontId="47" fillId="5" borderId="0" xfId="0" applyFont="1" applyFill="1" applyAlignment="1"/>
    <xf numFmtId="49" fontId="54" fillId="5" borderId="0" xfId="0" applyNumberFormat="1" applyFont="1" applyFill="1" applyBorder="1" applyAlignment="1">
      <alignment horizontal="center"/>
    </xf>
    <xf numFmtId="0" fontId="54" fillId="5" borderId="0" xfId="0" applyFont="1" applyFill="1" applyBorder="1" applyAlignment="1">
      <alignment wrapText="1"/>
    </xf>
    <xf numFmtId="2" fontId="54" fillId="5" borderId="0" xfId="0" applyNumberFormat="1" applyFont="1" applyFill="1" applyBorder="1" applyAlignment="1">
      <alignment horizontal="center"/>
    </xf>
    <xf numFmtId="2" fontId="56" fillId="5" borderId="0" xfId="0" applyNumberFormat="1" applyFont="1" applyFill="1" applyBorder="1" applyAlignment="1">
      <alignment horizontal="center"/>
    </xf>
    <xf numFmtId="0" fontId="54" fillId="5" borderId="0" xfId="0" applyFont="1" applyFill="1" applyBorder="1" applyAlignment="1">
      <alignment horizontal="center"/>
    </xf>
    <xf numFmtId="0" fontId="55" fillId="5" borderId="0" xfId="0" applyFont="1" applyFill="1" applyBorder="1" applyAlignment="1">
      <alignment horizontal="center"/>
    </xf>
    <xf numFmtId="0" fontId="48" fillId="5" borderId="0" xfId="0" applyFont="1" applyFill="1" applyAlignment="1"/>
    <xf numFmtId="0" fontId="71" fillId="5" borderId="0" xfId="0" applyFont="1" applyFill="1" applyAlignment="1"/>
    <xf numFmtId="0" fontId="54" fillId="5" borderId="0" xfId="0" applyFont="1" applyFill="1" applyBorder="1" applyAlignment="1">
      <alignment horizontal="left" wrapText="1"/>
    </xf>
    <xf numFmtId="2" fontId="9" fillId="0" borderId="0" xfId="0" applyNumberFormat="1" applyFont="1" applyFill="1" applyBorder="1"/>
    <xf numFmtId="0" fontId="85" fillId="5" borderId="0" xfId="0" applyFont="1" applyFill="1"/>
    <xf numFmtId="0" fontId="87" fillId="5" borderId="0" xfId="0" applyFont="1" applyFill="1"/>
    <xf numFmtId="0" fontId="88" fillId="5" borderId="0" xfId="0" applyFont="1" applyFill="1"/>
    <xf numFmtId="0" fontId="89" fillId="5" borderId="0" xfId="0" applyFont="1" applyFill="1"/>
    <xf numFmtId="49" fontId="90" fillId="5" borderId="1" xfId="0" applyNumberFormat="1" applyFont="1" applyFill="1" applyBorder="1" applyAlignment="1">
      <alignment horizontal="center"/>
    </xf>
    <xf numFmtId="0" fontId="90" fillId="5" borderId="1" xfId="0" applyFont="1" applyFill="1" applyBorder="1" applyAlignment="1">
      <alignment horizontal="center" wrapText="1"/>
    </xf>
    <xf numFmtId="0" fontId="91" fillId="5" borderId="1" xfId="0" applyFont="1" applyFill="1" applyBorder="1" applyAlignment="1">
      <alignment horizontal="center"/>
    </xf>
    <xf numFmtId="0" fontId="90" fillId="5" borderId="1" xfId="0" applyFont="1" applyFill="1" applyBorder="1" applyAlignment="1">
      <alignment horizontal="center"/>
    </xf>
    <xf numFmtId="49" fontId="93" fillId="5" borderId="1" xfId="0" applyNumberFormat="1" applyFont="1" applyFill="1" applyBorder="1" applyAlignment="1">
      <alignment horizontal="center"/>
    </xf>
    <xf numFmtId="0" fontId="93" fillId="5" borderId="1" xfId="0" applyFont="1" applyFill="1" applyBorder="1" applyAlignment="1">
      <alignment wrapText="1"/>
    </xf>
    <xf numFmtId="2" fontId="93" fillId="5" borderId="1" xfId="0" applyNumberFormat="1" applyFont="1" applyFill="1" applyBorder="1" applyAlignment="1">
      <alignment horizontal="center"/>
    </xf>
    <xf numFmtId="2" fontId="90" fillId="5" borderId="1" xfId="0" applyNumberFormat="1" applyFont="1" applyFill="1" applyBorder="1" applyAlignment="1">
      <alignment horizontal="center"/>
    </xf>
    <xf numFmtId="0" fontId="93" fillId="5" borderId="1" xfId="0" applyFont="1" applyFill="1" applyBorder="1" applyAlignment="1">
      <alignment horizontal="left" wrapText="1"/>
    </xf>
    <xf numFmtId="0" fontId="58" fillId="5" borderId="1" xfId="0" applyFont="1" applyFill="1" applyBorder="1" applyAlignment="1">
      <alignment horizontal="center"/>
    </xf>
    <xf numFmtId="0" fontId="94" fillId="5" borderId="1" xfId="0" applyFont="1" applyFill="1" applyBorder="1" applyAlignment="1"/>
    <xf numFmtId="49" fontId="57" fillId="5" borderId="1" xfId="0" applyNumberFormat="1" applyFont="1" applyFill="1" applyBorder="1" applyAlignment="1">
      <alignment horizontal="center"/>
    </xf>
    <xf numFmtId="0" fontId="57" fillId="5" borderId="1" xfId="0" applyFont="1" applyFill="1" applyBorder="1" applyAlignment="1">
      <alignment wrapText="1"/>
    </xf>
    <xf numFmtId="2" fontId="57" fillId="5" borderId="1" xfId="0" applyNumberFormat="1" applyFont="1" applyFill="1" applyBorder="1" applyAlignment="1">
      <alignment horizontal="center"/>
    </xf>
    <xf numFmtId="2" fontId="58" fillId="5" borderId="1" xfId="0" applyNumberFormat="1" applyFont="1" applyFill="1" applyBorder="1" applyAlignment="1">
      <alignment horizontal="center"/>
    </xf>
    <xf numFmtId="0" fontId="95" fillId="5" borderId="0" xfId="0" applyFont="1" applyFill="1" applyAlignment="1"/>
    <xf numFmtId="0" fontId="96" fillId="5" borderId="0" xfId="0" applyFont="1" applyFill="1" applyAlignment="1"/>
    <xf numFmtId="0" fontId="97" fillId="5" borderId="0" xfId="0" applyFont="1" applyFill="1" applyAlignment="1"/>
    <xf numFmtId="0" fontId="93" fillId="5" borderId="6" xfId="0" applyFont="1" applyFill="1" applyBorder="1" applyAlignment="1">
      <alignment horizontal="center"/>
    </xf>
    <xf numFmtId="0" fontId="93" fillId="5" borderId="1" xfId="0" applyFont="1" applyFill="1" applyBorder="1" applyAlignment="1">
      <alignment horizontal="center"/>
    </xf>
    <xf numFmtId="0" fontId="98" fillId="5" borderId="0" xfId="0" applyFont="1" applyFill="1" applyAlignment="1"/>
    <xf numFmtId="0" fontId="99" fillId="5" borderId="0" xfId="0" applyFont="1" applyFill="1" applyAlignment="1"/>
    <xf numFmtId="0" fontId="100" fillId="5" borderId="0" xfId="0" applyFont="1" applyFill="1" applyAlignment="1"/>
    <xf numFmtId="0" fontId="101" fillId="5" borderId="1" xfId="0" applyFont="1" applyFill="1" applyBorder="1" applyAlignment="1">
      <alignment horizontal="center"/>
    </xf>
    <xf numFmtId="0" fontId="93" fillId="5" borderId="1" xfId="0" applyFont="1" applyFill="1" applyBorder="1" applyAlignment="1" applyProtection="1">
      <alignment horizontal="left" wrapText="1"/>
      <protection hidden="1"/>
    </xf>
    <xf numFmtId="0" fontId="92" fillId="5" borderId="1" xfId="0" applyFont="1" applyFill="1" applyBorder="1" applyAlignment="1">
      <alignment wrapText="1"/>
    </xf>
    <xf numFmtId="0" fontId="92" fillId="5" borderId="1" xfId="0" applyFont="1" applyFill="1" applyBorder="1" applyAlignment="1">
      <alignment horizontal="left" wrapText="1"/>
    </xf>
    <xf numFmtId="0" fontId="77" fillId="0" borderId="1" xfId="0" applyFont="1" applyFill="1" applyBorder="1" applyAlignment="1">
      <alignment wrapText="1"/>
    </xf>
    <xf numFmtId="0" fontId="102" fillId="0" borderId="1" xfId="0" applyFont="1" applyFill="1" applyBorder="1" applyAlignment="1">
      <alignment horizontal="left" vertical="center" wrapText="1"/>
    </xf>
    <xf numFmtId="167" fontId="13" fillId="0" borderId="1" xfId="0" applyNumberFormat="1" applyFont="1" applyFill="1" applyBorder="1" applyAlignment="1">
      <alignment horizontal="center" wrapText="1"/>
    </xf>
    <xf numFmtId="165" fontId="13" fillId="0" borderId="0" xfId="0" applyNumberFormat="1" applyFont="1" applyFill="1" applyBorder="1" applyAlignment="1">
      <alignment horizontal="center" wrapText="1"/>
    </xf>
    <xf numFmtId="167" fontId="9" fillId="0" borderId="1" xfId="0" applyNumberFormat="1" applyFont="1" applyFill="1" applyBorder="1" applyAlignment="1">
      <alignment horizontal="center"/>
    </xf>
    <xf numFmtId="165" fontId="9" fillId="0" borderId="0" xfId="0" applyNumberFormat="1" applyFont="1" applyFill="1" applyBorder="1" applyAlignment="1">
      <alignment horizontal="center"/>
    </xf>
    <xf numFmtId="0" fontId="13" fillId="0" borderId="0" xfId="0" applyFont="1" applyFill="1"/>
    <xf numFmtId="0" fontId="14" fillId="0" borderId="0" xfId="0" applyFont="1" applyFill="1"/>
    <xf numFmtId="0" fontId="9" fillId="0" borderId="1" xfId="0" applyFont="1" applyFill="1" applyBorder="1" applyAlignment="1">
      <alignment wrapText="1"/>
    </xf>
    <xf numFmtId="2" fontId="13" fillId="0" borderId="0" xfId="0" applyNumberFormat="1" applyFont="1" applyFill="1" applyBorder="1" applyAlignment="1" applyProtection="1">
      <alignment horizontal="center" vertical="center"/>
      <protection hidden="1"/>
    </xf>
    <xf numFmtId="2" fontId="9" fillId="0" borderId="0" xfId="0" applyNumberFormat="1" applyFont="1" applyFill="1" applyBorder="1" applyAlignment="1">
      <alignment horizontal="center"/>
    </xf>
    <xf numFmtId="0" fontId="103" fillId="0" borderId="0" xfId="0" applyFont="1" applyFill="1"/>
    <xf numFmtId="0" fontId="104" fillId="0" borderId="0" xfId="0" applyFont="1" applyFill="1"/>
    <xf numFmtId="0" fontId="68" fillId="0" borderId="0" xfId="0" applyFont="1"/>
    <xf numFmtId="0" fontId="69" fillId="0" borderId="0" xfId="0" applyFont="1"/>
    <xf numFmtId="0" fontId="47" fillId="0" borderId="0" xfId="0" applyFont="1"/>
    <xf numFmtId="0" fontId="105" fillId="0" borderId="0" xfId="0" applyFont="1"/>
    <xf numFmtId="0" fontId="9" fillId="7" borderId="0" xfId="0" applyFont="1" applyFill="1"/>
    <xf numFmtId="0" fontId="9" fillId="7" borderId="1" xfId="0" applyFont="1" applyFill="1" applyBorder="1"/>
    <xf numFmtId="0" fontId="38" fillId="7" borderId="0" xfId="0" applyFont="1" applyFill="1" applyBorder="1" applyAlignment="1">
      <alignment horizontal="center"/>
    </xf>
    <xf numFmtId="0" fontId="11" fillId="7" borderId="0" xfId="0" applyFont="1" applyFill="1"/>
    <xf numFmtId="0" fontId="0" fillId="7" borderId="0" xfId="0" applyFill="1"/>
    <xf numFmtId="0" fontId="9" fillId="0" borderId="3" xfId="0" applyFont="1" applyFill="1" applyBorder="1" applyAlignment="1">
      <alignment horizontal="left" wrapText="1"/>
    </xf>
    <xf numFmtId="0" fontId="13" fillId="0" borderId="3" xfId="0" applyFont="1" applyFill="1" applyBorder="1" applyAlignment="1" applyProtection="1">
      <alignment horizontal="left" vertical="center" wrapText="1"/>
      <protection hidden="1"/>
    </xf>
    <xf numFmtId="0" fontId="13" fillId="0" borderId="3" xfId="0" applyFont="1" applyFill="1" applyBorder="1" applyAlignment="1" applyProtection="1">
      <alignment horizontal="center" vertical="center"/>
      <protection hidden="1"/>
    </xf>
    <xf numFmtId="2" fontId="13" fillId="0" borderId="3" xfId="0" applyNumberFormat="1" applyFont="1" applyFill="1" applyBorder="1" applyAlignment="1" applyProtection="1">
      <alignment horizontal="center" vertical="center"/>
      <protection hidden="1"/>
    </xf>
    <xf numFmtId="0" fontId="9" fillId="7" borderId="0" xfId="0" applyFont="1" applyFill="1" applyBorder="1" applyAlignment="1">
      <alignment horizontal="center"/>
    </xf>
    <xf numFmtId="0" fontId="106" fillId="0" borderId="0" xfId="0" applyFont="1"/>
    <xf numFmtId="0" fontId="107" fillId="0" borderId="0" xfId="0" applyFont="1"/>
    <xf numFmtId="0" fontId="38" fillId="8" borderId="1" xfId="0" applyFont="1" applyFill="1" applyBorder="1" applyAlignment="1">
      <alignment horizontal="center"/>
    </xf>
    <xf numFmtId="167" fontId="38" fillId="8" borderId="1" xfId="0" applyNumberFormat="1" applyFont="1" applyFill="1" applyBorder="1" applyAlignment="1">
      <alignment horizontal="center"/>
    </xf>
    <xf numFmtId="0" fontId="9" fillId="8" borderId="1" xfId="0" applyFont="1" applyFill="1" applyBorder="1" applyAlignment="1">
      <alignment horizontal="center"/>
    </xf>
    <xf numFmtId="0" fontId="13" fillId="8" borderId="1" xfId="0" applyFont="1" applyFill="1" applyBorder="1" applyAlignment="1">
      <alignment horizontal="left" wrapText="1"/>
    </xf>
    <xf numFmtId="0" fontId="13" fillId="8" borderId="1" xfId="0" applyFont="1" applyFill="1" applyBorder="1" applyAlignment="1">
      <alignment horizontal="center" wrapText="1"/>
    </xf>
    <xf numFmtId="0" fontId="9" fillId="8" borderId="1" xfId="0" applyFont="1" applyFill="1" applyBorder="1" applyAlignment="1">
      <alignment horizontal="left" wrapText="1"/>
    </xf>
    <xf numFmtId="2" fontId="9" fillId="8" borderId="1" xfId="0" applyNumberFormat="1" applyFont="1" applyFill="1" applyBorder="1" applyAlignment="1">
      <alignment horizontal="center"/>
    </xf>
    <xf numFmtId="0" fontId="13" fillId="8" borderId="1" xfId="0" applyFont="1" applyFill="1" applyBorder="1" applyAlignment="1" applyProtection="1">
      <alignment horizontal="left" vertical="center" wrapText="1"/>
      <protection hidden="1"/>
    </xf>
    <xf numFmtId="0" fontId="13" fillId="8" borderId="1" xfId="0" applyFont="1" applyFill="1" applyBorder="1" applyAlignment="1" applyProtection="1">
      <alignment horizontal="center" vertical="center"/>
      <protection hidden="1"/>
    </xf>
    <xf numFmtId="166" fontId="13" fillId="0" borderId="1" xfId="0" applyNumberFormat="1" applyFont="1" applyFill="1" applyBorder="1" applyAlignment="1" applyProtection="1">
      <alignment horizontal="center" vertical="center"/>
      <protection hidden="1"/>
    </xf>
    <xf numFmtId="1" fontId="13" fillId="0" borderId="2" xfId="0" applyNumberFormat="1" applyFont="1" applyBorder="1" applyAlignment="1">
      <alignment horizontal="center"/>
    </xf>
    <xf numFmtId="167" fontId="13" fillId="8" borderId="1" xfId="0" applyNumberFormat="1" applyFont="1" applyFill="1" applyBorder="1" applyAlignment="1">
      <alignment horizontal="center" wrapText="1"/>
    </xf>
    <xf numFmtId="167" fontId="9" fillId="8" borderId="1" xfId="0" applyNumberFormat="1" applyFont="1" applyFill="1" applyBorder="1" applyAlignment="1">
      <alignment horizontal="center"/>
    </xf>
    <xf numFmtId="2" fontId="13" fillId="8" borderId="1" xfId="0" applyNumberFormat="1" applyFont="1" applyFill="1" applyBorder="1" applyAlignment="1" applyProtection="1">
      <alignment horizontal="center" vertical="center"/>
      <protection hidden="1"/>
    </xf>
    <xf numFmtId="167" fontId="13" fillId="8" borderId="1" xfId="0" applyNumberFormat="1" applyFont="1" applyFill="1" applyBorder="1" applyAlignment="1" applyProtection="1">
      <alignment horizontal="center" vertical="center"/>
      <protection hidden="1"/>
    </xf>
    <xf numFmtId="2" fontId="13" fillId="8" borderId="1" xfId="0" applyNumberFormat="1" applyFont="1" applyFill="1" applyBorder="1" applyAlignment="1">
      <alignment horizontal="center" wrapText="1"/>
    </xf>
    <xf numFmtId="0" fontId="13" fillId="8" borderId="1" xfId="0" applyFont="1" applyFill="1" applyBorder="1" applyAlignment="1">
      <alignment horizontal="left" vertical="top" wrapText="1"/>
    </xf>
    <xf numFmtId="2" fontId="38" fillId="8" borderId="1" xfId="0" applyNumberFormat="1" applyFont="1" applyFill="1" applyBorder="1" applyAlignment="1">
      <alignment horizontal="center"/>
    </xf>
    <xf numFmtId="0" fontId="13" fillId="0" borderId="1" xfId="0" applyFont="1" applyBorder="1" applyAlignment="1">
      <alignment horizontal="left" wrapText="1"/>
    </xf>
    <xf numFmtId="1" fontId="13" fillId="0" borderId="1" xfId="0" applyNumberFormat="1" applyFont="1" applyBorder="1" applyAlignment="1">
      <alignment horizontal="center"/>
    </xf>
    <xf numFmtId="2" fontId="73" fillId="9" borderId="1" xfId="0" applyNumberFormat="1" applyFont="1" applyFill="1" applyBorder="1" applyAlignment="1">
      <alignment horizontal="center"/>
    </xf>
    <xf numFmtId="0" fontId="0" fillId="9" borderId="0" xfId="0" applyFill="1"/>
    <xf numFmtId="0" fontId="108" fillId="0" borderId="0" xfId="0" applyFont="1" applyFill="1"/>
    <xf numFmtId="0" fontId="109" fillId="0" borderId="0" xfId="0" applyFont="1" applyFill="1"/>
    <xf numFmtId="0" fontId="110" fillId="0" borderId="0" xfId="0" applyFont="1" applyFill="1"/>
    <xf numFmtId="0" fontId="108" fillId="0" borderId="0" xfId="0" applyFont="1"/>
    <xf numFmtId="166" fontId="9" fillId="0" borderId="3" xfId="0" applyNumberFormat="1" applyFont="1" applyBorder="1" applyAlignment="1">
      <alignment horizontal="center"/>
    </xf>
    <xf numFmtId="166" fontId="13" fillId="0" borderId="3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Alignment="1"/>
    <xf numFmtId="0" fontId="9" fillId="0" borderId="1" xfId="0" applyFont="1" applyFill="1" applyBorder="1" applyAlignment="1">
      <alignment horizontal="left"/>
    </xf>
    <xf numFmtId="0" fontId="37" fillId="0" borderId="0" xfId="0" applyFont="1" applyFill="1"/>
    <xf numFmtId="0" fontId="9" fillId="0" borderId="3" xfId="0" applyFont="1" applyBorder="1" applyAlignment="1">
      <alignment horizontal="center" vertical="center" wrapText="1"/>
    </xf>
    <xf numFmtId="0" fontId="112" fillId="0" borderId="0" xfId="0" applyFont="1"/>
    <xf numFmtId="0" fontId="111" fillId="0" borderId="0" xfId="0" applyFont="1"/>
    <xf numFmtId="0" fontId="73" fillId="9" borderId="1" xfId="0" applyFont="1" applyFill="1" applyBorder="1" applyAlignment="1">
      <alignment horizontal="center"/>
    </xf>
    <xf numFmtId="0" fontId="9" fillId="9" borderId="1" xfId="0" applyFont="1" applyFill="1" applyBorder="1"/>
    <xf numFmtId="0" fontId="9" fillId="9" borderId="1" xfId="0" applyFont="1" applyFill="1" applyBorder="1" applyAlignment="1">
      <alignment horizontal="center"/>
    </xf>
    <xf numFmtId="0" fontId="113" fillId="0" borderId="1" xfId="0" applyFont="1" applyFill="1" applyBorder="1" applyAlignment="1" applyProtection="1">
      <alignment horizontal="right" vertical="center" wrapText="1"/>
      <protection hidden="1"/>
    </xf>
    <xf numFmtId="0" fontId="113" fillId="0" borderId="0" xfId="0" applyFont="1"/>
    <xf numFmtId="0" fontId="113" fillId="0" borderId="1" xfId="0" applyFont="1" applyFill="1" applyBorder="1" applyAlignment="1">
      <alignment horizontal="right" vertical="top" wrapText="1"/>
    </xf>
    <xf numFmtId="2" fontId="113" fillId="5" borderId="1" xfId="0" applyNumberFormat="1" applyFont="1" applyFill="1" applyBorder="1"/>
    <xf numFmtId="0" fontId="114" fillId="0" borderId="0" xfId="0" applyFont="1"/>
    <xf numFmtId="0" fontId="113" fillId="0" borderId="1" xfId="0" applyFont="1" applyBorder="1"/>
    <xf numFmtId="2" fontId="113" fillId="0" borderId="1" xfId="0" applyNumberFormat="1" applyFont="1" applyBorder="1"/>
    <xf numFmtId="0" fontId="113" fillId="0" borderId="1" xfId="0" applyFont="1" applyBorder="1" applyAlignment="1">
      <alignment horizontal="right" wrapText="1"/>
    </xf>
    <xf numFmtId="2" fontId="113" fillId="0" borderId="1" xfId="0" applyNumberFormat="1" applyFont="1" applyBorder="1" applyAlignment="1">
      <alignment horizontal="right"/>
    </xf>
    <xf numFmtId="0" fontId="113" fillId="0" borderId="1" xfId="0" applyFont="1" applyBorder="1" applyAlignment="1">
      <alignment horizontal="right"/>
    </xf>
    <xf numFmtId="0" fontId="44" fillId="9" borderId="0" xfId="0" applyFont="1" applyFill="1"/>
    <xf numFmtId="0" fontId="44" fillId="9" borderId="1" xfId="0" applyFont="1" applyFill="1" applyBorder="1" applyAlignment="1" applyProtection="1">
      <alignment horizontal="left" vertical="center" wrapText="1"/>
      <protection hidden="1"/>
    </xf>
    <xf numFmtId="2" fontId="44" fillId="9" borderId="1" xfId="0" applyNumberFormat="1" applyFont="1" applyFill="1" applyBorder="1"/>
    <xf numFmtId="0" fontId="46" fillId="9" borderId="0" xfId="0" applyFont="1" applyFill="1"/>
    <xf numFmtId="0" fontId="113" fillId="9" borderId="0" xfId="0" applyFont="1" applyFill="1"/>
    <xf numFmtId="0" fontId="44" fillId="9" borderId="1" xfId="0" applyFont="1" applyFill="1" applyBorder="1"/>
    <xf numFmtId="0" fontId="114" fillId="9" borderId="0" xfId="0" applyFont="1" applyFill="1"/>
    <xf numFmtId="2" fontId="44" fillId="9" borderId="1" xfId="0" applyNumberFormat="1" applyFont="1" applyFill="1" applyBorder="1" applyAlignment="1">
      <alignment horizontal="right"/>
    </xf>
    <xf numFmtId="0" fontId="44" fillId="9" borderId="1" xfId="0" applyFont="1" applyFill="1" applyBorder="1" applyAlignment="1">
      <alignment horizontal="right"/>
    </xf>
    <xf numFmtId="0" fontId="115" fillId="0" borderId="0" xfId="0" applyFont="1"/>
    <xf numFmtId="0" fontId="13" fillId="9" borderId="1" xfId="0" applyFont="1" applyFill="1" applyBorder="1" applyAlignment="1" applyProtection="1">
      <alignment horizontal="left" vertical="center" wrapText="1"/>
      <protection hidden="1"/>
    </xf>
    <xf numFmtId="0" fontId="13" fillId="0" borderId="1" xfId="0" applyFont="1" applyFill="1" applyBorder="1" applyAlignment="1">
      <alignment horizontal="right"/>
    </xf>
    <xf numFmtId="0" fontId="9" fillId="9" borderId="0" xfId="0" applyFont="1" applyFill="1"/>
    <xf numFmtId="2" fontId="9" fillId="9" borderId="0" xfId="0" applyNumberFormat="1" applyFont="1" applyFill="1" applyBorder="1"/>
    <xf numFmtId="0" fontId="47" fillId="9" borderId="0" xfId="0" applyFont="1" applyFill="1"/>
    <xf numFmtId="0" fontId="105" fillId="9" borderId="0" xfId="0" applyFont="1" applyFill="1"/>
    <xf numFmtId="0" fontId="68" fillId="9" borderId="0" xfId="0" applyFont="1" applyFill="1"/>
    <xf numFmtId="0" fontId="9" fillId="0" borderId="3" xfId="0" applyFont="1" applyBorder="1" applyAlignment="1">
      <alignment horizontal="center" wrapText="1"/>
    </xf>
    <xf numFmtId="2" fontId="105" fillId="0" borderId="0" xfId="0" applyNumberFormat="1" applyFont="1"/>
    <xf numFmtId="2" fontId="47" fillId="0" borderId="0" xfId="0" applyNumberFormat="1" applyFont="1"/>
    <xf numFmtId="2" fontId="9" fillId="0" borderId="3" xfId="0" applyNumberFormat="1" applyFont="1" applyBorder="1"/>
    <xf numFmtId="2" fontId="67" fillId="0" borderId="1" xfId="0" applyNumberFormat="1" applyFont="1" applyBorder="1"/>
    <xf numFmtId="0" fontId="69" fillId="0" borderId="1" xfId="0" applyFont="1" applyBorder="1"/>
    <xf numFmtId="49" fontId="68" fillId="0" borderId="1" xfId="0" applyNumberFormat="1" applyFont="1" applyBorder="1" applyAlignment="1">
      <alignment horizontal="right"/>
    </xf>
    <xf numFmtId="0" fontId="69" fillId="0" borderId="1" xfId="1" applyFont="1" applyBorder="1"/>
    <xf numFmtId="2" fontId="116" fillId="0" borderId="1" xfId="0" applyNumberFormat="1" applyFont="1" applyBorder="1"/>
    <xf numFmtId="49" fontId="116" fillId="0" borderId="1" xfId="0" applyNumberFormat="1" applyFont="1" applyBorder="1" applyAlignment="1">
      <alignment horizontal="right"/>
    </xf>
    <xf numFmtId="0" fontId="116" fillId="0" borderId="1" xfId="0" applyFont="1" applyBorder="1"/>
    <xf numFmtId="0" fontId="64" fillId="0" borderId="1" xfId="0" applyFont="1" applyBorder="1"/>
    <xf numFmtId="2" fontId="68" fillId="0" borderId="0" xfId="0" applyNumberFormat="1" applyFont="1"/>
    <xf numFmtId="2" fontId="14" fillId="0" borderId="1" xfId="0" applyNumberFormat="1" applyFont="1" applyFill="1" applyBorder="1" applyAlignment="1" applyProtection="1">
      <alignment horizontal="center" vertical="center"/>
      <protection hidden="1"/>
    </xf>
    <xf numFmtId="2" fontId="9" fillId="9" borderId="1" xfId="0" applyNumberFormat="1" applyFont="1" applyFill="1" applyBorder="1" applyAlignment="1">
      <alignment horizontal="center"/>
    </xf>
    <xf numFmtId="0" fontId="13" fillId="9" borderId="1" xfId="0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Alignment="1">
      <alignment horizontal="center" wrapText="1"/>
    </xf>
    <xf numFmtId="0" fontId="11" fillId="0" borderId="1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center"/>
    </xf>
    <xf numFmtId="0" fontId="11" fillId="0" borderId="5" xfId="0" applyFont="1" applyFill="1" applyBorder="1" applyAlignment="1">
      <alignment horizontal="center"/>
    </xf>
    <xf numFmtId="0" fontId="11" fillId="0" borderId="6" xfId="0" applyFont="1" applyFill="1" applyBorder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center"/>
    </xf>
    <xf numFmtId="0" fontId="104" fillId="0" borderId="0" xfId="0" applyFont="1"/>
    <xf numFmtId="0" fontId="14" fillId="6" borderId="1" xfId="0" applyFont="1" applyFill="1" applyBorder="1"/>
    <xf numFmtId="0" fontId="14" fillId="6" borderId="1" xfId="0" applyFont="1" applyFill="1" applyBorder="1" applyAlignment="1">
      <alignment horizontal="center"/>
    </xf>
    <xf numFmtId="167" fontId="14" fillId="6" borderId="1" xfId="0" applyNumberFormat="1" applyFont="1" applyFill="1" applyBorder="1" applyAlignment="1" applyProtection="1">
      <alignment horizontal="center" vertical="center"/>
      <protection hidden="1"/>
    </xf>
    <xf numFmtId="167" fontId="14" fillId="6" borderId="1" xfId="0" applyNumberFormat="1" applyFont="1" applyFill="1" applyBorder="1" applyAlignment="1">
      <alignment horizontal="center"/>
    </xf>
    <xf numFmtId="0" fontId="78" fillId="0" borderId="1" xfId="0" applyFont="1" applyFill="1" applyBorder="1" applyAlignment="1">
      <alignment horizontal="left" wrapText="1"/>
    </xf>
    <xf numFmtId="0" fontId="72" fillId="0" borderId="1" xfId="0" applyFont="1" applyFill="1" applyBorder="1" applyAlignment="1"/>
    <xf numFmtId="2" fontId="14" fillId="0" borderId="0" xfId="0" applyNumberFormat="1" applyFont="1" applyAlignment="1">
      <alignment horizontal="center"/>
    </xf>
    <xf numFmtId="0" fontId="9" fillId="8" borderId="1" xfId="0" applyFont="1" applyFill="1" applyBorder="1"/>
    <xf numFmtId="0" fontId="9" fillId="6" borderId="0" xfId="0" applyFont="1" applyFill="1"/>
    <xf numFmtId="0" fontId="9" fillId="6" borderId="1" xfId="0" applyFont="1" applyFill="1" applyBorder="1"/>
    <xf numFmtId="0" fontId="9" fillId="6" borderId="1" xfId="0" applyFont="1" applyFill="1" applyBorder="1" applyAlignment="1">
      <alignment horizontal="center"/>
    </xf>
    <xf numFmtId="0" fontId="9" fillId="6" borderId="0" xfId="0" applyFont="1" applyFill="1" applyAlignment="1">
      <alignment horizontal="center"/>
    </xf>
    <xf numFmtId="0" fontId="11" fillId="6" borderId="0" xfId="0" applyFont="1" applyFill="1"/>
    <xf numFmtId="0" fontId="0" fillId="6" borderId="0" xfId="0" applyFill="1"/>
    <xf numFmtId="0" fontId="9" fillId="9" borderId="0" xfId="0" applyFont="1" applyFill="1" applyAlignment="1">
      <alignment horizontal="center"/>
    </xf>
    <xf numFmtId="0" fontId="11" fillId="9" borderId="0" xfId="0" applyFont="1" applyFill="1"/>
    <xf numFmtId="0" fontId="9" fillId="8" borderId="0" xfId="0" applyFont="1" applyFill="1"/>
    <xf numFmtId="0" fontId="9" fillId="8" borderId="0" xfId="0" applyFont="1" applyFill="1" applyAlignment="1">
      <alignment horizontal="center"/>
    </xf>
    <xf numFmtId="0" fontId="11" fillId="8" borderId="0" xfId="0" applyFont="1" applyFill="1"/>
    <xf numFmtId="0" fontId="0" fillId="8" borderId="0" xfId="0" applyFill="1"/>
    <xf numFmtId="0" fontId="9" fillId="8" borderId="1" xfId="0" applyFont="1" applyFill="1" applyBorder="1" applyAlignment="1">
      <alignment horizontal="center" wrapText="1"/>
    </xf>
    <xf numFmtId="0" fontId="13" fillId="8" borderId="1" xfId="0" applyFont="1" applyFill="1" applyBorder="1" applyAlignment="1">
      <alignment horizontal="center"/>
    </xf>
    <xf numFmtId="49" fontId="29" fillId="0" borderId="0" xfId="0" applyNumberFormat="1" applyFont="1" applyFill="1" applyAlignment="1">
      <alignment horizontal="right"/>
    </xf>
    <xf numFmtId="0" fontId="27" fillId="0" borderId="0" xfId="1" applyFont="1" applyFill="1"/>
    <xf numFmtId="0" fontId="13" fillId="9" borderId="1" xfId="0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 wrapText="1"/>
    </xf>
    <xf numFmtId="0" fontId="11" fillId="9" borderId="1" xfId="0" applyFont="1" applyFill="1" applyBorder="1"/>
    <xf numFmtId="0" fontId="11" fillId="9" borderId="1" xfId="0" applyFont="1" applyFill="1" applyBorder="1" applyAlignment="1">
      <alignment horizontal="center" wrapText="1"/>
    </xf>
    <xf numFmtId="2" fontId="13" fillId="9" borderId="1" xfId="0" applyNumberFormat="1" applyFont="1" applyFill="1" applyBorder="1" applyAlignment="1">
      <alignment horizontal="center"/>
    </xf>
    <xf numFmtId="0" fontId="118" fillId="9" borderId="1" xfId="0" applyFont="1" applyFill="1" applyBorder="1" applyAlignment="1">
      <alignment horizontal="left" wrapText="1"/>
    </xf>
    <xf numFmtId="0" fontId="9" fillId="7" borderId="0" xfId="0" applyFont="1" applyFill="1" applyAlignment="1">
      <alignment horizontal="center"/>
    </xf>
    <xf numFmtId="0" fontId="118" fillId="8" borderId="1" xfId="0" applyFont="1" applyFill="1" applyBorder="1" applyAlignment="1">
      <alignment horizontal="left" wrapText="1"/>
    </xf>
    <xf numFmtId="2" fontId="13" fillId="8" borderId="1" xfId="0" applyNumberFormat="1" applyFont="1" applyFill="1" applyBorder="1" applyAlignment="1">
      <alignment horizontal="center"/>
    </xf>
    <xf numFmtId="0" fontId="13" fillId="0" borderId="1" xfId="0" applyFont="1" applyFill="1" applyBorder="1" applyAlignment="1" applyProtection="1">
      <alignment horizontal="center"/>
      <protection hidden="1"/>
    </xf>
    <xf numFmtId="2" fontId="13" fillId="0" borderId="1" xfId="0" applyNumberFormat="1" applyFont="1" applyFill="1" applyBorder="1" applyAlignment="1" applyProtection="1">
      <alignment horizontal="center"/>
      <protection hidden="1"/>
    </xf>
    <xf numFmtId="166" fontId="13" fillId="0" borderId="1" xfId="0" applyNumberFormat="1" applyFont="1" applyFill="1" applyBorder="1" applyAlignment="1" applyProtection="1">
      <alignment horizontal="center"/>
      <protection hidden="1"/>
    </xf>
    <xf numFmtId="0" fontId="68" fillId="0" borderId="0" xfId="0" applyFont="1" applyFill="1"/>
    <xf numFmtId="0" fontId="29" fillId="0" borderId="0" xfId="1" applyFont="1" applyAlignment="1">
      <alignment horizontal="left"/>
    </xf>
    <xf numFmtId="49" fontId="29" fillId="0" borderId="1" xfId="0" applyNumberFormat="1" applyFont="1" applyBorder="1" applyAlignment="1">
      <alignment horizontal="right"/>
    </xf>
    <xf numFmtId="0" fontId="29" fillId="0" borderId="1" xfId="1" applyFont="1" applyBorder="1"/>
    <xf numFmtId="0" fontId="29" fillId="0" borderId="1" xfId="1" applyFont="1" applyFill="1" applyBorder="1" applyAlignment="1">
      <alignment horizontal="left" vertical="center"/>
    </xf>
    <xf numFmtId="0" fontId="68" fillId="0" borderId="1" xfId="1" applyFont="1" applyBorder="1" applyAlignment="1">
      <alignment horizontal="left"/>
    </xf>
    <xf numFmtId="0" fontId="68" fillId="0" borderId="1" xfId="0" applyFont="1" applyBorder="1"/>
    <xf numFmtId="0" fontId="68" fillId="0" borderId="1" xfId="0" applyFont="1" applyFill="1" applyBorder="1"/>
    <xf numFmtId="49" fontId="68" fillId="0" borderId="1" xfId="0" applyNumberFormat="1" applyFont="1" applyFill="1" applyBorder="1" applyAlignment="1">
      <alignment horizontal="right"/>
    </xf>
    <xf numFmtId="0" fontId="68" fillId="0" borderId="1" xfId="1" applyFont="1" applyFill="1" applyBorder="1"/>
    <xf numFmtId="0" fontId="68" fillId="0" borderId="1" xfId="1" applyFont="1" applyBorder="1"/>
    <xf numFmtId="0" fontId="119" fillId="0" borderId="1" xfId="0" applyFont="1" applyBorder="1"/>
    <xf numFmtId="0" fontId="120" fillId="0" borderId="0" xfId="0" applyFont="1" applyAlignment="1">
      <alignment horizontal="center"/>
    </xf>
    <xf numFmtId="166" fontId="68" fillId="0" borderId="1" xfId="0" applyNumberFormat="1" applyFont="1" applyBorder="1" applyAlignment="1">
      <alignment horizontal="center"/>
    </xf>
    <xf numFmtId="166" fontId="68" fillId="0" borderId="1" xfId="0" applyNumberFormat="1" applyFont="1" applyFill="1" applyBorder="1" applyAlignment="1">
      <alignment horizontal="center"/>
    </xf>
    <xf numFmtId="2" fontId="68" fillId="0" borderId="1" xfId="0" applyNumberFormat="1" applyFont="1" applyFill="1" applyBorder="1" applyAlignment="1">
      <alignment horizontal="center"/>
    </xf>
    <xf numFmtId="2" fontId="68" fillId="0" borderId="1" xfId="0" applyNumberFormat="1" applyFont="1" applyBorder="1" applyAlignment="1">
      <alignment horizontal="center"/>
    </xf>
    <xf numFmtId="0" fontId="68" fillId="0" borderId="0" xfId="0" applyFont="1" applyAlignment="1">
      <alignment horizontal="center"/>
    </xf>
    <xf numFmtId="0" fontId="68" fillId="5" borderId="0" xfId="0" applyFont="1" applyFill="1" applyAlignment="1">
      <alignment horizontal="center"/>
    </xf>
    <xf numFmtId="49" fontId="78" fillId="0" borderId="1" xfId="0" applyNumberFormat="1" applyFont="1" applyBorder="1" applyAlignment="1">
      <alignment horizontal="right"/>
    </xf>
    <xf numFmtId="2" fontId="9" fillId="0" borderId="1" xfId="0" applyNumberFormat="1" applyFont="1" applyBorder="1" applyAlignment="1">
      <alignment horizontal="left" wrapText="1"/>
    </xf>
    <xf numFmtId="0" fontId="13" fillId="0" borderId="1" xfId="0" applyFont="1" applyFill="1" applyBorder="1" applyAlignment="1">
      <alignment horizontal="left"/>
    </xf>
    <xf numFmtId="0" fontId="38" fillId="0" borderId="1" xfId="0" applyFont="1" applyFill="1" applyBorder="1" applyAlignment="1">
      <alignment horizontal="left"/>
    </xf>
    <xf numFmtId="0" fontId="9" fillId="8" borderId="1" xfId="0" applyFont="1" applyFill="1" applyBorder="1" applyAlignment="1">
      <alignment horizontal="left"/>
    </xf>
    <xf numFmtId="0" fontId="9" fillId="9" borderId="1" xfId="0" applyFont="1" applyFill="1" applyBorder="1" applyAlignment="1">
      <alignment horizontal="left"/>
    </xf>
    <xf numFmtId="0" fontId="14" fillId="6" borderId="1" xfId="0" applyFont="1" applyFill="1" applyBorder="1" applyAlignment="1">
      <alignment horizontal="left"/>
    </xf>
    <xf numFmtId="0" fontId="11" fillId="9" borderId="1" xfId="0" applyFont="1" applyFill="1" applyBorder="1" applyAlignment="1">
      <alignment horizontal="left"/>
    </xf>
    <xf numFmtId="0" fontId="11" fillId="9" borderId="0" xfId="0" applyFont="1" applyFill="1" applyAlignment="1">
      <alignment horizontal="center"/>
    </xf>
    <xf numFmtId="2" fontId="14" fillId="9" borderId="1" xfId="0" applyNumberFormat="1" applyFont="1" applyFill="1" applyBorder="1" applyAlignment="1">
      <alignment horizontal="center"/>
    </xf>
    <xf numFmtId="0" fontId="9" fillId="7" borderId="1" xfId="0" applyFont="1" applyFill="1" applyBorder="1" applyAlignment="1">
      <alignment horizontal="left"/>
    </xf>
    <xf numFmtId="0" fontId="9" fillId="7" borderId="1" xfId="0" applyFont="1" applyFill="1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2" fontId="13" fillId="0" borderId="1" xfId="0" applyNumberFormat="1" applyFont="1" applyFill="1" applyBorder="1" applyAlignment="1" applyProtection="1">
      <alignment horizontal="center" vertical="center" wrapText="1"/>
      <protection hidden="1"/>
    </xf>
    <xf numFmtId="166" fontId="13" fillId="0" borderId="1" xfId="0" applyNumberFormat="1" applyFont="1" applyFill="1" applyBorder="1" applyAlignment="1" applyProtection="1">
      <alignment horizontal="center" vertical="center" wrapText="1"/>
      <protection hidden="1"/>
    </xf>
    <xf numFmtId="166" fontId="18" fillId="2" borderId="0" xfId="0" applyNumberFormat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165" fontId="13" fillId="5" borderId="1" xfId="0" applyNumberFormat="1" applyFont="1" applyFill="1" applyBorder="1" applyAlignment="1" applyProtection="1">
      <alignment horizontal="center" vertical="center"/>
      <protection hidden="1"/>
    </xf>
    <xf numFmtId="2" fontId="13" fillId="5" borderId="1" xfId="0" applyNumberFormat="1" applyFont="1" applyFill="1" applyBorder="1" applyAlignment="1" applyProtection="1">
      <alignment horizontal="center" vertical="center"/>
      <protection hidden="1"/>
    </xf>
    <xf numFmtId="2" fontId="12" fillId="2" borderId="0" xfId="0" applyNumberFormat="1" applyFont="1" applyFill="1" applyAlignment="1">
      <alignment horizontal="center"/>
    </xf>
    <xf numFmtId="2" fontId="49" fillId="0" borderId="1" xfId="0" applyNumberFormat="1" applyFont="1" applyFill="1" applyBorder="1" applyAlignment="1">
      <alignment horizontal="center" vertical="top" wrapText="1"/>
    </xf>
    <xf numFmtId="2" fontId="9" fillId="5" borderId="1" xfId="0" applyNumberFormat="1" applyFont="1" applyFill="1" applyBorder="1" applyAlignment="1">
      <alignment horizontal="center"/>
    </xf>
    <xf numFmtId="2" fontId="74" fillId="0" borderId="1" xfId="0" applyNumberFormat="1" applyFont="1" applyFill="1" applyBorder="1" applyAlignment="1">
      <alignment horizontal="center"/>
    </xf>
    <xf numFmtId="0" fontId="74" fillId="0" borderId="1" xfId="0" applyFont="1" applyFill="1" applyBorder="1" applyAlignment="1">
      <alignment horizontal="center"/>
    </xf>
    <xf numFmtId="167" fontId="9" fillId="0" borderId="1" xfId="0" applyNumberFormat="1" applyFont="1" applyBorder="1" applyAlignment="1">
      <alignment horizontal="center"/>
    </xf>
    <xf numFmtId="165" fontId="15" fillId="0" borderId="0" xfId="0" applyNumberFormat="1" applyFont="1"/>
    <xf numFmtId="0" fontId="13" fillId="9" borderId="0" xfId="0" applyFont="1" applyFill="1"/>
    <xf numFmtId="0" fontId="13" fillId="9" borderId="1" xfId="0" applyFont="1" applyFill="1" applyBorder="1" applyAlignment="1">
      <alignment horizontal="left"/>
    </xf>
    <xf numFmtId="0" fontId="13" fillId="9" borderId="0" xfId="0" applyFont="1" applyFill="1" applyAlignment="1">
      <alignment horizontal="center"/>
    </xf>
    <xf numFmtId="0" fontId="14" fillId="9" borderId="0" xfId="0" applyFont="1" applyFill="1"/>
    <xf numFmtId="0" fontId="48" fillId="9" borderId="0" xfId="0" applyFont="1" applyFill="1"/>
    <xf numFmtId="49" fontId="121" fillId="9" borderId="0" xfId="0" applyNumberFormat="1" applyFont="1" applyFill="1" applyAlignment="1">
      <alignment horizontal="right"/>
    </xf>
    <xf numFmtId="0" fontId="122" fillId="0" borderId="0" xfId="0" applyFont="1"/>
    <xf numFmtId="0" fontId="122" fillId="0" borderId="0" xfId="0" applyFont="1" applyFill="1"/>
    <xf numFmtId="0" fontId="122" fillId="5" borderId="0" xfId="0" applyFont="1" applyFill="1"/>
    <xf numFmtId="49" fontId="121" fillId="3" borderId="0" xfId="0" applyNumberFormat="1" applyFont="1" applyFill="1" applyAlignment="1">
      <alignment horizontal="right"/>
    </xf>
    <xf numFmtId="49" fontId="121" fillId="3" borderId="0" xfId="0" applyNumberFormat="1" applyFont="1" applyFill="1" applyAlignment="1">
      <alignment horizontal="left"/>
    </xf>
    <xf numFmtId="0" fontId="13" fillId="8" borderId="1" xfId="0" applyFont="1" applyFill="1" applyBorder="1" applyAlignment="1">
      <alignment horizontal="left"/>
    </xf>
    <xf numFmtId="0" fontId="117" fillId="8" borderId="1" xfId="0" applyFont="1" applyFill="1" applyBorder="1" applyAlignment="1">
      <alignment horizontal="center"/>
    </xf>
    <xf numFmtId="2" fontId="54" fillId="0" borderId="1" xfId="0" applyNumberFormat="1" applyFont="1" applyBorder="1" applyAlignment="1">
      <alignment horizontal="center"/>
    </xf>
    <xf numFmtId="0" fontId="54" fillId="0" borderId="1" xfId="0" applyFont="1" applyBorder="1" applyAlignment="1">
      <alignment horizontal="center"/>
    </xf>
    <xf numFmtId="0" fontId="55" fillId="0" borderId="1" xfId="0" applyFont="1" applyBorder="1" applyAlignment="1">
      <alignment horizontal="center"/>
    </xf>
    <xf numFmtId="0" fontId="54" fillId="0" borderId="1" xfId="0" applyFont="1" applyBorder="1"/>
    <xf numFmtId="0" fontId="85" fillId="5" borderId="0" xfId="0" applyFont="1" applyFill="1" applyAlignment="1">
      <alignment horizontal="center"/>
    </xf>
    <xf numFmtId="0" fontId="87" fillId="5" borderId="0" xfId="0" applyFont="1" applyFill="1" applyAlignment="1">
      <alignment horizontal="center"/>
    </xf>
    <xf numFmtId="49" fontId="93" fillId="0" borderId="1" xfId="0" applyNumberFormat="1" applyFont="1" applyBorder="1" applyAlignment="1">
      <alignment horizontal="center" wrapText="1"/>
    </xf>
    <xf numFmtId="0" fontId="93" fillId="0" borderId="1" xfId="0" applyFont="1" applyBorder="1" applyAlignment="1">
      <alignment wrapText="1"/>
    </xf>
    <xf numFmtId="0" fontId="93" fillId="0" borderId="1" xfId="0" applyFont="1" applyBorder="1" applyAlignment="1">
      <alignment horizontal="center"/>
    </xf>
    <xf numFmtId="2" fontId="107" fillId="0" borderId="0" xfId="0" applyNumberFormat="1" applyFont="1"/>
    <xf numFmtId="2" fontId="123" fillId="0" borderId="0" xfId="0" applyNumberFormat="1" applyFont="1" applyFill="1"/>
    <xf numFmtId="2" fontId="107" fillId="0" borderId="0" xfId="0" applyNumberFormat="1" applyFont="1" applyFill="1"/>
    <xf numFmtId="0" fontId="14" fillId="0" borderId="1" xfId="0" applyFont="1" applyFill="1" applyBorder="1" applyAlignment="1">
      <alignment horizontal="left" wrapText="1"/>
    </xf>
    <xf numFmtId="0" fontId="11" fillId="0" borderId="1" xfId="0" applyFont="1" applyFill="1" applyBorder="1" applyAlignment="1">
      <alignment horizontal="left"/>
    </xf>
    <xf numFmtId="0" fontId="14" fillId="0" borderId="1" xfId="0" applyFont="1" applyFill="1" applyBorder="1" applyAlignment="1">
      <alignment horizontal="center" wrapText="1"/>
    </xf>
    <xf numFmtId="167" fontId="14" fillId="0" borderId="1" xfId="0" applyNumberFormat="1" applyFont="1" applyFill="1" applyBorder="1" applyAlignment="1">
      <alignment horizontal="center" wrapText="1"/>
    </xf>
    <xf numFmtId="165" fontId="14" fillId="0" borderId="0" xfId="0" applyNumberFormat="1" applyFont="1" applyFill="1" applyBorder="1" applyAlignment="1">
      <alignment horizontal="center" wrapText="1"/>
    </xf>
    <xf numFmtId="0" fontId="47" fillId="0" borderId="0" xfId="0" applyFont="1" applyFill="1"/>
    <xf numFmtId="0" fontId="14" fillId="0" borderId="1" xfId="0" applyFont="1" applyFill="1" applyBorder="1" applyAlignment="1">
      <alignment horizontal="left" vertical="top" wrapText="1"/>
    </xf>
    <xf numFmtId="2" fontId="11" fillId="0" borderId="1" xfId="0" applyNumberFormat="1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center" wrapText="1"/>
    </xf>
    <xf numFmtId="2" fontId="14" fillId="0" borderId="1" xfId="0" applyNumberFormat="1" applyFont="1" applyFill="1" applyBorder="1" applyAlignment="1">
      <alignment horizontal="center" wrapText="1"/>
    </xf>
    <xf numFmtId="0" fontId="14" fillId="0" borderId="1" xfId="0" applyFont="1" applyFill="1" applyBorder="1" applyAlignment="1" applyProtection="1">
      <alignment horizontal="left" vertical="center" wrapText="1"/>
      <protection hidden="1"/>
    </xf>
    <xf numFmtId="0" fontId="11" fillId="0" borderId="1" xfId="0" applyFont="1" applyFill="1" applyBorder="1" applyAlignment="1">
      <alignment horizontal="left" wrapText="1"/>
    </xf>
    <xf numFmtId="167" fontId="11" fillId="0" borderId="1" xfId="0" applyNumberFormat="1" applyFont="1" applyFill="1" applyBorder="1" applyAlignment="1">
      <alignment horizontal="center"/>
    </xf>
    <xf numFmtId="165" fontId="11" fillId="0" borderId="0" xfId="0" applyNumberFormat="1" applyFont="1" applyFill="1" applyBorder="1" applyAlignment="1">
      <alignment horizontal="center"/>
    </xf>
    <xf numFmtId="167" fontId="14" fillId="0" borderId="1" xfId="0" applyNumberFormat="1" applyFont="1" applyFill="1" applyBorder="1" applyAlignment="1" applyProtection="1">
      <alignment horizontal="center" vertical="center"/>
      <protection hidden="1"/>
    </xf>
    <xf numFmtId="165" fontId="14" fillId="0" borderId="0" xfId="0" applyNumberFormat="1" applyFont="1" applyFill="1" applyBorder="1" applyAlignment="1" applyProtection="1">
      <alignment horizontal="center" vertical="center"/>
      <protection hidden="1"/>
    </xf>
    <xf numFmtId="0" fontId="14" fillId="0" borderId="1" xfId="0" applyFont="1" applyFill="1" applyBorder="1" applyAlignment="1">
      <alignment horizontal="left"/>
    </xf>
    <xf numFmtId="2" fontId="14" fillId="0" borderId="1" xfId="0" applyNumberFormat="1" applyFont="1" applyFill="1" applyBorder="1" applyAlignment="1">
      <alignment horizontal="center"/>
    </xf>
    <xf numFmtId="165" fontId="14" fillId="0" borderId="1" xfId="0" applyNumberFormat="1" applyFont="1" applyFill="1" applyBorder="1" applyAlignment="1" applyProtection="1">
      <alignment horizontal="center" vertical="center"/>
      <protection hidden="1"/>
    </xf>
    <xf numFmtId="0" fontId="13" fillId="7" borderId="3" xfId="0" applyFont="1" applyFill="1" applyBorder="1" applyAlignment="1">
      <alignment horizontal="left" wrapText="1"/>
    </xf>
    <xf numFmtId="0" fontId="86" fillId="5" borderId="0" xfId="0" applyFont="1" applyFill="1" applyAlignment="1">
      <alignment horizontal="right" wrapText="1"/>
    </xf>
    <xf numFmtId="49" fontId="85" fillId="5" borderId="0" xfId="0" applyNumberFormat="1" applyFont="1" applyFill="1" applyAlignment="1">
      <alignment horizontal="center" wrapText="1"/>
    </xf>
    <xf numFmtId="49" fontId="85" fillId="5" borderId="0" xfId="0" applyNumberFormat="1" applyFont="1" applyFill="1" applyAlignment="1">
      <alignment horizontal="right" wrapText="1"/>
    </xf>
    <xf numFmtId="14" fontId="58" fillId="5" borderId="1" xfId="0" applyNumberFormat="1" applyFont="1" applyFill="1" applyBorder="1" applyAlignment="1">
      <alignment horizontal="center"/>
    </xf>
    <xf numFmtId="0" fontId="124" fillId="5" borderId="0" xfId="0" applyFont="1" applyFill="1"/>
    <xf numFmtId="0" fontId="125" fillId="5" borderId="0" xfId="0" applyFont="1" applyFill="1"/>
    <xf numFmtId="0" fontId="126" fillId="5" borderId="0" xfId="0" applyFont="1" applyFill="1"/>
    <xf numFmtId="2" fontId="127" fillId="5" borderId="0" xfId="0" applyNumberFormat="1" applyFont="1" applyFill="1"/>
    <xf numFmtId="0" fontId="128" fillId="5" borderId="0" xfId="0" applyFont="1" applyFill="1"/>
    <xf numFmtId="0" fontId="128" fillId="5" borderId="0" xfId="0" applyFont="1" applyFill="1" applyAlignment="1"/>
    <xf numFmtId="0" fontId="129" fillId="5" borderId="0" xfId="0" applyFont="1" applyFill="1" applyAlignment="1"/>
    <xf numFmtId="2" fontId="128" fillId="5" borderId="0" xfId="0" applyNumberFormat="1" applyFont="1" applyFill="1" applyAlignment="1"/>
    <xf numFmtId="0" fontId="130" fillId="5" borderId="0" xfId="0" applyFont="1" applyFill="1" applyAlignment="1"/>
    <xf numFmtId="0" fontId="131" fillId="5" borderId="0" xfId="0" applyFont="1" applyFill="1" applyAlignment="1"/>
    <xf numFmtId="0" fontId="132" fillId="5" borderId="0" xfId="0" applyFont="1" applyFill="1" applyAlignment="1"/>
    <xf numFmtId="0" fontId="128" fillId="0" borderId="0" xfId="0" applyFont="1"/>
    <xf numFmtId="0" fontId="68" fillId="0" borderId="0" xfId="0" applyFont="1" applyAlignment="1">
      <alignment horizontal="left"/>
    </xf>
    <xf numFmtId="0" fontId="68" fillId="0" borderId="0" xfId="0" applyFont="1" applyBorder="1" applyAlignment="1">
      <alignment horizontal="left"/>
    </xf>
    <xf numFmtId="2" fontId="68" fillId="0" borderId="0" xfId="0" applyNumberFormat="1" applyFont="1" applyBorder="1" applyAlignment="1">
      <alignment horizontal="left"/>
    </xf>
    <xf numFmtId="0" fontId="68" fillId="0" borderId="0" xfId="0" applyFont="1" applyFill="1" applyAlignment="1">
      <alignment horizontal="left"/>
    </xf>
    <xf numFmtId="0" fontId="68" fillId="0" borderId="1" xfId="0" applyFont="1" applyBorder="1" applyAlignment="1">
      <alignment horizontal="left"/>
    </xf>
    <xf numFmtId="49" fontId="68" fillId="0" borderId="1" xfId="0" applyNumberFormat="1" applyFont="1" applyBorder="1" applyAlignment="1">
      <alignment horizontal="left"/>
    </xf>
    <xf numFmtId="0" fontId="68" fillId="0" borderId="1" xfId="0" applyFont="1" applyBorder="1" applyAlignment="1">
      <alignment horizontal="left" wrapText="1"/>
    </xf>
    <xf numFmtId="0" fontId="133" fillId="0" borderId="0" xfId="0" applyFont="1"/>
    <xf numFmtId="0" fontId="133" fillId="0" borderId="0" xfId="0" applyFont="1" applyBorder="1"/>
    <xf numFmtId="0" fontId="133" fillId="0" borderId="0" xfId="0" applyFont="1" applyFill="1"/>
    <xf numFmtId="1" fontId="11" fillId="2" borderId="1" xfId="0" applyNumberFormat="1" applyFont="1" applyFill="1" applyBorder="1"/>
    <xf numFmtId="0" fontId="19" fillId="0" borderId="0" xfId="0" applyFont="1" applyFill="1"/>
    <xf numFmtId="2" fontId="22" fillId="0" borderId="0" xfId="0" applyNumberFormat="1" applyFont="1" applyFill="1" applyBorder="1"/>
    <xf numFmtId="0" fontId="35" fillId="0" borderId="0" xfId="0" applyFont="1" applyFill="1"/>
    <xf numFmtId="0" fontId="31" fillId="0" borderId="0" xfId="0" applyFont="1" applyFill="1"/>
    <xf numFmtId="0" fontId="32" fillId="0" borderId="0" xfId="0" applyFont="1" applyFill="1"/>
    <xf numFmtId="0" fontId="21" fillId="0" borderId="0" xfId="0" applyFont="1" applyFill="1"/>
    <xf numFmtId="49" fontId="93" fillId="5" borderId="0" xfId="0" applyNumberFormat="1" applyFont="1" applyFill="1" applyBorder="1" applyAlignment="1">
      <alignment horizontal="center"/>
    </xf>
    <xf numFmtId="0" fontId="93" fillId="5" borderId="0" xfId="0" applyFont="1" applyFill="1" applyBorder="1" applyAlignment="1" applyProtection="1">
      <alignment horizontal="left" wrapText="1"/>
      <protection hidden="1"/>
    </xf>
    <xf numFmtId="2" fontId="93" fillId="5" borderId="0" xfId="0" applyNumberFormat="1" applyFont="1" applyFill="1" applyBorder="1" applyAlignment="1">
      <alignment horizontal="center"/>
    </xf>
    <xf numFmtId="0" fontId="93" fillId="5" borderId="0" xfId="0" applyFont="1" applyFill="1" applyBorder="1" applyAlignment="1">
      <alignment horizontal="center"/>
    </xf>
    <xf numFmtId="2" fontId="90" fillId="5" borderId="0" xfId="0" applyNumberFormat="1" applyFont="1" applyFill="1" applyBorder="1" applyAlignment="1">
      <alignment horizontal="center"/>
    </xf>
    <xf numFmtId="2" fontId="58" fillId="5" borderId="0" xfId="0" applyNumberFormat="1" applyFont="1" applyFill="1" applyBorder="1" applyAlignment="1">
      <alignment horizontal="center"/>
    </xf>
    <xf numFmtId="0" fontId="76" fillId="0" borderId="0" xfId="0" applyFont="1" applyFill="1" applyBorder="1"/>
    <xf numFmtId="0" fontId="103" fillId="0" borderId="0" xfId="0" applyFont="1" applyFill="1" applyBorder="1"/>
    <xf numFmtId="0" fontId="84" fillId="0" borderId="0" xfId="0" applyFont="1" applyFill="1" applyBorder="1"/>
    <xf numFmtId="0" fontId="82" fillId="0" borderId="0" xfId="0" applyFont="1" applyFill="1" applyBorder="1"/>
    <xf numFmtId="0" fontId="76" fillId="0" borderId="0" xfId="0" applyFont="1" applyBorder="1"/>
    <xf numFmtId="0" fontId="73" fillId="0" borderId="1" xfId="0" applyFont="1" applyFill="1" applyBorder="1"/>
    <xf numFmtId="0" fontId="74" fillId="0" borderId="0" xfId="0" applyFont="1" applyFill="1" applyBorder="1"/>
    <xf numFmtId="0" fontId="75" fillId="0" borderId="0" xfId="0" applyFont="1" applyFill="1" applyBorder="1"/>
    <xf numFmtId="0" fontId="74" fillId="0" borderId="0" xfId="0" applyFont="1" applyFill="1" applyBorder="1" applyAlignment="1">
      <alignment horizontal="left"/>
    </xf>
    <xf numFmtId="2" fontId="74" fillId="0" borderId="0" xfId="0" applyNumberFormat="1" applyFont="1" applyFill="1" applyBorder="1" applyAlignment="1">
      <alignment horizontal="left"/>
    </xf>
    <xf numFmtId="166" fontId="75" fillId="0" borderId="0" xfId="0" applyNumberFormat="1" applyFont="1" applyFill="1" applyBorder="1"/>
    <xf numFmtId="2" fontId="80" fillId="0" borderId="0" xfId="0" applyNumberFormat="1" applyFont="1" applyFill="1" applyBorder="1" applyAlignment="1">
      <alignment horizontal="left"/>
    </xf>
    <xf numFmtId="166" fontId="83" fillId="0" borderId="0" xfId="0" applyNumberFormat="1" applyFont="1" applyFill="1" applyBorder="1"/>
    <xf numFmtId="0" fontId="83" fillId="0" borderId="0" xfId="0" applyFont="1" applyFill="1" applyBorder="1"/>
    <xf numFmtId="0" fontId="72" fillId="0" borderId="0" xfId="0" applyFont="1" applyFill="1" applyBorder="1" applyAlignment="1">
      <alignment horizontal="center" vertical="center"/>
    </xf>
    <xf numFmtId="2" fontId="72" fillId="0" borderId="0" xfId="0" applyNumberFormat="1" applyFont="1" applyFill="1" applyBorder="1"/>
    <xf numFmtId="2" fontId="75" fillId="0" borderId="0" xfId="0" applyNumberFormat="1" applyFont="1" applyFill="1" applyBorder="1"/>
    <xf numFmtId="2" fontId="78" fillId="0" borderId="0" xfId="0" applyNumberFormat="1" applyFont="1" applyFill="1" applyBorder="1"/>
    <xf numFmtId="2" fontId="83" fillId="0" borderId="0" xfId="0" applyNumberFormat="1" applyFont="1" applyFill="1" applyBorder="1"/>
    <xf numFmtId="0" fontId="75" fillId="9" borderId="0" xfId="0" applyFont="1" applyFill="1" applyBorder="1"/>
    <xf numFmtId="2" fontId="72" fillId="0" borderId="0" xfId="0" applyNumberFormat="1" applyFont="1" applyFill="1" applyBorder="1" applyAlignment="1"/>
    <xf numFmtId="0" fontId="74" fillId="0" borderId="0" xfId="0" applyFont="1" applyFill="1" applyBorder="1" applyAlignment="1"/>
    <xf numFmtId="0" fontId="78" fillId="0" borderId="0" xfId="0" applyFont="1" applyFill="1" applyBorder="1"/>
    <xf numFmtId="0" fontId="81" fillId="0" borderId="0" xfId="0" applyFont="1" applyFill="1" applyBorder="1"/>
    <xf numFmtId="2" fontId="72" fillId="0" borderId="0" xfId="0" applyNumberFormat="1" applyFont="1" applyFill="1" applyBorder="1" applyAlignment="1">
      <alignment horizontal="left"/>
    </xf>
    <xf numFmtId="0" fontId="74" fillId="0" borderId="0" xfId="0" applyFont="1" applyBorder="1"/>
    <xf numFmtId="0" fontId="75" fillId="0" borderId="0" xfId="0" applyFont="1" applyBorder="1"/>
    <xf numFmtId="166" fontId="75" fillId="9" borderId="0" xfId="0" applyNumberFormat="1" applyFont="1" applyFill="1" applyBorder="1"/>
    <xf numFmtId="49" fontId="80" fillId="9" borderId="1" xfId="0" applyNumberFormat="1" applyFont="1" applyFill="1" applyBorder="1" applyAlignment="1">
      <alignment horizontal="right"/>
    </xf>
    <xf numFmtId="0" fontId="80" fillId="9" borderId="1" xfId="0" applyFont="1" applyFill="1" applyBorder="1" applyAlignment="1">
      <alignment wrapText="1"/>
    </xf>
    <xf numFmtId="2" fontId="80" fillId="9" borderId="1" xfId="0" applyNumberFormat="1" applyFont="1" applyFill="1" applyBorder="1" applyAlignment="1">
      <alignment horizontal="center"/>
    </xf>
    <xf numFmtId="0" fontId="134" fillId="9" borderId="0" xfId="0" applyFont="1" applyFill="1"/>
    <xf numFmtId="49" fontId="73" fillId="9" borderId="1" xfId="0" applyNumberFormat="1" applyFont="1" applyFill="1" applyBorder="1" applyAlignment="1">
      <alignment horizontal="right"/>
    </xf>
    <xf numFmtId="2" fontId="135" fillId="9" borderId="0" xfId="0" applyNumberFormat="1" applyFont="1" applyFill="1" applyBorder="1" applyAlignment="1">
      <alignment horizontal="left"/>
    </xf>
    <xf numFmtId="0" fontId="136" fillId="9" borderId="0" xfId="0" applyFont="1" applyFill="1" applyBorder="1"/>
    <xf numFmtId="0" fontId="136" fillId="9" borderId="0" xfId="0" applyFont="1" applyFill="1"/>
    <xf numFmtId="0" fontId="73" fillId="9" borderId="1" xfId="0" applyFont="1" applyFill="1" applyBorder="1" applyAlignment="1">
      <alignment wrapText="1"/>
    </xf>
    <xf numFmtId="2" fontId="137" fillId="0" borderId="1" xfId="0" applyNumberFormat="1" applyFont="1" applyFill="1" applyBorder="1"/>
    <xf numFmtId="49" fontId="137" fillId="0" borderId="1" xfId="0" applyNumberFormat="1" applyFont="1" applyFill="1" applyBorder="1" applyAlignment="1">
      <alignment horizontal="right"/>
    </xf>
    <xf numFmtId="0" fontId="137" fillId="0" borderId="1" xfId="0" applyFont="1" applyFill="1" applyBorder="1"/>
    <xf numFmtId="0" fontId="108" fillId="9" borderId="0" xfId="0" applyFont="1" applyFill="1"/>
    <xf numFmtId="49" fontId="72" fillId="9" borderId="1" xfId="0" applyNumberFormat="1" applyFont="1" applyFill="1" applyBorder="1" applyAlignment="1">
      <alignment horizontal="right"/>
    </xf>
    <xf numFmtId="0" fontId="72" fillId="9" borderId="1" xfId="0" applyFont="1" applyFill="1" applyBorder="1" applyAlignment="1">
      <alignment horizontal="left" wrapText="1"/>
    </xf>
    <xf numFmtId="2" fontId="72" fillId="9" borderId="1" xfId="0" applyNumberFormat="1" applyFont="1" applyFill="1" applyBorder="1" applyAlignment="1">
      <alignment horizontal="center"/>
    </xf>
    <xf numFmtId="0" fontId="72" fillId="9" borderId="1" xfId="0" applyFont="1" applyFill="1" applyBorder="1" applyAlignment="1">
      <alignment horizontal="center"/>
    </xf>
    <xf numFmtId="2" fontId="73" fillId="9" borderId="1" xfId="0" applyNumberFormat="1" applyFont="1" applyFill="1" applyBorder="1" applyAlignment="1">
      <alignment horizontal="center"/>
    </xf>
    <xf numFmtId="0" fontId="73" fillId="9" borderId="1" xfId="0" applyFont="1" applyFill="1" applyBorder="1" applyAlignment="1">
      <alignment horizontal="center"/>
    </xf>
    <xf numFmtId="2" fontId="72" fillId="9" borderId="0" xfId="0" applyNumberFormat="1" applyFont="1" applyFill="1" applyBorder="1"/>
    <xf numFmtId="0" fontId="75" fillId="9" borderId="0" xfId="0" applyFont="1" applyFill="1" applyBorder="1"/>
    <xf numFmtId="0" fontId="76" fillId="9" borderId="0" xfId="0" applyFont="1" applyFill="1" applyBorder="1"/>
    <xf numFmtId="0" fontId="76" fillId="9" borderId="0" xfId="0" applyFont="1" applyFill="1"/>
    <xf numFmtId="2" fontId="9" fillId="0" borderId="1" xfId="0" applyNumberFormat="1" applyFont="1" applyBorder="1" applyAlignment="1">
      <alignment horizontal="left" vertical="center" wrapText="1"/>
    </xf>
    <xf numFmtId="0" fontId="108" fillId="10" borderId="0" xfId="0" applyFont="1" applyFill="1"/>
    <xf numFmtId="49" fontId="72" fillId="10" borderId="1" xfId="0" applyNumberFormat="1" applyFont="1" applyFill="1" applyBorder="1" applyAlignment="1">
      <alignment horizontal="right"/>
    </xf>
    <xf numFmtId="0" fontId="78" fillId="10" borderId="1" xfId="1" applyFont="1" applyFill="1" applyBorder="1" applyAlignment="1">
      <alignment horizontal="left"/>
    </xf>
    <xf numFmtId="0" fontId="72" fillId="10" borderId="1" xfId="0" applyFont="1" applyFill="1" applyBorder="1" applyAlignment="1">
      <alignment horizontal="center" vertical="center"/>
    </xf>
    <xf numFmtId="9" fontId="72" fillId="10" borderId="1" xfId="0" applyNumberFormat="1" applyFont="1" applyFill="1" applyBorder="1" applyAlignment="1">
      <alignment horizontal="center" vertical="center"/>
    </xf>
    <xf numFmtId="0" fontId="73" fillId="10" borderId="1" xfId="0" applyFont="1" applyFill="1" applyBorder="1" applyAlignment="1">
      <alignment horizontal="center" vertical="center"/>
    </xf>
    <xf numFmtId="2" fontId="73" fillId="10" borderId="1" xfId="0" applyNumberFormat="1" applyFont="1" applyFill="1" applyBorder="1" applyAlignment="1">
      <alignment horizontal="center"/>
    </xf>
    <xf numFmtId="2" fontId="72" fillId="10" borderId="0" xfId="0" applyNumberFormat="1" applyFont="1" applyFill="1" applyBorder="1"/>
    <xf numFmtId="0" fontId="75" fillId="10" borderId="0" xfId="0" applyFont="1" applyFill="1" applyBorder="1"/>
    <xf numFmtId="0" fontId="76" fillId="10" borderId="0" xfId="0" applyFont="1" applyFill="1" applyBorder="1"/>
    <xf numFmtId="0" fontId="76" fillId="10" borderId="0" xfId="0" applyFont="1" applyFill="1"/>
    <xf numFmtId="0" fontId="0" fillId="10" borderId="0" xfId="0" applyFill="1"/>
    <xf numFmtId="0" fontId="78" fillId="10" borderId="1" xfId="0" applyFont="1" applyFill="1" applyBorder="1" applyAlignment="1" applyProtection="1">
      <alignment horizontal="left" vertical="center" wrapText="1"/>
      <protection hidden="1"/>
    </xf>
    <xf numFmtId="2" fontId="72" fillId="10" borderId="1" xfId="0" applyNumberFormat="1" applyFont="1" applyFill="1" applyBorder="1" applyAlignment="1">
      <alignment horizontal="center"/>
    </xf>
    <xf numFmtId="0" fontId="78" fillId="10" borderId="1" xfId="0" applyFont="1" applyFill="1" applyBorder="1" applyAlignment="1">
      <alignment horizontal="left" vertical="center" wrapText="1"/>
    </xf>
    <xf numFmtId="0" fontId="72" fillId="10" borderId="1" xfId="0" applyFont="1" applyFill="1" applyBorder="1" applyAlignment="1">
      <alignment wrapText="1"/>
    </xf>
    <xf numFmtId="0" fontId="72" fillId="10" borderId="1" xfId="0" applyFont="1" applyFill="1" applyBorder="1" applyAlignment="1">
      <alignment horizontal="center"/>
    </xf>
    <xf numFmtId="0" fontId="73" fillId="10" borderId="1" xfId="0" applyFont="1" applyFill="1" applyBorder="1" applyAlignment="1">
      <alignment horizontal="center"/>
    </xf>
    <xf numFmtId="0" fontId="74" fillId="10" borderId="0" xfId="0" applyFont="1" applyFill="1" applyBorder="1"/>
    <xf numFmtId="0" fontId="134" fillId="10" borderId="0" xfId="0" applyFont="1" applyFill="1"/>
    <xf numFmtId="49" fontId="73" fillId="10" borderId="1" xfId="0" applyNumberFormat="1" applyFont="1" applyFill="1" applyBorder="1" applyAlignment="1">
      <alignment horizontal="right"/>
    </xf>
    <xf numFmtId="0" fontId="80" fillId="10" borderId="1" xfId="0" applyFont="1" applyFill="1" applyBorder="1" applyAlignment="1" applyProtection="1">
      <alignment horizontal="left" vertical="center" wrapText="1"/>
      <protection hidden="1"/>
    </xf>
    <xf numFmtId="2" fontId="73" fillId="10" borderId="0" xfId="0" applyNumberFormat="1" applyFont="1" applyFill="1" applyBorder="1"/>
    <xf numFmtId="0" fontId="136" fillId="10" borderId="0" xfId="0" applyFont="1" applyFill="1" applyBorder="1"/>
    <xf numFmtId="0" fontId="136" fillId="10" borderId="0" xfId="0" applyFont="1" applyFill="1"/>
    <xf numFmtId="0" fontId="138" fillId="10" borderId="0" xfId="0" applyFont="1" applyFill="1"/>
    <xf numFmtId="0" fontId="73" fillId="10" borderId="1" xfId="0" applyFont="1" applyFill="1" applyBorder="1" applyAlignment="1">
      <alignment horizontal="left" wrapText="1"/>
    </xf>
    <xf numFmtId="0" fontId="73" fillId="10" borderId="0" xfId="0" applyFont="1" applyFill="1" applyBorder="1"/>
    <xf numFmtId="2" fontId="72" fillId="9" borderId="1" xfId="0" applyNumberFormat="1" applyFont="1" applyFill="1" applyBorder="1" applyAlignment="1">
      <alignment horizontal="center" wrapText="1"/>
    </xf>
    <xf numFmtId="0" fontId="72" fillId="9" borderId="1" xfId="0" applyFont="1" applyFill="1" applyBorder="1" applyAlignment="1">
      <alignment horizontal="center" wrapText="1"/>
    </xf>
    <xf numFmtId="2" fontId="75" fillId="9" borderId="0" xfId="0" applyNumberFormat="1" applyFont="1" applyFill="1" applyBorder="1"/>
    <xf numFmtId="1" fontId="13" fillId="0" borderId="1" xfId="0" applyNumberFormat="1" applyFont="1" applyFill="1" applyBorder="1" applyAlignment="1" applyProtection="1">
      <alignment horizontal="center" vertical="center"/>
      <protection hidden="1"/>
    </xf>
    <xf numFmtId="166" fontId="11" fillId="2" borderId="1" xfId="0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2" fontId="57" fillId="10" borderId="1" xfId="0" applyNumberFormat="1" applyFont="1" applyFill="1" applyBorder="1" applyAlignment="1">
      <alignment horizontal="center"/>
    </xf>
    <xf numFmtId="2" fontId="58" fillId="10" borderId="1" xfId="0" applyNumberFormat="1" applyFont="1" applyFill="1" applyBorder="1" applyAlignment="1">
      <alignment horizontal="center"/>
    </xf>
    <xf numFmtId="0" fontId="52" fillId="10" borderId="0" xfId="0" applyFont="1" applyFill="1"/>
    <xf numFmtId="49" fontId="93" fillId="10" borderId="1" xfId="0" applyNumberFormat="1" applyFont="1" applyFill="1" applyBorder="1" applyAlignment="1">
      <alignment horizontal="center"/>
    </xf>
    <xf numFmtId="2" fontId="93" fillId="10" borderId="1" xfId="0" applyNumberFormat="1" applyFont="1" applyFill="1" applyBorder="1" applyAlignment="1">
      <alignment horizontal="center"/>
    </xf>
    <xf numFmtId="2" fontId="90" fillId="10" borderId="1" xfId="0" applyNumberFormat="1" applyFont="1" applyFill="1" applyBorder="1" applyAlignment="1">
      <alignment horizontal="center"/>
    </xf>
    <xf numFmtId="0" fontId="1" fillId="10" borderId="0" xfId="0" applyFont="1" applyFill="1" applyAlignment="1"/>
    <xf numFmtId="0" fontId="93" fillId="10" borderId="1" xfId="0" applyFont="1" applyFill="1" applyBorder="1" applyAlignment="1">
      <alignment horizontal="center"/>
    </xf>
    <xf numFmtId="0" fontId="128" fillId="10" borderId="0" xfId="0" applyFont="1" applyFill="1" applyAlignment="1"/>
    <xf numFmtId="2" fontId="93" fillId="10" borderId="1" xfId="0" applyNumberFormat="1" applyFont="1" applyFill="1" applyBorder="1" applyAlignment="1" applyProtection="1">
      <alignment horizontal="center" wrapText="1"/>
      <protection hidden="1"/>
    </xf>
    <xf numFmtId="0" fontId="132" fillId="10" borderId="0" xfId="0" applyFont="1" applyFill="1" applyAlignment="1"/>
    <xf numFmtId="0" fontId="71" fillId="10" borderId="0" xfId="0" applyFont="1" applyFill="1" applyAlignment="1"/>
    <xf numFmtId="0" fontId="1" fillId="10" borderId="0" xfId="0" applyFont="1" applyFill="1"/>
    <xf numFmtId="2" fontId="13" fillId="0" borderId="1" xfId="0" applyNumberFormat="1" applyFont="1" applyFill="1" applyBorder="1" applyAlignment="1" applyProtection="1">
      <alignment horizontal="left" vertical="center" wrapText="1"/>
      <protection hidden="1"/>
    </xf>
    <xf numFmtId="0" fontId="93" fillId="10" borderId="1" xfId="0" applyFont="1" applyFill="1" applyBorder="1" applyAlignment="1" applyProtection="1">
      <alignment wrapText="1"/>
      <protection hidden="1"/>
    </xf>
    <xf numFmtId="49" fontId="90" fillId="10" borderId="1" xfId="0" applyNumberFormat="1" applyFont="1" applyFill="1" applyBorder="1" applyAlignment="1">
      <alignment horizontal="center"/>
    </xf>
    <xf numFmtId="0" fontId="90" fillId="10" borderId="1" xfId="0" applyFont="1" applyFill="1" applyBorder="1" applyAlignment="1" applyProtection="1">
      <alignment horizontal="left" wrapText="1"/>
      <protection hidden="1"/>
    </xf>
    <xf numFmtId="0" fontId="90" fillId="10" borderId="1" xfId="0" applyFont="1" applyFill="1" applyBorder="1" applyAlignment="1">
      <alignment horizontal="center"/>
    </xf>
    <xf numFmtId="0" fontId="129" fillId="10" borderId="0" xfId="0" applyFont="1" applyFill="1" applyAlignment="1"/>
    <xf numFmtId="0" fontId="138" fillId="10" borderId="0" xfId="0" applyFont="1" applyFill="1" applyAlignment="1"/>
    <xf numFmtId="0" fontId="104" fillId="10" borderId="0" xfId="0" applyFont="1" applyFill="1" applyAlignment="1"/>
    <xf numFmtId="0" fontId="80" fillId="10" borderId="1" xfId="0" applyFont="1" applyFill="1" applyBorder="1" applyAlignment="1">
      <alignment horizontal="left" vertical="center" wrapText="1"/>
    </xf>
    <xf numFmtId="0" fontId="139" fillId="0" borderId="1" xfId="0" applyFont="1" applyBorder="1"/>
    <xf numFmtId="2" fontId="139" fillId="0" borderId="1" xfId="0" applyNumberFormat="1" applyFont="1" applyBorder="1"/>
    <xf numFmtId="49" fontId="139" fillId="0" borderId="1" xfId="0" applyNumberFormat="1" applyFont="1" applyBorder="1"/>
    <xf numFmtId="0" fontId="139" fillId="5" borderId="1" xfId="0" applyFont="1" applyFill="1" applyBorder="1"/>
    <xf numFmtId="2" fontId="139" fillId="5" borderId="1" xfId="0" applyNumberFormat="1" applyFont="1" applyFill="1" applyBorder="1"/>
    <xf numFmtId="0" fontId="139" fillId="5" borderId="0" xfId="0" applyFont="1" applyFill="1" applyBorder="1"/>
    <xf numFmtId="0" fontId="139" fillId="0" borderId="0" xfId="0" applyFont="1" applyBorder="1"/>
    <xf numFmtId="0" fontId="139" fillId="0" borderId="1" xfId="0" applyFont="1" applyBorder="1" applyAlignment="1">
      <alignment horizontal="right"/>
    </xf>
    <xf numFmtId="49" fontId="139" fillId="0" borderId="1" xfId="0" applyNumberFormat="1" applyFont="1" applyBorder="1" applyAlignment="1">
      <alignment horizontal="right"/>
    </xf>
    <xf numFmtId="49" fontId="139" fillId="5" borderId="1" xfId="0" applyNumberFormat="1" applyFont="1" applyFill="1" applyBorder="1" applyAlignment="1">
      <alignment horizontal="right"/>
    </xf>
    <xf numFmtId="0" fontId="139" fillId="5" borderId="0" xfId="0" applyFont="1" applyFill="1" applyBorder="1" applyAlignment="1">
      <alignment horizontal="right"/>
    </xf>
    <xf numFmtId="0" fontId="139" fillId="0" borderId="0" xfId="0" applyFont="1" applyBorder="1" applyAlignment="1">
      <alignment horizontal="right"/>
    </xf>
    <xf numFmtId="0" fontId="9" fillId="0" borderId="0" xfId="0" applyFont="1" applyBorder="1" applyAlignment="1">
      <alignment horizontal="right"/>
    </xf>
    <xf numFmtId="0" fontId="21" fillId="0" borderId="0" xfId="0" applyFont="1" applyBorder="1"/>
    <xf numFmtId="0" fontId="34" fillId="0" borderId="0" xfId="0" applyFont="1" applyBorder="1" applyAlignment="1">
      <alignment horizontal="right"/>
    </xf>
    <xf numFmtId="0" fontId="34" fillId="0" borderId="0" xfId="0" applyFont="1" applyBorder="1"/>
    <xf numFmtId="0" fontId="140" fillId="10" borderId="0" xfId="0" applyFont="1" applyFill="1" applyAlignment="1"/>
    <xf numFmtId="0" fontId="0" fillId="10" borderId="0" xfId="0" applyFont="1" applyFill="1" applyAlignment="1"/>
    <xf numFmtId="0" fontId="43" fillId="10" borderId="0" xfId="0" applyFont="1" applyFill="1" applyAlignment="1"/>
    <xf numFmtId="49" fontId="90" fillId="10" borderId="1" xfId="0" applyNumberFormat="1" applyFont="1" applyFill="1" applyBorder="1" applyAlignment="1">
      <alignment horizontal="left"/>
    </xf>
    <xf numFmtId="0" fontId="90" fillId="10" borderId="1" xfId="0" applyFont="1" applyFill="1" applyBorder="1" applyAlignment="1">
      <alignment horizontal="left"/>
    </xf>
    <xf numFmtId="2" fontId="90" fillId="10" borderId="1" xfId="0" applyNumberFormat="1" applyFont="1" applyFill="1" applyBorder="1" applyAlignment="1">
      <alignment horizontal="left"/>
    </xf>
    <xf numFmtId="2" fontId="58" fillId="10" borderId="1" xfId="0" applyNumberFormat="1" applyFont="1" applyFill="1" applyBorder="1" applyAlignment="1">
      <alignment horizontal="left"/>
    </xf>
    <xf numFmtId="0" fontId="129" fillId="10" borderId="0" xfId="0" applyFont="1" applyFill="1" applyAlignment="1">
      <alignment horizontal="left"/>
    </xf>
    <xf numFmtId="0" fontId="1" fillId="10" borderId="0" xfId="0" applyFont="1" applyFill="1" applyAlignment="1">
      <alignment horizontal="left"/>
    </xf>
    <xf numFmtId="0" fontId="138" fillId="10" borderId="0" xfId="0" applyFont="1" applyFill="1" applyAlignment="1">
      <alignment horizontal="left"/>
    </xf>
    <xf numFmtId="49" fontId="93" fillId="10" borderId="1" xfId="0" applyNumberFormat="1" applyFont="1" applyFill="1" applyBorder="1" applyAlignment="1">
      <alignment horizontal="left"/>
    </xf>
    <xf numFmtId="0" fontId="90" fillId="10" borderId="1" xfId="0" applyFont="1" applyFill="1" applyBorder="1" applyAlignment="1" applyProtection="1">
      <alignment wrapText="1"/>
      <protection hidden="1"/>
    </xf>
    <xf numFmtId="0" fontId="51" fillId="10" borderId="0" xfId="0" applyFont="1" applyFill="1"/>
    <xf numFmtId="0" fontId="138" fillId="5" borderId="0" xfId="0" applyFont="1" applyFill="1"/>
    <xf numFmtId="0" fontId="138" fillId="5" borderId="0" xfId="0" applyFont="1" applyFill="1" applyAlignment="1"/>
    <xf numFmtId="0" fontId="23" fillId="5" borderId="0" xfId="0" applyFont="1" applyFill="1" applyAlignment="1"/>
    <xf numFmtId="0" fontId="104" fillId="5" borderId="0" xfId="0" applyFont="1" applyFill="1" applyAlignment="1"/>
    <xf numFmtId="0" fontId="138" fillId="0" borderId="0" xfId="0" applyFont="1"/>
    <xf numFmtId="0" fontId="141" fillId="5" borderId="0" xfId="0" applyFont="1" applyFill="1"/>
    <xf numFmtId="0" fontId="142" fillId="5" borderId="1" xfId="0" applyFont="1" applyFill="1" applyBorder="1" applyAlignment="1"/>
    <xf numFmtId="0" fontId="143" fillId="5" borderId="1" xfId="0" applyFont="1" applyFill="1" applyBorder="1" applyAlignment="1"/>
    <xf numFmtId="0" fontId="143" fillId="5" borderId="0" xfId="0" applyFont="1" applyFill="1"/>
    <xf numFmtId="0" fontId="143" fillId="5" borderId="0" xfId="0" applyFont="1" applyFill="1" applyAlignment="1"/>
    <xf numFmtId="0" fontId="144" fillId="5" borderId="1" xfId="0" applyFont="1" applyFill="1" applyBorder="1" applyAlignment="1">
      <alignment horizontal="center"/>
    </xf>
    <xf numFmtId="9" fontId="144" fillId="5" borderId="1" xfId="0" applyNumberFormat="1" applyFont="1" applyFill="1" applyBorder="1" applyAlignment="1">
      <alignment horizontal="center"/>
    </xf>
    <xf numFmtId="2" fontId="141" fillId="5" borderId="1" xfId="0" applyNumberFormat="1" applyFont="1" applyFill="1" applyBorder="1" applyAlignment="1"/>
    <xf numFmtId="2" fontId="144" fillId="5" borderId="1" xfId="0" applyNumberFormat="1" applyFont="1" applyFill="1" applyBorder="1" applyAlignment="1"/>
    <xf numFmtId="2" fontId="144" fillId="10" borderId="1" xfId="0" applyNumberFormat="1" applyFont="1" applyFill="1" applyBorder="1" applyAlignment="1"/>
    <xf numFmtId="2" fontId="141" fillId="5" borderId="0" xfId="0" applyNumberFormat="1" applyFont="1" applyFill="1" applyBorder="1" applyAlignment="1"/>
    <xf numFmtId="2" fontId="144" fillId="5" borderId="0" xfId="0" applyNumberFormat="1" applyFont="1" applyFill="1" applyBorder="1" applyAlignment="1"/>
    <xf numFmtId="0" fontId="144" fillId="10" borderId="1" xfId="0" applyFont="1" applyFill="1" applyBorder="1" applyAlignment="1" applyProtection="1">
      <alignment horizontal="left" wrapText="1"/>
      <protection hidden="1"/>
    </xf>
    <xf numFmtId="0" fontId="141" fillId="10" borderId="1" xfId="0" applyFont="1" applyFill="1" applyBorder="1" applyAlignment="1" applyProtection="1">
      <alignment horizontal="right" wrapText="1"/>
      <protection hidden="1"/>
    </xf>
    <xf numFmtId="0" fontId="141" fillId="5" borderId="1" xfId="0" applyFont="1" applyFill="1" applyBorder="1" applyAlignment="1">
      <alignment horizontal="center"/>
    </xf>
    <xf numFmtId="9" fontId="141" fillId="5" borderId="1" xfId="0" applyNumberFormat="1" applyFont="1" applyFill="1" applyBorder="1" applyAlignment="1">
      <alignment horizontal="center"/>
    </xf>
    <xf numFmtId="0" fontId="141" fillId="5" borderId="1" xfId="0" applyFont="1" applyFill="1" applyBorder="1" applyAlignment="1"/>
    <xf numFmtId="0" fontId="141" fillId="5" borderId="0" xfId="0" applyFont="1" applyFill="1" applyBorder="1" applyAlignment="1"/>
    <xf numFmtId="2" fontId="141" fillId="0" borderId="1" xfId="0" applyNumberFormat="1" applyFont="1" applyBorder="1"/>
    <xf numFmtId="0" fontId="143" fillId="0" borderId="1" xfId="0" applyFont="1" applyBorder="1"/>
    <xf numFmtId="0" fontId="143" fillId="0" borderId="0" xfId="0" applyFont="1"/>
    <xf numFmtId="49" fontId="58" fillId="10" borderId="1" xfId="0" applyNumberFormat="1" applyFont="1" applyFill="1" applyBorder="1" applyAlignment="1">
      <alignment horizontal="center"/>
    </xf>
    <xf numFmtId="0" fontId="58" fillId="10" borderId="1" xfId="0" applyFont="1" applyFill="1" applyBorder="1" applyAlignment="1">
      <alignment wrapText="1"/>
    </xf>
    <xf numFmtId="0" fontId="142" fillId="10" borderId="1" xfId="0" applyFont="1" applyFill="1" applyBorder="1" applyAlignment="1"/>
    <xf numFmtId="2" fontId="126" fillId="10" borderId="0" xfId="0" applyNumberFormat="1" applyFont="1" applyFill="1"/>
    <xf numFmtId="0" fontId="90" fillId="10" borderId="1" xfId="0" applyFont="1" applyFill="1" applyBorder="1" applyAlignment="1">
      <alignment horizontal="left" wrapText="1"/>
    </xf>
    <xf numFmtId="2" fontId="129" fillId="10" borderId="0" xfId="0" applyNumberFormat="1" applyFont="1" applyFill="1" applyAlignment="1"/>
    <xf numFmtId="49" fontId="90" fillId="10" borderId="1" xfId="0" applyNumberFormat="1" applyFont="1" applyFill="1" applyBorder="1" applyAlignment="1">
      <alignment horizontal="center" wrapText="1"/>
    </xf>
    <xf numFmtId="0" fontId="90" fillId="10" borderId="1" xfId="0" applyFont="1" applyFill="1" applyBorder="1" applyAlignment="1">
      <alignment wrapText="1"/>
    </xf>
    <xf numFmtId="2" fontId="144" fillId="10" borderId="1" xfId="0" applyNumberFormat="1" applyFont="1" applyFill="1" applyBorder="1"/>
    <xf numFmtId="0" fontId="142" fillId="10" borderId="1" xfId="0" applyFont="1" applyFill="1" applyBorder="1"/>
    <xf numFmtId="0" fontId="145" fillId="10" borderId="1" xfId="0" applyFont="1" applyFill="1" applyBorder="1" applyAlignment="1">
      <alignment horizontal="center"/>
    </xf>
    <xf numFmtId="0" fontId="129" fillId="10" borderId="0" xfId="0" applyFont="1" applyFill="1"/>
    <xf numFmtId="0" fontId="146" fillId="0" borderId="0" xfId="0" applyFont="1"/>
    <xf numFmtId="49" fontId="80" fillId="0" borderId="1" xfId="0" applyNumberFormat="1" applyFont="1" applyFill="1" applyBorder="1" applyAlignment="1">
      <alignment horizontal="right"/>
    </xf>
    <xf numFmtId="0" fontId="80" fillId="0" borderId="1" xfId="0" applyFont="1" applyFill="1" applyBorder="1" applyAlignment="1">
      <alignment wrapText="1"/>
    </xf>
    <xf numFmtId="0" fontId="109" fillId="8" borderId="0" xfId="0" applyFont="1" applyFill="1"/>
    <xf numFmtId="49" fontId="80" fillId="8" borderId="1" xfId="0" applyNumberFormat="1" applyFont="1" applyFill="1" applyBorder="1" applyAlignment="1">
      <alignment horizontal="right"/>
    </xf>
    <xf numFmtId="0" fontId="80" fillId="8" borderId="1" xfId="0" applyFont="1" applyFill="1" applyBorder="1" applyAlignment="1">
      <alignment wrapText="1"/>
    </xf>
    <xf numFmtId="2" fontId="80" fillId="8" borderId="1" xfId="0" applyNumberFormat="1" applyFont="1" applyFill="1" applyBorder="1" applyAlignment="1">
      <alignment horizontal="center"/>
    </xf>
    <xf numFmtId="0" fontId="80" fillId="8" borderId="1" xfId="0" applyFont="1" applyFill="1" applyBorder="1" applyAlignment="1">
      <alignment horizontal="center"/>
    </xf>
    <xf numFmtId="2" fontId="73" fillId="8" borderId="1" xfId="0" applyNumberFormat="1" applyFont="1" applyFill="1" applyBorder="1" applyAlignment="1">
      <alignment horizontal="center"/>
    </xf>
    <xf numFmtId="2" fontId="80" fillId="8" borderId="0" xfId="0" applyNumberFormat="1" applyFont="1" applyFill="1" applyBorder="1" applyAlignment="1">
      <alignment horizontal="left"/>
    </xf>
    <xf numFmtId="166" fontId="83" fillId="8" borderId="0" xfId="0" applyNumberFormat="1" applyFont="1" applyFill="1" applyBorder="1"/>
    <xf numFmtId="0" fontId="83" fillId="8" borderId="0" xfId="0" applyFont="1" applyFill="1" applyBorder="1"/>
    <xf numFmtId="0" fontId="103" fillId="8" borderId="0" xfId="0" applyFont="1" applyFill="1" applyBorder="1"/>
    <xf numFmtId="0" fontId="103" fillId="8" borderId="0" xfId="0" applyFont="1" applyFill="1"/>
    <xf numFmtId="0" fontId="104" fillId="8" borderId="0" xfId="0" applyFont="1" applyFill="1"/>
    <xf numFmtId="0" fontId="144" fillId="5" borderId="0" xfId="0" applyFont="1" applyFill="1" applyAlignment="1">
      <alignment horizontal="center"/>
    </xf>
    <xf numFmtId="0" fontId="144" fillId="5" borderId="0" xfId="0" applyFont="1" applyFill="1"/>
    <xf numFmtId="0" fontId="147" fillId="5" borderId="0" xfId="0" applyFont="1" applyFill="1" applyAlignment="1">
      <alignment horizontal="center"/>
    </xf>
    <xf numFmtId="0" fontId="147" fillId="5" borderId="0" xfId="0" applyFont="1" applyFill="1"/>
    <xf numFmtId="0" fontId="148" fillId="5" borderId="1" xfId="0" applyFont="1" applyFill="1" applyBorder="1" applyAlignment="1"/>
    <xf numFmtId="49" fontId="141" fillId="5" borderId="1" xfId="0" applyNumberFormat="1" applyFont="1" applyFill="1" applyBorder="1" applyAlignment="1">
      <alignment horizontal="center"/>
    </xf>
    <xf numFmtId="0" fontId="141" fillId="5" borderId="1" xfId="0" applyFont="1" applyFill="1" applyBorder="1" applyAlignment="1">
      <alignment wrapText="1"/>
    </xf>
    <xf numFmtId="2" fontId="141" fillId="5" borderId="1" xfId="0" applyNumberFormat="1" applyFont="1" applyFill="1" applyBorder="1" applyAlignment="1">
      <alignment horizontal="center"/>
    </xf>
    <xf numFmtId="2" fontId="144" fillId="5" borderId="1" xfId="0" applyNumberFormat="1" applyFont="1" applyFill="1" applyBorder="1" applyAlignment="1">
      <alignment horizontal="center"/>
    </xf>
    <xf numFmtId="0" fontId="149" fillId="0" borderId="0" xfId="0" applyFont="1"/>
    <xf numFmtId="0" fontId="108" fillId="8" borderId="0" xfId="0" applyFont="1" applyFill="1"/>
    <xf numFmtId="49" fontId="72" fillId="8" borderId="1" xfId="0" applyNumberFormat="1" applyFont="1" applyFill="1" applyBorder="1" applyAlignment="1">
      <alignment horizontal="right"/>
    </xf>
    <xf numFmtId="0" fontId="72" fillId="8" borderId="1" xfId="0" applyFont="1" applyFill="1" applyBorder="1" applyAlignment="1">
      <alignment wrapText="1"/>
    </xf>
    <xf numFmtId="0" fontId="72" fillId="8" borderId="1" xfId="0" applyFont="1" applyFill="1" applyBorder="1" applyAlignment="1">
      <alignment horizontal="center"/>
    </xf>
    <xf numFmtId="2" fontId="72" fillId="8" borderId="1" xfId="0" applyNumberFormat="1" applyFont="1" applyFill="1" applyBorder="1" applyAlignment="1">
      <alignment horizontal="center"/>
    </xf>
    <xf numFmtId="2" fontId="74" fillId="8" borderId="0" xfId="0" applyNumberFormat="1" applyFont="1" applyFill="1" applyBorder="1" applyAlignment="1">
      <alignment horizontal="left"/>
    </xf>
    <xf numFmtId="166" fontId="75" fillId="8" borderId="0" xfId="0" applyNumberFormat="1" applyFont="1" applyFill="1" applyBorder="1"/>
    <xf numFmtId="0" fontId="75" fillId="8" borderId="0" xfId="0" applyFont="1" applyFill="1" applyBorder="1"/>
    <xf numFmtId="0" fontId="76" fillId="8" borderId="0" xfId="0" applyFont="1" applyFill="1" applyBorder="1"/>
    <xf numFmtId="0" fontId="76" fillId="8" borderId="0" xfId="0" applyFont="1" applyFill="1"/>
    <xf numFmtId="0" fontId="78" fillId="0" borderId="0" xfId="0" applyFont="1" applyAlignment="1">
      <alignment vertical="center" wrapText="1"/>
    </xf>
    <xf numFmtId="0" fontId="150" fillId="5" borderId="1" xfId="0" applyFont="1" applyFill="1" applyBorder="1" applyAlignment="1">
      <alignment horizontal="center"/>
    </xf>
    <xf numFmtId="9" fontId="150" fillId="5" borderId="1" xfId="0" applyNumberFormat="1" applyFont="1" applyFill="1" applyBorder="1" applyAlignment="1">
      <alignment horizontal="center"/>
    </xf>
    <xf numFmtId="49" fontId="141" fillId="0" borderId="1" xfId="0" applyNumberFormat="1" applyFont="1" applyFill="1" applyBorder="1" applyAlignment="1">
      <alignment horizontal="center"/>
    </xf>
    <xf numFmtId="0" fontId="141" fillId="0" borderId="1" xfId="0" applyFont="1" applyFill="1" applyBorder="1" applyAlignment="1"/>
    <xf numFmtId="2" fontId="141" fillId="0" borderId="1" xfId="0" applyNumberFormat="1" applyFont="1" applyFill="1" applyBorder="1" applyAlignment="1">
      <alignment horizontal="center"/>
    </xf>
    <xf numFmtId="49" fontId="141" fillId="0" borderId="0" xfId="0" applyNumberFormat="1" applyFont="1" applyFill="1" applyBorder="1" applyAlignment="1">
      <alignment horizontal="center"/>
    </xf>
    <xf numFmtId="0" fontId="141" fillId="0" borderId="0" xfId="0" applyFont="1" applyFill="1" applyBorder="1" applyAlignment="1"/>
    <xf numFmtId="2" fontId="141" fillId="0" borderId="0" xfId="0" applyNumberFormat="1" applyFont="1" applyFill="1" applyBorder="1" applyAlignment="1">
      <alignment horizontal="center"/>
    </xf>
    <xf numFmtId="0" fontId="141" fillId="0" borderId="1" xfId="0" applyFont="1" applyFill="1" applyBorder="1" applyAlignment="1">
      <alignment wrapText="1"/>
    </xf>
    <xf numFmtId="0" fontId="148" fillId="5" borderId="1" xfId="0" applyFont="1" applyFill="1" applyBorder="1" applyAlignment="1">
      <alignment wrapText="1"/>
    </xf>
    <xf numFmtId="0" fontId="0" fillId="9" borderId="0" xfId="0" applyFont="1" applyFill="1"/>
    <xf numFmtId="0" fontId="0" fillId="7" borderId="0" xfId="0" applyFont="1" applyFill="1"/>
    <xf numFmtId="0" fontId="0" fillId="0" borderId="0" xfId="0" applyFont="1" applyFill="1"/>
    <xf numFmtId="0" fontId="11" fillId="0" borderId="1" xfId="0" applyFont="1" applyFill="1" applyBorder="1"/>
    <xf numFmtId="0" fontId="11" fillId="0" borderId="0" xfId="0" applyFont="1" applyFill="1" applyAlignment="1">
      <alignment horizontal="center"/>
    </xf>
    <xf numFmtId="0" fontId="138" fillId="0" borderId="0" xfId="0" applyFont="1" applyFill="1"/>
    <xf numFmtId="0" fontId="151" fillId="0" borderId="1" xfId="0" applyFont="1" applyFill="1" applyBorder="1" applyAlignment="1">
      <alignment horizontal="center"/>
    </xf>
    <xf numFmtId="0" fontId="152" fillId="0" borderId="0" xfId="0" applyFont="1" applyFill="1"/>
    <xf numFmtId="0" fontId="153" fillId="0" borderId="1" xfId="0" applyFont="1" applyFill="1" applyBorder="1" applyAlignment="1">
      <alignment horizontal="center"/>
    </xf>
    <xf numFmtId="0" fontId="154" fillId="0" borderId="0" xfId="0" applyFont="1" applyFill="1"/>
    <xf numFmtId="0" fontId="154" fillId="0" borderId="1" xfId="0" applyFont="1" applyFill="1" applyBorder="1"/>
    <xf numFmtId="0" fontId="154" fillId="0" borderId="0" xfId="0" applyFont="1" applyFill="1" applyAlignment="1">
      <alignment horizontal="center"/>
    </xf>
    <xf numFmtId="0" fontId="155" fillId="0" borderId="0" xfId="0" applyFont="1" applyFill="1"/>
    <xf numFmtId="0" fontId="156" fillId="0" borderId="1" xfId="0" applyFont="1" applyFill="1" applyBorder="1" applyAlignment="1">
      <alignment horizontal="left" wrapText="1"/>
    </xf>
    <xf numFmtId="0" fontId="152" fillId="0" borderId="0" xfId="0" applyFont="1" applyFill="1" applyAlignment="1">
      <alignment horizontal="center"/>
    </xf>
    <xf numFmtId="0" fontId="157" fillId="0" borderId="0" xfId="0" applyFont="1" applyFill="1"/>
    <xf numFmtId="0" fontId="152" fillId="0" borderId="1" xfId="0" applyFont="1" applyFill="1" applyBorder="1" applyAlignment="1" applyProtection="1">
      <alignment horizontal="left" vertical="center" wrapText="1"/>
      <protection hidden="1"/>
    </xf>
    <xf numFmtId="0" fontId="154" fillId="0" borderId="1" xfId="0" applyFont="1" applyFill="1" applyBorder="1" applyAlignment="1">
      <alignment horizontal="left" wrapText="1"/>
    </xf>
    <xf numFmtId="0" fontId="152" fillId="0" borderId="3" xfId="0" applyFont="1" applyFill="1" applyBorder="1" applyAlignment="1">
      <alignment horizontal="left" wrapText="1"/>
    </xf>
    <xf numFmtId="0" fontId="152" fillId="0" borderId="1" xfId="0" applyFont="1" applyFill="1" applyBorder="1"/>
    <xf numFmtId="0" fontId="105" fillId="0" borderId="0" xfId="0" applyFont="1" applyFill="1"/>
    <xf numFmtId="0" fontId="80" fillId="11" borderId="1" xfId="0" applyFont="1" applyFill="1" applyBorder="1" applyAlignment="1">
      <alignment horizontal="center"/>
    </xf>
    <xf numFmtId="0" fontId="158" fillId="11" borderId="0" xfId="0" applyFont="1" applyFill="1"/>
    <xf numFmtId="49" fontId="159" fillId="11" borderId="1" xfId="0" applyNumberFormat="1" applyFont="1" applyFill="1" applyBorder="1" applyAlignment="1">
      <alignment horizontal="right"/>
    </xf>
    <xf numFmtId="0" fontId="159" fillId="11" borderId="1" xfId="0" applyFont="1" applyFill="1" applyBorder="1"/>
    <xf numFmtId="0" fontId="159" fillId="11" borderId="1" xfId="0" applyFont="1" applyFill="1" applyBorder="1" applyAlignment="1">
      <alignment horizontal="center"/>
    </xf>
    <xf numFmtId="0" fontId="103" fillId="11" borderId="0" xfId="0" applyFont="1" applyFill="1" applyBorder="1"/>
    <xf numFmtId="0" fontId="103" fillId="11" borderId="0" xfId="0" applyFont="1" applyFill="1"/>
    <xf numFmtId="0" fontId="160" fillId="11" borderId="0" xfId="0" applyFont="1" applyFill="1"/>
    <xf numFmtId="2" fontId="159" fillId="11" borderId="1" xfId="0" applyNumberFormat="1" applyFont="1" applyFill="1" applyBorder="1" applyAlignment="1">
      <alignment horizontal="center"/>
    </xf>
    <xf numFmtId="2" fontId="80" fillId="11" borderId="1" xfId="0" applyNumberFormat="1" applyFont="1" applyFill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166" fontId="4" fillId="0" borderId="1" xfId="0" applyNumberFormat="1" applyFont="1" applyBorder="1" applyAlignment="1">
      <alignment horizontal="center"/>
    </xf>
    <xf numFmtId="0" fontId="141" fillId="0" borderId="0" xfId="0" applyFont="1" applyFill="1" applyBorder="1" applyAlignment="1">
      <alignment wrapText="1"/>
    </xf>
    <xf numFmtId="2" fontId="4" fillId="0" borderId="0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80" fillId="10" borderId="0" xfId="0" applyFont="1" applyFill="1" applyBorder="1" applyAlignment="1">
      <alignment wrapText="1"/>
    </xf>
    <xf numFmtId="2" fontId="5" fillId="10" borderId="0" xfId="0" applyNumberFormat="1" applyFont="1" applyFill="1" applyAlignment="1">
      <alignment horizontal="center"/>
    </xf>
    <xf numFmtId="49" fontId="5" fillId="10" borderId="0" xfId="0" applyNumberFormat="1" applyFont="1" applyFill="1" applyAlignment="1">
      <alignment horizontal="right"/>
    </xf>
    <xf numFmtId="0" fontId="3" fillId="0" borderId="0" xfId="0" applyFont="1" applyAlignment="1">
      <alignment horizontal="center"/>
    </xf>
    <xf numFmtId="0" fontId="9" fillId="0" borderId="3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/>
    </xf>
    <xf numFmtId="0" fontId="11" fillId="0" borderId="5" xfId="0" applyFont="1" applyFill="1" applyBorder="1" applyAlignment="1">
      <alignment horizontal="center"/>
    </xf>
    <xf numFmtId="0" fontId="11" fillId="0" borderId="6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22" fillId="0" borderId="0" xfId="0" applyFont="1" applyAlignment="1">
      <alignment horizontal="center"/>
    </xf>
    <xf numFmtId="0" fontId="18" fillId="2" borderId="0" xfId="0" applyFont="1" applyFill="1" applyAlignment="1">
      <alignment horizontal="left" wrapText="1"/>
    </xf>
    <xf numFmtId="0" fontId="11" fillId="2" borderId="0" xfId="0" applyFont="1" applyFill="1" applyAlignment="1">
      <alignment horizontal="center" wrapText="1"/>
    </xf>
    <xf numFmtId="0" fontId="11" fillId="0" borderId="1" xfId="0" applyFont="1" applyFill="1" applyBorder="1" applyAlignment="1">
      <alignment horizontal="center"/>
    </xf>
    <xf numFmtId="2" fontId="50" fillId="2" borderId="0" xfId="0" applyNumberFormat="1" applyFont="1" applyFill="1" applyAlignment="1">
      <alignment horizontal="center"/>
    </xf>
    <xf numFmtId="0" fontId="86" fillId="5" borderId="0" xfId="0" applyFont="1" applyFill="1" applyAlignment="1">
      <alignment horizontal="right" wrapText="1"/>
    </xf>
    <xf numFmtId="49" fontId="85" fillId="5" borderId="0" xfId="0" applyNumberFormat="1" applyFont="1" applyFill="1" applyAlignment="1">
      <alignment horizontal="center" wrapText="1"/>
    </xf>
    <xf numFmtId="49" fontId="85" fillId="5" borderId="0" xfId="0" applyNumberFormat="1" applyFont="1" applyFill="1" applyAlignment="1">
      <alignment horizontal="right" wrapText="1"/>
    </xf>
    <xf numFmtId="0" fontId="72" fillId="2" borderId="0" xfId="0" applyFont="1" applyFill="1" applyAlignment="1">
      <alignment horizontal="left" wrapText="1"/>
    </xf>
    <xf numFmtId="49" fontId="144" fillId="5" borderId="0" xfId="0" applyNumberFormat="1" applyFont="1" applyFill="1" applyAlignment="1">
      <alignment horizontal="center" wrapText="1"/>
    </xf>
    <xf numFmtId="0" fontId="141" fillId="5" borderId="0" xfId="0" applyFont="1" applyFill="1" applyAlignment="1">
      <alignment horizontal="right" wrapText="1"/>
    </xf>
    <xf numFmtId="49" fontId="144" fillId="5" borderId="0" xfId="0" applyNumberFormat="1" applyFont="1" applyFill="1" applyAlignment="1">
      <alignment horizontal="right" wrapText="1"/>
    </xf>
    <xf numFmtId="0" fontId="14" fillId="0" borderId="3" xfId="0" applyFont="1" applyFill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18" fillId="2" borderId="0" xfId="0" applyFont="1" applyFill="1" applyAlignment="1">
      <alignment horizontal="center" wrapText="1"/>
    </xf>
    <xf numFmtId="0" fontId="33" fillId="2" borderId="0" xfId="0" applyFont="1" applyFill="1" applyAlignment="1">
      <alignment horizontal="left" wrapText="1"/>
    </xf>
    <xf numFmtId="0" fontId="39" fillId="5" borderId="3" xfId="0" applyFont="1" applyFill="1" applyBorder="1" applyAlignment="1">
      <alignment horizontal="center"/>
    </xf>
    <xf numFmtId="0" fontId="39" fillId="5" borderId="5" xfId="0" applyFont="1" applyFill="1" applyBorder="1" applyAlignment="1">
      <alignment horizontal="center"/>
    </xf>
    <xf numFmtId="0" fontId="39" fillId="5" borderId="6" xfId="0" applyFont="1" applyFill="1" applyBorder="1" applyAlignment="1">
      <alignment horizontal="center"/>
    </xf>
    <xf numFmtId="0" fontId="22" fillId="2" borderId="0" xfId="0" applyFont="1" applyFill="1" applyAlignment="1">
      <alignment horizontal="center" wrapText="1"/>
    </xf>
    <xf numFmtId="0" fontId="38" fillId="0" borderId="3" xfId="0" applyFont="1" applyBorder="1" applyAlignment="1">
      <alignment horizontal="center" vertical="center" wrapText="1"/>
    </xf>
    <xf numFmtId="0" fontId="38" fillId="0" borderId="5" xfId="0" applyFont="1" applyBorder="1" applyAlignment="1">
      <alignment horizontal="center" vertical="center" wrapText="1"/>
    </xf>
    <xf numFmtId="0" fontId="38" fillId="0" borderId="6" xfId="0" applyFont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39" fillId="0" borderId="3" xfId="0" applyFont="1" applyFill="1" applyBorder="1" applyAlignment="1">
      <alignment horizontal="center"/>
    </xf>
    <xf numFmtId="0" fontId="39" fillId="0" borderId="5" xfId="0" applyFont="1" applyFill="1" applyBorder="1" applyAlignment="1">
      <alignment horizontal="center"/>
    </xf>
    <xf numFmtId="0" fontId="39" fillId="0" borderId="6" xfId="0" applyFont="1" applyFill="1" applyBorder="1" applyAlignment="1">
      <alignment horizontal="center"/>
    </xf>
    <xf numFmtId="0" fontId="5" fillId="2" borderId="0" xfId="0" applyFont="1" applyFill="1" applyAlignment="1">
      <alignment horizontal="center" wrapText="1"/>
    </xf>
    <xf numFmtId="0" fontId="4" fillId="2" borderId="1" xfId="0" applyFont="1" applyFill="1" applyBorder="1" applyAlignment="1">
      <alignment horizontal="center"/>
    </xf>
    <xf numFmtId="0" fontId="17" fillId="4" borderId="1" xfId="0" applyFont="1" applyFill="1" applyBorder="1" applyAlignment="1">
      <alignment horizontal="right"/>
    </xf>
    <xf numFmtId="0" fontId="12" fillId="2" borderId="0" xfId="0" applyFont="1" applyFill="1" applyAlignment="1">
      <alignment horizontal="center" wrapText="1"/>
    </xf>
    <xf numFmtId="0" fontId="22" fillId="2" borderId="1" xfId="0" applyFont="1" applyFill="1" applyBorder="1" applyAlignment="1">
      <alignment horizontal="center"/>
    </xf>
    <xf numFmtId="0" fontId="11" fillId="5" borderId="1" xfId="0" applyFont="1" applyFill="1" applyBorder="1" applyAlignment="1">
      <alignment horizontal="center"/>
    </xf>
    <xf numFmtId="0" fontId="27" fillId="0" borderId="0" xfId="0" applyFont="1" applyAlignment="1">
      <alignment horizontal="center"/>
    </xf>
    <xf numFmtId="0" fontId="11" fillId="0" borderId="1" xfId="0" applyFont="1" applyFill="1" applyBorder="1" applyAlignment="1">
      <alignment horizontal="left"/>
    </xf>
    <xf numFmtId="0" fontId="11" fillId="0" borderId="0" xfId="0" applyFont="1" applyAlignment="1">
      <alignment horizontal="center" wrapText="1"/>
    </xf>
    <xf numFmtId="0" fontId="62" fillId="0" borderId="3" xfId="0" applyFont="1" applyFill="1" applyBorder="1" applyAlignment="1">
      <alignment horizontal="center"/>
    </xf>
    <xf numFmtId="0" fontId="62" fillId="0" borderId="5" xfId="0" applyFont="1" applyFill="1" applyBorder="1" applyAlignment="1">
      <alignment horizontal="center"/>
    </xf>
    <xf numFmtId="0" fontId="62" fillId="0" borderId="6" xfId="0" applyFont="1" applyFill="1" applyBorder="1" applyAlignment="1">
      <alignment horizontal="center"/>
    </xf>
    <xf numFmtId="0" fontId="60" fillId="2" borderId="1" xfId="0" applyFont="1" applyFill="1" applyBorder="1" applyAlignment="1">
      <alignment horizontal="center"/>
    </xf>
    <xf numFmtId="0" fontId="60" fillId="0" borderId="0" xfId="0" applyFont="1" applyAlignment="1">
      <alignment horizontal="center"/>
    </xf>
    <xf numFmtId="0" fontId="61" fillId="2" borderId="0" xfId="0" applyFont="1" applyFill="1" applyAlignment="1">
      <alignment horizontal="left" wrapText="1"/>
    </xf>
    <xf numFmtId="0" fontId="62" fillId="2" borderId="0" xfId="0" applyFont="1" applyFill="1" applyAlignment="1">
      <alignment horizontal="center" wrapText="1"/>
    </xf>
    <xf numFmtId="0" fontId="62" fillId="0" borderId="1" xfId="0" applyFont="1" applyFill="1" applyBorder="1" applyAlignment="1">
      <alignment horizontal="center"/>
    </xf>
    <xf numFmtId="0" fontId="49" fillId="0" borderId="3" xfId="0" applyFont="1" applyBorder="1" applyAlignment="1">
      <alignment horizontal="center" vertical="center" wrapText="1"/>
    </xf>
    <xf numFmtId="0" fontId="49" fillId="0" borderId="5" xfId="0" applyFont="1" applyBorder="1" applyAlignment="1">
      <alignment horizontal="center" vertical="center" wrapText="1"/>
    </xf>
    <xf numFmtId="0" fontId="49" fillId="0" borderId="6" xfId="0" applyFont="1" applyBorder="1" applyAlignment="1">
      <alignment horizontal="center" vertical="center" wrapText="1"/>
    </xf>
    <xf numFmtId="0" fontId="61" fillId="2" borderId="0" xfId="0" applyFont="1" applyFill="1" applyAlignment="1">
      <alignment horizontal="center" wrapText="1"/>
    </xf>
    <xf numFmtId="0" fontId="11" fillId="2" borderId="3" xfId="0" applyFont="1" applyFill="1" applyBorder="1" applyAlignment="1">
      <alignment horizontal="center"/>
    </xf>
    <xf numFmtId="0" fontId="11" fillId="2" borderId="5" xfId="0" applyFont="1" applyFill="1" applyBorder="1" applyAlignment="1">
      <alignment horizontal="center"/>
    </xf>
    <xf numFmtId="0" fontId="11" fillId="2" borderId="6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</cellXfs>
  <cellStyles count="3">
    <cellStyle name="Гиперссылка" xfId="1" builtinId="8"/>
    <cellStyle name="Обычный" xfId="0" builtinId="0"/>
    <cellStyle name="Финансовый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2:G32"/>
  <sheetViews>
    <sheetView view="pageBreakPreview" zoomScaleNormal="100" workbookViewId="0">
      <selection activeCell="I20" sqref="I20"/>
    </sheetView>
  </sheetViews>
  <sheetFormatPr defaultRowHeight="14.4" x14ac:dyDescent="0.3"/>
  <cols>
    <col min="2" max="2" width="4.5546875" style="7" bestFit="1" customWidth="1"/>
    <col min="3" max="3" width="109.6640625" style="7" customWidth="1"/>
    <col min="4" max="4" width="11.88671875" style="74" customWidth="1"/>
    <col min="5" max="5" width="16.6640625" style="74" customWidth="1"/>
    <col min="6" max="6" width="9.88671875" style="74" customWidth="1"/>
    <col min="7" max="7" width="9.109375" style="3"/>
  </cols>
  <sheetData>
    <row r="2" spans="2:6" ht="33" customHeight="1" x14ac:dyDescent="0.3">
      <c r="B2" s="17"/>
      <c r="C2" s="17"/>
      <c r="D2" s="97" t="s">
        <v>540</v>
      </c>
      <c r="E2" s="97" t="s">
        <v>541</v>
      </c>
      <c r="F2" s="97" t="s">
        <v>542</v>
      </c>
    </row>
    <row r="3" spans="2:6" x14ac:dyDescent="0.3">
      <c r="B3" s="17">
        <v>2</v>
      </c>
      <c r="C3" s="96" t="s">
        <v>728</v>
      </c>
      <c r="D3" s="78"/>
      <c r="E3" s="73"/>
      <c r="F3" s="73"/>
    </row>
    <row r="4" spans="2:6" x14ac:dyDescent="0.3">
      <c r="B4" s="94" t="s">
        <v>729</v>
      </c>
      <c r="C4" s="15" t="s">
        <v>730</v>
      </c>
      <c r="D4" s="78"/>
      <c r="E4" s="73"/>
      <c r="F4" s="73">
        <v>11</v>
      </c>
    </row>
    <row r="5" spans="2:6" x14ac:dyDescent="0.3">
      <c r="B5" s="94" t="s">
        <v>731</v>
      </c>
      <c r="C5" s="15" t="s">
        <v>732</v>
      </c>
      <c r="D5" s="78"/>
      <c r="E5" s="73"/>
      <c r="F5" s="73">
        <v>15</v>
      </c>
    </row>
    <row r="6" spans="2:6" x14ac:dyDescent="0.3">
      <c r="B6" s="94" t="s">
        <v>733</v>
      </c>
      <c r="C6" s="15" t="s">
        <v>734</v>
      </c>
      <c r="D6" s="78"/>
      <c r="E6" s="73"/>
      <c r="F6" s="73">
        <v>3</v>
      </c>
    </row>
    <row r="7" spans="2:6" x14ac:dyDescent="0.3">
      <c r="B7" s="94" t="s">
        <v>735</v>
      </c>
      <c r="C7" s="15" t="s">
        <v>736</v>
      </c>
      <c r="D7" s="78"/>
      <c r="E7" s="73"/>
      <c r="F7" s="73">
        <v>5</v>
      </c>
    </row>
    <row r="8" spans="2:6" x14ac:dyDescent="0.3">
      <c r="B8" s="94" t="s">
        <v>737</v>
      </c>
      <c r="C8" s="15" t="s">
        <v>738</v>
      </c>
      <c r="D8" s="78"/>
      <c r="E8" s="73"/>
      <c r="F8" s="73">
        <v>3</v>
      </c>
    </row>
    <row r="9" spans="2:6" x14ac:dyDescent="0.3">
      <c r="B9" s="94" t="s">
        <v>739</v>
      </c>
      <c r="C9" s="15" t="s">
        <v>740</v>
      </c>
      <c r="D9" s="78"/>
      <c r="E9" s="73"/>
      <c r="F9" s="73">
        <v>10</v>
      </c>
    </row>
    <row r="10" spans="2:6" x14ac:dyDescent="0.3">
      <c r="B10" s="94" t="s">
        <v>741</v>
      </c>
      <c r="C10" s="15" t="s">
        <v>742</v>
      </c>
      <c r="D10" s="78"/>
      <c r="E10" s="73"/>
      <c r="F10" s="73">
        <v>15</v>
      </c>
    </row>
    <row r="11" spans="2:6" x14ac:dyDescent="0.3">
      <c r="B11" s="94" t="s">
        <v>743</v>
      </c>
      <c r="C11" s="15" t="s">
        <v>744</v>
      </c>
      <c r="D11" s="78"/>
      <c r="E11" s="73"/>
      <c r="F11" s="73">
        <v>27</v>
      </c>
    </row>
    <row r="12" spans="2:6" x14ac:dyDescent="0.3">
      <c r="B12" s="94" t="s">
        <v>745</v>
      </c>
      <c r="C12" s="15" t="s">
        <v>746</v>
      </c>
      <c r="D12" s="78"/>
      <c r="E12" s="73">
        <v>42.5</v>
      </c>
      <c r="F12" s="73">
        <v>1.5</v>
      </c>
    </row>
    <row r="13" spans="2:6" x14ac:dyDescent="0.3">
      <c r="B13" s="94" t="s">
        <v>747</v>
      </c>
      <c r="C13" s="15" t="s">
        <v>749</v>
      </c>
      <c r="D13" s="78"/>
      <c r="E13" s="73"/>
      <c r="F13" s="73">
        <v>12</v>
      </c>
    </row>
    <row r="14" spans="2:6" x14ac:dyDescent="0.3">
      <c r="B14" s="94" t="s">
        <v>748</v>
      </c>
      <c r="C14" s="15" t="s">
        <v>751</v>
      </c>
      <c r="D14" s="78"/>
      <c r="E14" s="73"/>
      <c r="F14" s="73">
        <v>12</v>
      </c>
    </row>
    <row r="15" spans="2:6" x14ac:dyDescent="0.3">
      <c r="B15" s="94" t="s">
        <v>750</v>
      </c>
      <c r="C15" s="15" t="s">
        <v>754</v>
      </c>
      <c r="D15" s="78"/>
      <c r="E15" s="73"/>
      <c r="F15" s="73">
        <v>10</v>
      </c>
    </row>
    <row r="16" spans="2:6" x14ac:dyDescent="0.3">
      <c r="B16" s="94" t="s">
        <v>752</v>
      </c>
      <c r="C16" s="15" t="s">
        <v>756</v>
      </c>
      <c r="D16" s="78"/>
      <c r="E16" s="73"/>
      <c r="F16" s="73">
        <v>25</v>
      </c>
    </row>
    <row r="17" spans="2:6" x14ac:dyDescent="0.3">
      <c r="B17" s="94" t="s">
        <v>753</v>
      </c>
      <c r="C17" s="15" t="s">
        <v>758</v>
      </c>
      <c r="D17" s="78"/>
      <c r="E17" s="73"/>
      <c r="F17" s="73">
        <v>5</v>
      </c>
    </row>
    <row r="18" spans="2:6" x14ac:dyDescent="0.3">
      <c r="B18" s="94" t="s">
        <v>755</v>
      </c>
      <c r="C18" s="15" t="s">
        <v>760</v>
      </c>
      <c r="D18" s="78"/>
      <c r="E18" s="73"/>
      <c r="F18" s="73">
        <v>14</v>
      </c>
    </row>
    <row r="19" spans="2:6" x14ac:dyDescent="0.3">
      <c r="B19" s="94" t="s">
        <v>757</v>
      </c>
      <c r="C19" s="15" t="s">
        <v>762</v>
      </c>
      <c r="D19" s="78"/>
      <c r="E19" s="73">
        <v>25</v>
      </c>
      <c r="F19" s="73">
        <v>1.5</v>
      </c>
    </row>
    <row r="20" spans="2:6" x14ac:dyDescent="0.3">
      <c r="B20" s="94" t="s">
        <v>759</v>
      </c>
      <c r="C20" s="15" t="s">
        <v>764</v>
      </c>
      <c r="D20" s="78"/>
      <c r="E20" s="73"/>
      <c r="F20" s="73">
        <v>20</v>
      </c>
    </row>
    <row r="21" spans="2:6" x14ac:dyDescent="0.3">
      <c r="B21" s="94" t="s">
        <v>761</v>
      </c>
      <c r="C21" s="15" t="s">
        <v>766</v>
      </c>
      <c r="D21" s="78"/>
      <c r="E21" s="73"/>
      <c r="F21" s="73">
        <v>12</v>
      </c>
    </row>
    <row r="22" spans="2:6" x14ac:dyDescent="0.3">
      <c r="B22" s="94" t="s">
        <v>763</v>
      </c>
      <c r="C22" s="15" t="s">
        <v>768</v>
      </c>
      <c r="D22" s="78"/>
      <c r="E22" s="73"/>
      <c r="F22" s="73">
        <v>10</v>
      </c>
    </row>
    <row r="23" spans="2:6" x14ac:dyDescent="0.3">
      <c r="B23" s="94" t="s">
        <v>765</v>
      </c>
      <c r="C23" s="15" t="s">
        <v>770</v>
      </c>
      <c r="D23" s="78"/>
      <c r="E23" s="73"/>
      <c r="F23" s="73">
        <v>8</v>
      </c>
    </row>
    <row r="24" spans="2:6" x14ac:dyDescent="0.3">
      <c r="B24" s="94" t="s">
        <v>767</v>
      </c>
      <c r="C24" s="15" t="s">
        <v>772</v>
      </c>
      <c r="D24" s="78"/>
      <c r="E24" s="73">
        <v>25</v>
      </c>
      <c r="F24" s="73">
        <v>1.5</v>
      </c>
    </row>
    <row r="25" spans="2:6" x14ac:dyDescent="0.3">
      <c r="B25" s="94" t="s">
        <v>769</v>
      </c>
      <c r="C25" s="15" t="s">
        <v>774</v>
      </c>
      <c r="D25" s="78"/>
      <c r="E25" s="73"/>
      <c r="F25" s="73">
        <v>5</v>
      </c>
    </row>
    <row r="26" spans="2:6" x14ac:dyDescent="0.3">
      <c r="B26" s="94" t="s">
        <v>771</v>
      </c>
      <c r="C26" s="15" t="s">
        <v>776</v>
      </c>
      <c r="D26" s="78"/>
      <c r="E26" s="73"/>
      <c r="F26" s="73">
        <v>10</v>
      </c>
    </row>
    <row r="27" spans="2:6" x14ac:dyDescent="0.3">
      <c r="B27" s="94" t="s">
        <v>773</v>
      </c>
      <c r="C27" s="15" t="s">
        <v>778</v>
      </c>
      <c r="D27" s="78"/>
      <c r="E27" s="73"/>
      <c r="F27" s="73">
        <v>20</v>
      </c>
    </row>
    <row r="28" spans="2:6" x14ac:dyDescent="0.3">
      <c r="B28" s="94" t="s">
        <v>775</v>
      </c>
      <c r="C28" s="15" t="s">
        <v>780</v>
      </c>
      <c r="D28" s="78"/>
      <c r="E28" s="73"/>
      <c r="F28" s="73">
        <v>20</v>
      </c>
    </row>
    <row r="29" spans="2:6" x14ac:dyDescent="0.3">
      <c r="B29" s="94" t="s">
        <v>777</v>
      </c>
      <c r="C29" s="15" t="s">
        <v>782</v>
      </c>
      <c r="D29" s="73"/>
      <c r="E29" s="73">
        <v>15</v>
      </c>
      <c r="F29" s="73">
        <v>15</v>
      </c>
    </row>
    <row r="30" spans="2:6" x14ac:dyDescent="0.3">
      <c r="B30" s="94" t="s">
        <v>779</v>
      </c>
      <c r="C30" s="15" t="s">
        <v>784</v>
      </c>
      <c r="D30" s="73"/>
      <c r="E30" s="73">
        <v>15</v>
      </c>
      <c r="F30" s="73">
        <v>15</v>
      </c>
    </row>
    <row r="31" spans="2:6" x14ac:dyDescent="0.3">
      <c r="B31" s="94" t="s">
        <v>781</v>
      </c>
      <c r="C31" s="15" t="s">
        <v>785</v>
      </c>
      <c r="D31" s="73"/>
      <c r="E31" s="73">
        <v>15</v>
      </c>
      <c r="F31" s="73">
        <v>15</v>
      </c>
    </row>
    <row r="32" spans="2:6" x14ac:dyDescent="0.3">
      <c r="B32" s="94" t="s">
        <v>783</v>
      </c>
      <c r="C32" s="15" t="s">
        <v>786</v>
      </c>
      <c r="D32" s="73"/>
      <c r="E32" s="73"/>
      <c r="F32" s="73"/>
    </row>
  </sheetData>
  <phoneticPr fontId="8" type="noConversion"/>
  <pageMargins left="0" right="0" top="0" bottom="0" header="0" footer="0"/>
  <pageSetup paperSize="9" scale="6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U674"/>
  <sheetViews>
    <sheetView view="pageBreakPreview" topLeftCell="A421" zoomScaleNormal="100" workbookViewId="0">
      <selection activeCell="L434" sqref="L434"/>
    </sheetView>
  </sheetViews>
  <sheetFormatPr defaultRowHeight="14.4" x14ac:dyDescent="0.3"/>
  <cols>
    <col min="1" max="1" width="9.109375" style="100"/>
    <col min="2" max="2" width="5.109375" style="7" customWidth="1"/>
    <col min="3" max="3" width="42.5546875" style="7" customWidth="1"/>
    <col min="4" max="4" width="13.109375" style="7" customWidth="1"/>
    <col min="5" max="5" width="12.44140625" style="7" customWidth="1"/>
    <col min="6" max="6" width="11" style="7" customWidth="1"/>
    <col min="7" max="7" width="12.44140625" style="7" customWidth="1"/>
    <col min="8" max="8" width="10" style="7" customWidth="1"/>
    <col min="9" max="10" width="9.109375" style="7"/>
    <col min="11" max="11" width="9.109375" style="130"/>
    <col min="12" max="12" width="9.109375" style="114"/>
    <col min="13" max="13" width="64.109375" style="114" customWidth="1"/>
    <col min="14" max="21" width="9.109375" style="7"/>
  </cols>
  <sheetData>
    <row r="2" spans="1:15" ht="18.600000000000001" x14ac:dyDescent="0.3">
      <c r="A2" s="3"/>
      <c r="B2" s="1016" t="s">
        <v>958</v>
      </c>
      <c r="C2" s="1016"/>
      <c r="D2" s="1016"/>
      <c r="E2" s="1016"/>
      <c r="F2" s="1016"/>
      <c r="G2" s="1016"/>
      <c r="H2" s="1016"/>
      <c r="I2" s="1016"/>
      <c r="J2" s="1016"/>
    </row>
    <row r="3" spans="1:15" ht="19.2" x14ac:dyDescent="0.35">
      <c r="A3" s="3"/>
      <c r="B3" s="53"/>
      <c r="C3" s="53"/>
      <c r="D3" s="53"/>
      <c r="E3" s="53"/>
      <c r="F3" s="53"/>
      <c r="G3" s="53"/>
      <c r="H3" s="53"/>
      <c r="I3" s="53"/>
      <c r="J3" s="53"/>
    </row>
    <row r="4" spans="1:15" ht="37.5" customHeight="1" x14ac:dyDescent="0.35">
      <c r="A4" s="3"/>
      <c r="B4" s="50" t="s">
        <v>993</v>
      </c>
      <c r="C4" s="1017" t="s">
        <v>992</v>
      </c>
      <c r="D4" s="1017"/>
      <c r="E4" s="1017"/>
      <c r="F4" s="52">
        <f>H52</f>
        <v>11.5</v>
      </c>
      <c r="G4" s="52" t="s">
        <v>971</v>
      </c>
      <c r="H4" s="53"/>
      <c r="I4" s="53"/>
      <c r="J4" s="53"/>
    </row>
    <row r="5" spans="1:15" x14ac:dyDescent="0.3">
      <c r="A5" s="3"/>
      <c r="K5" s="131">
        <f>F4</f>
        <v>11.5</v>
      </c>
      <c r="L5" s="115" t="s">
        <v>882</v>
      </c>
      <c r="M5" s="116" t="s">
        <v>992</v>
      </c>
      <c r="N5" s="8"/>
      <c r="O5" s="9"/>
    </row>
    <row r="6" spans="1:15" x14ac:dyDescent="0.3">
      <c r="A6" s="3"/>
      <c r="C6" s="1018" t="s">
        <v>932</v>
      </c>
      <c r="D6" s="1018"/>
      <c r="E6" s="10"/>
      <c r="F6" s="11">
        <f>F13+F16+F14</f>
        <v>7.6999999999999993</v>
      </c>
      <c r="G6" s="12" t="s">
        <v>971</v>
      </c>
      <c r="K6" s="131">
        <f>F56</f>
        <v>8.1999999999999993</v>
      </c>
      <c r="L6" s="115" t="s">
        <v>884</v>
      </c>
      <c r="M6" s="116" t="s">
        <v>994</v>
      </c>
      <c r="N6" s="8"/>
    </row>
    <row r="7" spans="1:15" x14ac:dyDescent="0.3">
      <c r="A7" s="3"/>
      <c r="K7" s="131">
        <f>F108</f>
        <v>9.5</v>
      </c>
      <c r="L7" s="115" t="s">
        <v>886</v>
      </c>
      <c r="M7" s="116" t="s">
        <v>995</v>
      </c>
    </row>
    <row r="8" spans="1:15" ht="27.6" x14ac:dyDescent="0.3">
      <c r="A8" s="3"/>
      <c r="C8" s="13" t="s">
        <v>929</v>
      </c>
      <c r="D8" s="14" t="s">
        <v>928</v>
      </c>
      <c r="E8" s="14" t="s">
        <v>514</v>
      </c>
      <c r="F8" s="14" t="s">
        <v>515</v>
      </c>
      <c r="G8" s="14" t="s">
        <v>962</v>
      </c>
      <c r="H8" s="14" t="s">
        <v>926</v>
      </c>
      <c r="I8" s="14" t="s">
        <v>516</v>
      </c>
      <c r="J8" s="14" t="s">
        <v>961</v>
      </c>
      <c r="K8" s="131">
        <f>F160</f>
        <v>9.8000000000000007</v>
      </c>
      <c r="L8" s="115" t="s">
        <v>888</v>
      </c>
      <c r="M8" s="117" t="s">
        <v>999</v>
      </c>
    </row>
    <row r="9" spans="1:15" x14ac:dyDescent="0.3">
      <c r="A9" s="3"/>
      <c r="C9" s="15" t="s">
        <v>517</v>
      </c>
      <c r="D9" s="16">
        <f>ЗП!C7</f>
        <v>8537.1</v>
      </c>
      <c r="E9" s="16">
        <f>D9*12</f>
        <v>102445.20000000001</v>
      </c>
      <c r="F9" s="16">
        <f>ЗП!E7</f>
        <v>6567</v>
      </c>
      <c r="G9" s="16">
        <f>ЗП!F7</f>
        <v>3283.5</v>
      </c>
      <c r="H9" s="16">
        <f>E9+F9+G9</f>
        <v>112295.70000000001</v>
      </c>
      <c r="I9" s="17">
        <v>1932.7</v>
      </c>
      <c r="J9" s="16">
        <f>ROUND((H9/I9)/60,2)</f>
        <v>0.97</v>
      </c>
      <c r="K9" s="131">
        <f>F212</f>
        <v>19.7</v>
      </c>
      <c r="L9" s="115" t="s">
        <v>890</v>
      </c>
      <c r="M9" s="119" t="s">
        <v>1001</v>
      </c>
    </row>
    <row r="10" spans="1:15" x14ac:dyDescent="0.3">
      <c r="A10" s="3"/>
      <c r="C10" s="17"/>
      <c r="D10" s="16"/>
      <c r="E10" s="16"/>
      <c r="F10" s="16"/>
      <c r="G10" s="16"/>
      <c r="H10" s="16"/>
      <c r="I10" s="17"/>
      <c r="J10" s="16"/>
      <c r="K10" s="131">
        <f>F264</f>
        <v>21.3</v>
      </c>
      <c r="L10" s="115" t="s">
        <v>892</v>
      </c>
      <c r="M10" s="119" t="s">
        <v>1003</v>
      </c>
    </row>
    <row r="11" spans="1:15" x14ac:dyDescent="0.3">
      <c r="A11" s="3"/>
      <c r="K11" s="131">
        <f>F316</f>
        <v>38</v>
      </c>
      <c r="L11" s="115" t="s">
        <v>894</v>
      </c>
      <c r="M11" s="119" t="s">
        <v>1005</v>
      </c>
    </row>
    <row r="12" spans="1:15" ht="27.6" x14ac:dyDescent="0.3">
      <c r="A12" s="3"/>
      <c r="C12" s="13" t="s">
        <v>929</v>
      </c>
      <c r="D12" s="14" t="s">
        <v>961</v>
      </c>
      <c r="E12" s="14" t="s">
        <v>930</v>
      </c>
      <c r="F12" s="14" t="s">
        <v>931</v>
      </c>
      <c r="K12" s="131">
        <f>F369</f>
        <v>8.9</v>
      </c>
      <c r="L12" s="115" t="s">
        <v>896</v>
      </c>
      <c r="M12" s="119" t="s">
        <v>1007</v>
      </c>
    </row>
    <row r="13" spans="1:15" x14ac:dyDescent="0.3">
      <c r="A13" s="3"/>
      <c r="C13" s="15" t="str">
        <f>C9</f>
        <v>Лікар-терапевт</v>
      </c>
      <c r="D13" s="16">
        <f>J9</f>
        <v>0.97</v>
      </c>
      <c r="E13" s="17">
        <v>6.5</v>
      </c>
      <c r="F13" s="18">
        <f>ROUND(D13*E13,2)</f>
        <v>6.31</v>
      </c>
      <c r="K13" s="131">
        <f>F421</f>
        <v>11.5</v>
      </c>
      <c r="L13" s="115" t="s">
        <v>898</v>
      </c>
      <c r="M13" s="119" t="s">
        <v>1008</v>
      </c>
    </row>
    <row r="14" spans="1:15" x14ac:dyDescent="0.3">
      <c r="A14" s="3"/>
      <c r="C14" s="15"/>
      <c r="D14" s="16"/>
      <c r="E14" s="17"/>
      <c r="F14" s="18"/>
      <c r="K14" s="131">
        <f>F469</f>
        <v>9.9</v>
      </c>
      <c r="L14" s="115" t="s">
        <v>900</v>
      </c>
      <c r="M14" s="119" t="s">
        <v>1010</v>
      </c>
    </row>
    <row r="15" spans="1:15" x14ac:dyDescent="0.3">
      <c r="A15" s="3"/>
      <c r="D15" s="19"/>
      <c r="K15" s="131">
        <f>F521</f>
        <v>37.6</v>
      </c>
      <c r="L15" s="115" t="s">
        <v>902</v>
      </c>
      <c r="M15" s="129" t="s">
        <v>1012</v>
      </c>
    </row>
    <row r="16" spans="1:15" x14ac:dyDescent="0.3">
      <c r="A16" s="3"/>
      <c r="C16" s="17" t="s">
        <v>933</v>
      </c>
      <c r="D16" s="16">
        <f>F13+F14</f>
        <v>6.31</v>
      </c>
      <c r="E16" s="20">
        <v>0.22</v>
      </c>
      <c r="F16" s="18">
        <f>ROUND(D16*E16,2)</f>
        <v>1.39</v>
      </c>
      <c r="K16" s="131">
        <f>F573</f>
        <v>24.3</v>
      </c>
      <c r="L16" s="115" t="s">
        <v>904</v>
      </c>
      <c r="M16" s="119" t="s">
        <v>1013</v>
      </c>
    </row>
    <row r="17" spans="1:12" x14ac:dyDescent="0.3">
      <c r="A17" s="3"/>
      <c r="L17" s="115"/>
    </row>
    <row r="18" spans="1:12" x14ac:dyDescent="0.3">
      <c r="A18" s="3"/>
      <c r="C18" s="12" t="s">
        <v>946</v>
      </c>
      <c r="D18" s="12"/>
      <c r="E18" s="12"/>
      <c r="F18" s="12">
        <f>G28</f>
        <v>2.95</v>
      </c>
      <c r="G18" s="12" t="s">
        <v>971</v>
      </c>
      <c r="L18" s="115"/>
    </row>
    <row r="20" spans="1:12" x14ac:dyDescent="0.3">
      <c r="A20" s="3"/>
      <c r="C20" s="27" t="s">
        <v>934</v>
      </c>
      <c r="D20" s="28" t="s">
        <v>935</v>
      </c>
      <c r="E20" s="29">
        <v>0.1</v>
      </c>
      <c r="F20" s="29">
        <f>'МЕДИЧНІ М'!F11</f>
        <v>2.8</v>
      </c>
      <c r="G20" s="30">
        <f t="shared" ref="G20:G27" si="0">ROUND(E20*F20,2)</f>
        <v>0.28000000000000003</v>
      </c>
    </row>
    <row r="21" spans="1:12" x14ac:dyDescent="0.3">
      <c r="A21" s="3"/>
      <c r="C21" s="27" t="s">
        <v>936</v>
      </c>
      <c r="D21" s="28" t="s">
        <v>937</v>
      </c>
      <c r="E21" s="29">
        <v>1</v>
      </c>
      <c r="F21" s="29">
        <f>'МЕДИЧНІ М'!F9</f>
        <v>0.3</v>
      </c>
      <c r="G21" s="30">
        <f t="shared" si="0"/>
        <v>0.3</v>
      </c>
    </row>
    <row r="22" spans="1:12" x14ac:dyDescent="0.3">
      <c r="A22" s="3"/>
      <c r="C22" s="27" t="s">
        <v>938</v>
      </c>
      <c r="D22" s="28" t="s">
        <v>939</v>
      </c>
      <c r="E22" s="29">
        <v>0.1</v>
      </c>
      <c r="F22" s="29">
        <f>'МЕДИЧНІ М'!F7</f>
        <v>6</v>
      </c>
      <c r="G22" s="30">
        <f t="shared" si="0"/>
        <v>0.6</v>
      </c>
    </row>
    <row r="23" spans="1:12" x14ac:dyDescent="0.3">
      <c r="A23" s="3"/>
      <c r="C23" s="27" t="s">
        <v>940</v>
      </c>
      <c r="D23" s="28" t="s">
        <v>941</v>
      </c>
      <c r="E23" s="29">
        <v>0.5</v>
      </c>
      <c r="F23" s="29">
        <f>'МЕДИЧНІ М'!F8</f>
        <v>2</v>
      </c>
      <c r="G23" s="30">
        <f t="shared" si="0"/>
        <v>1</v>
      </c>
    </row>
    <row r="24" spans="1:12" x14ac:dyDescent="0.3">
      <c r="A24" s="3"/>
      <c r="C24" s="27" t="s">
        <v>942</v>
      </c>
      <c r="D24" s="28" t="s">
        <v>941</v>
      </c>
      <c r="E24" s="29">
        <v>0.01</v>
      </c>
      <c r="F24" s="29">
        <f>'МЕДИЧНІ М'!E13</f>
        <v>24.6</v>
      </c>
      <c r="G24" s="30">
        <f t="shared" si="0"/>
        <v>0.25</v>
      </c>
    </row>
    <row r="25" spans="1:12" x14ac:dyDescent="0.3">
      <c r="A25" s="3"/>
      <c r="C25" s="27" t="s">
        <v>943</v>
      </c>
      <c r="D25" s="28" t="s">
        <v>944</v>
      </c>
      <c r="E25" s="29">
        <v>1</v>
      </c>
      <c r="F25" s="29">
        <f>'МЕДИЧНІ М'!F5</f>
        <v>7.0000000000000007E-2</v>
      </c>
      <c r="G25" s="30">
        <f t="shared" si="0"/>
        <v>7.0000000000000007E-2</v>
      </c>
    </row>
    <row r="26" spans="1:12" x14ac:dyDescent="0.3">
      <c r="A26" s="3"/>
      <c r="C26" s="27" t="s">
        <v>1124</v>
      </c>
      <c r="D26" s="28" t="s">
        <v>944</v>
      </c>
      <c r="E26" s="29">
        <v>0.5</v>
      </c>
      <c r="F26" s="29">
        <f>'МЕДИЧНІ М'!F6</f>
        <v>0.5</v>
      </c>
      <c r="G26" s="30">
        <f t="shared" si="0"/>
        <v>0.25</v>
      </c>
    </row>
    <row r="27" spans="1:12" x14ac:dyDescent="0.3">
      <c r="A27" s="3"/>
      <c r="C27" s="27" t="s">
        <v>1159</v>
      </c>
      <c r="D27" s="28" t="s">
        <v>1160</v>
      </c>
      <c r="E27" s="29">
        <f>E13</f>
        <v>6.5</v>
      </c>
      <c r="F27" s="29">
        <f>ROUND(3389/I9/60,2)</f>
        <v>0.03</v>
      </c>
      <c r="G27" s="30">
        <f t="shared" si="0"/>
        <v>0.2</v>
      </c>
    </row>
    <row r="28" spans="1:12" x14ac:dyDescent="0.3">
      <c r="A28" s="3"/>
      <c r="C28" s="1019" t="s">
        <v>945</v>
      </c>
      <c r="D28" s="1019"/>
      <c r="E28" s="1019"/>
      <c r="F28" s="1019"/>
      <c r="G28" s="31">
        <f>SUM(G20:G27)</f>
        <v>2.95</v>
      </c>
    </row>
    <row r="30" spans="1:12" x14ac:dyDescent="0.3">
      <c r="A30" s="3"/>
      <c r="C30" s="12" t="s">
        <v>968</v>
      </c>
      <c r="D30" s="12"/>
      <c r="E30" s="12"/>
      <c r="F30" s="11">
        <f>H33</f>
        <v>7.0000000000000007E-2</v>
      </c>
      <c r="G30" s="12" t="s">
        <v>971</v>
      </c>
    </row>
    <row r="31" spans="1:12" x14ac:dyDescent="0.3">
      <c r="A31" s="3"/>
      <c r="C31" s="22"/>
      <c r="D31" s="22"/>
      <c r="E31" s="22"/>
      <c r="F31" s="23"/>
      <c r="G31" s="22"/>
    </row>
    <row r="32" spans="1:12" ht="27.6" x14ac:dyDescent="0.3">
      <c r="A32" s="3"/>
      <c r="C32" s="14" t="s">
        <v>513</v>
      </c>
      <c r="D32" s="14" t="s">
        <v>969</v>
      </c>
      <c r="E32" s="14" t="s">
        <v>516</v>
      </c>
      <c r="F32" s="14" t="s">
        <v>970</v>
      </c>
      <c r="G32" s="14" t="s">
        <v>930</v>
      </c>
      <c r="H32" s="14" t="s">
        <v>961</v>
      </c>
    </row>
    <row r="33" spans="1:8" x14ac:dyDescent="0.3">
      <c r="A33" s="3"/>
      <c r="C33" s="27" t="s">
        <v>1117</v>
      </c>
      <c r="D33" s="17">
        <f>АМОРТИЗАЦІЯ!C3</f>
        <v>815.88</v>
      </c>
      <c r="E33" s="17">
        <f>I9</f>
        <v>1932.7</v>
      </c>
      <c r="F33" s="17">
        <f>ROUND((D33/E33)/60,2)</f>
        <v>0.01</v>
      </c>
      <c r="G33" s="17">
        <f>E13</f>
        <v>6.5</v>
      </c>
      <c r="H33" s="16">
        <f>ROUND(F33*G33,2)</f>
        <v>7.0000000000000007E-2</v>
      </c>
    </row>
    <row r="35" spans="1:8" x14ac:dyDescent="0.3">
      <c r="A35" s="3"/>
      <c r="C35" s="12" t="s">
        <v>948</v>
      </c>
      <c r="D35" s="12"/>
      <c r="E35" s="12"/>
      <c r="F35" s="11">
        <f>H47</f>
        <v>0.79</v>
      </c>
      <c r="G35" s="12" t="s">
        <v>971</v>
      </c>
    </row>
    <row r="36" spans="1:8" x14ac:dyDescent="0.3">
      <c r="A36" s="3"/>
      <c r="C36" s="22"/>
      <c r="D36" s="22"/>
      <c r="E36" s="22"/>
      <c r="F36" s="23"/>
    </row>
    <row r="37" spans="1:8" ht="41.4" x14ac:dyDescent="0.3">
      <c r="A37" s="3"/>
      <c r="C37" s="14" t="s">
        <v>948</v>
      </c>
      <c r="D37" s="14" t="s">
        <v>955</v>
      </c>
      <c r="E37" s="14" t="s">
        <v>516</v>
      </c>
      <c r="F37" s="14" t="s">
        <v>954</v>
      </c>
      <c r="G37" s="14" t="s">
        <v>930</v>
      </c>
      <c r="H37" s="14" t="s">
        <v>956</v>
      </c>
    </row>
    <row r="38" spans="1:8" x14ac:dyDescent="0.3">
      <c r="A38" s="3"/>
      <c r="C38" s="1009" t="str">
        <f>C9</f>
        <v>Лікар-терапевт</v>
      </c>
      <c r="D38" s="1010"/>
      <c r="E38" s="1010"/>
      <c r="F38" s="1010"/>
      <c r="G38" s="1010"/>
      <c r="H38" s="1011"/>
    </row>
    <row r="39" spans="1:8" x14ac:dyDescent="0.3">
      <c r="A39" s="3"/>
      <c r="C39" s="17" t="s">
        <v>951</v>
      </c>
      <c r="D39" s="112">
        <f>НАКЛАДНІ!F4</f>
        <v>12188.608008565312</v>
      </c>
      <c r="E39" s="17">
        <f>I9</f>
        <v>1932.7</v>
      </c>
      <c r="F39" s="17">
        <f>ROUND((D39/E39)/60,2)</f>
        <v>0.11</v>
      </c>
      <c r="G39" s="17">
        <f>E13</f>
        <v>6.5</v>
      </c>
      <c r="H39" s="16">
        <f>ROUND(F39*G39,2)</f>
        <v>0.72</v>
      </c>
    </row>
    <row r="40" spans="1:8" x14ac:dyDescent="0.3">
      <c r="A40" s="3"/>
      <c r="C40" s="17" t="s">
        <v>952</v>
      </c>
      <c r="D40" s="112">
        <f>НАКЛАДНІ!F5</f>
        <v>53.149721627408987</v>
      </c>
      <c r="E40" s="17">
        <f>I9</f>
        <v>1932.7</v>
      </c>
      <c r="F40" s="17">
        <f>ROUND((D40/E40)/60,2)</f>
        <v>0</v>
      </c>
      <c r="G40" s="17">
        <f>E13</f>
        <v>6.5</v>
      </c>
      <c r="H40" s="16">
        <f>ROUND(F40*G40,2)</f>
        <v>0</v>
      </c>
    </row>
    <row r="41" spans="1:8" x14ac:dyDescent="0.3">
      <c r="A41" s="3"/>
      <c r="C41" s="17" t="s">
        <v>953</v>
      </c>
      <c r="D41" s="112">
        <f>НАКЛАДНІ!F6</f>
        <v>374.98368308351178</v>
      </c>
      <c r="E41" s="17">
        <f>I9</f>
        <v>1932.7</v>
      </c>
      <c r="F41" s="17">
        <f>ROUND((D41/E41)/60,2)</f>
        <v>0</v>
      </c>
      <c r="G41" s="17">
        <f>E13</f>
        <v>6.5</v>
      </c>
      <c r="H41" s="16">
        <f>ROUND(F41*G41,2)</f>
        <v>0</v>
      </c>
    </row>
    <row r="42" spans="1:8" x14ac:dyDescent="0.3">
      <c r="A42" s="3"/>
      <c r="C42" s="17" t="s">
        <v>1109</v>
      </c>
      <c r="D42" s="112">
        <f>НАКЛАДНІ!F7</f>
        <v>1686.0389293361886</v>
      </c>
      <c r="E42" s="17">
        <f>I9</f>
        <v>1932.7</v>
      </c>
      <c r="F42" s="17">
        <f>ROUND((D42/E42)/60,2)</f>
        <v>0.01</v>
      </c>
      <c r="G42" s="17">
        <f>E13</f>
        <v>6.5</v>
      </c>
      <c r="H42" s="16">
        <f>ROUND(F42*G42,2)</f>
        <v>7.0000000000000007E-2</v>
      </c>
    </row>
    <row r="43" spans="1:8" ht="15" hidden="1" customHeight="1" x14ac:dyDescent="0.3">
      <c r="A43" s="3"/>
      <c r="C43" s="1009"/>
      <c r="D43" s="1010"/>
      <c r="E43" s="1010"/>
      <c r="F43" s="1010"/>
      <c r="G43" s="1010"/>
      <c r="H43" s="1011"/>
    </row>
    <row r="44" spans="1:8" hidden="1" x14ac:dyDescent="0.3">
      <c r="A44" s="3"/>
      <c r="C44" s="17"/>
      <c r="D44" s="17"/>
      <c r="E44" s="17"/>
      <c r="F44" s="17"/>
      <c r="G44" s="17"/>
      <c r="H44" s="16"/>
    </row>
    <row r="45" spans="1:8" hidden="1" x14ac:dyDescent="0.3">
      <c r="A45" s="3"/>
      <c r="C45" s="17"/>
      <c r="D45" s="17"/>
      <c r="E45" s="17"/>
      <c r="F45" s="17"/>
      <c r="G45" s="17"/>
      <c r="H45" s="16"/>
    </row>
    <row r="46" spans="1:8" hidden="1" x14ac:dyDescent="0.3">
      <c r="A46" s="3"/>
      <c r="C46" s="17"/>
      <c r="D46" s="17"/>
      <c r="E46" s="17"/>
      <c r="F46" s="17"/>
      <c r="G46" s="17"/>
      <c r="H46" s="16"/>
    </row>
    <row r="47" spans="1:8" x14ac:dyDescent="0.3">
      <c r="A47" s="3"/>
      <c r="C47" s="1012" t="s">
        <v>957</v>
      </c>
      <c r="D47" s="1013"/>
      <c r="E47" s="1013"/>
      <c r="F47" s="1013"/>
      <c r="G47" s="1014"/>
      <c r="H47" s="18">
        <f>SUM(H39:H46)</f>
        <v>0.79</v>
      </c>
    </row>
    <row r="49" spans="1:10" ht="0.75" customHeight="1" x14ac:dyDescent="0.3">
      <c r="A49" s="3"/>
    </row>
    <row r="50" spans="1:10" x14ac:dyDescent="0.3">
      <c r="A50" s="3"/>
      <c r="C50" s="1015" t="s">
        <v>959</v>
      </c>
      <c r="D50" s="1015"/>
      <c r="E50" s="1015"/>
      <c r="F50" s="1015"/>
      <c r="G50" s="1015"/>
      <c r="H50" s="32">
        <f>F6+F18+F35+F30</f>
        <v>11.509999999999998</v>
      </c>
    </row>
    <row r="51" spans="1:10" x14ac:dyDescent="0.3">
      <c r="A51" s="3"/>
      <c r="C51" s="33"/>
      <c r="D51" s="33"/>
      <c r="E51" s="33"/>
      <c r="F51" s="33"/>
      <c r="G51" s="33"/>
      <c r="H51" s="34"/>
    </row>
    <row r="52" spans="1:10" x14ac:dyDescent="0.3">
      <c r="A52" s="3"/>
      <c r="C52" s="1015" t="s">
        <v>960</v>
      </c>
      <c r="D52" s="1015"/>
      <c r="E52" s="1015"/>
      <c r="F52" s="1015"/>
      <c r="G52" s="1015"/>
      <c r="H52" s="32">
        <f>ROUND(H50,1)</f>
        <v>11.5</v>
      </c>
    </row>
    <row r="54" spans="1:10" ht="18.600000000000001" x14ac:dyDescent="0.3">
      <c r="A54" s="3"/>
      <c r="B54" s="1016" t="s">
        <v>958</v>
      </c>
      <c r="C54" s="1016"/>
      <c r="D54" s="1016"/>
      <c r="E54" s="1016"/>
      <c r="F54" s="1016"/>
      <c r="G54" s="1016"/>
      <c r="H54" s="1016"/>
      <c r="I54" s="1016"/>
      <c r="J54" s="1016"/>
    </row>
    <row r="55" spans="1:10" ht="19.2" x14ac:dyDescent="0.35">
      <c r="A55" s="3"/>
      <c r="B55" s="53"/>
      <c r="C55" s="53"/>
      <c r="D55" s="53"/>
      <c r="E55" s="53"/>
      <c r="F55" s="53"/>
      <c r="G55" s="53"/>
      <c r="H55" s="53"/>
      <c r="I55" s="53"/>
      <c r="J55" s="53"/>
    </row>
    <row r="56" spans="1:10" ht="35.25" customHeight="1" x14ac:dyDescent="0.35">
      <c r="A56" s="3"/>
      <c r="B56" s="50" t="s">
        <v>996</v>
      </c>
      <c r="C56" s="1017" t="s">
        <v>994</v>
      </c>
      <c r="D56" s="1017"/>
      <c r="E56" s="1017"/>
      <c r="F56" s="52">
        <f>H104</f>
        <v>8.1999999999999993</v>
      </c>
      <c r="G56" s="52" t="s">
        <v>971</v>
      </c>
      <c r="H56" s="53"/>
      <c r="I56" s="53"/>
      <c r="J56" s="53"/>
    </row>
    <row r="58" spans="1:10" x14ac:dyDescent="0.3">
      <c r="A58" s="3"/>
      <c r="C58" s="1018" t="s">
        <v>932</v>
      </c>
      <c r="D58" s="1018"/>
      <c r="E58" s="10"/>
      <c r="F58" s="11">
        <f>F65+F68+F66</f>
        <v>4.6399999999999997</v>
      </c>
      <c r="G58" s="12" t="s">
        <v>971</v>
      </c>
    </row>
    <row r="60" spans="1:10" ht="27.6" x14ac:dyDescent="0.3">
      <c r="A60" s="3"/>
      <c r="C60" s="13" t="s">
        <v>929</v>
      </c>
      <c r="D60" s="14" t="s">
        <v>928</v>
      </c>
      <c r="E60" s="14" t="s">
        <v>514</v>
      </c>
      <c r="F60" s="14" t="s">
        <v>515</v>
      </c>
      <c r="G60" s="14" t="s">
        <v>962</v>
      </c>
      <c r="H60" s="14" t="s">
        <v>926</v>
      </c>
      <c r="I60" s="14" t="s">
        <v>516</v>
      </c>
      <c r="J60" s="14" t="s">
        <v>961</v>
      </c>
    </row>
    <row r="61" spans="1:10" x14ac:dyDescent="0.3">
      <c r="A61" s="3"/>
      <c r="C61" s="17" t="s">
        <v>527</v>
      </c>
      <c r="D61" s="16">
        <f>ЗП!C15</f>
        <v>6553.85</v>
      </c>
      <c r="E61" s="16">
        <f>D61*12</f>
        <v>78646.200000000012</v>
      </c>
      <c r="F61" s="16">
        <f>ЗП!E15</f>
        <v>6553.85</v>
      </c>
      <c r="G61" s="16">
        <f>ЗП!F15</f>
        <v>3276.9250000000002</v>
      </c>
      <c r="H61" s="16">
        <f>E61+F61+G61</f>
        <v>88476.97500000002</v>
      </c>
      <c r="I61" s="17">
        <v>1932.7</v>
      </c>
      <c r="J61" s="16">
        <f>ROUND((H61/I61)/60,2)</f>
        <v>0.76</v>
      </c>
    </row>
    <row r="62" spans="1:10" x14ac:dyDescent="0.3">
      <c r="A62" s="3"/>
      <c r="C62" s="17"/>
      <c r="D62" s="16"/>
      <c r="E62" s="16"/>
      <c r="F62" s="16"/>
      <c r="G62" s="16"/>
      <c r="H62" s="16"/>
      <c r="I62" s="17"/>
      <c r="J62" s="16"/>
    </row>
    <row r="64" spans="1:10" ht="27.6" x14ac:dyDescent="0.3">
      <c r="A64" s="3"/>
      <c r="C64" s="13" t="s">
        <v>929</v>
      </c>
      <c r="D64" s="14" t="s">
        <v>961</v>
      </c>
      <c r="E64" s="14" t="s">
        <v>930</v>
      </c>
      <c r="F64" s="14" t="s">
        <v>931</v>
      </c>
    </row>
    <row r="65" spans="1:7" x14ac:dyDescent="0.3">
      <c r="A65" s="3"/>
      <c r="C65" s="15" t="str">
        <f>C61</f>
        <v>Лікар-хірург</v>
      </c>
      <c r="D65" s="16">
        <f>J61</f>
        <v>0.76</v>
      </c>
      <c r="E65" s="17">
        <v>5</v>
      </c>
      <c r="F65" s="18">
        <f>ROUND(D65*E65,2)</f>
        <v>3.8</v>
      </c>
    </row>
    <row r="66" spans="1:7" x14ac:dyDescent="0.3">
      <c r="A66" s="3"/>
      <c r="C66" s="15"/>
      <c r="D66" s="16"/>
      <c r="E66" s="17"/>
      <c r="F66" s="18"/>
    </row>
    <row r="67" spans="1:7" x14ac:dyDescent="0.3">
      <c r="A67" s="3"/>
      <c r="D67" s="19"/>
    </row>
    <row r="68" spans="1:7" x14ac:dyDescent="0.3">
      <c r="A68" s="3"/>
      <c r="C68" s="17" t="s">
        <v>933</v>
      </c>
      <c r="D68" s="16">
        <f>F65+F66</f>
        <v>3.8</v>
      </c>
      <c r="E68" s="20">
        <v>0.22</v>
      </c>
      <c r="F68" s="21">
        <f>ROUND(D68*E68,2)</f>
        <v>0.84</v>
      </c>
    </row>
    <row r="70" spans="1:7" x14ac:dyDescent="0.3">
      <c r="A70" s="3"/>
      <c r="C70" s="12" t="s">
        <v>946</v>
      </c>
      <c r="D70" s="12"/>
      <c r="E70" s="12"/>
      <c r="F70" s="12">
        <f>G80</f>
        <v>2.9</v>
      </c>
      <c r="G70" s="12" t="s">
        <v>971</v>
      </c>
    </row>
    <row r="72" spans="1:7" x14ac:dyDescent="0.3">
      <c r="A72" s="3"/>
      <c r="C72" s="27" t="s">
        <v>934</v>
      </c>
      <c r="D72" s="28" t="s">
        <v>935</v>
      </c>
      <c r="E72" s="29">
        <v>0.1</v>
      </c>
      <c r="F72" s="29">
        <f>'МЕДИЧНІ М'!E11</f>
        <v>2.8</v>
      </c>
      <c r="G72" s="30">
        <f t="shared" ref="G72:G79" si="1">ROUND(E72*F72,2)</f>
        <v>0.28000000000000003</v>
      </c>
    </row>
    <row r="73" spans="1:7" x14ac:dyDescent="0.3">
      <c r="A73" s="3"/>
      <c r="C73" s="27" t="s">
        <v>936</v>
      </c>
      <c r="D73" s="28" t="s">
        <v>937</v>
      </c>
      <c r="E73" s="29">
        <v>1</v>
      </c>
      <c r="F73" s="29">
        <f>'МЕДИЧНІ М'!F9</f>
        <v>0.3</v>
      </c>
      <c r="G73" s="30">
        <f t="shared" si="1"/>
        <v>0.3</v>
      </c>
    </row>
    <row r="74" spans="1:7" x14ac:dyDescent="0.3">
      <c r="A74" s="3"/>
      <c r="C74" s="27" t="s">
        <v>938</v>
      </c>
      <c r="D74" s="28" t="s">
        <v>939</v>
      </c>
      <c r="E74" s="29">
        <v>0.1</v>
      </c>
      <c r="F74" s="29">
        <f>'МЕДИЧНІ М'!F7</f>
        <v>6</v>
      </c>
      <c r="G74" s="30">
        <f t="shared" si="1"/>
        <v>0.6</v>
      </c>
    </row>
    <row r="75" spans="1:7" x14ac:dyDescent="0.3">
      <c r="A75" s="3"/>
      <c r="C75" s="27" t="s">
        <v>940</v>
      </c>
      <c r="D75" s="28" t="s">
        <v>941</v>
      </c>
      <c r="E75" s="29">
        <v>0.5</v>
      </c>
      <c r="F75" s="29">
        <f>'МЕДИЧНІ М'!F8</f>
        <v>2</v>
      </c>
      <c r="G75" s="30">
        <f t="shared" si="1"/>
        <v>1</v>
      </c>
    </row>
    <row r="76" spans="1:7" x14ac:dyDescent="0.3">
      <c r="A76" s="3"/>
      <c r="C76" s="27" t="s">
        <v>942</v>
      </c>
      <c r="D76" s="28" t="s">
        <v>941</v>
      </c>
      <c r="E76" s="29">
        <v>0.01</v>
      </c>
      <c r="F76" s="29">
        <f>'МЕДИЧНІ М'!E13</f>
        <v>24.6</v>
      </c>
      <c r="G76" s="30">
        <f t="shared" si="1"/>
        <v>0.25</v>
      </c>
    </row>
    <row r="77" spans="1:7" x14ac:dyDescent="0.3">
      <c r="A77" s="3"/>
      <c r="C77" s="27" t="s">
        <v>943</v>
      </c>
      <c r="D77" s="28" t="s">
        <v>944</v>
      </c>
      <c r="E77" s="29">
        <v>1</v>
      </c>
      <c r="F77" s="29">
        <f>'МЕДИЧНІ М'!F5</f>
        <v>7.0000000000000007E-2</v>
      </c>
      <c r="G77" s="30">
        <f t="shared" si="1"/>
        <v>7.0000000000000007E-2</v>
      </c>
    </row>
    <row r="78" spans="1:7" x14ac:dyDescent="0.3">
      <c r="A78" s="3"/>
      <c r="C78" s="27" t="s">
        <v>1124</v>
      </c>
      <c r="D78" s="28" t="s">
        <v>944</v>
      </c>
      <c r="E78" s="29">
        <v>0.5</v>
      </c>
      <c r="F78" s="29">
        <f>'МЕДИЧНІ М'!E6</f>
        <v>0.5</v>
      </c>
      <c r="G78" s="30">
        <f t="shared" si="1"/>
        <v>0.25</v>
      </c>
    </row>
    <row r="79" spans="1:7" x14ac:dyDescent="0.3">
      <c r="A79" s="3"/>
      <c r="C79" s="27" t="s">
        <v>1159</v>
      </c>
      <c r="D79" s="28" t="s">
        <v>1160</v>
      </c>
      <c r="E79" s="29">
        <f>E65</f>
        <v>5</v>
      </c>
      <c r="F79" s="29">
        <f>ROUND(3389/I61/60,2)</f>
        <v>0.03</v>
      </c>
      <c r="G79" s="30">
        <f t="shared" si="1"/>
        <v>0.15</v>
      </c>
    </row>
    <row r="80" spans="1:7" x14ac:dyDescent="0.3">
      <c r="A80" s="3"/>
      <c r="C80" s="1019" t="s">
        <v>945</v>
      </c>
      <c r="D80" s="1019"/>
      <c r="E80" s="1019"/>
      <c r="F80" s="1019"/>
      <c r="G80" s="31">
        <f>SUM(G72:G79)</f>
        <v>2.9</v>
      </c>
    </row>
    <row r="82" spans="1:8" x14ac:dyDescent="0.3">
      <c r="A82" s="3"/>
      <c r="C82" s="12" t="s">
        <v>968</v>
      </c>
      <c r="D82" s="12"/>
      <c r="E82" s="12"/>
      <c r="F82" s="11">
        <f>H85</f>
        <v>0.05</v>
      </c>
      <c r="G82" s="12" t="s">
        <v>971</v>
      </c>
    </row>
    <row r="83" spans="1:8" x14ac:dyDescent="0.3">
      <c r="A83" s="3"/>
      <c r="C83" s="22"/>
      <c r="D83" s="22"/>
      <c r="E83" s="22"/>
      <c r="F83" s="23"/>
      <c r="G83" s="22"/>
    </row>
    <row r="84" spans="1:8" ht="27.6" x14ac:dyDescent="0.3">
      <c r="A84" s="3"/>
      <c r="C84" s="14" t="s">
        <v>513</v>
      </c>
      <c r="D84" s="14" t="s">
        <v>969</v>
      </c>
      <c r="E84" s="14" t="s">
        <v>516</v>
      </c>
      <c r="F84" s="14" t="s">
        <v>970</v>
      </c>
      <c r="G84" s="14" t="s">
        <v>930</v>
      </c>
      <c r="H84" s="14" t="s">
        <v>961</v>
      </c>
    </row>
    <row r="85" spans="1:8" x14ac:dyDescent="0.3">
      <c r="A85" s="3"/>
      <c r="C85" s="27" t="s">
        <v>1117</v>
      </c>
      <c r="D85" s="17">
        <f>D33</f>
        <v>815.88</v>
      </c>
      <c r="E85" s="17">
        <f>I61</f>
        <v>1932.7</v>
      </c>
      <c r="F85" s="17">
        <f>ROUND((D85/E85)/60,2)</f>
        <v>0.01</v>
      </c>
      <c r="G85" s="17">
        <f>E65</f>
        <v>5</v>
      </c>
      <c r="H85" s="16">
        <f>ROUND(F85*G85,2)</f>
        <v>0.05</v>
      </c>
    </row>
    <row r="87" spans="1:8" x14ac:dyDescent="0.3">
      <c r="A87" s="3"/>
      <c r="C87" s="12" t="s">
        <v>948</v>
      </c>
      <c r="D87" s="12"/>
      <c r="E87" s="12"/>
      <c r="F87" s="11">
        <f>H99</f>
        <v>0.60000000000000009</v>
      </c>
      <c r="G87" s="12" t="s">
        <v>971</v>
      </c>
    </row>
    <row r="88" spans="1:8" x14ac:dyDescent="0.3">
      <c r="A88" s="3"/>
      <c r="C88" s="22"/>
      <c r="D88" s="22"/>
      <c r="E88" s="22"/>
      <c r="F88" s="23"/>
    </row>
    <row r="89" spans="1:8" ht="41.4" x14ac:dyDescent="0.3">
      <c r="A89" s="3"/>
      <c r="C89" s="14" t="s">
        <v>948</v>
      </c>
      <c r="D89" s="14" t="s">
        <v>955</v>
      </c>
      <c r="E89" s="14" t="s">
        <v>516</v>
      </c>
      <c r="F89" s="14" t="s">
        <v>954</v>
      </c>
      <c r="G89" s="14" t="s">
        <v>930</v>
      </c>
      <c r="H89" s="14" t="s">
        <v>956</v>
      </c>
    </row>
    <row r="90" spans="1:8" x14ac:dyDescent="0.3">
      <c r="A90" s="3"/>
      <c r="C90" s="1009" t="str">
        <f>C61</f>
        <v>Лікар-хірург</v>
      </c>
      <c r="D90" s="1010"/>
      <c r="E90" s="1010"/>
      <c r="F90" s="1010"/>
      <c r="G90" s="1010"/>
      <c r="H90" s="1011"/>
    </row>
    <row r="91" spans="1:8" x14ac:dyDescent="0.3">
      <c r="A91" s="3"/>
      <c r="C91" s="17" t="s">
        <v>951</v>
      </c>
      <c r="D91" s="112">
        <f>D39</f>
        <v>12188.608008565312</v>
      </c>
      <c r="E91" s="17">
        <f>I61</f>
        <v>1932.7</v>
      </c>
      <c r="F91" s="17">
        <f>ROUND((D91/E91)/60,2)</f>
        <v>0.11</v>
      </c>
      <c r="G91" s="17">
        <f>E65</f>
        <v>5</v>
      </c>
      <c r="H91" s="16">
        <f>ROUND(F91*G91,2)</f>
        <v>0.55000000000000004</v>
      </c>
    </row>
    <row r="92" spans="1:8" x14ac:dyDescent="0.3">
      <c r="A92" s="3"/>
      <c r="C92" s="17" t="s">
        <v>952</v>
      </c>
      <c r="D92" s="112">
        <f>D40</f>
        <v>53.149721627408987</v>
      </c>
      <c r="E92" s="17">
        <f>I61</f>
        <v>1932.7</v>
      </c>
      <c r="F92" s="17">
        <f>ROUND((D92/E92)/60,2)</f>
        <v>0</v>
      </c>
      <c r="G92" s="17">
        <f>E65</f>
        <v>5</v>
      </c>
      <c r="H92" s="16">
        <f>ROUND(F92*G92,2)</f>
        <v>0</v>
      </c>
    </row>
    <row r="93" spans="1:8" x14ac:dyDescent="0.3">
      <c r="A93" s="3"/>
      <c r="C93" s="17" t="s">
        <v>953</v>
      </c>
      <c r="D93" s="112">
        <f>D41</f>
        <v>374.98368308351178</v>
      </c>
      <c r="E93" s="17">
        <f>I61</f>
        <v>1932.7</v>
      </c>
      <c r="F93" s="17">
        <f>ROUND((D93/E93)/60,2)</f>
        <v>0</v>
      </c>
      <c r="G93" s="17">
        <f>E65</f>
        <v>5</v>
      </c>
      <c r="H93" s="16">
        <f>ROUND(F93*G93,2)</f>
        <v>0</v>
      </c>
    </row>
    <row r="94" spans="1:8" x14ac:dyDescent="0.3">
      <c r="A94" s="3"/>
      <c r="C94" s="17" t="s">
        <v>1109</v>
      </c>
      <c r="D94" s="112">
        <f>D42</f>
        <v>1686.0389293361886</v>
      </c>
      <c r="E94" s="17">
        <f>I61</f>
        <v>1932.7</v>
      </c>
      <c r="F94" s="17">
        <f>ROUND((D94/E94)/60,2)</f>
        <v>0.01</v>
      </c>
      <c r="G94" s="17">
        <f>E65</f>
        <v>5</v>
      </c>
      <c r="H94" s="16">
        <f>ROUND(F94*G94,2)</f>
        <v>0.05</v>
      </c>
    </row>
    <row r="95" spans="1:8" hidden="1" x14ac:dyDescent="0.3">
      <c r="A95" s="3"/>
      <c r="C95" s="1009"/>
      <c r="D95" s="1010"/>
      <c r="E95" s="1010"/>
      <c r="F95" s="1010"/>
      <c r="G95" s="1010"/>
      <c r="H95" s="1011"/>
    </row>
    <row r="96" spans="1:8" hidden="1" x14ac:dyDescent="0.3">
      <c r="A96" s="3"/>
      <c r="C96" s="17"/>
      <c r="D96" s="17"/>
      <c r="E96" s="17"/>
      <c r="F96" s="17"/>
      <c r="G96" s="17"/>
      <c r="H96" s="16"/>
    </row>
    <row r="97" spans="1:10" hidden="1" x14ac:dyDescent="0.3">
      <c r="A97" s="3"/>
      <c r="C97" s="17"/>
      <c r="D97" s="17"/>
      <c r="E97" s="17"/>
      <c r="F97" s="17"/>
      <c r="G97" s="17"/>
      <c r="H97" s="16"/>
    </row>
    <row r="98" spans="1:10" hidden="1" x14ac:dyDescent="0.3">
      <c r="A98" s="3"/>
      <c r="C98" s="17"/>
      <c r="D98" s="17"/>
      <c r="E98" s="17"/>
      <c r="F98" s="17"/>
      <c r="G98" s="17"/>
      <c r="H98" s="16"/>
    </row>
    <row r="99" spans="1:10" x14ac:dyDescent="0.3">
      <c r="A99" s="3"/>
      <c r="C99" s="1012" t="s">
        <v>957</v>
      </c>
      <c r="D99" s="1013"/>
      <c r="E99" s="1013"/>
      <c r="F99" s="1013"/>
      <c r="G99" s="1014"/>
      <c r="H99" s="18">
        <f>SUM(H91:H98)</f>
        <v>0.60000000000000009</v>
      </c>
    </row>
    <row r="101" spans="1:10" hidden="1" x14ac:dyDescent="0.3">
      <c r="A101" s="3"/>
    </row>
    <row r="102" spans="1:10" x14ac:dyDescent="0.3">
      <c r="A102" s="3"/>
      <c r="C102" s="1015" t="s">
        <v>959</v>
      </c>
      <c r="D102" s="1015"/>
      <c r="E102" s="1015"/>
      <c r="F102" s="1015"/>
      <c r="G102" s="1015"/>
      <c r="H102" s="32">
        <f>F58+F70+F87+F82</f>
        <v>8.19</v>
      </c>
    </row>
    <row r="103" spans="1:10" x14ac:dyDescent="0.3">
      <c r="A103" s="3"/>
      <c r="C103" s="33"/>
      <c r="D103" s="33"/>
      <c r="E103" s="33"/>
      <c r="F103" s="33"/>
      <c r="G103" s="33"/>
      <c r="H103" s="34"/>
    </row>
    <row r="104" spans="1:10" x14ac:dyDescent="0.3">
      <c r="A104" s="3"/>
      <c r="C104" s="1015" t="s">
        <v>960</v>
      </c>
      <c r="D104" s="1015"/>
      <c r="E104" s="1015"/>
      <c r="F104" s="1015"/>
      <c r="G104" s="1015"/>
      <c r="H104" s="32">
        <f>ROUND(H102,1)</f>
        <v>8.1999999999999993</v>
      </c>
    </row>
    <row r="106" spans="1:10" ht="18.600000000000001" x14ac:dyDescent="0.3">
      <c r="A106" s="3"/>
      <c r="B106" s="1016" t="s">
        <v>958</v>
      </c>
      <c r="C106" s="1016"/>
      <c r="D106" s="1016"/>
      <c r="E106" s="1016"/>
      <c r="F106" s="1016"/>
      <c r="G106" s="1016"/>
      <c r="H106" s="1016"/>
      <c r="I106" s="1016"/>
      <c r="J106" s="1016"/>
    </row>
    <row r="107" spans="1:10" ht="19.2" x14ac:dyDescent="0.35">
      <c r="A107" s="3"/>
      <c r="B107" s="53"/>
      <c r="C107" s="53"/>
      <c r="D107" s="53"/>
      <c r="E107" s="53"/>
      <c r="F107" s="53"/>
      <c r="G107" s="53"/>
      <c r="H107" s="53"/>
      <c r="I107" s="53"/>
      <c r="J107" s="53"/>
    </row>
    <row r="108" spans="1:10" ht="36" customHeight="1" x14ac:dyDescent="0.35">
      <c r="A108" s="3"/>
      <c r="B108" s="50" t="s">
        <v>997</v>
      </c>
      <c r="C108" s="1017" t="s">
        <v>995</v>
      </c>
      <c r="D108" s="1017"/>
      <c r="E108" s="1017"/>
      <c r="F108" s="52">
        <f>H156</f>
        <v>9.5</v>
      </c>
      <c r="G108" s="52" t="s">
        <v>971</v>
      </c>
      <c r="H108" s="53"/>
      <c r="I108" s="53"/>
      <c r="J108" s="53"/>
    </row>
    <row r="110" spans="1:10" x14ac:dyDescent="0.3">
      <c r="A110" s="3"/>
      <c r="C110" s="1018" t="s">
        <v>932</v>
      </c>
      <c r="D110" s="1018"/>
      <c r="E110" s="10"/>
      <c r="F110" s="11">
        <f>F117+F120+F118</f>
        <v>5.92</v>
      </c>
      <c r="G110" s="12" t="s">
        <v>971</v>
      </c>
    </row>
    <row r="112" spans="1:10" ht="27.6" x14ac:dyDescent="0.3">
      <c r="A112" s="3"/>
      <c r="C112" s="13" t="s">
        <v>929</v>
      </c>
      <c r="D112" s="14" t="s">
        <v>928</v>
      </c>
      <c r="E112" s="14" t="s">
        <v>514</v>
      </c>
      <c r="F112" s="14" t="s">
        <v>515</v>
      </c>
      <c r="G112" s="14" t="s">
        <v>962</v>
      </c>
      <c r="H112" s="14" t="s">
        <v>926</v>
      </c>
      <c r="I112" s="14" t="s">
        <v>516</v>
      </c>
      <c r="J112" s="14" t="s">
        <v>961</v>
      </c>
    </row>
    <row r="113" spans="1:10" x14ac:dyDescent="0.3">
      <c r="A113" s="3"/>
      <c r="C113" s="17" t="s">
        <v>518</v>
      </c>
      <c r="D113" s="16">
        <f>ЗП!C8</f>
        <v>8537.1</v>
      </c>
      <c r="E113" s="16">
        <f>D113*12</f>
        <v>102445.20000000001</v>
      </c>
      <c r="F113" s="16">
        <f>ЗП!E8</f>
        <v>6567</v>
      </c>
      <c r="G113" s="16">
        <f>ЗП!F8</f>
        <v>3283.5</v>
      </c>
      <c r="H113" s="16">
        <f>E113+F113+G113</f>
        <v>112295.70000000001</v>
      </c>
      <c r="I113" s="17">
        <v>1932.7</v>
      </c>
      <c r="J113" s="16">
        <f>ROUND((H113/I113)/60,2)</f>
        <v>0.97</v>
      </c>
    </row>
    <row r="114" spans="1:10" x14ac:dyDescent="0.3">
      <c r="A114" s="3"/>
      <c r="C114" s="17"/>
      <c r="D114" s="16"/>
      <c r="E114" s="16"/>
      <c r="F114" s="16"/>
      <c r="G114" s="16"/>
      <c r="H114" s="16"/>
      <c r="I114" s="17"/>
      <c r="J114" s="16"/>
    </row>
    <row r="116" spans="1:10" ht="27.6" x14ac:dyDescent="0.3">
      <c r="A116" s="3"/>
      <c r="C116" s="13" t="s">
        <v>929</v>
      </c>
      <c r="D116" s="14" t="s">
        <v>961</v>
      </c>
      <c r="E116" s="14" t="s">
        <v>930</v>
      </c>
      <c r="F116" s="14" t="s">
        <v>931</v>
      </c>
    </row>
    <row r="117" spans="1:10" x14ac:dyDescent="0.3">
      <c r="A117" s="3"/>
      <c r="C117" s="15" t="str">
        <f>C113</f>
        <v>Лікар-невропатолог</v>
      </c>
      <c r="D117" s="16">
        <f>J113</f>
        <v>0.97</v>
      </c>
      <c r="E117" s="17">
        <v>5</v>
      </c>
      <c r="F117" s="18">
        <f>ROUND(D117*E117,2)</f>
        <v>4.8499999999999996</v>
      </c>
    </row>
    <row r="118" spans="1:10" x14ac:dyDescent="0.3">
      <c r="A118" s="3"/>
      <c r="C118" s="15"/>
      <c r="D118" s="16"/>
      <c r="E118" s="17"/>
      <c r="F118" s="18"/>
    </row>
    <row r="119" spans="1:10" x14ac:dyDescent="0.3">
      <c r="A119" s="3"/>
      <c r="D119" s="19"/>
    </row>
    <row r="120" spans="1:10" x14ac:dyDescent="0.3">
      <c r="A120" s="3"/>
      <c r="C120" s="17" t="s">
        <v>933</v>
      </c>
      <c r="D120" s="16">
        <f>F117+F118</f>
        <v>4.8499999999999996</v>
      </c>
      <c r="E120" s="20">
        <v>0.22</v>
      </c>
      <c r="F120" s="21">
        <f>ROUND(D120*E120,2)</f>
        <v>1.07</v>
      </c>
    </row>
    <row r="122" spans="1:10" x14ac:dyDescent="0.3">
      <c r="A122" s="3"/>
      <c r="C122" s="12" t="s">
        <v>946</v>
      </c>
      <c r="D122" s="12"/>
      <c r="E122" s="12"/>
      <c r="F122" s="12">
        <f>G132</f>
        <v>2.9</v>
      </c>
      <c r="G122" s="12" t="s">
        <v>971</v>
      </c>
    </row>
    <row r="124" spans="1:10" x14ac:dyDescent="0.3">
      <c r="A124" s="3"/>
      <c r="C124" s="27" t="s">
        <v>934</v>
      </c>
      <c r="D124" s="28" t="s">
        <v>935</v>
      </c>
      <c r="E124" s="29">
        <v>0.1</v>
      </c>
      <c r="F124" s="29">
        <f>'МЕДИЧНІ М'!E11</f>
        <v>2.8</v>
      </c>
      <c r="G124" s="30">
        <f t="shared" ref="G124:G131" si="2">ROUND(E124*F124,2)</f>
        <v>0.28000000000000003</v>
      </c>
    </row>
    <row r="125" spans="1:10" x14ac:dyDescent="0.3">
      <c r="A125" s="3"/>
      <c r="C125" s="27" t="s">
        <v>936</v>
      </c>
      <c r="D125" s="28" t="s">
        <v>937</v>
      </c>
      <c r="E125" s="29">
        <v>1</v>
      </c>
      <c r="F125" s="29">
        <f>'МЕДИЧНІ М'!F9</f>
        <v>0.3</v>
      </c>
      <c r="G125" s="30">
        <f t="shared" si="2"/>
        <v>0.3</v>
      </c>
    </row>
    <row r="126" spans="1:10" x14ac:dyDescent="0.3">
      <c r="A126" s="3"/>
      <c r="C126" s="27" t="s">
        <v>938</v>
      </c>
      <c r="D126" s="28" t="s">
        <v>939</v>
      </c>
      <c r="E126" s="29">
        <v>0.1</v>
      </c>
      <c r="F126" s="29">
        <f>'МЕДИЧНІ М'!F7</f>
        <v>6</v>
      </c>
      <c r="G126" s="30">
        <f t="shared" si="2"/>
        <v>0.6</v>
      </c>
    </row>
    <row r="127" spans="1:10" x14ac:dyDescent="0.3">
      <c r="A127" s="3"/>
      <c r="C127" s="27" t="s">
        <v>940</v>
      </c>
      <c r="D127" s="28" t="s">
        <v>941</v>
      </c>
      <c r="E127" s="29">
        <v>0.5</v>
      </c>
      <c r="F127" s="29">
        <f>'МЕДИЧНІ М'!E8</f>
        <v>2</v>
      </c>
      <c r="G127" s="30">
        <f t="shared" si="2"/>
        <v>1</v>
      </c>
    </row>
    <row r="128" spans="1:10" x14ac:dyDescent="0.3">
      <c r="A128" s="3"/>
      <c r="C128" s="27" t="s">
        <v>942</v>
      </c>
      <c r="D128" s="28" t="s">
        <v>941</v>
      </c>
      <c r="E128" s="29">
        <v>0.01</v>
      </c>
      <c r="F128" s="29">
        <f>'МЕДИЧНІ М'!E13</f>
        <v>24.6</v>
      </c>
      <c r="G128" s="30">
        <f t="shared" si="2"/>
        <v>0.25</v>
      </c>
    </row>
    <row r="129" spans="1:8" x14ac:dyDescent="0.3">
      <c r="A129" s="3"/>
      <c r="C129" s="27" t="s">
        <v>943</v>
      </c>
      <c r="D129" s="28" t="s">
        <v>944</v>
      </c>
      <c r="E129" s="29">
        <v>1</v>
      </c>
      <c r="F129" s="29">
        <f>'МЕДИЧНІ М'!F5</f>
        <v>7.0000000000000007E-2</v>
      </c>
      <c r="G129" s="30">
        <f t="shared" si="2"/>
        <v>7.0000000000000007E-2</v>
      </c>
    </row>
    <row r="130" spans="1:8" x14ac:dyDescent="0.3">
      <c r="A130" s="3"/>
      <c r="C130" s="27" t="s">
        <v>1124</v>
      </c>
      <c r="D130" s="28" t="s">
        <v>944</v>
      </c>
      <c r="E130" s="29">
        <v>0.5</v>
      </c>
      <c r="F130" s="29">
        <f>'МЕДИЧНІ М'!E6</f>
        <v>0.5</v>
      </c>
      <c r="G130" s="30">
        <f t="shared" si="2"/>
        <v>0.25</v>
      </c>
    </row>
    <row r="131" spans="1:8" x14ac:dyDescent="0.3">
      <c r="A131" s="3"/>
      <c r="C131" s="27" t="s">
        <v>1159</v>
      </c>
      <c r="D131" s="28" t="s">
        <v>1160</v>
      </c>
      <c r="E131" s="29">
        <f>E117</f>
        <v>5</v>
      </c>
      <c r="F131" s="29">
        <f>ROUND(3389/I113/60,2)</f>
        <v>0.03</v>
      </c>
      <c r="G131" s="30">
        <f t="shared" si="2"/>
        <v>0.15</v>
      </c>
    </row>
    <row r="132" spans="1:8" x14ac:dyDescent="0.3">
      <c r="A132" s="3"/>
      <c r="C132" s="1019" t="s">
        <v>945</v>
      </c>
      <c r="D132" s="1019"/>
      <c r="E132" s="1019"/>
      <c r="F132" s="1019"/>
      <c r="G132" s="31">
        <f>SUM(G124:G131)</f>
        <v>2.9</v>
      </c>
    </row>
    <row r="134" spans="1:8" x14ac:dyDescent="0.3">
      <c r="A134" s="3"/>
      <c r="C134" s="12" t="s">
        <v>968</v>
      </c>
      <c r="D134" s="12"/>
      <c r="E134" s="12"/>
      <c r="F134" s="11">
        <f>H137</f>
        <v>0.05</v>
      </c>
      <c r="G134" s="12" t="s">
        <v>971</v>
      </c>
    </row>
    <row r="135" spans="1:8" x14ac:dyDescent="0.3">
      <c r="A135" s="3"/>
      <c r="C135" s="22"/>
      <c r="D135" s="22"/>
      <c r="E135" s="22"/>
      <c r="F135" s="23"/>
      <c r="G135" s="22"/>
    </row>
    <row r="136" spans="1:8" ht="27.6" x14ac:dyDescent="0.3">
      <c r="A136" s="3"/>
      <c r="C136" s="14" t="s">
        <v>513</v>
      </c>
      <c r="D136" s="14" t="s">
        <v>969</v>
      </c>
      <c r="E136" s="14" t="s">
        <v>516</v>
      </c>
      <c r="F136" s="14" t="s">
        <v>970</v>
      </c>
      <c r="G136" s="14" t="s">
        <v>930</v>
      </c>
      <c r="H136" s="14" t="s">
        <v>961</v>
      </c>
    </row>
    <row r="137" spans="1:8" x14ac:dyDescent="0.3">
      <c r="A137" s="3"/>
      <c r="C137" s="27" t="s">
        <v>1117</v>
      </c>
      <c r="D137" s="17">
        <f>D85</f>
        <v>815.88</v>
      </c>
      <c r="E137" s="17">
        <f>I113</f>
        <v>1932.7</v>
      </c>
      <c r="F137" s="17">
        <f>ROUND((D137/E137)/60,2)</f>
        <v>0.01</v>
      </c>
      <c r="G137" s="17">
        <f>E117</f>
        <v>5</v>
      </c>
      <c r="H137" s="16">
        <f>ROUND(F137*G137,2)</f>
        <v>0.05</v>
      </c>
    </row>
    <row r="139" spans="1:8" x14ac:dyDescent="0.3">
      <c r="A139" s="3"/>
      <c r="C139" s="12" t="s">
        <v>948</v>
      </c>
      <c r="D139" s="12"/>
      <c r="E139" s="12"/>
      <c r="F139" s="11">
        <f>H151</f>
        <v>0.60000000000000009</v>
      </c>
      <c r="G139" s="12" t="s">
        <v>971</v>
      </c>
    </row>
    <row r="140" spans="1:8" x14ac:dyDescent="0.3">
      <c r="A140" s="3"/>
      <c r="C140" s="22"/>
      <c r="D140" s="22"/>
      <c r="E140" s="22"/>
      <c r="F140" s="23"/>
    </row>
    <row r="141" spans="1:8" ht="41.4" x14ac:dyDescent="0.3">
      <c r="A141" s="3"/>
      <c r="C141" s="14" t="s">
        <v>948</v>
      </c>
      <c r="D141" s="14" t="s">
        <v>955</v>
      </c>
      <c r="E141" s="14" t="s">
        <v>516</v>
      </c>
      <c r="F141" s="14" t="s">
        <v>954</v>
      </c>
      <c r="G141" s="14" t="s">
        <v>930</v>
      </c>
      <c r="H141" s="14" t="s">
        <v>956</v>
      </c>
    </row>
    <row r="142" spans="1:8" x14ac:dyDescent="0.3">
      <c r="A142" s="3"/>
      <c r="C142" s="1009" t="str">
        <f>C113</f>
        <v>Лікар-невропатолог</v>
      </c>
      <c r="D142" s="1010"/>
      <c r="E142" s="1010"/>
      <c r="F142" s="1010"/>
      <c r="G142" s="1010"/>
      <c r="H142" s="1011"/>
    </row>
    <row r="143" spans="1:8" x14ac:dyDescent="0.3">
      <c r="A143" s="3"/>
      <c r="C143" s="17" t="s">
        <v>951</v>
      </c>
      <c r="D143" s="112">
        <f>D91</f>
        <v>12188.608008565312</v>
      </c>
      <c r="E143" s="17">
        <f>I113</f>
        <v>1932.7</v>
      </c>
      <c r="F143" s="17">
        <f>ROUND((D143/E143)/60,2)</f>
        <v>0.11</v>
      </c>
      <c r="G143" s="17">
        <f>E117</f>
        <v>5</v>
      </c>
      <c r="H143" s="16">
        <f>ROUND(F143*G143,2)</f>
        <v>0.55000000000000004</v>
      </c>
    </row>
    <row r="144" spans="1:8" x14ac:dyDescent="0.3">
      <c r="A144" s="3"/>
      <c r="C144" s="17" t="s">
        <v>952</v>
      </c>
      <c r="D144" s="112">
        <f>D92</f>
        <v>53.149721627408987</v>
      </c>
      <c r="E144" s="17">
        <f>I113</f>
        <v>1932.7</v>
      </c>
      <c r="F144" s="17">
        <f>ROUND((D144/E144)/60,2)</f>
        <v>0</v>
      </c>
      <c r="G144" s="17">
        <f>E117</f>
        <v>5</v>
      </c>
      <c r="H144" s="16">
        <f>ROUND(F144*G144,2)</f>
        <v>0</v>
      </c>
    </row>
    <row r="145" spans="1:10" x14ac:dyDescent="0.3">
      <c r="A145" s="3"/>
      <c r="C145" s="17" t="s">
        <v>953</v>
      </c>
      <c r="D145" s="112">
        <f>D93</f>
        <v>374.98368308351178</v>
      </c>
      <c r="E145" s="17">
        <f>I113</f>
        <v>1932.7</v>
      </c>
      <c r="F145" s="17">
        <f>ROUND((D145/E145)/60,2)</f>
        <v>0</v>
      </c>
      <c r="G145" s="17">
        <f>E117</f>
        <v>5</v>
      </c>
      <c r="H145" s="16">
        <f>ROUND(F145*G145,2)</f>
        <v>0</v>
      </c>
    </row>
    <row r="146" spans="1:10" x14ac:dyDescent="0.3">
      <c r="A146" s="3"/>
      <c r="C146" s="17" t="s">
        <v>1109</v>
      </c>
      <c r="D146" s="112">
        <f>D94</f>
        <v>1686.0389293361886</v>
      </c>
      <c r="E146" s="17">
        <f>I113</f>
        <v>1932.7</v>
      </c>
      <c r="F146" s="17">
        <f>ROUND((D146/E146)/60,2)</f>
        <v>0.01</v>
      </c>
      <c r="G146" s="17">
        <f>E117</f>
        <v>5</v>
      </c>
      <c r="H146" s="16">
        <f>ROUND(F146*G146,2)</f>
        <v>0.05</v>
      </c>
    </row>
    <row r="147" spans="1:10" hidden="1" x14ac:dyDescent="0.3">
      <c r="A147" s="3"/>
      <c r="C147" s="1009"/>
      <c r="D147" s="1010"/>
      <c r="E147" s="1010"/>
      <c r="F147" s="1010"/>
      <c r="G147" s="1010"/>
      <c r="H147" s="1011"/>
    </row>
    <row r="148" spans="1:10" hidden="1" x14ac:dyDescent="0.3">
      <c r="A148" s="3"/>
      <c r="C148" s="17"/>
      <c r="D148" s="17"/>
      <c r="E148" s="17"/>
      <c r="F148" s="17"/>
      <c r="G148" s="17"/>
      <c r="H148" s="16"/>
    </row>
    <row r="149" spans="1:10" hidden="1" x14ac:dyDescent="0.3">
      <c r="A149" s="3"/>
      <c r="C149" s="17"/>
      <c r="D149" s="17"/>
      <c r="E149" s="17"/>
      <c r="F149" s="17"/>
      <c r="G149" s="17"/>
      <c r="H149" s="16"/>
    </row>
    <row r="150" spans="1:10" hidden="1" x14ac:dyDescent="0.3">
      <c r="A150" s="3"/>
      <c r="C150" s="17"/>
      <c r="D150" s="17"/>
      <c r="E150" s="17"/>
      <c r="F150" s="17"/>
      <c r="G150" s="17"/>
      <c r="H150" s="16"/>
    </row>
    <row r="151" spans="1:10" x14ac:dyDescent="0.3">
      <c r="A151" s="3"/>
      <c r="C151" s="1012" t="s">
        <v>957</v>
      </c>
      <c r="D151" s="1013"/>
      <c r="E151" s="1013"/>
      <c r="F151" s="1013"/>
      <c r="G151" s="1014"/>
      <c r="H151" s="18">
        <f>SUM(H143:H150)</f>
        <v>0.60000000000000009</v>
      </c>
    </row>
    <row r="153" spans="1:10" ht="0.75" customHeight="1" x14ac:dyDescent="0.3">
      <c r="A153" s="3"/>
    </row>
    <row r="154" spans="1:10" x14ac:dyDescent="0.3">
      <c r="A154" s="3"/>
      <c r="C154" s="1015" t="s">
        <v>959</v>
      </c>
      <c r="D154" s="1015"/>
      <c r="E154" s="1015"/>
      <c r="F154" s="1015"/>
      <c r="G154" s="1015"/>
      <c r="H154" s="32">
        <f>F110+F122+F139+F134</f>
        <v>9.4700000000000006</v>
      </c>
    </row>
    <row r="155" spans="1:10" x14ac:dyDescent="0.3">
      <c r="A155" s="3"/>
      <c r="C155" s="33"/>
      <c r="D155" s="33"/>
      <c r="E155" s="33"/>
      <c r="F155" s="33"/>
      <c r="G155" s="33"/>
      <c r="H155" s="34"/>
    </row>
    <row r="156" spans="1:10" x14ac:dyDescent="0.3">
      <c r="A156" s="3"/>
      <c r="C156" s="1015" t="s">
        <v>960</v>
      </c>
      <c r="D156" s="1015"/>
      <c r="E156" s="1015"/>
      <c r="F156" s="1015"/>
      <c r="G156" s="1015"/>
      <c r="H156" s="32">
        <f>ROUND(H154,1)</f>
        <v>9.5</v>
      </c>
    </row>
    <row r="158" spans="1:10" ht="18.600000000000001" x14ac:dyDescent="0.3">
      <c r="A158" s="3"/>
      <c r="B158" s="1016" t="s">
        <v>958</v>
      </c>
      <c r="C158" s="1016"/>
      <c r="D158" s="1016"/>
      <c r="E158" s="1016"/>
      <c r="F158" s="1016"/>
      <c r="G158" s="1016"/>
      <c r="H158" s="1016"/>
      <c r="I158" s="1016"/>
      <c r="J158" s="1016"/>
    </row>
    <row r="159" spans="1:10" ht="19.2" x14ac:dyDescent="0.35">
      <c r="A159" s="3"/>
      <c r="B159" s="53"/>
      <c r="C159" s="53"/>
      <c r="D159" s="53"/>
      <c r="E159" s="53"/>
      <c r="F159" s="53"/>
      <c r="G159" s="53"/>
      <c r="H159" s="53"/>
      <c r="I159" s="53"/>
      <c r="J159" s="53"/>
    </row>
    <row r="160" spans="1:10" ht="36" customHeight="1" x14ac:dyDescent="0.35">
      <c r="A160" s="3"/>
      <c r="B160" s="50" t="s">
        <v>1000</v>
      </c>
      <c r="C160" s="1017" t="s">
        <v>999</v>
      </c>
      <c r="D160" s="1017"/>
      <c r="E160" s="1017"/>
      <c r="F160" s="52">
        <f>H208</f>
        <v>9.8000000000000007</v>
      </c>
      <c r="G160" s="52" t="s">
        <v>971</v>
      </c>
      <c r="H160" s="53"/>
      <c r="I160" s="53"/>
      <c r="J160" s="53"/>
    </row>
    <row r="162" spans="1:10" x14ac:dyDescent="0.3">
      <c r="A162" s="3"/>
      <c r="C162" s="1018" t="s">
        <v>932</v>
      </c>
      <c r="D162" s="1018"/>
      <c r="E162" s="10"/>
      <c r="F162" s="11">
        <f>F169+F172+F170</f>
        <v>6.28</v>
      </c>
      <c r="G162" s="12" t="s">
        <v>971</v>
      </c>
    </row>
    <row r="164" spans="1:10" ht="27.6" x14ac:dyDescent="0.3">
      <c r="A164" s="3"/>
      <c r="C164" s="13" t="s">
        <v>929</v>
      </c>
      <c r="D164" s="14" t="s">
        <v>928</v>
      </c>
      <c r="E164" s="14" t="s">
        <v>514</v>
      </c>
      <c r="F164" s="14" t="s">
        <v>515</v>
      </c>
      <c r="G164" s="14" t="s">
        <v>962</v>
      </c>
      <c r="H164" s="14" t="s">
        <v>926</v>
      </c>
      <c r="I164" s="14" t="s">
        <v>516</v>
      </c>
      <c r="J164" s="14" t="s">
        <v>961</v>
      </c>
    </row>
    <row r="165" spans="1:10" x14ac:dyDescent="0.3">
      <c r="A165" s="3"/>
      <c r="C165" s="17" t="s">
        <v>522</v>
      </c>
      <c r="D165" s="16">
        <f>ЗП!C12</f>
        <v>9101.2999999999993</v>
      </c>
      <c r="E165" s="16">
        <f>D165*12</f>
        <v>109215.59999999999</v>
      </c>
      <c r="F165" s="16">
        <f>ЗП!E12</f>
        <v>7001</v>
      </c>
      <c r="G165" s="16">
        <f>ЗП!F12</f>
        <v>3500.5</v>
      </c>
      <c r="H165" s="16">
        <f>E165+F165+G165</f>
        <v>119717.09999999999</v>
      </c>
      <c r="I165" s="17">
        <v>1932.7</v>
      </c>
      <c r="J165" s="16">
        <f>ROUND((H165/I165)/60,2)</f>
        <v>1.03</v>
      </c>
    </row>
    <row r="166" spans="1:10" x14ac:dyDescent="0.3">
      <c r="A166" s="3"/>
      <c r="C166" s="17"/>
      <c r="D166" s="16"/>
      <c r="E166" s="16"/>
      <c r="F166" s="16"/>
      <c r="G166" s="16"/>
      <c r="H166" s="16"/>
      <c r="I166" s="17"/>
      <c r="J166" s="16"/>
    </row>
    <row r="168" spans="1:10" ht="27.6" x14ac:dyDescent="0.3">
      <c r="A168" s="3"/>
      <c r="C168" s="13" t="s">
        <v>929</v>
      </c>
      <c r="D168" s="14" t="s">
        <v>961</v>
      </c>
      <c r="E168" s="14" t="s">
        <v>930</v>
      </c>
      <c r="F168" s="14" t="s">
        <v>931</v>
      </c>
    </row>
    <row r="169" spans="1:10" x14ac:dyDescent="0.3">
      <c r="A169" s="3"/>
      <c r="C169" s="15" t="str">
        <f>C165</f>
        <v>Лікар-офтальмолога</v>
      </c>
      <c r="D169" s="16">
        <f>J165</f>
        <v>1.03</v>
      </c>
      <c r="E169" s="17">
        <v>5</v>
      </c>
      <c r="F169" s="18">
        <f>ROUND(D169*E169,2)</f>
        <v>5.15</v>
      </c>
    </row>
    <row r="170" spans="1:10" x14ac:dyDescent="0.3">
      <c r="A170" s="3"/>
      <c r="C170" s="15"/>
      <c r="D170" s="16"/>
      <c r="E170" s="17"/>
      <c r="F170" s="18"/>
    </row>
    <row r="171" spans="1:10" x14ac:dyDescent="0.3">
      <c r="A171" s="3"/>
      <c r="D171" s="19"/>
    </row>
    <row r="172" spans="1:10" x14ac:dyDescent="0.3">
      <c r="A172" s="3"/>
      <c r="C172" s="17" t="s">
        <v>933</v>
      </c>
      <c r="D172" s="16">
        <f>F169+F170</f>
        <v>5.15</v>
      </c>
      <c r="E172" s="20">
        <v>0.22</v>
      </c>
      <c r="F172" s="21">
        <f>ROUND(D172*E172,2)</f>
        <v>1.1299999999999999</v>
      </c>
    </row>
    <row r="174" spans="1:10" x14ac:dyDescent="0.3">
      <c r="A174" s="3"/>
      <c r="C174" s="12" t="s">
        <v>946</v>
      </c>
      <c r="D174" s="12"/>
      <c r="E174" s="12"/>
      <c r="F174" s="12">
        <f>G184</f>
        <v>2.9</v>
      </c>
      <c r="G174" s="12" t="s">
        <v>971</v>
      </c>
    </row>
    <row r="176" spans="1:10" x14ac:dyDescent="0.3">
      <c r="A176" s="3"/>
      <c r="C176" s="27" t="s">
        <v>934</v>
      </c>
      <c r="D176" s="28" t="s">
        <v>935</v>
      </c>
      <c r="E176" s="29">
        <v>0.1</v>
      </c>
      <c r="F176" s="29">
        <f>'МЕДИЧНІ М'!E11</f>
        <v>2.8</v>
      </c>
      <c r="G176" s="30">
        <f t="shared" ref="G176:G183" si="3">ROUND(E176*F176,2)</f>
        <v>0.28000000000000003</v>
      </c>
    </row>
    <row r="177" spans="1:8" x14ac:dyDescent="0.3">
      <c r="A177" s="3"/>
      <c r="C177" s="27" t="s">
        <v>936</v>
      </c>
      <c r="D177" s="28" t="s">
        <v>937</v>
      </c>
      <c r="E177" s="29">
        <v>1</v>
      </c>
      <c r="F177" s="29">
        <f>'МЕДИЧНІ М'!F9</f>
        <v>0.3</v>
      </c>
      <c r="G177" s="30">
        <f t="shared" si="3"/>
        <v>0.3</v>
      </c>
    </row>
    <row r="178" spans="1:8" x14ac:dyDescent="0.3">
      <c r="A178" s="3"/>
      <c r="C178" s="27" t="s">
        <v>938</v>
      </c>
      <c r="D178" s="28" t="s">
        <v>939</v>
      </c>
      <c r="E178" s="29">
        <v>0.1</v>
      </c>
      <c r="F178" s="29">
        <f>'МЕДИЧНІ М'!F7</f>
        <v>6</v>
      </c>
      <c r="G178" s="30">
        <f t="shared" si="3"/>
        <v>0.6</v>
      </c>
    </row>
    <row r="179" spans="1:8" x14ac:dyDescent="0.3">
      <c r="A179" s="3"/>
      <c r="C179" s="27" t="s">
        <v>940</v>
      </c>
      <c r="D179" s="28" t="s">
        <v>941</v>
      </c>
      <c r="E179" s="29">
        <v>0.5</v>
      </c>
      <c r="F179" s="29">
        <f>'МЕДИЧНІ М'!E8</f>
        <v>2</v>
      </c>
      <c r="G179" s="30">
        <f t="shared" si="3"/>
        <v>1</v>
      </c>
    </row>
    <row r="180" spans="1:8" x14ac:dyDescent="0.3">
      <c r="A180" s="3"/>
      <c r="C180" s="27" t="s">
        <v>942</v>
      </c>
      <c r="D180" s="28" t="s">
        <v>941</v>
      </c>
      <c r="E180" s="29">
        <v>0.01</v>
      </c>
      <c r="F180" s="29">
        <f>'МЕДИЧНІ М'!E13</f>
        <v>24.6</v>
      </c>
      <c r="G180" s="30">
        <f t="shared" si="3"/>
        <v>0.25</v>
      </c>
    </row>
    <row r="181" spans="1:8" x14ac:dyDescent="0.3">
      <c r="A181" s="3"/>
      <c r="C181" s="27" t="s">
        <v>943</v>
      </c>
      <c r="D181" s="28" t="s">
        <v>944</v>
      </c>
      <c r="E181" s="29">
        <v>1</v>
      </c>
      <c r="F181" s="29">
        <f>'МЕДИЧНІ М'!F5</f>
        <v>7.0000000000000007E-2</v>
      </c>
      <c r="G181" s="30">
        <f t="shared" si="3"/>
        <v>7.0000000000000007E-2</v>
      </c>
    </row>
    <row r="182" spans="1:8" x14ac:dyDescent="0.3">
      <c r="A182" s="3"/>
      <c r="C182" s="27" t="s">
        <v>1124</v>
      </c>
      <c r="D182" s="28" t="s">
        <v>944</v>
      </c>
      <c r="E182" s="29">
        <v>0.5</v>
      </c>
      <c r="F182" s="29">
        <f>'МЕДИЧНІ М'!E6</f>
        <v>0.5</v>
      </c>
      <c r="G182" s="30">
        <f t="shared" si="3"/>
        <v>0.25</v>
      </c>
    </row>
    <row r="183" spans="1:8" x14ac:dyDescent="0.3">
      <c r="A183" s="3"/>
      <c r="C183" s="27" t="s">
        <v>1159</v>
      </c>
      <c r="D183" s="28" t="s">
        <v>1160</v>
      </c>
      <c r="E183" s="29">
        <f>E169</f>
        <v>5</v>
      </c>
      <c r="F183" s="29">
        <f>ROUND(3389/I165/60,2)</f>
        <v>0.03</v>
      </c>
      <c r="G183" s="30">
        <f t="shared" si="3"/>
        <v>0.15</v>
      </c>
    </row>
    <row r="184" spans="1:8" x14ac:dyDescent="0.3">
      <c r="A184" s="3"/>
      <c r="C184" s="1019" t="s">
        <v>945</v>
      </c>
      <c r="D184" s="1019"/>
      <c r="E184" s="1019"/>
      <c r="F184" s="1019"/>
      <c r="G184" s="31">
        <f>SUM(G176:G183)</f>
        <v>2.9</v>
      </c>
    </row>
    <row r="186" spans="1:8" x14ac:dyDescent="0.3">
      <c r="A186" s="3"/>
      <c r="C186" s="12" t="s">
        <v>968</v>
      </c>
      <c r="D186" s="12"/>
      <c r="E186" s="12"/>
      <c r="F186" s="11">
        <f>H189</f>
        <v>0.05</v>
      </c>
      <c r="G186" s="12" t="s">
        <v>971</v>
      </c>
    </row>
    <row r="187" spans="1:8" x14ac:dyDescent="0.3">
      <c r="A187" s="3"/>
      <c r="C187" s="22"/>
      <c r="D187" s="22"/>
      <c r="E187" s="22"/>
      <c r="F187" s="23"/>
      <c r="G187" s="22"/>
    </row>
    <row r="188" spans="1:8" ht="27.6" x14ac:dyDescent="0.3">
      <c r="A188" s="3"/>
      <c r="C188" s="14" t="s">
        <v>513</v>
      </c>
      <c r="D188" s="14" t="s">
        <v>969</v>
      </c>
      <c r="E188" s="14" t="s">
        <v>516</v>
      </c>
      <c r="F188" s="14" t="s">
        <v>970</v>
      </c>
      <c r="G188" s="14" t="s">
        <v>930</v>
      </c>
      <c r="H188" s="14" t="s">
        <v>961</v>
      </c>
    </row>
    <row r="189" spans="1:8" x14ac:dyDescent="0.3">
      <c r="A189" s="3"/>
      <c r="C189" s="27" t="s">
        <v>1117</v>
      </c>
      <c r="D189" s="17">
        <f>D137</f>
        <v>815.88</v>
      </c>
      <c r="E189" s="17">
        <f>I165</f>
        <v>1932.7</v>
      </c>
      <c r="F189" s="17">
        <f>ROUND((D189/E189)/60,2)</f>
        <v>0.01</v>
      </c>
      <c r="G189" s="17">
        <f>E169</f>
        <v>5</v>
      </c>
      <c r="H189" s="16">
        <f>ROUND(F189*G189,2)</f>
        <v>0.05</v>
      </c>
    </row>
    <row r="191" spans="1:8" x14ac:dyDescent="0.3">
      <c r="A191" s="3"/>
      <c r="C191" s="12" t="s">
        <v>948</v>
      </c>
      <c r="D191" s="12"/>
      <c r="E191" s="12"/>
      <c r="F191" s="11">
        <f>H203</f>
        <v>0.60000000000000009</v>
      </c>
      <c r="G191" s="12" t="s">
        <v>971</v>
      </c>
    </row>
    <row r="192" spans="1:8" x14ac:dyDescent="0.3">
      <c r="A192" s="3"/>
      <c r="C192" s="22"/>
      <c r="D192" s="22"/>
      <c r="E192" s="22"/>
      <c r="F192" s="23"/>
    </row>
    <row r="193" spans="1:8" ht="41.4" x14ac:dyDescent="0.3">
      <c r="A193" s="3"/>
      <c r="C193" s="14" t="s">
        <v>948</v>
      </c>
      <c r="D193" s="14" t="s">
        <v>955</v>
      </c>
      <c r="E193" s="14" t="s">
        <v>516</v>
      </c>
      <c r="F193" s="14" t="s">
        <v>954</v>
      </c>
      <c r="G193" s="14" t="s">
        <v>930</v>
      </c>
      <c r="H193" s="14" t="s">
        <v>956</v>
      </c>
    </row>
    <row r="194" spans="1:8" x14ac:dyDescent="0.3">
      <c r="A194" s="3"/>
      <c r="C194" s="1009" t="str">
        <f>C165</f>
        <v>Лікар-офтальмолога</v>
      </c>
      <c r="D194" s="1010"/>
      <c r="E194" s="1010"/>
      <c r="F194" s="1010"/>
      <c r="G194" s="1010"/>
      <c r="H194" s="1011"/>
    </row>
    <row r="195" spans="1:8" x14ac:dyDescent="0.3">
      <c r="A195" s="3"/>
      <c r="C195" s="17" t="s">
        <v>951</v>
      </c>
      <c r="D195" s="112">
        <f>D143</f>
        <v>12188.608008565312</v>
      </c>
      <c r="E195" s="17">
        <f>I165</f>
        <v>1932.7</v>
      </c>
      <c r="F195" s="17">
        <f>ROUND((D195/E195)/60,2)</f>
        <v>0.11</v>
      </c>
      <c r="G195" s="17">
        <f>E169</f>
        <v>5</v>
      </c>
      <c r="H195" s="16">
        <f>ROUND(F195*G195,2)</f>
        <v>0.55000000000000004</v>
      </c>
    </row>
    <row r="196" spans="1:8" x14ac:dyDescent="0.3">
      <c r="A196" s="3"/>
      <c r="C196" s="17" t="s">
        <v>952</v>
      </c>
      <c r="D196" s="112">
        <f>D144</f>
        <v>53.149721627408987</v>
      </c>
      <c r="E196" s="17">
        <f>I165</f>
        <v>1932.7</v>
      </c>
      <c r="F196" s="17">
        <f>ROUND((D196/E196)/60,2)</f>
        <v>0</v>
      </c>
      <c r="G196" s="17">
        <f>E169</f>
        <v>5</v>
      </c>
      <c r="H196" s="16">
        <f>ROUND(F196*G196,2)</f>
        <v>0</v>
      </c>
    </row>
    <row r="197" spans="1:8" x14ac:dyDescent="0.3">
      <c r="A197" s="3"/>
      <c r="C197" s="17" t="s">
        <v>953</v>
      </c>
      <c r="D197" s="112">
        <f>D145</f>
        <v>374.98368308351178</v>
      </c>
      <c r="E197" s="17">
        <f>I165</f>
        <v>1932.7</v>
      </c>
      <c r="F197" s="17">
        <f>ROUND((D197/E197)/60,2)</f>
        <v>0</v>
      </c>
      <c r="G197" s="17">
        <f>E169</f>
        <v>5</v>
      </c>
      <c r="H197" s="16">
        <f>ROUND(F197*G197,2)</f>
        <v>0</v>
      </c>
    </row>
    <row r="198" spans="1:8" x14ac:dyDescent="0.3">
      <c r="A198" s="3"/>
      <c r="C198" s="17" t="s">
        <v>1109</v>
      </c>
      <c r="D198" s="112">
        <f>D146</f>
        <v>1686.0389293361886</v>
      </c>
      <c r="E198" s="17">
        <f>I165</f>
        <v>1932.7</v>
      </c>
      <c r="F198" s="17">
        <f>ROUND((D198/E198)/60,2)</f>
        <v>0.01</v>
      </c>
      <c r="G198" s="17">
        <f>E169</f>
        <v>5</v>
      </c>
      <c r="H198" s="16">
        <f>ROUND(F198*G198,2)</f>
        <v>0.05</v>
      </c>
    </row>
    <row r="199" spans="1:8" hidden="1" x14ac:dyDescent="0.3">
      <c r="A199" s="3"/>
      <c r="C199" s="1009"/>
      <c r="D199" s="1010"/>
      <c r="E199" s="1010"/>
      <c r="F199" s="1010"/>
      <c r="G199" s="1010"/>
      <c r="H199" s="1011"/>
    </row>
    <row r="200" spans="1:8" hidden="1" x14ac:dyDescent="0.3">
      <c r="A200" s="3"/>
      <c r="C200" s="17"/>
      <c r="D200" s="17"/>
      <c r="E200" s="17"/>
      <c r="F200" s="17"/>
      <c r="G200" s="17"/>
      <c r="H200" s="16"/>
    </row>
    <row r="201" spans="1:8" hidden="1" x14ac:dyDescent="0.3">
      <c r="A201" s="3"/>
      <c r="C201" s="17"/>
      <c r="D201" s="17"/>
      <c r="E201" s="17"/>
      <c r="F201" s="17"/>
      <c r="G201" s="17"/>
      <c r="H201" s="16"/>
    </row>
    <row r="202" spans="1:8" hidden="1" x14ac:dyDescent="0.3">
      <c r="A202" s="3"/>
      <c r="C202" s="17"/>
      <c r="D202" s="17"/>
      <c r="E202" s="17"/>
      <c r="F202" s="17"/>
      <c r="G202" s="17"/>
      <c r="H202" s="16"/>
    </row>
    <row r="203" spans="1:8" x14ac:dyDescent="0.3">
      <c r="A203" s="3"/>
      <c r="C203" s="1012" t="s">
        <v>957</v>
      </c>
      <c r="D203" s="1013"/>
      <c r="E203" s="1013"/>
      <c r="F203" s="1013"/>
      <c r="G203" s="1014"/>
      <c r="H203" s="18">
        <f>SUM(H195:H202)</f>
        <v>0.60000000000000009</v>
      </c>
    </row>
    <row r="205" spans="1:8" ht="0.75" customHeight="1" x14ac:dyDescent="0.3">
      <c r="A205" s="3"/>
    </row>
    <row r="206" spans="1:8" x14ac:dyDescent="0.3">
      <c r="A206" s="3"/>
      <c r="C206" s="1015" t="s">
        <v>959</v>
      </c>
      <c r="D206" s="1015"/>
      <c r="E206" s="1015"/>
      <c r="F206" s="1015"/>
      <c r="G206" s="1015"/>
      <c r="H206" s="32">
        <f>F162+F174+F191+F186</f>
        <v>9.83</v>
      </c>
    </row>
    <row r="207" spans="1:8" x14ac:dyDescent="0.3">
      <c r="A207" s="3"/>
      <c r="C207" s="33"/>
      <c r="D207" s="33"/>
      <c r="E207" s="33"/>
      <c r="F207" s="33"/>
      <c r="G207" s="33"/>
      <c r="H207" s="34"/>
    </row>
    <row r="208" spans="1:8" x14ac:dyDescent="0.3">
      <c r="A208" s="3"/>
      <c r="C208" s="1015" t="s">
        <v>960</v>
      </c>
      <c r="D208" s="1015"/>
      <c r="E208" s="1015"/>
      <c r="F208" s="1015"/>
      <c r="G208" s="1015"/>
      <c r="H208" s="32">
        <f>ROUND(H206,1)</f>
        <v>9.8000000000000007</v>
      </c>
    </row>
    <row r="210" spans="1:10" ht="18.600000000000001" x14ac:dyDescent="0.3">
      <c r="A210" s="3"/>
      <c r="B210" s="1016" t="s">
        <v>958</v>
      </c>
      <c r="C210" s="1016"/>
      <c r="D210" s="1016"/>
      <c r="E210" s="1016"/>
      <c r="F210" s="1016"/>
      <c r="G210" s="1016"/>
      <c r="H210" s="1016"/>
      <c r="I210" s="1016"/>
      <c r="J210" s="1016"/>
    </row>
    <row r="211" spans="1:10" ht="19.2" x14ac:dyDescent="0.35">
      <c r="A211" s="3"/>
      <c r="B211" s="53"/>
      <c r="C211" s="53"/>
      <c r="D211" s="53"/>
      <c r="E211" s="53"/>
      <c r="F211" s="53"/>
      <c r="G211" s="53"/>
      <c r="H211" s="53"/>
      <c r="I211" s="53"/>
      <c r="J211" s="53"/>
    </row>
    <row r="212" spans="1:10" ht="35.25" customHeight="1" x14ac:dyDescent="0.35">
      <c r="A212" s="3"/>
      <c r="B212" s="50" t="s">
        <v>701</v>
      </c>
      <c r="C212" s="1017" t="s">
        <v>1001</v>
      </c>
      <c r="D212" s="1017"/>
      <c r="E212" s="1017"/>
      <c r="F212" s="52">
        <f>H260</f>
        <v>19.7</v>
      </c>
      <c r="G212" s="52" t="s">
        <v>971</v>
      </c>
      <c r="H212" s="53"/>
      <c r="I212" s="53"/>
      <c r="J212" s="53"/>
    </row>
    <row r="214" spans="1:10" x14ac:dyDescent="0.3">
      <c r="A214" s="3"/>
      <c r="C214" s="1018" t="s">
        <v>932</v>
      </c>
      <c r="D214" s="1018"/>
      <c r="E214" s="10"/>
      <c r="F214" s="11">
        <f>F221+F224+F222</f>
        <v>6.77</v>
      </c>
      <c r="G214" s="12" t="s">
        <v>971</v>
      </c>
    </row>
    <row r="216" spans="1:10" ht="27.6" x14ac:dyDescent="0.3">
      <c r="A216" s="3"/>
      <c r="C216" s="13" t="s">
        <v>929</v>
      </c>
      <c r="D216" s="14" t="s">
        <v>928</v>
      </c>
      <c r="E216" s="14" t="s">
        <v>514</v>
      </c>
      <c r="F216" s="14" t="s">
        <v>515</v>
      </c>
      <c r="G216" s="14" t="s">
        <v>962</v>
      </c>
      <c r="H216" s="14" t="s">
        <v>926</v>
      </c>
      <c r="I216" s="14" t="s">
        <v>516</v>
      </c>
      <c r="J216" s="14" t="s">
        <v>961</v>
      </c>
    </row>
    <row r="217" spans="1:10" x14ac:dyDescent="0.3">
      <c r="A217" s="3"/>
      <c r="C217" s="17" t="s">
        <v>521</v>
      </c>
      <c r="D217" s="16">
        <f>ЗП!C11</f>
        <v>9817.67</v>
      </c>
      <c r="E217" s="16">
        <f>D217*12</f>
        <v>117812.04000000001</v>
      </c>
      <c r="F217" s="16">
        <f>ЗП!E11</f>
        <v>7552.05</v>
      </c>
      <c r="G217" s="16">
        <f>ЗП!F11</f>
        <v>3776.0250000000001</v>
      </c>
      <c r="H217" s="16">
        <f>E217+F217+G217</f>
        <v>129140.11500000001</v>
      </c>
      <c r="I217" s="17">
        <v>1932.7</v>
      </c>
      <c r="J217" s="16">
        <f>ROUND((H217/I217)/60,2)</f>
        <v>1.1100000000000001</v>
      </c>
    </row>
    <row r="218" spans="1:10" x14ac:dyDescent="0.3">
      <c r="A218" s="3"/>
      <c r="C218" s="17"/>
      <c r="D218" s="16"/>
      <c r="E218" s="16"/>
      <c r="F218" s="16"/>
      <c r="G218" s="16"/>
      <c r="H218" s="16"/>
      <c r="I218" s="17"/>
      <c r="J218" s="16"/>
    </row>
    <row r="220" spans="1:10" ht="27.6" x14ac:dyDescent="0.3">
      <c r="A220" s="3"/>
      <c r="C220" s="13" t="s">
        <v>929</v>
      </c>
      <c r="D220" s="14" t="s">
        <v>961</v>
      </c>
      <c r="E220" s="14" t="s">
        <v>930</v>
      </c>
      <c r="F220" s="14" t="s">
        <v>931</v>
      </c>
    </row>
    <row r="221" spans="1:10" x14ac:dyDescent="0.3">
      <c r="A221" s="3"/>
      <c r="C221" s="15" t="str">
        <f>C217</f>
        <v>Лікар-отоларинголог</v>
      </c>
      <c r="D221" s="16">
        <f>J217</f>
        <v>1.1100000000000001</v>
      </c>
      <c r="E221" s="17">
        <v>5</v>
      </c>
      <c r="F221" s="18">
        <f>ROUND(D221*E221,2)</f>
        <v>5.55</v>
      </c>
    </row>
    <row r="222" spans="1:10" x14ac:dyDescent="0.3">
      <c r="A222" s="3"/>
      <c r="C222" s="15"/>
      <c r="D222" s="16"/>
      <c r="E222" s="17"/>
      <c r="F222" s="18"/>
    </row>
    <row r="223" spans="1:10" x14ac:dyDescent="0.3">
      <c r="A223" s="3"/>
      <c r="D223" s="19"/>
    </row>
    <row r="224" spans="1:10" x14ac:dyDescent="0.3">
      <c r="A224" s="3"/>
      <c r="C224" s="17" t="s">
        <v>933</v>
      </c>
      <c r="D224" s="16">
        <f>F221+F222</f>
        <v>5.55</v>
      </c>
      <c r="E224" s="20">
        <v>0.22</v>
      </c>
      <c r="F224" s="21">
        <f>ROUND(D224*E224,2)</f>
        <v>1.22</v>
      </c>
    </row>
    <row r="226" spans="1:8" x14ac:dyDescent="0.3">
      <c r="A226" s="3"/>
      <c r="C226" s="12" t="s">
        <v>946</v>
      </c>
      <c r="D226" s="12"/>
      <c r="E226" s="12"/>
      <c r="F226" s="12">
        <f>G236</f>
        <v>12.23</v>
      </c>
      <c r="G226" s="12" t="s">
        <v>971</v>
      </c>
    </row>
    <row r="228" spans="1:8" x14ac:dyDescent="0.3">
      <c r="A228" s="3"/>
      <c r="C228" s="27" t="s">
        <v>934</v>
      </c>
      <c r="D228" s="28" t="s">
        <v>935</v>
      </c>
      <c r="E228" s="29">
        <v>0.1</v>
      </c>
      <c r="F228" s="29">
        <f>'МЕДИЧНІ М'!E11</f>
        <v>2.8</v>
      </c>
      <c r="G228" s="30">
        <f t="shared" ref="G228:G235" si="4">ROUND(E228*F228,2)</f>
        <v>0.28000000000000003</v>
      </c>
    </row>
    <row r="229" spans="1:8" x14ac:dyDescent="0.3">
      <c r="A229" s="3"/>
      <c r="C229" s="27" t="s">
        <v>936</v>
      </c>
      <c r="D229" s="28" t="s">
        <v>937</v>
      </c>
      <c r="E229" s="29">
        <v>1</v>
      </c>
      <c r="F229" s="29">
        <f>'МЕДИЧНІ М'!F9</f>
        <v>0.3</v>
      </c>
      <c r="G229" s="30">
        <f t="shared" si="4"/>
        <v>0.3</v>
      </c>
    </row>
    <row r="230" spans="1:8" x14ac:dyDescent="0.3">
      <c r="A230" s="3"/>
      <c r="C230" s="27" t="s">
        <v>938</v>
      </c>
      <c r="D230" s="28" t="s">
        <v>939</v>
      </c>
      <c r="E230" s="29">
        <v>0.1</v>
      </c>
      <c r="F230" s="29">
        <f>'МЕДИЧНІ М'!E7</f>
        <v>30</v>
      </c>
      <c r="G230" s="30">
        <f t="shared" si="4"/>
        <v>3</v>
      </c>
    </row>
    <row r="231" spans="1:8" x14ac:dyDescent="0.3">
      <c r="A231" s="3"/>
      <c r="C231" s="27" t="s">
        <v>940</v>
      </c>
      <c r="D231" s="28" t="s">
        <v>941</v>
      </c>
      <c r="E231" s="29">
        <v>0.5</v>
      </c>
      <c r="F231" s="29">
        <f>'МЕДИЧНІ М'!E8</f>
        <v>2</v>
      </c>
      <c r="G231" s="30">
        <f t="shared" si="4"/>
        <v>1</v>
      </c>
    </row>
    <row r="232" spans="1:8" x14ac:dyDescent="0.3">
      <c r="A232" s="3"/>
      <c r="C232" s="27" t="s">
        <v>942</v>
      </c>
      <c r="D232" s="28" t="s">
        <v>941</v>
      </c>
      <c r="E232" s="29">
        <v>0.01</v>
      </c>
      <c r="F232" s="29">
        <f>'МЕДИЧНІ М'!E13</f>
        <v>24.6</v>
      </c>
      <c r="G232" s="30">
        <f t="shared" si="4"/>
        <v>0.25</v>
      </c>
    </row>
    <row r="233" spans="1:8" x14ac:dyDescent="0.3">
      <c r="A233" s="3"/>
      <c r="C233" s="27" t="s">
        <v>943</v>
      </c>
      <c r="D233" s="28" t="s">
        <v>944</v>
      </c>
      <c r="E233" s="29">
        <v>1</v>
      </c>
      <c r="F233" s="29">
        <f>'МЕДИЧНІ М'!E5</f>
        <v>7</v>
      </c>
      <c r="G233" s="30">
        <f t="shared" si="4"/>
        <v>7</v>
      </c>
    </row>
    <row r="234" spans="1:8" x14ac:dyDescent="0.3">
      <c r="A234" s="3"/>
      <c r="C234" s="27" t="s">
        <v>1124</v>
      </c>
      <c r="D234" s="28" t="s">
        <v>944</v>
      </c>
      <c r="E234" s="29">
        <v>0.5</v>
      </c>
      <c r="F234" s="29">
        <f>'МЕДИЧНІ М'!E6</f>
        <v>0.5</v>
      </c>
      <c r="G234" s="30">
        <f t="shared" si="4"/>
        <v>0.25</v>
      </c>
    </row>
    <row r="235" spans="1:8" x14ac:dyDescent="0.3">
      <c r="A235" s="3"/>
      <c r="C235" s="27" t="s">
        <v>1159</v>
      </c>
      <c r="D235" s="28" t="s">
        <v>1160</v>
      </c>
      <c r="E235" s="29">
        <f>E221</f>
        <v>5</v>
      </c>
      <c r="F235" s="29">
        <f>ROUND(3389/I217/60,2)</f>
        <v>0.03</v>
      </c>
      <c r="G235" s="30">
        <f t="shared" si="4"/>
        <v>0.15</v>
      </c>
    </row>
    <row r="236" spans="1:8" x14ac:dyDescent="0.3">
      <c r="A236" s="3"/>
      <c r="C236" s="1019" t="s">
        <v>945</v>
      </c>
      <c r="D236" s="1019"/>
      <c r="E236" s="1019"/>
      <c r="F236" s="1019"/>
      <c r="G236" s="31">
        <f>SUM(G228:G235)</f>
        <v>12.23</v>
      </c>
    </row>
    <row r="238" spans="1:8" x14ac:dyDescent="0.3">
      <c r="A238" s="3"/>
      <c r="C238" s="12" t="s">
        <v>968</v>
      </c>
      <c r="D238" s="12"/>
      <c r="E238" s="12"/>
      <c r="F238" s="11">
        <f>H241</f>
        <v>0.05</v>
      </c>
      <c r="G238" s="12" t="s">
        <v>971</v>
      </c>
    </row>
    <row r="239" spans="1:8" x14ac:dyDescent="0.3">
      <c r="A239" s="3"/>
      <c r="C239" s="22"/>
      <c r="D239" s="22"/>
      <c r="E239" s="22"/>
      <c r="F239" s="23"/>
      <c r="G239" s="22"/>
    </row>
    <row r="240" spans="1:8" ht="27.6" x14ac:dyDescent="0.3">
      <c r="A240" s="3"/>
      <c r="C240" s="14" t="s">
        <v>513</v>
      </c>
      <c r="D240" s="14" t="s">
        <v>969</v>
      </c>
      <c r="E240" s="14" t="s">
        <v>516</v>
      </c>
      <c r="F240" s="14" t="s">
        <v>970</v>
      </c>
      <c r="G240" s="14" t="s">
        <v>930</v>
      </c>
      <c r="H240" s="14" t="s">
        <v>961</v>
      </c>
    </row>
    <row r="241" spans="1:8" x14ac:dyDescent="0.3">
      <c r="A241" s="3"/>
      <c r="C241" s="27" t="s">
        <v>1117</v>
      </c>
      <c r="D241" s="17">
        <f>D137</f>
        <v>815.88</v>
      </c>
      <c r="E241" s="17">
        <f>I217</f>
        <v>1932.7</v>
      </c>
      <c r="F241" s="17">
        <f>ROUND((D241/E241)/60,2)</f>
        <v>0.01</v>
      </c>
      <c r="G241" s="17">
        <f>E221</f>
        <v>5</v>
      </c>
      <c r="H241" s="16">
        <f>ROUND(F241*G241,2)</f>
        <v>0.05</v>
      </c>
    </row>
    <row r="243" spans="1:8" x14ac:dyDescent="0.3">
      <c r="A243" s="3"/>
      <c r="C243" s="12" t="s">
        <v>948</v>
      </c>
      <c r="D243" s="12"/>
      <c r="E243" s="12"/>
      <c r="F243" s="11">
        <f>H255</f>
        <v>0.60000000000000009</v>
      </c>
      <c r="G243" s="12" t="s">
        <v>971</v>
      </c>
    </row>
    <row r="244" spans="1:8" x14ac:dyDescent="0.3">
      <c r="A244" s="3"/>
      <c r="C244" s="22"/>
      <c r="D244" s="22"/>
      <c r="E244" s="22"/>
      <c r="F244" s="23"/>
    </row>
    <row r="245" spans="1:8" ht="41.4" x14ac:dyDescent="0.3">
      <c r="A245" s="3"/>
      <c r="C245" s="14" t="s">
        <v>948</v>
      </c>
      <c r="D245" s="14" t="s">
        <v>955</v>
      </c>
      <c r="E245" s="14" t="s">
        <v>516</v>
      </c>
      <c r="F245" s="14" t="s">
        <v>954</v>
      </c>
      <c r="G245" s="14" t="s">
        <v>930</v>
      </c>
      <c r="H245" s="14" t="s">
        <v>956</v>
      </c>
    </row>
    <row r="246" spans="1:8" x14ac:dyDescent="0.3">
      <c r="A246" s="3"/>
      <c r="C246" s="1009" t="str">
        <f>C217</f>
        <v>Лікар-отоларинголог</v>
      </c>
      <c r="D246" s="1010"/>
      <c r="E246" s="1010"/>
      <c r="F246" s="1010"/>
      <c r="G246" s="1010"/>
      <c r="H246" s="1011"/>
    </row>
    <row r="247" spans="1:8" x14ac:dyDescent="0.3">
      <c r="A247" s="3"/>
      <c r="C247" s="17" t="s">
        <v>951</v>
      </c>
      <c r="D247" s="112">
        <f>D195</f>
        <v>12188.608008565312</v>
      </c>
      <c r="E247" s="17">
        <f>I217</f>
        <v>1932.7</v>
      </c>
      <c r="F247" s="17">
        <f>ROUND((D247/E247)/60,2)</f>
        <v>0.11</v>
      </c>
      <c r="G247" s="17">
        <f>E221</f>
        <v>5</v>
      </c>
      <c r="H247" s="16">
        <f>ROUND(F247*G247,2)</f>
        <v>0.55000000000000004</v>
      </c>
    </row>
    <row r="248" spans="1:8" x14ac:dyDescent="0.3">
      <c r="A248" s="3"/>
      <c r="C248" s="17" t="s">
        <v>952</v>
      </c>
      <c r="D248" s="112">
        <f>D196</f>
        <v>53.149721627408987</v>
      </c>
      <c r="E248" s="17">
        <f>I217</f>
        <v>1932.7</v>
      </c>
      <c r="F248" s="17">
        <f>ROUND((D248/E248)/60,2)</f>
        <v>0</v>
      </c>
      <c r="G248" s="17">
        <f>E221</f>
        <v>5</v>
      </c>
      <c r="H248" s="16">
        <f>ROUND(F248*G248,2)</f>
        <v>0</v>
      </c>
    </row>
    <row r="249" spans="1:8" x14ac:dyDescent="0.3">
      <c r="A249" s="3"/>
      <c r="C249" s="17" t="s">
        <v>953</v>
      </c>
      <c r="D249" s="112">
        <f>D197</f>
        <v>374.98368308351178</v>
      </c>
      <c r="E249" s="17">
        <f>I217</f>
        <v>1932.7</v>
      </c>
      <c r="F249" s="17">
        <f>ROUND((D249/E249)/60,2)</f>
        <v>0</v>
      </c>
      <c r="G249" s="17">
        <f>E221</f>
        <v>5</v>
      </c>
      <c r="H249" s="16">
        <f>ROUND(F249*G249,2)</f>
        <v>0</v>
      </c>
    </row>
    <row r="250" spans="1:8" x14ac:dyDescent="0.3">
      <c r="A250" s="3"/>
      <c r="C250" s="17" t="s">
        <v>1109</v>
      </c>
      <c r="D250" s="112">
        <f>D198</f>
        <v>1686.0389293361886</v>
      </c>
      <c r="E250" s="17">
        <f>I217</f>
        <v>1932.7</v>
      </c>
      <c r="F250" s="17">
        <f>ROUND((D250/E250)/60,2)</f>
        <v>0.01</v>
      </c>
      <c r="G250" s="17">
        <f>E221</f>
        <v>5</v>
      </c>
      <c r="H250" s="16">
        <f>ROUND(F250*G250,2)</f>
        <v>0.05</v>
      </c>
    </row>
    <row r="251" spans="1:8" hidden="1" x14ac:dyDescent="0.3">
      <c r="A251" s="3"/>
      <c r="C251" s="1009"/>
      <c r="D251" s="1010"/>
      <c r="E251" s="1010"/>
      <c r="F251" s="1010"/>
      <c r="G251" s="1010"/>
      <c r="H251" s="1011"/>
    </row>
    <row r="252" spans="1:8" hidden="1" x14ac:dyDescent="0.3">
      <c r="A252" s="3"/>
      <c r="C252" s="17"/>
      <c r="D252" s="17"/>
      <c r="E252" s="17"/>
      <c r="F252" s="17"/>
      <c r="G252" s="17"/>
      <c r="H252" s="16"/>
    </row>
    <row r="253" spans="1:8" hidden="1" x14ac:dyDescent="0.3">
      <c r="A253" s="3"/>
      <c r="C253" s="17"/>
      <c r="D253" s="17"/>
      <c r="E253" s="17"/>
      <c r="F253" s="17"/>
      <c r="G253" s="17"/>
      <c r="H253" s="16"/>
    </row>
    <row r="254" spans="1:8" hidden="1" x14ac:dyDescent="0.3">
      <c r="A254" s="3"/>
      <c r="C254" s="17"/>
      <c r="D254" s="17"/>
      <c r="E254" s="17"/>
      <c r="F254" s="17"/>
      <c r="G254" s="17"/>
      <c r="H254" s="16"/>
    </row>
    <row r="255" spans="1:8" x14ac:dyDescent="0.3">
      <c r="A255" s="3"/>
      <c r="C255" s="1012" t="s">
        <v>957</v>
      </c>
      <c r="D255" s="1013"/>
      <c r="E255" s="1013"/>
      <c r="F255" s="1013"/>
      <c r="G255" s="1014"/>
      <c r="H255" s="18">
        <f>SUM(H247:H254)</f>
        <v>0.60000000000000009</v>
      </c>
    </row>
    <row r="257" spans="1:10" hidden="1" x14ac:dyDescent="0.3">
      <c r="A257" s="3"/>
    </row>
    <row r="258" spans="1:10" x14ac:dyDescent="0.3">
      <c r="A258" s="3"/>
      <c r="C258" s="1015" t="s">
        <v>959</v>
      </c>
      <c r="D258" s="1015"/>
      <c r="E258" s="1015"/>
      <c r="F258" s="1015"/>
      <c r="G258" s="1015"/>
      <c r="H258" s="32">
        <f>F214+F226+F243+F238</f>
        <v>19.650000000000002</v>
      </c>
    </row>
    <row r="259" spans="1:10" x14ac:dyDescent="0.3">
      <c r="A259" s="3"/>
      <c r="C259" s="33"/>
      <c r="D259" s="33"/>
      <c r="E259" s="33"/>
      <c r="F259" s="33"/>
      <c r="G259" s="33"/>
      <c r="H259" s="34"/>
    </row>
    <row r="260" spans="1:10" x14ac:dyDescent="0.3">
      <c r="A260" s="3"/>
      <c r="C260" s="1015" t="s">
        <v>960</v>
      </c>
      <c r="D260" s="1015"/>
      <c r="E260" s="1015"/>
      <c r="F260" s="1015"/>
      <c r="G260" s="1015"/>
      <c r="H260" s="32">
        <f>ROUND(H258,1)</f>
        <v>19.7</v>
      </c>
    </row>
    <row r="262" spans="1:10" ht="18.600000000000001" x14ac:dyDescent="0.3">
      <c r="A262" s="3"/>
      <c r="B262" s="1016" t="s">
        <v>958</v>
      </c>
      <c r="C262" s="1016"/>
      <c r="D262" s="1016"/>
      <c r="E262" s="1016"/>
      <c r="F262" s="1016"/>
      <c r="G262" s="1016"/>
      <c r="H262" s="1016"/>
      <c r="I262" s="1016"/>
      <c r="J262" s="1016"/>
    </row>
    <row r="263" spans="1:10" ht="19.2" x14ac:dyDescent="0.35">
      <c r="A263" s="3"/>
      <c r="B263" s="53"/>
      <c r="C263" s="53"/>
      <c r="D263" s="53"/>
      <c r="E263" s="53"/>
      <c r="F263" s="53"/>
      <c r="G263" s="53"/>
      <c r="H263" s="53"/>
      <c r="I263" s="53"/>
      <c r="J263" s="53"/>
    </row>
    <row r="264" spans="1:10" ht="37.5" customHeight="1" x14ac:dyDescent="0.35">
      <c r="A264" s="3"/>
      <c r="B264" s="50" t="s">
        <v>1002</v>
      </c>
      <c r="C264" s="1017" t="s">
        <v>1003</v>
      </c>
      <c r="D264" s="1017"/>
      <c r="E264" s="1017"/>
      <c r="F264" s="52">
        <f>H312</f>
        <v>21.3</v>
      </c>
      <c r="G264" s="52" t="s">
        <v>971</v>
      </c>
      <c r="H264" s="53"/>
      <c r="I264" s="53"/>
      <c r="J264" s="53"/>
    </row>
    <row r="266" spans="1:10" x14ac:dyDescent="0.3">
      <c r="A266" s="3"/>
      <c r="C266" s="1018" t="s">
        <v>932</v>
      </c>
      <c r="D266" s="1018"/>
      <c r="E266" s="10"/>
      <c r="F266" s="11">
        <f>F273+F276+F274</f>
        <v>7.93</v>
      </c>
      <c r="G266" s="12" t="s">
        <v>971</v>
      </c>
    </row>
    <row r="268" spans="1:10" ht="27.6" x14ac:dyDescent="0.3">
      <c r="A268" s="3"/>
      <c r="C268" s="13" t="s">
        <v>929</v>
      </c>
      <c r="D268" s="14" t="s">
        <v>928</v>
      </c>
      <c r="E268" s="14" t="s">
        <v>514</v>
      </c>
      <c r="F268" s="14" t="s">
        <v>515</v>
      </c>
      <c r="G268" s="14" t="s">
        <v>962</v>
      </c>
      <c r="H268" s="14" t="s">
        <v>926</v>
      </c>
      <c r="I268" s="14" t="s">
        <v>516</v>
      </c>
      <c r="J268" s="14" t="s">
        <v>961</v>
      </c>
    </row>
    <row r="269" spans="1:10" x14ac:dyDescent="0.3">
      <c r="A269" s="3"/>
      <c r="C269" s="17" t="s">
        <v>519</v>
      </c>
      <c r="D269" s="17">
        <f>ЗП!C9</f>
        <v>9817.68</v>
      </c>
      <c r="E269" s="16">
        <f>D269*12</f>
        <v>117812.16</v>
      </c>
      <c r="F269" s="16">
        <f>ЗП!E9</f>
        <v>7552.05</v>
      </c>
      <c r="G269" s="16">
        <f>ЗП!F9</f>
        <v>3776.0250000000001</v>
      </c>
      <c r="H269" s="16">
        <f>E269+F269+G269</f>
        <v>129140.235</v>
      </c>
      <c r="I269" s="17">
        <v>1656.6</v>
      </c>
      <c r="J269" s="16">
        <f>ROUND((H269/I269)/60,2)</f>
        <v>1.3</v>
      </c>
    </row>
    <row r="270" spans="1:10" x14ac:dyDescent="0.3">
      <c r="A270" s="3"/>
      <c r="C270" s="17"/>
      <c r="D270" s="16"/>
      <c r="E270" s="16"/>
      <c r="F270" s="16"/>
      <c r="G270" s="16"/>
      <c r="H270" s="16"/>
      <c r="I270" s="17"/>
      <c r="J270" s="16"/>
    </row>
    <row r="272" spans="1:10" ht="27.6" x14ac:dyDescent="0.3">
      <c r="A272" s="3"/>
      <c r="C272" s="13" t="s">
        <v>929</v>
      </c>
      <c r="D272" s="14" t="s">
        <v>961</v>
      </c>
      <c r="E272" s="14" t="s">
        <v>930</v>
      </c>
      <c r="F272" s="14" t="s">
        <v>931</v>
      </c>
    </row>
    <row r="273" spans="1:7" x14ac:dyDescent="0.3">
      <c r="A273" s="3"/>
      <c r="C273" s="15" t="str">
        <f>C269</f>
        <v>Лікар-дерматовенеролог</v>
      </c>
      <c r="D273" s="16">
        <f>J269</f>
        <v>1.3</v>
      </c>
      <c r="E273" s="17">
        <v>5</v>
      </c>
      <c r="F273" s="18">
        <f>ROUND(D273*E273,2)</f>
        <v>6.5</v>
      </c>
    </row>
    <row r="274" spans="1:7" x14ac:dyDescent="0.3">
      <c r="A274" s="3"/>
      <c r="C274" s="15"/>
      <c r="D274" s="16"/>
      <c r="E274" s="17"/>
      <c r="F274" s="18"/>
    </row>
    <row r="275" spans="1:7" x14ac:dyDescent="0.3">
      <c r="A275" s="3"/>
      <c r="D275" s="19"/>
    </row>
    <row r="276" spans="1:7" x14ac:dyDescent="0.3">
      <c r="A276" s="3"/>
      <c r="C276" s="17" t="s">
        <v>933</v>
      </c>
      <c r="D276" s="16">
        <f>F273+F274</f>
        <v>6.5</v>
      </c>
      <c r="E276" s="20">
        <v>0.22</v>
      </c>
      <c r="F276" s="18">
        <f>ROUND(D276*E276,2)</f>
        <v>1.43</v>
      </c>
    </row>
    <row r="278" spans="1:7" x14ac:dyDescent="0.3">
      <c r="A278" s="3"/>
      <c r="C278" s="12" t="s">
        <v>946</v>
      </c>
      <c r="D278" s="12"/>
      <c r="E278" s="12"/>
      <c r="F278" s="12">
        <f>G288</f>
        <v>12.620000000000001</v>
      </c>
      <c r="G278" s="12" t="s">
        <v>971</v>
      </c>
    </row>
    <row r="280" spans="1:7" x14ac:dyDescent="0.3">
      <c r="A280" s="3"/>
      <c r="C280" s="27" t="s">
        <v>1098</v>
      </c>
      <c r="D280" s="28" t="s">
        <v>935</v>
      </c>
      <c r="E280" s="29">
        <v>1</v>
      </c>
      <c r="F280" s="29">
        <f>'МЕДИЧНІ М'!E12</f>
        <v>10</v>
      </c>
      <c r="G280" s="30">
        <f t="shared" ref="G280:G287" si="5">ROUND(E280*F280,2)</f>
        <v>10</v>
      </c>
    </row>
    <row r="281" spans="1:7" x14ac:dyDescent="0.3">
      <c r="A281" s="3"/>
      <c r="C281" s="27" t="s">
        <v>936</v>
      </c>
      <c r="D281" s="28" t="s">
        <v>937</v>
      </c>
      <c r="E281" s="29">
        <v>1</v>
      </c>
      <c r="F281" s="29">
        <f>'МЕДИЧНІ М'!F9</f>
        <v>0.3</v>
      </c>
      <c r="G281" s="30">
        <f t="shared" si="5"/>
        <v>0.3</v>
      </c>
    </row>
    <row r="282" spans="1:7" x14ac:dyDescent="0.3">
      <c r="A282" s="3"/>
      <c r="C282" s="27" t="s">
        <v>938</v>
      </c>
      <c r="D282" s="28" t="s">
        <v>939</v>
      </c>
      <c r="E282" s="29">
        <v>0.1</v>
      </c>
      <c r="F282" s="29">
        <f>'МЕДИЧНІ М'!F7</f>
        <v>6</v>
      </c>
      <c r="G282" s="30">
        <f t="shared" si="5"/>
        <v>0.6</v>
      </c>
    </row>
    <row r="283" spans="1:7" x14ac:dyDescent="0.3">
      <c r="A283" s="3"/>
      <c r="C283" s="27" t="s">
        <v>940</v>
      </c>
      <c r="D283" s="28" t="s">
        <v>941</v>
      </c>
      <c r="E283" s="29">
        <v>0.5</v>
      </c>
      <c r="F283" s="29">
        <f>'МЕДИЧНІ М'!E8</f>
        <v>2</v>
      </c>
      <c r="G283" s="30">
        <f t="shared" si="5"/>
        <v>1</v>
      </c>
    </row>
    <row r="284" spans="1:7" x14ac:dyDescent="0.3">
      <c r="A284" s="3"/>
      <c r="C284" s="27" t="s">
        <v>942</v>
      </c>
      <c r="D284" s="28" t="s">
        <v>941</v>
      </c>
      <c r="E284" s="29">
        <v>0.01</v>
      </c>
      <c r="F284" s="29">
        <f>'МЕДИЧНІ М'!E13</f>
        <v>24.6</v>
      </c>
      <c r="G284" s="30">
        <f t="shared" si="5"/>
        <v>0.25</v>
      </c>
    </row>
    <row r="285" spans="1:7" x14ac:dyDescent="0.3">
      <c r="A285" s="3"/>
      <c r="C285" s="27" t="s">
        <v>943</v>
      </c>
      <c r="D285" s="28" t="s">
        <v>944</v>
      </c>
      <c r="E285" s="29">
        <v>1</v>
      </c>
      <c r="F285" s="29">
        <f>'МЕДИЧНІ М'!F5</f>
        <v>7.0000000000000007E-2</v>
      </c>
      <c r="G285" s="30">
        <f t="shared" si="5"/>
        <v>7.0000000000000007E-2</v>
      </c>
    </row>
    <row r="286" spans="1:7" x14ac:dyDescent="0.3">
      <c r="A286" s="3"/>
      <c r="C286" s="27" t="s">
        <v>1124</v>
      </c>
      <c r="D286" s="28" t="s">
        <v>944</v>
      </c>
      <c r="E286" s="29">
        <v>0.5</v>
      </c>
      <c r="F286" s="29">
        <f>'МЕДИЧНІ М'!E6</f>
        <v>0.5</v>
      </c>
      <c r="G286" s="30">
        <f t="shared" si="5"/>
        <v>0.25</v>
      </c>
    </row>
    <row r="287" spans="1:7" x14ac:dyDescent="0.3">
      <c r="A287" s="3"/>
      <c r="C287" s="27" t="s">
        <v>1159</v>
      </c>
      <c r="D287" s="28" t="s">
        <v>1160</v>
      </c>
      <c r="E287" s="29">
        <f>E273</f>
        <v>5</v>
      </c>
      <c r="F287" s="29">
        <f>ROUND(3389/I269/60,2)</f>
        <v>0.03</v>
      </c>
      <c r="G287" s="30">
        <f t="shared" si="5"/>
        <v>0.15</v>
      </c>
    </row>
    <row r="288" spans="1:7" x14ac:dyDescent="0.3">
      <c r="A288" s="3"/>
      <c r="C288" s="1019" t="s">
        <v>945</v>
      </c>
      <c r="D288" s="1019"/>
      <c r="E288" s="1019"/>
      <c r="F288" s="1019"/>
      <c r="G288" s="31">
        <f>SUM(G280:G287)</f>
        <v>12.620000000000001</v>
      </c>
    </row>
    <row r="290" spans="1:8" x14ac:dyDescent="0.3">
      <c r="A290" s="3"/>
      <c r="C290" s="12" t="s">
        <v>968</v>
      </c>
      <c r="D290" s="12"/>
      <c r="E290" s="12"/>
      <c r="F290" s="11">
        <f>H293</f>
        <v>0.05</v>
      </c>
      <c r="G290" s="12" t="s">
        <v>971</v>
      </c>
    </row>
    <row r="291" spans="1:8" x14ac:dyDescent="0.3">
      <c r="A291" s="3"/>
      <c r="C291" s="22"/>
      <c r="D291" s="22"/>
      <c r="E291" s="22"/>
      <c r="F291" s="23"/>
      <c r="G291" s="22"/>
    </row>
    <row r="292" spans="1:8" ht="27.6" x14ac:dyDescent="0.3">
      <c r="A292" s="3"/>
      <c r="C292" s="14" t="s">
        <v>513</v>
      </c>
      <c r="D292" s="14" t="s">
        <v>969</v>
      </c>
      <c r="E292" s="14" t="s">
        <v>516</v>
      </c>
      <c r="F292" s="14" t="s">
        <v>970</v>
      </c>
      <c r="G292" s="14" t="s">
        <v>930</v>
      </c>
      <c r="H292" s="14" t="s">
        <v>961</v>
      </c>
    </row>
    <row r="293" spans="1:8" x14ac:dyDescent="0.3">
      <c r="A293" s="3"/>
      <c r="C293" s="27" t="s">
        <v>1117</v>
      </c>
      <c r="D293" s="17">
        <f>815.88</f>
        <v>815.88</v>
      </c>
      <c r="E293" s="17">
        <f>I269</f>
        <v>1656.6</v>
      </c>
      <c r="F293" s="17">
        <f>ROUND((D293/E293)/60,2)</f>
        <v>0.01</v>
      </c>
      <c r="G293" s="17">
        <f>E273</f>
        <v>5</v>
      </c>
      <c r="H293" s="16">
        <f>ROUND(F293*G293,2)</f>
        <v>0.05</v>
      </c>
    </row>
    <row r="295" spans="1:8" x14ac:dyDescent="0.3">
      <c r="A295" s="3"/>
      <c r="C295" s="12" t="s">
        <v>948</v>
      </c>
      <c r="D295" s="12"/>
      <c r="E295" s="12"/>
      <c r="F295" s="11">
        <f>H307</f>
        <v>0.7</v>
      </c>
      <c r="G295" s="12" t="s">
        <v>971</v>
      </c>
    </row>
    <row r="296" spans="1:8" x14ac:dyDescent="0.3">
      <c r="A296" s="3"/>
      <c r="C296" s="22"/>
      <c r="D296" s="22"/>
      <c r="E296" s="22"/>
      <c r="F296" s="23"/>
    </row>
    <row r="297" spans="1:8" ht="41.4" x14ac:dyDescent="0.3">
      <c r="A297" s="3"/>
      <c r="C297" s="14" t="s">
        <v>948</v>
      </c>
      <c r="D297" s="14" t="s">
        <v>955</v>
      </c>
      <c r="E297" s="14" t="s">
        <v>516</v>
      </c>
      <c r="F297" s="14" t="s">
        <v>954</v>
      </c>
      <c r="G297" s="14" t="s">
        <v>930</v>
      </c>
      <c r="H297" s="14" t="s">
        <v>956</v>
      </c>
    </row>
    <row r="298" spans="1:8" x14ac:dyDescent="0.3">
      <c r="A298" s="3"/>
      <c r="C298" s="1009" t="str">
        <f>C269</f>
        <v>Лікар-дерматовенеролог</v>
      </c>
      <c r="D298" s="1010"/>
      <c r="E298" s="1010"/>
      <c r="F298" s="1010"/>
      <c r="G298" s="1010"/>
      <c r="H298" s="1011"/>
    </row>
    <row r="299" spans="1:8" x14ac:dyDescent="0.3">
      <c r="A299" s="3"/>
      <c r="C299" s="17" t="s">
        <v>951</v>
      </c>
      <c r="D299" s="112">
        <f>D247</f>
        <v>12188.608008565312</v>
      </c>
      <c r="E299" s="17">
        <f>I269</f>
        <v>1656.6</v>
      </c>
      <c r="F299" s="17">
        <f>ROUND((D299/E299)/60,2)</f>
        <v>0.12</v>
      </c>
      <c r="G299" s="17">
        <f>E273</f>
        <v>5</v>
      </c>
      <c r="H299" s="16">
        <f>ROUND(F299*G299,2)</f>
        <v>0.6</v>
      </c>
    </row>
    <row r="300" spans="1:8" x14ac:dyDescent="0.3">
      <c r="A300" s="3"/>
      <c r="C300" s="17" t="s">
        <v>952</v>
      </c>
      <c r="D300" s="112">
        <f>D248</f>
        <v>53.149721627408987</v>
      </c>
      <c r="E300" s="17">
        <f>I269</f>
        <v>1656.6</v>
      </c>
      <c r="F300" s="17">
        <f>ROUND((D300/E300)/60,2)</f>
        <v>0</v>
      </c>
      <c r="G300" s="17">
        <f>E273</f>
        <v>5</v>
      </c>
      <c r="H300" s="16">
        <f>ROUND(F300*G300,2)</f>
        <v>0</v>
      </c>
    </row>
    <row r="301" spans="1:8" x14ac:dyDescent="0.3">
      <c r="A301" s="3"/>
      <c r="C301" s="17" t="s">
        <v>953</v>
      </c>
      <c r="D301" s="112">
        <f>D249</f>
        <v>374.98368308351178</v>
      </c>
      <c r="E301" s="17">
        <f>I269</f>
        <v>1656.6</v>
      </c>
      <c r="F301" s="17">
        <f>ROUND((D301/E301)/60,2)</f>
        <v>0</v>
      </c>
      <c r="G301" s="17">
        <f>E273</f>
        <v>5</v>
      </c>
      <c r="H301" s="16">
        <f>ROUND(F301*G301,2)</f>
        <v>0</v>
      </c>
    </row>
    <row r="302" spans="1:8" x14ac:dyDescent="0.3">
      <c r="A302" s="3"/>
      <c r="C302" s="17" t="s">
        <v>1109</v>
      </c>
      <c r="D302" s="112">
        <f>D250</f>
        <v>1686.0389293361886</v>
      </c>
      <c r="E302" s="17">
        <f>I269</f>
        <v>1656.6</v>
      </c>
      <c r="F302" s="17">
        <f>ROUND((D302/E302)/60,2)</f>
        <v>0.02</v>
      </c>
      <c r="G302" s="17">
        <f>E273</f>
        <v>5</v>
      </c>
      <c r="H302" s="16">
        <f>ROUND(F302*G302,2)</f>
        <v>0.1</v>
      </c>
    </row>
    <row r="303" spans="1:8" hidden="1" x14ac:dyDescent="0.3">
      <c r="A303" s="3"/>
      <c r="C303" s="1009"/>
      <c r="D303" s="1010"/>
      <c r="E303" s="1010"/>
      <c r="F303" s="1010"/>
      <c r="G303" s="1010"/>
      <c r="H303" s="1011"/>
    </row>
    <row r="304" spans="1:8" hidden="1" x14ac:dyDescent="0.3">
      <c r="A304" s="3"/>
      <c r="C304" s="17"/>
      <c r="D304" s="17"/>
      <c r="E304" s="17"/>
      <c r="F304" s="17"/>
      <c r="G304" s="17"/>
      <c r="H304" s="16"/>
    </row>
    <row r="305" spans="1:10" hidden="1" x14ac:dyDescent="0.3">
      <c r="A305" s="3"/>
      <c r="C305" s="17"/>
      <c r="D305" s="17"/>
      <c r="E305" s="17"/>
      <c r="F305" s="17"/>
      <c r="G305" s="17"/>
      <c r="H305" s="16"/>
    </row>
    <row r="306" spans="1:10" hidden="1" x14ac:dyDescent="0.3">
      <c r="A306" s="3"/>
      <c r="C306" s="17"/>
      <c r="D306" s="17"/>
      <c r="E306" s="17"/>
      <c r="F306" s="17"/>
      <c r="G306" s="17"/>
      <c r="H306" s="16"/>
    </row>
    <row r="307" spans="1:10" x14ac:dyDescent="0.3">
      <c r="A307" s="3"/>
      <c r="C307" s="1012" t="s">
        <v>957</v>
      </c>
      <c r="D307" s="1013"/>
      <c r="E307" s="1013"/>
      <c r="F307" s="1013"/>
      <c r="G307" s="1014"/>
      <c r="H307" s="18">
        <f>SUM(H299:H306)</f>
        <v>0.7</v>
      </c>
    </row>
    <row r="308" spans="1:10" ht="12.75" customHeight="1" x14ac:dyDescent="0.3">
      <c r="A308" s="3"/>
    </row>
    <row r="309" spans="1:10" hidden="1" x14ac:dyDescent="0.3">
      <c r="A309" s="3"/>
    </row>
    <row r="310" spans="1:10" x14ac:dyDescent="0.3">
      <c r="A310" s="3"/>
      <c r="C310" s="1015" t="s">
        <v>959</v>
      </c>
      <c r="D310" s="1015"/>
      <c r="E310" s="1015"/>
      <c r="F310" s="1015"/>
      <c r="G310" s="1015"/>
      <c r="H310" s="32">
        <f>F266+F278+F295+F290</f>
        <v>21.3</v>
      </c>
    </row>
    <row r="311" spans="1:10" x14ac:dyDescent="0.3">
      <c r="A311" s="3"/>
      <c r="C311" s="33"/>
      <c r="D311" s="33"/>
      <c r="E311" s="33"/>
      <c r="F311" s="33"/>
      <c r="G311" s="33"/>
      <c r="H311" s="34"/>
    </row>
    <row r="312" spans="1:10" x14ac:dyDescent="0.3">
      <c r="A312" s="3"/>
      <c r="C312" s="1015" t="s">
        <v>960</v>
      </c>
      <c r="D312" s="1015"/>
      <c r="E312" s="1015"/>
      <c r="F312" s="1015"/>
      <c r="G312" s="1015"/>
      <c r="H312" s="32">
        <f>ROUND(H310,1)</f>
        <v>21.3</v>
      </c>
    </row>
    <row r="314" spans="1:10" ht="18.600000000000001" x14ac:dyDescent="0.3">
      <c r="A314" s="3"/>
      <c r="B314" s="1016" t="s">
        <v>958</v>
      </c>
      <c r="C314" s="1016"/>
      <c r="D314" s="1016"/>
      <c r="E314" s="1016"/>
      <c r="F314" s="1016"/>
      <c r="G314" s="1016"/>
      <c r="H314" s="1016"/>
      <c r="I314" s="1016"/>
      <c r="J314" s="1016"/>
    </row>
    <row r="315" spans="1:10" ht="19.2" x14ac:dyDescent="0.35">
      <c r="A315" s="3"/>
      <c r="B315" s="53"/>
      <c r="C315" s="53"/>
      <c r="D315" s="53"/>
      <c r="E315" s="53"/>
      <c r="F315" s="53"/>
      <c r="G315" s="53"/>
      <c r="H315" s="53"/>
      <c r="I315" s="53"/>
      <c r="J315" s="53"/>
    </row>
    <row r="316" spans="1:10" ht="34.5" customHeight="1" x14ac:dyDescent="0.35">
      <c r="A316" s="3"/>
      <c r="B316" s="50" t="s">
        <v>1004</v>
      </c>
      <c r="C316" s="1017" t="s">
        <v>1005</v>
      </c>
      <c r="D316" s="1017"/>
      <c r="E316" s="1017"/>
      <c r="F316" s="52">
        <f>H365</f>
        <v>38</v>
      </c>
      <c r="G316" s="52" t="s">
        <v>971</v>
      </c>
      <c r="H316" s="53"/>
      <c r="I316" s="53"/>
      <c r="J316" s="53"/>
    </row>
    <row r="318" spans="1:10" x14ac:dyDescent="0.3">
      <c r="A318" s="3"/>
      <c r="C318" s="1018" t="s">
        <v>932</v>
      </c>
      <c r="D318" s="1018"/>
      <c r="E318" s="10"/>
      <c r="F318" s="11">
        <f>F325+F328+F326</f>
        <v>12.93</v>
      </c>
      <c r="G318" s="12" t="s">
        <v>971</v>
      </c>
    </row>
    <row r="320" spans="1:10" ht="27.6" x14ac:dyDescent="0.3">
      <c r="A320" s="3"/>
      <c r="C320" s="13" t="s">
        <v>929</v>
      </c>
      <c r="D320" s="14" t="s">
        <v>928</v>
      </c>
      <c r="E320" s="14" t="s">
        <v>514</v>
      </c>
      <c r="F320" s="14" t="s">
        <v>515</v>
      </c>
      <c r="G320" s="14" t="s">
        <v>962</v>
      </c>
      <c r="H320" s="14" t="s">
        <v>926</v>
      </c>
      <c r="I320" s="14" t="s">
        <v>516</v>
      </c>
      <c r="J320" s="14" t="s">
        <v>961</v>
      </c>
    </row>
    <row r="321" spans="1:10" x14ac:dyDescent="0.3">
      <c r="A321" s="3"/>
      <c r="C321" s="17" t="s">
        <v>1192</v>
      </c>
      <c r="D321" s="16">
        <f>ЗП!C18</f>
        <v>9241.32</v>
      </c>
      <c r="E321" s="16">
        <f>D321*12</f>
        <v>110895.84</v>
      </c>
      <c r="F321" s="16">
        <f>ЗП!E18</f>
        <v>7701.1</v>
      </c>
      <c r="G321" s="16">
        <f>ЗП!F18</f>
        <v>3850.55</v>
      </c>
      <c r="H321" s="16">
        <f>E321+F321+G321</f>
        <v>122447.49</v>
      </c>
      <c r="I321" s="17">
        <v>1932.7</v>
      </c>
      <c r="J321" s="16">
        <f>ROUND((H321/I321)/60,2)</f>
        <v>1.06</v>
      </c>
    </row>
    <row r="322" spans="1:10" x14ac:dyDescent="0.3">
      <c r="A322" s="3"/>
      <c r="C322" s="17"/>
      <c r="D322" s="16"/>
      <c r="E322" s="16"/>
      <c r="F322" s="16"/>
      <c r="G322" s="16"/>
      <c r="H322" s="16"/>
      <c r="I322" s="17"/>
      <c r="J322" s="16"/>
    </row>
    <row r="324" spans="1:10" ht="27.6" x14ac:dyDescent="0.3">
      <c r="A324" s="3"/>
      <c r="C324" s="13" t="s">
        <v>929</v>
      </c>
      <c r="D324" s="14" t="s">
        <v>961</v>
      </c>
      <c r="E324" s="14" t="s">
        <v>930</v>
      </c>
      <c r="F324" s="14" t="s">
        <v>931</v>
      </c>
    </row>
    <row r="325" spans="1:10" x14ac:dyDescent="0.3">
      <c r="A325" s="3"/>
      <c r="C325" s="15" t="str">
        <f>C321</f>
        <v>Лікар-акушер-гінеколог</v>
      </c>
      <c r="D325" s="16">
        <f>J321</f>
        <v>1.06</v>
      </c>
      <c r="E325" s="17">
        <v>10</v>
      </c>
      <c r="F325" s="18">
        <f>ROUND(D325*E325,2)</f>
        <v>10.6</v>
      </c>
    </row>
    <row r="326" spans="1:10" x14ac:dyDescent="0.3">
      <c r="A326" s="3"/>
      <c r="C326" s="15"/>
      <c r="D326" s="16"/>
      <c r="E326" s="17"/>
      <c r="F326" s="18"/>
    </row>
    <row r="327" spans="1:10" x14ac:dyDescent="0.3">
      <c r="A327" s="3"/>
      <c r="D327" s="19"/>
    </row>
    <row r="328" spans="1:10" x14ac:dyDescent="0.3">
      <c r="A328" s="3"/>
      <c r="C328" s="17" t="s">
        <v>933</v>
      </c>
      <c r="D328" s="16">
        <f>F325+F326</f>
        <v>10.6</v>
      </c>
      <c r="E328" s="20">
        <v>0.22</v>
      </c>
      <c r="F328" s="21">
        <f>ROUND(D328*E328,2)</f>
        <v>2.33</v>
      </c>
    </row>
    <row r="330" spans="1:10" x14ac:dyDescent="0.3">
      <c r="A330" s="3"/>
      <c r="C330" s="12" t="s">
        <v>946</v>
      </c>
      <c r="D330" s="12"/>
      <c r="E330" s="12"/>
      <c r="F330" s="12">
        <f>G341</f>
        <v>23.77</v>
      </c>
      <c r="G330" s="12" t="s">
        <v>971</v>
      </c>
    </row>
    <row r="332" spans="1:10" x14ac:dyDescent="0.3">
      <c r="A332" s="3"/>
      <c r="C332" s="27" t="s">
        <v>1098</v>
      </c>
      <c r="D332" s="28" t="s">
        <v>935</v>
      </c>
      <c r="E332" s="29">
        <v>0.1</v>
      </c>
      <c r="F332" s="29">
        <f>'МЕДИЧНІ М'!E12</f>
        <v>10</v>
      </c>
      <c r="G332" s="30">
        <f t="shared" ref="G332:G340" si="6">ROUND(E332*F332,2)</f>
        <v>1</v>
      </c>
    </row>
    <row r="333" spans="1:10" x14ac:dyDescent="0.3">
      <c r="A333" s="3"/>
      <c r="C333" s="27" t="s">
        <v>936</v>
      </c>
      <c r="D333" s="28" t="s">
        <v>937</v>
      </c>
      <c r="E333" s="29">
        <v>1</v>
      </c>
      <c r="F333" s="29">
        <f>'МЕДИЧНІ М'!F9</f>
        <v>0.3</v>
      </c>
      <c r="G333" s="30">
        <f t="shared" si="6"/>
        <v>0.3</v>
      </c>
    </row>
    <row r="334" spans="1:10" x14ac:dyDescent="0.3">
      <c r="A334" s="3"/>
      <c r="C334" s="27" t="s">
        <v>938</v>
      </c>
      <c r="D334" s="28" t="s">
        <v>939</v>
      </c>
      <c r="E334" s="29">
        <v>0.1</v>
      </c>
      <c r="F334" s="29">
        <f>'МЕДИЧНІ М'!F7</f>
        <v>6</v>
      </c>
      <c r="G334" s="30">
        <f t="shared" si="6"/>
        <v>0.6</v>
      </c>
    </row>
    <row r="335" spans="1:10" x14ac:dyDescent="0.3">
      <c r="A335" s="3"/>
      <c r="C335" s="27" t="s">
        <v>940</v>
      </c>
      <c r="D335" s="28" t="s">
        <v>941</v>
      </c>
      <c r="E335" s="29">
        <v>0.5</v>
      </c>
      <c r="F335" s="29">
        <f>'МЕДИЧНІ М'!E8</f>
        <v>2</v>
      </c>
      <c r="G335" s="30">
        <f t="shared" si="6"/>
        <v>1</v>
      </c>
    </row>
    <row r="336" spans="1:10" x14ac:dyDescent="0.3">
      <c r="A336" s="3"/>
      <c r="C336" s="27" t="s">
        <v>942</v>
      </c>
      <c r="D336" s="28" t="s">
        <v>941</v>
      </c>
      <c r="E336" s="29">
        <v>0.01</v>
      </c>
      <c r="F336" s="29">
        <f>'МЕДИЧНІ М'!E13</f>
        <v>24.6</v>
      </c>
      <c r="G336" s="30">
        <f t="shared" si="6"/>
        <v>0.25</v>
      </c>
    </row>
    <row r="337" spans="1:8" x14ac:dyDescent="0.3">
      <c r="A337" s="3"/>
      <c r="C337" s="27" t="s">
        <v>943</v>
      </c>
      <c r="D337" s="28" t="s">
        <v>944</v>
      </c>
      <c r="E337" s="29">
        <v>1</v>
      </c>
      <c r="F337" s="29">
        <f>'МЕДИЧНІ М'!F5</f>
        <v>7.0000000000000007E-2</v>
      </c>
      <c r="G337" s="30">
        <f t="shared" si="6"/>
        <v>7.0000000000000007E-2</v>
      </c>
    </row>
    <row r="338" spans="1:8" x14ac:dyDescent="0.3">
      <c r="A338" s="3"/>
      <c r="C338" s="27" t="s">
        <v>1105</v>
      </c>
      <c r="D338" s="28" t="s">
        <v>941</v>
      </c>
      <c r="E338" s="29">
        <v>1</v>
      </c>
      <c r="F338" s="29">
        <f>'МЕДИЧНІ М'!E10</f>
        <v>20</v>
      </c>
      <c r="G338" s="30">
        <f t="shared" si="6"/>
        <v>20</v>
      </c>
    </row>
    <row r="339" spans="1:8" x14ac:dyDescent="0.3">
      <c r="A339" s="3"/>
      <c r="C339" s="27" t="s">
        <v>1124</v>
      </c>
      <c r="D339" s="28" t="s">
        <v>944</v>
      </c>
      <c r="E339" s="29">
        <v>0.5</v>
      </c>
      <c r="F339" s="29">
        <f>'МЕДИЧНІ М'!E6</f>
        <v>0.5</v>
      </c>
      <c r="G339" s="30">
        <f t="shared" si="6"/>
        <v>0.25</v>
      </c>
    </row>
    <row r="340" spans="1:8" x14ac:dyDescent="0.3">
      <c r="A340" s="3"/>
      <c r="C340" s="27" t="s">
        <v>1159</v>
      </c>
      <c r="D340" s="28" t="s">
        <v>1160</v>
      </c>
      <c r="E340" s="29">
        <f>E325</f>
        <v>10</v>
      </c>
      <c r="F340" s="29">
        <f>ROUND(3389/I321/60,2)</f>
        <v>0.03</v>
      </c>
      <c r="G340" s="30">
        <f t="shared" si="6"/>
        <v>0.3</v>
      </c>
    </row>
    <row r="341" spans="1:8" ht="15.75" customHeight="1" x14ac:dyDescent="0.3">
      <c r="A341" s="3"/>
      <c r="C341" s="1019" t="s">
        <v>945</v>
      </c>
      <c r="D341" s="1019"/>
      <c r="E341" s="1019"/>
      <c r="F341" s="1019"/>
      <c r="G341" s="31">
        <f>SUM(G332:G340)</f>
        <v>23.77</v>
      </c>
    </row>
    <row r="342" spans="1:8" ht="15.75" customHeight="1" x14ac:dyDescent="0.3">
      <c r="A342" s="3"/>
    </row>
    <row r="343" spans="1:8" ht="15.75" customHeight="1" x14ac:dyDescent="0.3">
      <c r="A343" s="3"/>
      <c r="C343" s="12" t="s">
        <v>968</v>
      </c>
      <c r="D343" s="12"/>
      <c r="E343" s="12"/>
      <c r="F343" s="11">
        <f>H346</f>
        <v>0.1</v>
      </c>
      <c r="G343" s="12" t="s">
        <v>971</v>
      </c>
    </row>
    <row r="344" spans="1:8" ht="15.75" customHeight="1" x14ac:dyDescent="0.3">
      <c r="A344" s="3"/>
      <c r="C344" s="22"/>
      <c r="D344" s="22"/>
      <c r="E344" s="22"/>
      <c r="F344" s="23"/>
      <c r="G344" s="22"/>
    </row>
    <row r="345" spans="1:8" ht="27.6" x14ac:dyDescent="0.3">
      <c r="A345" s="3"/>
      <c r="C345" s="14" t="s">
        <v>513</v>
      </c>
      <c r="D345" s="14" t="s">
        <v>1108</v>
      </c>
      <c r="E345" s="14" t="s">
        <v>516</v>
      </c>
      <c r="F345" s="14" t="s">
        <v>970</v>
      </c>
      <c r="G345" s="14" t="s">
        <v>930</v>
      </c>
      <c r="H345" s="14" t="s">
        <v>961</v>
      </c>
    </row>
    <row r="346" spans="1:8" x14ac:dyDescent="0.3">
      <c r="A346" s="3"/>
      <c r="C346" s="27" t="s">
        <v>1117</v>
      </c>
      <c r="D346" s="17">
        <f>D293</f>
        <v>815.88</v>
      </c>
      <c r="E346" s="17">
        <f>I321</f>
        <v>1932.7</v>
      </c>
      <c r="F346" s="17">
        <f>ROUND((D346/E346)/60,2)</f>
        <v>0.01</v>
      </c>
      <c r="G346" s="17">
        <f>E325</f>
        <v>10</v>
      </c>
      <c r="H346" s="16">
        <f>ROUND(F346*G346,2)</f>
        <v>0.1</v>
      </c>
    </row>
    <row r="348" spans="1:8" x14ac:dyDescent="0.3">
      <c r="A348" s="3"/>
      <c r="C348" s="12" t="s">
        <v>948</v>
      </c>
      <c r="D348" s="12"/>
      <c r="E348" s="12"/>
      <c r="F348" s="11">
        <f>H360</f>
        <v>1.2000000000000002</v>
      </c>
      <c r="G348" s="12" t="s">
        <v>971</v>
      </c>
    </row>
    <row r="349" spans="1:8" x14ac:dyDescent="0.3">
      <c r="A349" s="3"/>
      <c r="C349" s="22"/>
      <c r="D349" s="22"/>
      <c r="E349" s="22"/>
      <c r="F349" s="23"/>
    </row>
    <row r="350" spans="1:8" ht="41.4" x14ac:dyDescent="0.3">
      <c r="A350" s="3"/>
      <c r="C350" s="14" t="s">
        <v>948</v>
      </c>
      <c r="D350" s="14" t="s">
        <v>955</v>
      </c>
      <c r="E350" s="14" t="s">
        <v>516</v>
      </c>
      <c r="F350" s="14" t="s">
        <v>954</v>
      </c>
      <c r="G350" s="14" t="s">
        <v>930</v>
      </c>
      <c r="H350" s="14" t="s">
        <v>956</v>
      </c>
    </row>
    <row r="351" spans="1:8" x14ac:dyDescent="0.3">
      <c r="A351" s="3"/>
      <c r="C351" s="1009" t="str">
        <f>C321</f>
        <v>Лікар-акушер-гінеколог</v>
      </c>
      <c r="D351" s="1010"/>
      <c r="E351" s="1010"/>
      <c r="F351" s="1010"/>
      <c r="G351" s="1010"/>
      <c r="H351" s="1011"/>
    </row>
    <row r="352" spans="1:8" x14ac:dyDescent="0.3">
      <c r="A352" s="3"/>
      <c r="C352" s="17" t="s">
        <v>951</v>
      </c>
      <c r="D352" s="112">
        <f>D299</f>
        <v>12188.608008565312</v>
      </c>
      <c r="E352" s="17">
        <f>I321</f>
        <v>1932.7</v>
      </c>
      <c r="F352" s="17">
        <f>ROUND((D352/E352)/60,2)</f>
        <v>0.11</v>
      </c>
      <c r="G352" s="17">
        <f>E325</f>
        <v>10</v>
      </c>
      <c r="H352" s="16">
        <f>ROUND(F352*G352,2)</f>
        <v>1.1000000000000001</v>
      </c>
    </row>
    <row r="353" spans="1:10" x14ac:dyDescent="0.3">
      <c r="A353" s="3"/>
      <c r="C353" s="17" t="s">
        <v>952</v>
      </c>
      <c r="D353" s="112">
        <f>D300</f>
        <v>53.149721627408987</v>
      </c>
      <c r="E353" s="17">
        <f>I321</f>
        <v>1932.7</v>
      </c>
      <c r="F353" s="17">
        <f>ROUND((D353/E353)/60,2)</f>
        <v>0</v>
      </c>
      <c r="G353" s="17">
        <f>E325</f>
        <v>10</v>
      </c>
      <c r="H353" s="16">
        <f>ROUND(F353*G353,2)</f>
        <v>0</v>
      </c>
    </row>
    <row r="354" spans="1:10" x14ac:dyDescent="0.3">
      <c r="A354" s="3"/>
      <c r="C354" s="17" t="s">
        <v>953</v>
      </c>
      <c r="D354" s="112">
        <f>D301</f>
        <v>374.98368308351178</v>
      </c>
      <c r="E354" s="17">
        <f>I321</f>
        <v>1932.7</v>
      </c>
      <c r="F354" s="17">
        <f>ROUND((D354/E354)/60,2)</f>
        <v>0</v>
      </c>
      <c r="G354" s="17">
        <f>E325</f>
        <v>10</v>
      </c>
      <c r="H354" s="16">
        <f>ROUND(F354*G354,2)</f>
        <v>0</v>
      </c>
    </row>
    <row r="355" spans="1:10" x14ac:dyDescent="0.3">
      <c r="A355" s="3"/>
      <c r="C355" s="17" t="s">
        <v>1109</v>
      </c>
      <c r="D355" s="112">
        <f>D302</f>
        <v>1686.0389293361886</v>
      </c>
      <c r="E355" s="17">
        <f>I321</f>
        <v>1932.7</v>
      </c>
      <c r="F355" s="17">
        <f>ROUND((D355/E355)/60,2)</f>
        <v>0.01</v>
      </c>
      <c r="G355" s="17">
        <f>E325</f>
        <v>10</v>
      </c>
      <c r="H355" s="16">
        <f>ROUND(F355*G355,2)</f>
        <v>0.1</v>
      </c>
    </row>
    <row r="356" spans="1:10" hidden="1" x14ac:dyDescent="0.3">
      <c r="A356" s="3"/>
      <c r="C356" s="1009"/>
      <c r="D356" s="1010"/>
      <c r="E356" s="1010"/>
      <c r="F356" s="1010"/>
      <c r="G356" s="1010"/>
      <c r="H356" s="1011"/>
    </row>
    <row r="357" spans="1:10" hidden="1" x14ac:dyDescent="0.3">
      <c r="A357" s="3"/>
      <c r="C357" s="17"/>
      <c r="D357" s="17"/>
      <c r="E357" s="17"/>
      <c r="F357" s="17"/>
      <c r="G357" s="17"/>
      <c r="H357" s="16"/>
    </row>
    <row r="358" spans="1:10" hidden="1" x14ac:dyDescent="0.3">
      <c r="A358" s="3"/>
      <c r="C358" s="17"/>
      <c r="D358" s="17"/>
      <c r="E358" s="17"/>
      <c r="F358" s="17"/>
      <c r="G358" s="17"/>
      <c r="H358" s="16"/>
    </row>
    <row r="359" spans="1:10" hidden="1" x14ac:dyDescent="0.3">
      <c r="A359" s="3"/>
      <c r="C359" s="17"/>
      <c r="D359" s="17"/>
      <c r="E359" s="17"/>
      <c r="F359" s="17"/>
      <c r="G359" s="17"/>
      <c r="H359" s="16"/>
    </row>
    <row r="360" spans="1:10" x14ac:dyDescent="0.3">
      <c r="A360" s="3"/>
      <c r="C360" s="1012" t="s">
        <v>957</v>
      </c>
      <c r="D360" s="1013"/>
      <c r="E360" s="1013"/>
      <c r="F360" s="1013"/>
      <c r="G360" s="1014"/>
      <c r="H360" s="18">
        <f>SUM(H352:H359)</f>
        <v>1.2000000000000002</v>
      </c>
    </row>
    <row r="361" spans="1:10" ht="8.25" customHeight="1" x14ac:dyDescent="0.3">
      <c r="A361" s="3"/>
    </row>
    <row r="362" spans="1:10" hidden="1" x14ac:dyDescent="0.3">
      <c r="A362" s="3"/>
    </row>
    <row r="363" spans="1:10" x14ac:dyDescent="0.3">
      <c r="A363" s="3"/>
      <c r="C363" s="1015" t="s">
        <v>959</v>
      </c>
      <c r="D363" s="1015"/>
      <c r="E363" s="1015"/>
      <c r="F363" s="1015"/>
      <c r="G363" s="1015"/>
      <c r="H363" s="32">
        <f>F318+F330+F348+F343</f>
        <v>38.000000000000007</v>
      </c>
    </row>
    <row r="364" spans="1:10" x14ac:dyDescent="0.3">
      <c r="A364" s="3"/>
      <c r="C364" s="33"/>
      <c r="D364" s="33"/>
      <c r="E364" s="33"/>
      <c r="F364" s="33"/>
      <c r="G364" s="33"/>
      <c r="H364" s="34"/>
    </row>
    <row r="365" spans="1:10" x14ac:dyDescent="0.3">
      <c r="A365" s="3"/>
      <c r="C365" s="1015" t="s">
        <v>960</v>
      </c>
      <c r="D365" s="1015"/>
      <c r="E365" s="1015"/>
      <c r="F365" s="1015"/>
      <c r="G365" s="1015"/>
      <c r="H365" s="32">
        <f>ROUND(H363,1)</f>
        <v>38</v>
      </c>
    </row>
    <row r="367" spans="1:10" ht="18.600000000000001" x14ac:dyDescent="0.3">
      <c r="A367" s="3"/>
      <c r="B367" s="1016" t="s">
        <v>958</v>
      </c>
      <c r="C367" s="1016"/>
      <c r="D367" s="1016"/>
      <c r="E367" s="1016"/>
      <c r="F367" s="1016"/>
      <c r="G367" s="1016"/>
      <c r="H367" s="1016"/>
      <c r="I367" s="1016"/>
      <c r="J367" s="1016"/>
    </row>
    <row r="368" spans="1:10" ht="19.2" x14ac:dyDescent="0.35">
      <c r="A368" s="3"/>
      <c r="B368" s="53"/>
      <c r="C368" s="53"/>
      <c r="D368" s="53"/>
      <c r="E368" s="53"/>
      <c r="F368" s="53"/>
      <c r="G368" s="53"/>
      <c r="H368" s="53"/>
      <c r="I368" s="53"/>
      <c r="J368" s="53"/>
    </row>
    <row r="369" spans="1:10" ht="42" customHeight="1" x14ac:dyDescent="0.35">
      <c r="A369" s="3"/>
      <c r="B369" s="50" t="s">
        <v>1006</v>
      </c>
      <c r="C369" s="1017" t="s">
        <v>1007</v>
      </c>
      <c r="D369" s="1017"/>
      <c r="E369" s="1017"/>
      <c r="F369" s="52">
        <f>H417</f>
        <v>8.9</v>
      </c>
      <c r="G369" s="52" t="s">
        <v>971</v>
      </c>
      <c r="H369" s="53"/>
      <c r="I369" s="53"/>
      <c r="J369" s="53"/>
    </row>
    <row r="371" spans="1:10" x14ac:dyDescent="0.3">
      <c r="A371" s="3"/>
      <c r="C371" s="1018" t="s">
        <v>932</v>
      </c>
      <c r="D371" s="1018"/>
      <c r="E371" s="10"/>
      <c r="F371" s="11">
        <f>F378+F381+F379</f>
        <v>5.25</v>
      </c>
      <c r="G371" s="12" t="s">
        <v>971</v>
      </c>
    </row>
    <row r="373" spans="1:10" ht="27.6" x14ac:dyDescent="0.3">
      <c r="A373" s="3"/>
      <c r="C373" s="13" t="s">
        <v>929</v>
      </c>
      <c r="D373" s="14" t="s">
        <v>928</v>
      </c>
      <c r="E373" s="14" t="s">
        <v>514</v>
      </c>
      <c r="F373" s="14" t="s">
        <v>515</v>
      </c>
      <c r="G373" s="14" t="s">
        <v>962</v>
      </c>
      <c r="H373" s="14" t="s">
        <v>926</v>
      </c>
      <c r="I373" s="14" t="s">
        <v>516</v>
      </c>
      <c r="J373" s="14" t="s">
        <v>961</v>
      </c>
    </row>
    <row r="374" spans="1:10" x14ac:dyDescent="0.3">
      <c r="A374" s="3"/>
      <c r="C374" s="17" t="s">
        <v>535</v>
      </c>
      <c r="D374" s="16">
        <f>ЗП!C25</f>
        <v>6500</v>
      </c>
      <c r="E374" s="16">
        <f>D374*12</f>
        <v>78000</v>
      </c>
      <c r="F374" s="16">
        <f>ЗП!E25</f>
        <v>5265</v>
      </c>
      <c r="G374" s="16">
        <f>ЗП!F25</f>
        <v>2632.5</v>
      </c>
      <c r="H374" s="16">
        <f>E374+F374+G374</f>
        <v>85897.5</v>
      </c>
      <c r="I374" s="17">
        <v>1656.6</v>
      </c>
      <c r="J374" s="16">
        <f>ROUND((H374/I374)/60,2)</f>
        <v>0.86</v>
      </c>
    </row>
    <row r="375" spans="1:10" x14ac:dyDescent="0.3">
      <c r="A375" s="3"/>
      <c r="C375" s="17"/>
      <c r="D375" s="16"/>
      <c r="E375" s="16"/>
      <c r="F375" s="16"/>
      <c r="G375" s="16"/>
      <c r="H375" s="16"/>
      <c r="I375" s="17"/>
      <c r="J375" s="16"/>
    </row>
    <row r="377" spans="1:10" ht="27.6" x14ac:dyDescent="0.3">
      <c r="A377" s="3"/>
      <c r="C377" s="13" t="s">
        <v>929</v>
      </c>
      <c r="D377" s="14" t="s">
        <v>961</v>
      </c>
      <c r="E377" s="14" t="s">
        <v>930</v>
      </c>
      <c r="F377" s="14" t="s">
        <v>931</v>
      </c>
    </row>
    <row r="378" spans="1:10" x14ac:dyDescent="0.3">
      <c r="A378" s="3"/>
      <c r="C378" s="15" t="str">
        <f>C374</f>
        <v>Лікар-стоматолог</v>
      </c>
      <c r="D378" s="16">
        <f>J374</f>
        <v>0.86</v>
      </c>
      <c r="E378" s="17">
        <v>5</v>
      </c>
      <c r="F378" s="18">
        <f>ROUND(D378*E378,2)</f>
        <v>4.3</v>
      </c>
    </row>
    <row r="379" spans="1:10" x14ac:dyDescent="0.3">
      <c r="A379" s="3"/>
      <c r="C379" s="15"/>
      <c r="D379" s="16"/>
      <c r="E379" s="17"/>
      <c r="F379" s="18"/>
    </row>
    <row r="380" spans="1:10" x14ac:dyDescent="0.3">
      <c r="A380" s="3"/>
      <c r="D380" s="19"/>
    </row>
    <row r="381" spans="1:10" x14ac:dyDescent="0.3">
      <c r="A381" s="3"/>
      <c r="C381" s="17" t="s">
        <v>933</v>
      </c>
      <c r="D381" s="16">
        <f>F378+F379</f>
        <v>4.3</v>
      </c>
      <c r="E381" s="20">
        <v>0.22</v>
      </c>
      <c r="F381" s="21">
        <f>ROUND(D381*E381,2)</f>
        <v>0.95</v>
      </c>
    </row>
    <row r="383" spans="1:10" x14ac:dyDescent="0.3">
      <c r="A383" s="3"/>
      <c r="C383" s="12" t="s">
        <v>946</v>
      </c>
      <c r="D383" s="12"/>
      <c r="E383" s="12"/>
      <c r="F383" s="12">
        <f>G393</f>
        <v>2.9</v>
      </c>
      <c r="G383" s="12" t="s">
        <v>971</v>
      </c>
    </row>
    <row r="385" spans="1:8" x14ac:dyDescent="0.3">
      <c r="A385" s="3"/>
      <c r="C385" s="27" t="s">
        <v>934</v>
      </c>
      <c r="D385" s="28" t="s">
        <v>935</v>
      </c>
      <c r="E385" s="29">
        <v>0.1</v>
      </c>
      <c r="F385" s="29">
        <f>'МЕДИЧНІ М'!E11</f>
        <v>2.8</v>
      </c>
      <c r="G385" s="30">
        <f t="shared" ref="G385:G392" si="7">ROUND(E385*F385,2)</f>
        <v>0.28000000000000003</v>
      </c>
    </row>
    <row r="386" spans="1:8" x14ac:dyDescent="0.3">
      <c r="A386" s="3"/>
      <c r="C386" s="27" t="s">
        <v>936</v>
      </c>
      <c r="D386" s="28" t="s">
        <v>937</v>
      </c>
      <c r="E386" s="29">
        <v>1</v>
      </c>
      <c r="F386" s="29">
        <f>'МЕДИЧНІ М'!F9</f>
        <v>0.3</v>
      </c>
      <c r="G386" s="30">
        <f t="shared" si="7"/>
        <v>0.3</v>
      </c>
    </row>
    <row r="387" spans="1:8" x14ac:dyDescent="0.3">
      <c r="A387" s="3"/>
      <c r="C387" s="27" t="s">
        <v>938</v>
      </c>
      <c r="D387" s="28" t="s">
        <v>939</v>
      </c>
      <c r="E387" s="29">
        <v>0.1</v>
      </c>
      <c r="F387" s="29">
        <f>'МЕДИЧНІ М'!F7</f>
        <v>6</v>
      </c>
      <c r="G387" s="30">
        <f t="shared" si="7"/>
        <v>0.6</v>
      </c>
    </row>
    <row r="388" spans="1:8" x14ac:dyDescent="0.3">
      <c r="A388" s="3"/>
      <c r="C388" s="27" t="s">
        <v>940</v>
      </c>
      <c r="D388" s="28" t="s">
        <v>941</v>
      </c>
      <c r="E388" s="29">
        <v>0.5</v>
      </c>
      <c r="F388" s="29">
        <f>'МЕДИЧНІ М'!E8</f>
        <v>2</v>
      </c>
      <c r="G388" s="30">
        <f t="shared" si="7"/>
        <v>1</v>
      </c>
    </row>
    <row r="389" spans="1:8" x14ac:dyDescent="0.3">
      <c r="A389" s="3"/>
      <c r="C389" s="27" t="s">
        <v>942</v>
      </c>
      <c r="D389" s="28" t="s">
        <v>941</v>
      </c>
      <c r="E389" s="29">
        <v>0.01</v>
      </c>
      <c r="F389" s="29">
        <f>'МЕДИЧНІ М'!E13</f>
        <v>24.6</v>
      </c>
      <c r="G389" s="30">
        <f t="shared" si="7"/>
        <v>0.25</v>
      </c>
    </row>
    <row r="390" spans="1:8" x14ac:dyDescent="0.3">
      <c r="A390" s="3"/>
      <c r="C390" s="27" t="s">
        <v>943</v>
      </c>
      <c r="D390" s="28" t="s">
        <v>944</v>
      </c>
      <c r="E390" s="29">
        <v>1</v>
      </c>
      <c r="F390" s="29">
        <f>'МЕДИЧНІ М'!F5</f>
        <v>7.0000000000000007E-2</v>
      </c>
      <c r="G390" s="30">
        <f t="shared" si="7"/>
        <v>7.0000000000000007E-2</v>
      </c>
    </row>
    <row r="391" spans="1:8" x14ac:dyDescent="0.3">
      <c r="A391" s="3"/>
      <c r="C391" s="27" t="s">
        <v>1124</v>
      </c>
      <c r="D391" s="28" t="s">
        <v>944</v>
      </c>
      <c r="E391" s="29">
        <v>0.5</v>
      </c>
      <c r="F391" s="29">
        <f>'МЕДИЧНІ М'!E6</f>
        <v>0.5</v>
      </c>
      <c r="G391" s="30">
        <f t="shared" si="7"/>
        <v>0.25</v>
      </c>
    </row>
    <row r="392" spans="1:8" x14ac:dyDescent="0.3">
      <c r="A392" s="3"/>
      <c r="C392" s="27" t="s">
        <v>1159</v>
      </c>
      <c r="D392" s="28" t="s">
        <v>1160</v>
      </c>
      <c r="E392" s="29">
        <f>E378</f>
        <v>5</v>
      </c>
      <c r="F392" s="29">
        <f>ROUND(3389/I374/60,2)</f>
        <v>0.03</v>
      </c>
      <c r="G392" s="30">
        <f t="shared" si="7"/>
        <v>0.15</v>
      </c>
    </row>
    <row r="393" spans="1:8" x14ac:dyDescent="0.3">
      <c r="A393" s="3"/>
      <c r="C393" s="1019" t="s">
        <v>945</v>
      </c>
      <c r="D393" s="1019"/>
      <c r="E393" s="1019"/>
      <c r="F393" s="1019"/>
      <c r="G393" s="31">
        <f>SUM(G385:G392)</f>
        <v>2.9</v>
      </c>
    </row>
    <row r="395" spans="1:8" x14ac:dyDescent="0.3">
      <c r="A395" s="3"/>
      <c r="C395" s="12" t="s">
        <v>968</v>
      </c>
      <c r="D395" s="12"/>
      <c r="E395" s="12"/>
      <c r="F395" s="11">
        <f>H398</f>
        <v>0.05</v>
      </c>
      <c r="G395" s="12" t="s">
        <v>971</v>
      </c>
    </row>
    <row r="396" spans="1:8" x14ac:dyDescent="0.3">
      <c r="A396" s="3"/>
      <c r="C396" s="22"/>
      <c r="D396" s="22"/>
      <c r="E396" s="22"/>
      <c r="F396" s="23"/>
      <c r="G396" s="22"/>
    </row>
    <row r="397" spans="1:8" ht="27.6" x14ac:dyDescent="0.3">
      <c r="A397" s="3"/>
      <c r="C397" s="14" t="s">
        <v>513</v>
      </c>
      <c r="D397" s="14" t="s">
        <v>1108</v>
      </c>
      <c r="E397" s="14" t="s">
        <v>516</v>
      </c>
      <c r="F397" s="14" t="s">
        <v>970</v>
      </c>
      <c r="G397" s="14" t="s">
        <v>930</v>
      </c>
      <c r="H397" s="14" t="s">
        <v>961</v>
      </c>
    </row>
    <row r="398" spans="1:8" x14ac:dyDescent="0.3">
      <c r="A398" s="3"/>
      <c r="C398" s="27" t="s">
        <v>1117</v>
      </c>
      <c r="D398" s="17">
        <f>D346</f>
        <v>815.88</v>
      </c>
      <c r="E398" s="17">
        <f>I374</f>
        <v>1656.6</v>
      </c>
      <c r="F398" s="17">
        <f>ROUND((D398/E398)/60,2)</f>
        <v>0.01</v>
      </c>
      <c r="G398" s="17">
        <f>E378</f>
        <v>5</v>
      </c>
      <c r="H398" s="16">
        <f>ROUND(F398*G398,2)</f>
        <v>0.05</v>
      </c>
    </row>
    <row r="400" spans="1:8" x14ac:dyDescent="0.3">
      <c r="A400" s="3"/>
      <c r="C400" s="12" t="s">
        <v>948</v>
      </c>
      <c r="D400" s="12"/>
      <c r="E400" s="12"/>
      <c r="F400" s="11">
        <f>H412</f>
        <v>0.7</v>
      </c>
      <c r="G400" s="12" t="s">
        <v>971</v>
      </c>
    </row>
    <row r="401" spans="1:8" x14ac:dyDescent="0.3">
      <c r="A401" s="3"/>
      <c r="C401" s="22"/>
      <c r="D401" s="22"/>
      <c r="E401" s="22"/>
      <c r="F401" s="23"/>
    </row>
    <row r="402" spans="1:8" ht="41.4" x14ac:dyDescent="0.3">
      <c r="A402" s="3"/>
      <c r="C402" s="14" t="s">
        <v>948</v>
      </c>
      <c r="D402" s="14" t="s">
        <v>955</v>
      </c>
      <c r="E402" s="14" t="s">
        <v>516</v>
      </c>
      <c r="F402" s="14" t="s">
        <v>954</v>
      </c>
      <c r="G402" s="14" t="s">
        <v>930</v>
      </c>
      <c r="H402" s="14" t="s">
        <v>956</v>
      </c>
    </row>
    <row r="403" spans="1:8" x14ac:dyDescent="0.3">
      <c r="A403" s="3"/>
      <c r="C403" s="1009" t="str">
        <f>C374</f>
        <v>Лікар-стоматолог</v>
      </c>
      <c r="D403" s="1010"/>
      <c r="E403" s="1010"/>
      <c r="F403" s="1010"/>
      <c r="G403" s="1010"/>
      <c r="H403" s="1011"/>
    </row>
    <row r="404" spans="1:8" x14ac:dyDescent="0.3">
      <c r="A404" s="3"/>
      <c r="C404" s="17" t="s">
        <v>951</v>
      </c>
      <c r="D404" s="112">
        <f>D352</f>
        <v>12188.608008565312</v>
      </c>
      <c r="E404" s="17">
        <f>I374</f>
        <v>1656.6</v>
      </c>
      <c r="F404" s="17">
        <f>ROUND((D404/E404)/60,2)</f>
        <v>0.12</v>
      </c>
      <c r="G404" s="17">
        <f>E378</f>
        <v>5</v>
      </c>
      <c r="H404" s="16">
        <f>ROUND(F404*G404,2)</f>
        <v>0.6</v>
      </c>
    </row>
    <row r="405" spans="1:8" x14ac:dyDescent="0.3">
      <c r="A405" s="3"/>
      <c r="C405" s="17" t="s">
        <v>952</v>
      </c>
      <c r="D405" s="112">
        <f>D353</f>
        <v>53.149721627408987</v>
      </c>
      <c r="E405" s="17">
        <f>I374</f>
        <v>1656.6</v>
      </c>
      <c r="F405" s="17">
        <f>ROUND((D405/E405)/60,2)</f>
        <v>0</v>
      </c>
      <c r="G405" s="17">
        <f>E378</f>
        <v>5</v>
      </c>
      <c r="H405" s="16">
        <f>ROUND(F405*G405,2)</f>
        <v>0</v>
      </c>
    </row>
    <row r="406" spans="1:8" x14ac:dyDescent="0.3">
      <c r="A406" s="3"/>
      <c r="C406" s="17" t="s">
        <v>953</v>
      </c>
      <c r="D406" s="112">
        <f>D354</f>
        <v>374.98368308351178</v>
      </c>
      <c r="E406" s="17">
        <f>I374</f>
        <v>1656.6</v>
      </c>
      <c r="F406" s="17">
        <f>ROUND((D406/E406)/60,2)</f>
        <v>0</v>
      </c>
      <c r="G406" s="17">
        <f>E378</f>
        <v>5</v>
      </c>
      <c r="H406" s="16">
        <f>ROUND(F406*G406,2)</f>
        <v>0</v>
      </c>
    </row>
    <row r="407" spans="1:8" x14ac:dyDescent="0.3">
      <c r="A407" s="3"/>
      <c r="C407" s="17" t="s">
        <v>1109</v>
      </c>
      <c r="D407" s="112">
        <f>D355</f>
        <v>1686.0389293361886</v>
      </c>
      <c r="E407" s="17">
        <f>I374</f>
        <v>1656.6</v>
      </c>
      <c r="F407" s="17">
        <f>ROUND((D407/E407)/60,2)</f>
        <v>0.02</v>
      </c>
      <c r="G407" s="17">
        <f>E378</f>
        <v>5</v>
      </c>
      <c r="H407" s="16">
        <f>ROUND(F407*G407,2)</f>
        <v>0.1</v>
      </c>
    </row>
    <row r="408" spans="1:8" x14ac:dyDescent="0.3">
      <c r="A408" s="3"/>
      <c r="C408" s="1009"/>
      <c r="D408" s="1010"/>
      <c r="E408" s="1010"/>
      <c r="F408" s="1010"/>
      <c r="G408" s="1010"/>
      <c r="H408" s="1011"/>
    </row>
    <row r="409" spans="1:8" hidden="1" x14ac:dyDescent="0.3">
      <c r="A409" s="3"/>
      <c r="C409" s="17"/>
      <c r="D409" s="17"/>
      <c r="E409" s="17"/>
      <c r="F409" s="17"/>
      <c r="G409" s="17"/>
      <c r="H409" s="16"/>
    </row>
    <row r="410" spans="1:8" hidden="1" x14ac:dyDescent="0.3">
      <c r="A410" s="3"/>
      <c r="C410" s="17"/>
      <c r="D410" s="17"/>
      <c r="E410" s="17"/>
      <c r="F410" s="17"/>
      <c r="G410" s="17"/>
      <c r="H410" s="16"/>
    </row>
    <row r="411" spans="1:8" hidden="1" x14ac:dyDescent="0.3">
      <c r="A411" s="3"/>
      <c r="C411" s="17"/>
      <c r="D411" s="17"/>
      <c r="E411" s="17"/>
      <c r="F411" s="17"/>
      <c r="G411" s="17"/>
      <c r="H411" s="16"/>
    </row>
    <row r="412" spans="1:8" x14ac:dyDescent="0.3">
      <c r="A412" s="3"/>
      <c r="C412" s="1012" t="s">
        <v>957</v>
      </c>
      <c r="D412" s="1013"/>
      <c r="E412" s="1013"/>
      <c r="F412" s="1013"/>
      <c r="G412" s="1014"/>
      <c r="H412" s="18">
        <f>SUM(H404:H411)</f>
        <v>0.7</v>
      </c>
    </row>
    <row r="414" spans="1:8" ht="2.25" customHeight="1" x14ac:dyDescent="0.3">
      <c r="A414" s="3"/>
    </row>
    <row r="415" spans="1:8" x14ac:dyDescent="0.3">
      <c r="A415" s="3"/>
      <c r="C415" s="1015" t="s">
        <v>959</v>
      </c>
      <c r="D415" s="1015"/>
      <c r="E415" s="1015"/>
      <c r="F415" s="1015"/>
      <c r="G415" s="1015"/>
      <c r="H415" s="32">
        <f>F371+F383+F400+F395</f>
        <v>8.9</v>
      </c>
    </row>
    <row r="416" spans="1:8" x14ac:dyDescent="0.3">
      <c r="A416" s="3"/>
      <c r="C416" s="33"/>
      <c r="D416" s="33"/>
      <c r="E416" s="33"/>
      <c r="F416" s="33"/>
      <c r="G416" s="33"/>
      <c r="H416" s="34"/>
    </row>
    <row r="417" spans="1:10" x14ac:dyDescent="0.3">
      <c r="A417" s="3"/>
      <c r="C417" s="1015" t="s">
        <v>960</v>
      </c>
      <c r="D417" s="1015"/>
      <c r="E417" s="1015"/>
      <c r="F417" s="1015"/>
      <c r="G417" s="1015"/>
      <c r="H417" s="32">
        <f>ROUND(H415,1)</f>
        <v>8.9</v>
      </c>
    </row>
    <row r="419" spans="1:10" ht="18.600000000000001" x14ac:dyDescent="0.3">
      <c r="A419" s="3"/>
      <c r="B419" s="1016" t="s">
        <v>958</v>
      </c>
      <c r="C419" s="1016"/>
      <c r="D419" s="1016"/>
      <c r="E419" s="1016"/>
      <c r="F419" s="1016"/>
      <c r="G419" s="1016"/>
      <c r="H419" s="1016"/>
      <c r="I419" s="1016"/>
      <c r="J419" s="1016"/>
    </row>
    <row r="420" spans="1:10" ht="19.2" x14ac:dyDescent="0.35">
      <c r="A420" s="3"/>
      <c r="B420" s="53"/>
      <c r="C420" s="53"/>
      <c r="D420" s="53"/>
      <c r="E420" s="53"/>
      <c r="F420" s="53"/>
      <c r="G420" s="53"/>
      <c r="H420" s="53"/>
      <c r="I420" s="53"/>
      <c r="J420" s="53"/>
    </row>
    <row r="421" spans="1:10" ht="36" customHeight="1" x14ac:dyDescent="0.35">
      <c r="A421" s="3"/>
      <c r="B421" s="50" t="s">
        <v>1009</v>
      </c>
      <c r="C421" s="1017" t="s">
        <v>1008</v>
      </c>
      <c r="D421" s="1017"/>
      <c r="E421" s="1017"/>
      <c r="F421" s="52">
        <f>H465</f>
        <v>11.5</v>
      </c>
      <c r="G421" s="52" t="s">
        <v>971</v>
      </c>
      <c r="H421" s="53"/>
      <c r="I421" s="53"/>
      <c r="J421" s="53"/>
    </row>
    <row r="423" spans="1:10" x14ac:dyDescent="0.3">
      <c r="A423" s="3"/>
      <c r="C423" s="1018" t="s">
        <v>932</v>
      </c>
      <c r="D423" s="1018"/>
      <c r="E423" s="10"/>
      <c r="F423" s="11">
        <f>F430+F433+F431</f>
        <v>7.87</v>
      </c>
      <c r="G423" s="12" t="s">
        <v>971</v>
      </c>
    </row>
    <row r="425" spans="1:10" ht="27.6" x14ac:dyDescent="0.3">
      <c r="A425" s="3"/>
      <c r="C425" s="13" t="s">
        <v>929</v>
      </c>
      <c r="D425" s="14" t="s">
        <v>928</v>
      </c>
      <c r="E425" s="14" t="s">
        <v>514</v>
      </c>
      <c r="F425" s="14" t="s">
        <v>515</v>
      </c>
      <c r="G425" s="14" t="s">
        <v>962</v>
      </c>
      <c r="H425" s="14" t="s">
        <v>926</v>
      </c>
      <c r="I425" s="14" t="s">
        <v>516</v>
      </c>
      <c r="J425" s="14" t="s">
        <v>961</v>
      </c>
    </row>
    <row r="426" spans="1:10" x14ac:dyDescent="0.3">
      <c r="A426" s="3"/>
      <c r="C426" s="17" t="s">
        <v>530</v>
      </c>
      <c r="D426" s="16">
        <f>ЗП!C19</f>
        <v>10671.38</v>
      </c>
      <c r="E426" s="16">
        <f>D426*12</f>
        <v>128056.56</v>
      </c>
      <c r="F426" s="16">
        <f>ЗП!E19</f>
        <v>8208.75</v>
      </c>
      <c r="G426" s="16">
        <f>ЗП!F19</f>
        <v>4104.375</v>
      </c>
      <c r="H426" s="16">
        <f>E426+F426+G426</f>
        <v>140369.685</v>
      </c>
      <c r="I426" s="17">
        <v>1807.2</v>
      </c>
      <c r="J426" s="16">
        <f>ROUND((H426/I426)/60,2)</f>
        <v>1.29</v>
      </c>
    </row>
    <row r="427" spans="1:10" x14ac:dyDescent="0.3">
      <c r="A427" s="3"/>
      <c r="C427" s="17"/>
      <c r="D427" s="16"/>
      <c r="E427" s="16"/>
      <c r="F427" s="16"/>
      <c r="G427" s="16"/>
      <c r="H427" s="16"/>
      <c r="I427" s="17"/>
      <c r="J427" s="16"/>
    </row>
    <row r="429" spans="1:10" ht="27.6" x14ac:dyDescent="0.3">
      <c r="A429" s="3"/>
      <c r="C429" s="13" t="s">
        <v>929</v>
      </c>
      <c r="D429" s="14" t="s">
        <v>961</v>
      </c>
      <c r="E429" s="14" t="s">
        <v>930</v>
      </c>
      <c r="F429" s="14" t="s">
        <v>931</v>
      </c>
    </row>
    <row r="430" spans="1:10" x14ac:dyDescent="0.3">
      <c r="A430" s="3"/>
      <c r="C430" s="15" t="str">
        <f>C426</f>
        <v>Лікар-психіатр</v>
      </c>
      <c r="D430" s="16">
        <f>J426</f>
        <v>1.29</v>
      </c>
      <c r="E430" s="17">
        <v>5</v>
      </c>
      <c r="F430" s="18">
        <f>ROUND(D430*E430,2)</f>
        <v>6.45</v>
      </c>
    </row>
    <row r="431" spans="1:10" x14ac:dyDescent="0.3">
      <c r="A431" s="3"/>
      <c r="C431" s="15"/>
      <c r="D431" s="16"/>
      <c r="E431" s="17"/>
      <c r="F431" s="18"/>
    </row>
    <row r="432" spans="1:10" x14ac:dyDescent="0.3">
      <c r="A432" s="3"/>
      <c r="D432" s="19"/>
    </row>
    <row r="433" spans="1:7" x14ac:dyDescent="0.3">
      <c r="A433" s="3"/>
      <c r="C433" s="17" t="s">
        <v>933</v>
      </c>
      <c r="D433" s="16">
        <f>F430+F431</f>
        <v>6.45</v>
      </c>
      <c r="E433" s="20">
        <v>0.22</v>
      </c>
      <c r="F433" s="21">
        <f>ROUND(D433*E433,2)</f>
        <v>1.42</v>
      </c>
    </row>
    <row r="435" spans="1:7" x14ac:dyDescent="0.3">
      <c r="A435" s="3"/>
      <c r="C435" s="12" t="s">
        <v>946</v>
      </c>
      <c r="D435" s="12"/>
      <c r="E435" s="12"/>
      <c r="F435" s="12">
        <f>G445</f>
        <v>2.9</v>
      </c>
      <c r="G435" s="12" t="s">
        <v>971</v>
      </c>
    </row>
    <row r="437" spans="1:7" x14ac:dyDescent="0.3">
      <c r="A437" s="3"/>
      <c r="C437" s="27" t="s">
        <v>934</v>
      </c>
      <c r="D437" s="28" t="s">
        <v>935</v>
      </c>
      <c r="E437" s="29">
        <v>0.1</v>
      </c>
      <c r="F437" s="29">
        <f>'МЕДИЧНІ М'!E11</f>
        <v>2.8</v>
      </c>
      <c r="G437" s="30">
        <f t="shared" ref="G437:G444" si="8">ROUND(E437*F437,2)</f>
        <v>0.28000000000000003</v>
      </c>
    </row>
    <row r="438" spans="1:7" x14ac:dyDescent="0.3">
      <c r="A438" s="3"/>
      <c r="C438" s="27" t="s">
        <v>936</v>
      </c>
      <c r="D438" s="28" t="s">
        <v>937</v>
      </c>
      <c r="E438" s="29">
        <v>1</v>
      </c>
      <c r="F438" s="29">
        <f>'МЕДИЧНІ М'!F9</f>
        <v>0.3</v>
      </c>
      <c r="G438" s="30">
        <f t="shared" si="8"/>
        <v>0.3</v>
      </c>
    </row>
    <row r="439" spans="1:7" x14ac:dyDescent="0.3">
      <c r="A439" s="3"/>
      <c r="C439" s="27" t="s">
        <v>938</v>
      </c>
      <c r="D439" s="28" t="s">
        <v>939</v>
      </c>
      <c r="E439" s="29">
        <v>0.1</v>
      </c>
      <c r="F439" s="29">
        <f>'МЕДИЧНІ М'!F7</f>
        <v>6</v>
      </c>
      <c r="G439" s="30">
        <f t="shared" si="8"/>
        <v>0.6</v>
      </c>
    </row>
    <row r="440" spans="1:7" x14ac:dyDescent="0.3">
      <c r="A440" s="3"/>
      <c r="C440" s="27" t="s">
        <v>940</v>
      </c>
      <c r="D440" s="28" t="s">
        <v>941</v>
      </c>
      <c r="E440" s="29">
        <v>0.5</v>
      </c>
      <c r="F440" s="29">
        <f>'МЕДИЧНІ М'!E8</f>
        <v>2</v>
      </c>
      <c r="G440" s="30">
        <f t="shared" si="8"/>
        <v>1</v>
      </c>
    </row>
    <row r="441" spans="1:7" x14ac:dyDescent="0.3">
      <c r="A441" s="3"/>
      <c r="C441" s="27" t="s">
        <v>942</v>
      </c>
      <c r="D441" s="28" t="s">
        <v>941</v>
      </c>
      <c r="E441" s="29">
        <v>0.01</v>
      </c>
      <c r="F441" s="29">
        <f>'МЕДИЧНІ М'!E13</f>
        <v>24.6</v>
      </c>
      <c r="G441" s="30">
        <f t="shared" si="8"/>
        <v>0.25</v>
      </c>
    </row>
    <row r="442" spans="1:7" x14ac:dyDescent="0.3">
      <c r="A442" s="3"/>
      <c r="C442" s="27" t="s">
        <v>943</v>
      </c>
      <c r="D442" s="28" t="s">
        <v>944</v>
      </c>
      <c r="E442" s="29">
        <v>1</v>
      </c>
      <c r="F442" s="29">
        <f>'МЕДИЧНІ М'!F5</f>
        <v>7.0000000000000007E-2</v>
      </c>
      <c r="G442" s="30">
        <f t="shared" si="8"/>
        <v>7.0000000000000007E-2</v>
      </c>
    </row>
    <row r="443" spans="1:7" x14ac:dyDescent="0.3">
      <c r="A443" s="3"/>
      <c r="C443" s="27" t="s">
        <v>1124</v>
      </c>
      <c r="D443" s="28" t="s">
        <v>944</v>
      </c>
      <c r="E443" s="29">
        <v>0.5</v>
      </c>
      <c r="F443" s="29">
        <f>'МЕДИЧНІ М'!E6</f>
        <v>0.5</v>
      </c>
      <c r="G443" s="30">
        <f t="shared" si="8"/>
        <v>0.25</v>
      </c>
    </row>
    <row r="444" spans="1:7" x14ac:dyDescent="0.3">
      <c r="A444" s="3"/>
      <c r="C444" s="27" t="s">
        <v>1159</v>
      </c>
      <c r="D444" s="28" t="s">
        <v>1160</v>
      </c>
      <c r="E444" s="29">
        <f>E430</f>
        <v>5</v>
      </c>
      <c r="F444" s="29">
        <f>ROUND(3389/I426/60,2)</f>
        <v>0.03</v>
      </c>
      <c r="G444" s="30">
        <f t="shared" si="8"/>
        <v>0.15</v>
      </c>
    </row>
    <row r="445" spans="1:7" x14ac:dyDescent="0.3">
      <c r="A445" s="3"/>
      <c r="C445" s="1019" t="s">
        <v>945</v>
      </c>
      <c r="D445" s="1019"/>
      <c r="E445" s="1019"/>
      <c r="F445" s="1019"/>
      <c r="G445" s="31">
        <f>SUM(G437:G444)</f>
        <v>2.9</v>
      </c>
    </row>
    <row r="447" spans="1:7" x14ac:dyDescent="0.3">
      <c r="A447" s="3"/>
      <c r="C447" s="12" t="s">
        <v>968</v>
      </c>
      <c r="D447" s="12"/>
      <c r="E447" s="12"/>
      <c r="F447" s="11">
        <f>H450</f>
        <v>0.05</v>
      </c>
      <c r="G447" s="12" t="s">
        <v>971</v>
      </c>
    </row>
    <row r="448" spans="1:7" x14ac:dyDescent="0.3">
      <c r="A448" s="3"/>
      <c r="C448" s="22"/>
      <c r="D448" s="22"/>
      <c r="E448" s="22"/>
      <c r="F448" s="23"/>
      <c r="G448" s="22"/>
    </row>
    <row r="449" spans="1:8" ht="27.6" x14ac:dyDescent="0.3">
      <c r="A449" s="3"/>
      <c r="C449" s="14" t="s">
        <v>513</v>
      </c>
      <c r="D449" s="14" t="s">
        <v>969</v>
      </c>
      <c r="E449" s="14" t="s">
        <v>516</v>
      </c>
      <c r="F449" s="14" t="s">
        <v>970</v>
      </c>
      <c r="G449" s="14" t="s">
        <v>930</v>
      </c>
      <c r="H449" s="14" t="s">
        <v>961</v>
      </c>
    </row>
    <row r="450" spans="1:8" x14ac:dyDescent="0.3">
      <c r="A450" s="3"/>
      <c r="C450" s="27" t="s">
        <v>1117</v>
      </c>
      <c r="D450" s="17">
        <f>D398</f>
        <v>815.88</v>
      </c>
      <c r="E450" s="17">
        <f>I426</f>
        <v>1807.2</v>
      </c>
      <c r="F450" s="17">
        <f>ROUND((D450/E450)/60,2)</f>
        <v>0.01</v>
      </c>
      <c r="G450" s="17">
        <f>E430</f>
        <v>5</v>
      </c>
      <c r="H450" s="16">
        <f>ROUND(F450*G450,2)</f>
        <v>0.05</v>
      </c>
    </row>
    <row r="452" spans="1:8" x14ac:dyDescent="0.3">
      <c r="A452" s="3"/>
      <c r="C452" s="12" t="s">
        <v>948</v>
      </c>
      <c r="D452" s="12"/>
      <c r="E452" s="12"/>
      <c r="F452" s="11">
        <f>H460</f>
        <v>0.65</v>
      </c>
      <c r="G452" s="12" t="s">
        <v>971</v>
      </c>
    </row>
    <row r="453" spans="1:8" x14ac:dyDescent="0.3">
      <c r="A453" s="3"/>
      <c r="C453" s="22"/>
      <c r="D453" s="22"/>
      <c r="E453" s="22"/>
      <c r="F453" s="23"/>
    </row>
    <row r="454" spans="1:8" ht="41.4" x14ac:dyDescent="0.3">
      <c r="A454" s="3"/>
      <c r="C454" s="14" t="s">
        <v>948</v>
      </c>
      <c r="D454" s="14" t="s">
        <v>955</v>
      </c>
      <c r="E454" s="14" t="s">
        <v>516</v>
      </c>
      <c r="F454" s="14" t="s">
        <v>954</v>
      </c>
      <c r="G454" s="14" t="s">
        <v>930</v>
      </c>
      <c r="H454" s="14" t="s">
        <v>956</v>
      </c>
    </row>
    <row r="455" spans="1:8" x14ac:dyDescent="0.3">
      <c r="A455" s="3"/>
      <c r="C455" s="1009" t="str">
        <f>C426</f>
        <v>Лікар-психіатр</v>
      </c>
      <c r="D455" s="1010"/>
      <c r="E455" s="1010"/>
      <c r="F455" s="1010"/>
      <c r="G455" s="1010"/>
      <c r="H455" s="1011"/>
    </row>
    <row r="456" spans="1:8" x14ac:dyDescent="0.3">
      <c r="A456" s="3"/>
      <c r="C456" s="17" t="s">
        <v>951</v>
      </c>
      <c r="D456" s="112">
        <f>D404</f>
        <v>12188.608008565312</v>
      </c>
      <c r="E456" s="17">
        <f>I426</f>
        <v>1807.2</v>
      </c>
      <c r="F456" s="17">
        <f>ROUND((D456/E456)/60,2)</f>
        <v>0.11</v>
      </c>
      <c r="G456" s="17">
        <f>E430</f>
        <v>5</v>
      </c>
      <c r="H456" s="16">
        <f>ROUND(F456*G456,2)</f>
        <v>0.55000000000000004</v>
      </c>
    </row>
    <row r="457" spans="1:8" x14ac:dyDescent="0.3">
      <c r="A457" s="3"/>
      <c r="C457" s="17" t="s">
        <v>952</v>
      </c>
      <c r="D457" s="112">
        <f>D405</f>
        <v>53.149721627408987</v>
      </c>
      <c r="E457" s="17">
        <f>I426</f>
        <v>1807.2</v>
      </c>
      <c r="F457" s="17">
        <f>ROUND((D457/E457)/60,2)</f>
        <v>0</v>
      </c>
      <c r="G457" s="17">
        <f>E430</f>
        <v>5</v>
      </c>
      <c r="H457" s="16">
        <f>ROUND(F457*G457,2)</f>
        <v>0</v>
      </c>
    </row>
    <row r="458" spans="1:8" x14ac:dyDescent="0.3">
      <c r="A458" s="3"/>
      <c r="C458" s="17" t="s">
        <v>953</v>
      </c>
      <c r="D458" s="112">
        <f>D406</f>
        <v>374.98368308351178</v>
      </c>
      <c r="E458" s="17">
        <f>I426</f>
        <v>1807.2</v>
      </c>
      <c r="F458" s="17">
        <f>ROUND((D458/E458)/60,2)</f>
        <v>0</v>
      </c>
      <c r="G458" s="17">
        <f>E430</f>
        <v>5</v>
      </c>
      <c r="H458" s="16">
        <f>ROUND(F458*G458,2)</f>
        <v>0</v>
      </c>
    </row>
    <row r="459" spans="1:8" x14ac:dyDescent="0.3">
      <c r="A459" s="3"/>
      <c r="C459" s="17" t="s">
        <v>1109</v>
      </c>
      <c r="D459" s="112">
        <f>D407</f>
        <v>1686.0389293361886</v>
      </c>
      <c r="E459" s="17">
        <f>I426</f>
        <v>1807.2</v>
      </c>
      <c r="F459" s="17">
        <f>ROUND((D459/E459)/60,2)</f>
        <v>0.02</v>
      </c>
      <c r="G459" s="17">
        <f>E430</f>
        <v>5</v>
      </c>
      <c r="H459" s="16">
        <f>ROUND(F459*G459,2)</f>
        <v>0.1</v>
      </c>
    </row>
    <row r="460" spans="1:8" x14ac:dyDescent="0.3">
      <c r="A460" s="3"/>
      <c r="C460" s="1012" t="s">
        <v>957</v>
      </c>
      <c r="D460" s="1013"/>
      <c r="E460" s="1013"/>
      <c r="F460" s="1013"/>
      <c r="G460" s="1014"/>
      <c r="H460" s="18">
        <f>SUM(H456:H459)</f>
        <v>0.65</v>
      </c>
    </row>
    <row r="461" spans="1:8" ht="14.25" customHeight="1" x14ac:dyDescent="0.3">
      <c r="A461" s="3"/>
    </row>
    <row r="462" spans="1:8" x14ac:dyDescent="0.3">
      <c r="A462" s="3"/>
    </row>
    <row r="463" spans="1:8" x14ac:dyDescent="0.3">
      <c r="A463" s="3"/>
      <c r="C463" s="1015" t="s">
        <v>959</v>
      </c>
      <c r="D463" s="1015"/>
      <c r="E463" s="1015"/>
      <c r="F463" s="1015"/>
      <c r="G463" s="1015"/>
      <c r="H463" s="32">
        <f>F423+F435+F452+F447</f>
        <v>11.47</v>
      </c>
    </row>
    <row r="464" spans="1:8" x14ac:dyDescent="0.3">
      <c r="A464" s="3"/>
      <c r="C464" s="33"/>
      <c r="D464" s="33"/>
      <c r="E464" s="33"/>
      <c r="F464" s="33"/>
      <c r="G464" s="33"/>
      <c r="H464" s="34"/>
    </row>
    <row r="465" spans="1:10" x14ac:dyDescent="0.3">
      <c r="A465" s="3"/>
      <c r="C465" s="1015" t="s">
        <v>960</v>
      </c>
      <c r="D465" s="1015"/>
      <c r="E465" s="1015"/>
      <c r="F465" s="1015"/>
      <c r="G465" s="1015"/>
      <c r="H465" s="32">
        <f>ROUND(H463,1)</f>
        <v>11.5</v>
      </c>
    </row>
    <row r="467" spans="1:10" ht="18.600000000000001" x14ac:dyDescent="0.3">
      <c r="A467" s="3"/>
      <c r="B467" s="1016" t="s">
        <v>958</v>
      </c>
      <c r="C467" s="1016"/>
      <c r="D467" s="1016"/>
      <c r="E467" s="1016"/>
      <c r="F467" s="1016"/>
      <c r="G467" s="1016"/>
      <c r="H467" s="1016"/>
      <c r="I467" s="1016"/>
      <c r="J467" s="1016"/>
    </row>
    <row r="468" spans="1:10" ht="19.2" x14ac:dyDescent="0.35">
      <c r="A468" s="3"/>
      <c r="B468" s="53"/>
      <c r="C468" s="53"/>
      <c r="D468" s="53"/>
      <c r="E468" s="53"/>
      <c r="F468" s="53"/>
      <c r="G468" s="53"/>
      <c r="H468" s="53"/>
      <c r="I468" s="53"/>
      <c r="J468" s="53"/>
    </row>
    <row r="469" spans="1:10" ht="41.25" customHeight="1" x14ac:dyDescent="0.35">
      <c r="A469" s="3"/>
      <c r="B469" s="50" t="s">
        <v>1011</v>
      </c>
      <c r="C469" s="1017" t="s">
        <v>1010</v>
      </c>
      <c r="D469" s="1017"/>
      <c r="E469" s="1017"/>
      <c r="F469" s="52">
        <f>H517</f>
        <v>9.9</v>
      </c>
      <c r="G469" s="52" t="s">
        <v>971</v>
      </c>
      <c r="H469" s="53"/>
      <c r="I469" s="53"/>
      <c r="J469" s="53"/>
    </row>
    <row r="471" spans="1:10" x14ac:dyDescent="0.3">
      <c r="A471" s="3"/>
      <c r="C471" s="1018" t="s">
        <v>932</v>
      </c>
      <c r="D471" s="1018"/>
      <c r="E471" s="10"/>
      <c r="F471" s="11">
        <f>F478+F481+F479</f>
        <v>6.34</v>
      </c>
      <c r="G471" s="12" t="s">
        <v>971</v>
      </c>
    </row>
    <row r="473" spans="1:10" ht="27.6" x14ac:dyDescent="0.3">
      <c r="A473" s="3"/>
      <c r="C473" s="13" t="s">
        <v>929</v>
      </c>
      <c r="D473" s="14" t="s">
        <v>928</v>
      </c>
      <c r="E473" s="14" t="s">
        <v>514</v>
      </c>
      <c r="F473" s="14" t="s">
        <v>515</v>
      </c>
      <c r="G473" s="14" t="s">
        <v>962</v>
      </c>
      <c r="H473" s="14" t="s">
        <v>926</v>
      </c>
      <c r="I473" s="14" t="s">
        <v>516</v>
      </c>
      <c r="J473" s="14" t="s">
        <v>961</v>
      </c>
    </row>
    <row r="474" spans="1:10" x14ac:dyDescent="0.3">
      <c r="A474" s="3"/>
      <c r="C474" s="17" t="s">
        <v>532</v>
      </c>
      <c r="D474" s="16">
        <f>ЗП!C21</f>
        <v>8555.64</v>
      </c>
      <c r="E474" s="16">
        <f>D474*12</f>
        <v>102667.68</v>
      </c>
      <c r="F474" s="16">
        <f>ЗП!E21</f>
        <v>6581.25</v>
      </c>
      <c r="G474" s="16">
        <f>ЗП!F21</f>
        <v>3290.625</v>
      </c>
      <c r="H474" s="16">
        <f>E474+F474+G474</f>
        <v>112539.55499999999</v>
      </c>
      <c r="I474" s="17">
        <v>1807.2</v>
      </c>
      <c r="J474" s="16">
        <f>ROUND((H474/I474)/60,2)</f>
        <v>1.04</v>
      </c>
    </row>
    <row r="475" spans="1:10" x14ac:dyDescent="0.3">
      <c r="A475" s="3"/>
      <c r="C475" s="17"/>
      <c r="D475" s="16"/>
      <c r="E475" s="16"/>
      <c r="F475" s="16"/>
      <c r="G475" s="16"/>
      <c r="H475" s="16"/>
      <c r="I475" s="17"/>
      <c r="J475" s="16"/>
    </row>
    <row r="477" spans="1:10" ht="27.6" x14ac:dyDescent="0.3">
      <c r="A477" s="3"/>
      <c r="C477" s="13" t="s">
        <v>929</v>
      </c>
      <c r="D477" s="14" t="s">
        <v>961</v>
      </c>
      <c r="E477" s="14" t="s">
        <v>930</v>
      </c>
      <c r="F477" s="14" t="s">
        <v>931</v>
      </c>
    </row>
    <row r="478" spans="1:10" x14ac:dyDescent="0.3">
      <c r="A478" s="3"/>
      <c r="C478" s="15" t="str">
        <f>C474</f>
        <v>Лікар-нарколог</v>
      </c>
      <c r="D478" s="16">
        <f>J474</f>
        <v>1.04</v>
      </c>
      <c r="E478" s="17">
        <v>5</v>
      </c>
      <c r="F478" s="18">
        <f>ROUND(D478*E478,2)</f>
        <v>5.2</v>
      </c>
    </row>
    <row r="479" spans="1:10" x14ac:dyDescent="0.3">
      <c r="A479" s="3"/>
      <c r="C479" s="15"/>
      <c r="D479" s="16"/>
      <c r="E479" s="17"/>
      <c r="F479" s="18"/>
    </row>
    <row r="480" spans="1:10" x14ac:dyDescent="0.3">
      <c r="A480" s="3"/>
      <c r="D480" s="19"/>
    </row>
    <row r="481" spans="1:7" x14ac:dyDescent="0.3">
      <c r="A481" s="3"/>
      <c r="C481" s="17" t="s">
        <v>933</v>
      </c>
      <c r="D481" s="16">
        <f>F478+F479</f>
        <v>5.2</v>
      </c>
      <c r="E481" s="20">
        <v>0.22</v>
      </c>
      <c r="F481" s="21">
        <f>ROUND(D481*E481,2)</f>
        <v>1.1399999999999999</v>
      </c>
    </row>
    <row r="483" spans="1:7" x14ac:dyDescent="0.3">
      <c r="A483" s="3"/>
      <c r="C483" s="12" t="s">
        <v>946</v>
      </c>
      <c r="D483" s="12"/>
      <c r="E483" s="12"/>
      <c r="F483" s="12">
        <f>G493</f>
        <v>2.9</v>
      </c>
      <c r="G483" s="12" t="s">
        <v>971</v>
      </c>
    </row>
    <row r="485" spans="1:7" x14ac:dyDescent="0.3">
      <c r="A485" s="3"/>
      <c r="C485" s="27" t="s">
        <v>934</v>
      </c>
      <c r="D485" s="28" t="s">
        <v>935</v>
      </c>
      <c r="E485" s="29">
        <v>0.1</v>
      </c>
      <c r="F485" s="29">
        <f>'МЕДИЧНІ М'!E11</f>
        <v>2.8</v>
      </c>
      <c r="G485" s="30">
        <f t="shared" ref="G485:G492" si="9">ROUND(E485*F485,2)</f>
        <v>0.28000000000000003</v>
      </c>
    </row>
    <row r="486" spans="1:7" x14ac:dyDescent="0.3">
      <c r="A486" s="3"/>
      <c r="C486" s="27" t="s">
        <v>936</v>
      </c>
      <c r="D486" s="28" t="s">
        <v>937</v>
      </c>
      <c r="E486" s="29">
        <v>1</v>
      </c>
      <c r="F486" s="29">
        <f>'МЕДИЧНІ М'!F9</f>
        <v>0.3</v>
      </c>
      <c r="G486" s="30">
        <f t="shared" si="9"/>
        <v>0.3</v>
      </c>
    </row>
    <row r="487" spans="1:7" x14ac:dyDescent="0.3">
      <c r="A487" s="3"/>
      <c r="C487" s="27" t="s">
        <v>938</v>
      </c>
      <c r="D487" s="28" t="s">
        <v>939</v>
      </c>
      <c r="E487" s="29">
        <v>0.1</v>
      </c>
      <c r="F487" s="29">
        <f>'МЕДИЧНІ М'!F7</f>
        <v>6</v>
      </c>
      <c r="G487" s="30">
        <f t="shared" si="9"/>
        <v>0.6</v>
      </c>
    </row>
    <row r="488" spans="1:7" x14ac:dyDescent="0.3">
      <c r="A488" s="3"/>
      <c r="C488" s="27" t="s">
        <v>940</v>
      </c>
      <c r="D488" s="28" t="s">
        <v>941</v>
      </c>
      <c r="E488" s="29">
        <v>0.5</v>
      </c>
      <c r="F488" s="29">
        <f>'МЕДИЧНІ М'!E8</f>
        <v>2</v>
      </c>
      <c r="G488" s="30">
        <f t="shared" si="9"/>
        <v>1</v>
      </c>
    </row>
    <row r="489" spans="1:7" x14ac:dyDescent="0.3">
      <c r="A489" s="3"/>
      <c r="C489" s="27" t="s">
        <v>942</v>
      </c>
      <c r="D489" s="28" t="s">
        <v>941</v>
      </c>
      <c r="E489" s="29">
        <v>0.01</v>
      </c>
      <c r="F489" s="29">
        <f>'МЕДИЧНІ М'!E13</f>
        <v>24.6</v>
      </c>
      <c r="G489" s="30">
        <f t="shared" si="9"/>
        <v>0.25</v>
      </c>
    </row>
    <row r="490" spans="1:7" x14ac:dyDescent="0.3">
      <c r="A490" s="3"/>
      <c r="C490" s="27" t="s">
        <v>943</v>
      </c>
      <c r="D490" s="28" t="s">
        <v>944</v>
      </c>
      <c r="E490" s="29">
        <v>1</v>
      </c>
      <c r="F490" s="29">
        <f>'МЕДИЧНІ М'!F5</f>
        <v>7.0000000000000007E-2</v>
      </c>
      <c r="G490" s="30">
        <f t="shared" si="9"/>
        <v>7.0000000000000007E-2</v>
      </c>
    </row>
    <row r="491" spans="1:7" x14ac:dyDescent="0.3">
      <c r="A491" s="3"/>
      <c r="C491" s="27" t="s">
        <v>1124</v>
      </c>
      <c r="D491" s="28" t="s">
        <v>944</v>
      </c>
      <c r="E491" s="29">
        <v>0.5</v>
      </c>
      <c r="F491" s="29">
        <f>'МЕДИЧНІ М'!E6</f>
        <v>0.5</v>
      </c>
      <c r="G491" s="30">
        <f t="shared" si="9"/>
        <v>0.25</v>
      </c>
    </row>
    <row r="492" spans="1:7" x14ac:dyDescent="0.3">
      <c r="A492" s="3"/>
      <c r="C492" s="27" t="s">
        <v>1159</v>
      </c>
      <c r="D492" s="28" t="s">
        <v>1160</v>
      </c>
      <c r="E492" s="29">
        <f>E478</f>
        <v>5</v>
      </c>
      <c r="F492" s="29">
        <f>ROUND(3389/I474/60,2)</f>
        <v>0.03</v>
      </c>
      <c r="G492" s="30">
        <f t="shared" si="9"/>
        <v>0.15</v>
      </c>
    </row>
    <row r="493" spans="1:7" x14ac:dyDescent="0.3">
      <c r="A493" s="3"/>
      <c r="C493" s="1019" t="s">
        <v>945</v>
      </c>
      <c r="D493" s="1019"/>
      <c r="E493" s="1019"/>
      <c r="F493" s="1019"/>
      <c r="G493" s="31">
        <f>SUM(G485:G492)</f>
        <v>2.9</v>
      </c>
    </row>
    <row r="495" spans="1:7" x14ac:dyDescent="0.3">
      <c r="A495" s="3"/>
      <c r="C495" s="12" t="s">
        <v>968</v>
      </c>
      <c r="D495" s="12"/>
      <c r="E495" s="12"/>
      <c r="F495" s="11">
        <f>H498</f>
        <v>0.05</v>
      </c>
      <c r="G495" s="12" t="s">
        <v>971</v>
      </c>
    </row>
    <row r="496" spans="1:7" x14ac:dyDescent="0.3">
      <c r="A496" s="3"/>
      <c r="C496" s="22"/>
      <c r="D496" s="22"/>
      <c r="E496" s="22"/>
      <c r="F496" s="23"/>
      <c r="G496" s="22"/>
    </row>
    <row r="497" spans="1:8" ht="27.6" x14ac:dyDescent="0.3">
      <c r="A497" s="3"/>
      <c r="C497" s="14" t="s">
        <v>513</v>
      </c>
      <c r="D497" s="14" t="s">
        <v>1108</v>
      </c>
      <c r="E497" s="14" t="s">
        <v>516</v>
      </c>
      <c r="F497" s="14" t="s">
        <v>970</v>
      </c>
      <c r="G497" s="14" t="s">
        <v>930</v>
      </c>
      <c r="H497" s="14" t="s">
        <v>961</v>
      </c>
    </row>
    <row r="498" spans="1:8" x14ac:dyDescent="0.3">
      <c r="A498" s="3"/>
      <c r="C498" s="27" t="s">
        <v>1117</v>
      </c>
      <c r="D498" s="17">
        <f>D450</f>
        <v>815.88</v>
      </c>
      <c r="E498" s="17">
        <f>I474</f>
        <v>1807.2</v>
      </c>
      <c r="F498" s="17">
        <f>ROUND((D498/E498)/60,2)</f>
        <v>0.01</v>
      </c>
      <c r="G498" s="17">
        <f>E478</f>
        <v>5</v>
      </c>
      <c r="H498" s="16">
        <f>ROUND(F498*G498,2)</f>
        <v>0.05</v>
      </c>
    </row>
    <row r="500" spans="1:8" x14ac:dyDescent="0.3">
      <c r="A500" s="3"/>
      <c r="C500" s="12" t="s">
        <v>948</v>
      </c>
      <c r="D500" s="12"/>
      <c r="E500" s="12"/>
      <c r="F500" s="11">
        <f>H512</f>
        <v>0.65</v>
      </c>
      <c r="G500" s="12" t="s">
        <v>971</v>
      </c>
    </row>
    <row r="501" spans="1:8" x14ac:dyDescent="0.3">
      <c r="A501" s="3"/>
      <c r="C501" s="22"/>
      <c r="D501" s="22"/>
      <c r="E501" s="22"/>
      <c r="F501" s="23"/>
    </row>
    <row r="502" spans="1:8" ht="41.4" x14ac:dyDescent="0.3">
      <c r="A502" s="3"/>
      <c r="C502" s="14" t="s">
        <v>948</v>
      </c>
      <c r="D502" s="14" t="s">
        <v>955</v>
      </c>
      <c r="E502" s="14" t="s">
        <v>516</v>
      </c>
      <c r="F502" s="14" t="s">
        <v>954</v>
      </c>
      <c r="G502" s="14" t="s">
        <v>930</v>
      </c>
      <c r="H502" s="14" t="s">
        <v>956</v>
      </c>
    </row>
    <row r="503" spans="1:8" x14ac:dyDescent="0.3">
      <c r="A503" s="3"/>
      <c r="C503" s="1009" t="str">
        <f>C474</f>
        <v>Лікар-нарколог</v>
      </c>
      <c r="D503" s="1010"/>
      <c r="E503" s="1010"/>
      <c r="F503" s="1010"/>
      <c r="G503" s="1010"/>
      <c r="H503" s="1011"/>
    </row>
    <row r="504" spans="1:8" x14ac:dyDescent="0.3">
      <c r="A504" s="3"/>
      <c r="C504" s="17" t="s">
        <v>951</v>
      </c>
      <c r="D504" s="112">
        <f>D456</f>
        <v>12188.608008565312</v>
      </c>
      <c r="E504" s="17">
        <f>I474</f>
        <v>1807.2</v>
      </c>
      <c r="F504" s="17">
        <f>ROUND((D504/E504)/60,2)</f>
        <v>0.11</v>
      </c>
      <c r="G504" s="17">
        <f>E478</f>
        <v>5</v>
      </c>
      <c r="H504" s="16">
        <f>ROUND(F504*G504,2)</f>
        <v>0.55000000000000004</v>
      </c>
    </row>
    <row r="505" spans="1:8" x14ac:dyDescent="0.3">
      <c r="A505" s="3"/>
      <c r="C505" s="17" t="s">
        <v>952</v>
      </c>
      <c r="D505" s="112">
        <f>D457</f>
        <v>53.149721627408987</v>
      </c>
      <c r="E505" s="17">
        <f>I474</f>
        <v>1807.2</v>
      </c>
      <c r="F505" s="17">
        <f>ROUND((D505/E505)/60,2)</f>
        <v>0</v>
      </c>
      <c r="G505" s="17">
        <f>E478</f>
        <v>5</v>
      </c>
      <c r="H505" s="16">
        <f>ROUND(F505*G505,2)</f>
        <v>0</v>
      </c>
    </row>
    <row r="506" spans="1:8" x14ac:dyDescent="0.3">
      <c r="A506" s="3"/>
      <c r="C506" s="17" t="s">
        <v>953</v>
      </c>
      <c r="D506" s="112">
        <f>D458</f>
        <v>374.98368308351178</v>
      </c>
      <c r="E506" s="17">
        <f>I474</f>
        <v>1807.2</v>
      </c>
      <c r="F506" s="17">
        <f>ROUND((D506/E506)/60,2)</f>
        <v>0</v>
      </c>
      <c r="G506" s="17">
        <f>E478</f>
        <v>5</v>
      </c>
      <c r="H506" s="16">
        <f>ROUND(F506*G506,2)</f>
        <v>0</v>
      </c>
    </row>
    <row r="507" spans="1:8" x14ac:dyDescent="0.3">
      <c r="A507" s="3"/>
      <c r="C507" s="17" t="s">
        <v>1109</v>
      </c>
      <c r="D507" s="112">
        <f>D459</f>
        <v>1686.0389293361886</v>
      </c>
      <c r="E507" s="17">
        <f>I474</f>
        <v>1807.2</v>
      </c>
      <c r="F507" s="17">
        <f>ROUND((D507/E507)/60,2)</f>
        <v>0.02</v>
      </c>
      <c r="G507" s="17">
        <f>E478</f>
        <v>5</v>
      </c>
      <c r="H507" s="16">
        <f>ROUND(F507*G507,2)</f>
        <v>0.1</v>
      </c>
    </row>
    <row r="508" spans="1:8" ht="14.25" customHeight="1" x14ac:dyDescent="0.3">
      <c r="A508" s="3"/>
      <c r="C508" s="1009"/>
      <c r="D508" s="1010"/>
      <c r="E508" s="1010"/>
      <c r="F508" s="1010"/>
      <c r="G508" s="1010"/>
      <c r="H508" s="1011"/>
    </row>
    <row r="509" spans="1:8" hidden="1" x14ac:dyDescent="0.3">
      <c r="A509" s="3"/>
      <c r="C509" s="17"/>
      <c r="D509" s="17"/>
      <c r="E509" s="17"/>
      <c r="F509" s="17"/>
      <c r="G509" s="17"/>
      <c r="H509" s="16"/>
    </row>
    <row r="510" spans="1:8" hidden="1" x14ac:dyDescent="0.3">
      <c r="A510" s="3"/>
      <c r="C510" s="17"/>
      <c r="D510" s="17"/>
      <c r="E510" s="17"/>
      <c r="F510" s="17"/>
      <c r="G510" s="17"/>
      <c r="H510" s="16"/>
    </row>
    <row r="511" spans="1:8" hidden="1" x14ac:dyDescent="0.3">
      <c r="A511" s="3"/>
      <c r="C511" s="17"/>
      <c r="D511" s="17"/>
      <c r="E511" s="17"/>
      <c r="F511" s="17"/>
      <c r="G511" s="17"/>
      <c r="H511" s="16"/>
    </row>
    <row r="512" spans="1:8" x14ac:dyDescent="0.3">
      <c r="A512" s="3"/>
      <c r="C512" s="1012" t="s">
        <v>957</v>
      </c>
      <c r="D512" s="1013"/>
      <c r="E512" s="1013"/>
      <c r="F512" s="1013"/>
      <c r="G512" s="1014"/>
      <c r="H512" s="18">
        <f>SUM(H504:H511)</f>
        <v>0.65</v>
      </c>
    </row>
    <row r="514" spans="1:21" ht="5.25" customHeight="1" x14ac:dyDescent="0.3">
      <c r="A514" s="3"/>
    </row>
    <row r="515" spans="1:21" x14ac:dyDescent="0.3">
      <c r="A515" s="3"/>
      <c r="C515" s="1015" t="s">
        <v>959</v>
      </c>
      <c r="D515" s="1015"/>
      <c r="E515" s="1015"/>
      <c r="F515" s="1015"/>
      <c r="G515" s="1015"/>
      <c r="H515" s="32">
        <f>F471+F483+F500+F495</f>
        <v>9.9400000000000013</v>
      </c>
    </row>
    <row r="516" spans="1:21" x14ac:dyDescent="0.3">
      <c r="A516" s="3"/>
      <c r="C516" s="33"/>
      <c r="D516" s="33"/>
      <c r="E516" s="33"/>
      <c r="F516" s="33"/>
      <c r="G516" s="33"/>
      <c r="H516" s="34"/>
    </row>
    <row r="517" spans="1:21" x14ac:dyDescent="0.3">
      <c r="A517" s="3"/>
      <c r="C517" s="1015" t="s">
        <v>960</v>
      </c>
      <c r="D517" s="1015"/>
      <c r="E517" s="1015"/>
      <c r="F517" s="1015"/>
      <c r="G517" s="1015"/>
      <c r="H517" s="32">
        <f>ROUND(H515,1)</f>
        <v>9.9</v>
      </c>
    </row>
    <row r="519" spans="1:21" s="54" customFormat="1" ht="19.8" x14ac:dyDescent="0.4">
      <c r="A519" s="99"/>
      <c r="B519" s="1016" t="s">
        <v>958</v>
      </c>
      <c r="C519" s="1016"/>
      <c r="D519" s="1016"/>
      <c r="E519" s="1016"/>
      <c r="F519" s="1016"/>
      <c r="G519" s="1016"/>
      <c r="H519" s="1016"/>
      <c r="I519" s="1016"/>
      <c r="J519" s="1016"/>
      <c r="K519" s="132"/>
      <c r="L519" s="126"/>
      <c r="M519" s="126"/>
      <c r="N519" s="53"/>
      <c r="O519" s="53"/>
      <c r="P519" s="53"/>
      <c r="Q519" s="53"/>
      <c r="R519" s="53"/>
      <c r="S519" s="53"/>
      <c r="T519" s="53"/>
      <c r="U519" s="53"/>
    </row>
    <row r="520" spans="1:21" s="54" customFormat="1" ht="19.8" x14ac:dyDescent="0.4">
      <c r="A520" s="99"/>
      <c r="B520" s="53"/>
      <c r="C520" s="53"/>
      <c r="D520" s="53"/>
      <c r="E520" s="53"/>
      <c r="F520" s="53"/>
      <c r="G520" s="53"/>
      <c r="H520" s="53"/>
      <c r="I520" s="53"/>
      <c r="J520" s="53"/>
      <c r="K520" s="132"/>
      <c r="L520" s="126"/>
      <c r="M520" s="126"/>
      <c r="N520" s="53"/>
      <c r="O520" s="53"/>
      <c r="P520" s="53"/>
      <c r="Q520" s="53"/>
      <c r="R520" s="53"/>
      <c r="S520" s="53"/>
      <c r="T520" s="53"/>
      <c r="U520" s="53"/>
    </row>
    <row r="521" spans="1:21" s="54" customFormat="1" ht="34.5" customHeight="1" x14ac:dyDescent="0.4">
      <c r="A521" s="99"/>
      <c r="B521" s="50" t="s">
        <v>1014</v>
      </c>
      <c r="C521" s="1017" t="s">
        <v>1012</v>
      </c>
      <c r="D521" s="1017"/>
      <c r="E521" s="1017"/>
      <c r="F521" s="52">
        <f>H569</f>
        <v>37.6</v>
      </c>
      <c r="G521" s="52" t="s">
        <v>971</v>
      </c>
      <c r="H521" s="53"/>
      <c r="I521" s="53"/>
      <c r="J521" s="53"/>
      <c r="K521" s="132"/>
      <c r="L521" s="126"/>
      <c r="M521" s="126"/>
      <c r="N521" s="53"/>
      <c r="O521" s="53"/>
      <c r="P521" s="53"/>
      <c r="Q521" s="53"/>
      <c r="R521" s="53"/>
      <c r="S521" s="53"/>
      <c r="T521" s="53"/>
      <c r="U521" s="53"/>
    </row>
    <row r="523" spans="1:21" x14ac:dyDescent="0.3">
      <c r="C523" s="1018" t="s">
        <v>932</v>
      </c>
      <c r="D523" s="1018"/>
      <c r="E523" s="10"/>
      <c r="F523" s="11">
        <f>F530+F533+F531</f>
        <v>31.48</v>
      </c>
      <c r="G523" s="12" t="s">
        <v>971</v>
      </c>
    </row>
    <row r="525" spans="1:21" ht="27.6" x14ac:dyDescent="0.3">
      <c r="C525" s="13" t="s">
        <v>929</v>
      </c>
      <c r="D525" s="14" t="s">
        <v>928</v>
      </c>
      <c r="E525" s="14" t="s">
        <v>514</v>
      </c>
      <c r="F525" s="14" t="s">
        <v>515</v>
      </c>
      <c r="G525" s="14" t="s">
        <v>962</v>
      </c>
      <c r="H525" s="14" t="s">
        <v>926</v>
      </c>
      <c r="I525" s="14" t="s">
        <v>516</v>
      </c>
      <c r="J525" s="14" t="s">
        <v>961</v>
      </c>
    </row>
    <row r="526" spans="1:21" x14ac:dyDescent="0.3">
      <c r="C526" s="17" t="s">
        <v>530</v>
      </c>
      <c r="D526" s="16">
        <f>ЗП!C19</f>
        <v>10671.38</v>
      </c>
      <c r="E526" s="16">
        <f>D526*12</f>
        <v>128056.56</v>
      </c>
      <c r="F526" s="16">
        <f>ЗП!E19</f>
        <v>8208.75</v>
      </c>
      <c r="G526" s="16">
        <f>ЗП!F19</f>
        <v>4104.375</v>
      </c>
      <c r="H526" s="16">
        <f>E526+F526+G526</f>
        <v>140369.685</v>
      </c>
      <c r="I526" s="17">
        <v>1807.2</v>
      </c>
      <c r="J526" s="16">
        <f>ROUND((H526/I526)/60,2)</f>
        <v>1.29</v>
      </c>
    </row>
    <row r="527" spans="1:21" x14ac:dyDescent="0.3">
      <c r="C527" s="17"/>
      <c r="D527" s="16"/>
      <c r="E527" s="16"/>
      <c r="F527" s="16"/>
      <c r="G527" s="16"/>
      <c r="H527" s="16"/>
      <c r="I527" s="17"/>
      <c r="J527" s="16"/>
    </row>
    <row r="529" spans="3:7" ht="27.6" x14ac:dyDescent="0.3">
      <c r="C529" s="13" t="s">
        <v>929</v>
      </c>
      <c r="D529" s="14" t="s">
        <v>961</v>
      </c>
      <c r="E529" s="14" t="s">
        <v>930</v>
      </c>
      <c r="F529" s="14" t="s">
        <v>931</v>
      </c>
    </row>
    <row r="530" spans="3:7" x14ac:dyDescent="0.3">
      <c r="C530" s="15" t="str">
        <f>C526</f>
        <v>Лікар-психіатр</v>
      </c>
      <c r="D530" s="16">
        <f>J526</f>
        <v>1.29</v>
      </c>
      <c r="E530" s="17">
        <v>20</v>
      </c>
      <c r="F530" s="18">
        <f>ROUND(D530*E530,2)</f>
        <v>25.8</v>
      </c>
    </row>
    <row r="531" spans="3:7" x14ac:dyDescent="0.3">
      <c r="C531" s="15"/>
      <c r="D531" s="16"/>
      <c r="E531" s="17"/>
      <c r="F531" s="18"/>
    </row>
    <row r="532" spans="3:7" x14ac:dyDescent="0.3">
      <c r="D532" s="19"/>
    </row>
    <row r="533" spans="3:7" x14ac:dyDescent="0.3">
      <c r="C533" s="17" t="s">
        <v>933</v>
      </c>
      <c r="D533" s="16">
        <f>F530+F531</f>
        <v>25.8</v>
      </c>
      <c r="E533" s="20">
        <v>0.22</v>
      </c>
      <c r="F533" s="21">
        <f>ROUND(D533*E533,2)</f>
        <v>5.68</v>
      </c>
    </row>
    <row r="535" spans="3:7" x14ac:dyDescent="0.3">
      <c r="C535" s="12" t="s">
        <v>946</v>
      </c>
      <c r="D535" s="12"/>
      <c r="E535" s="12"/>
      <c r="F535" s="12">
        <f>G545</f>
        <v>3.35</v>
      </c>
      <c r="G535" s="12" t="s">
        <v>971</v>
      </c>
    </row>
    <row r="537" spans="3:7" x14ac:dyDescent="0.3">
      <c r="C537" s="27" t="s">
        <v>934</v>
      </c>
      <c r="D537" s="28" t="s">
        <v>935</v>
      </c>
      <c r="E537" s="29">
        <v>0.1</v>
      </c>
      <c r="F537" s="29">
        <f>'МЕДИЧНІ М'!E11</f>
        <v>2.8</v>
      </c>
      <c r="G537" s="30">
        <f t="shared" ref="G537:G544" si="10">ROUND(E537*F537,2)</f>
        <v>0.28000000000000003</v>
      </c>
    </row>
    <row r="538" spans="3:7" x14ac:dyDescent="0.3">
      <c r="C538" s="27" t="s">
        <v>936</v>
      </c>
      <c r="D538" s="28" t="s">
        <v>937</v>
      </c>
      <c r="E538" s="29">
        <v>1</v>
      </c>
      <c r="F538" s="29">
        <f>'МЕДИЧНІ М'!F9</f>
        <v>0.3</v>
      </c>
      <c r="G538" s="30">
        <f t="shared" si="10"/>
        <v>0.3</v>
      </c>
    </row>
    <row r="539" spans="3:7" x14ac:dyDescent="0.3">
      <c r="C539" s="27" t="s">
        <v>938</v>
      </c>
      <c r="D539" s="28" t="s">
        <v>939</v>
      </c>
      <c r="E539" s="29">
        <v>0.1</v>
      </c>
      <c r="F539" s="29">
        <f>'МЕДИЧНІ М'!F7</f>
        <v>6</v>
      </c>
      <c r="G539" s="30">
        <f t="shared" si="10"/>
        <v>0.6</v>
      </c>
    </row>
    <row r="540" spans="3:7" x14ac:dyDescent="0.3">
      <c r="C540" s="27" t="s">
        <v>940</v>
      </c>
      <c r="D540" s="28" t="s">
        <v>941</v>
      </c>
      <c r="E540" s="29">
        <v>0.5</v>
      </c>
      <c r="F540" s="29">
        <f>'МЕДИЧНІ М'!E8</f>
        <v>2</v>
      </c>
      <c r="G540" s="30">
        <f t="shared" si="10"/>
        <v>1</v>
      </c>
    </row>
    <row r="541" spans="3:7" x14ac:dyDescent="0.3">
      <c r="C541" s="27" t="s">
        <v>942</v>
      </c>
      <c r="D541" s="28" t="s">
        <v>941</v>
      </c>
      <c r="E541" s="29">
        <v>0.01</v>
      </c>
      <c r="F541" s="29">
        <f>'МЕДИЧНІ М'!E13</f>
        <v>24.6</v>
      </c>
      <c r="G541" s="30">
        <f t="shared" si="10"/>
        <v>0.25</v>
      </c>
    </row>
    <row r="542" spans="3:7" x14ac:dyDescent="0.3">
      <c r="C542" s="27" t="s">
        <v>943</v>
      </c>
      <c r="D542" s="28" t="s">
        <v>944</v>
      </c>
      <c r="E542" s="29">
        <v>1</v>
      </c>
      <c r="F542" s="29">
        <f>'МЕДИЧНІ М'!F5</f>
        <v>7.0000000000000007E-2</v>
      </c>
      <c r="G542" s="30">
        <f t="shared" si="10"/>
        <v>7.0000000000000007E-2</v>
      </c>
    </row>
    <row r="543" spans="3:7" x14ac:dyDescent="0.3">
      <c r="C543" s="27" t="s">
        <v>1124</v>
      </c>
      <c r="D543" s="28" t="s">
        <v>944</v>
      </c>
      <c r="E543" s="29">
        <v>0.5</v>
      </c>
      <c r="F543" s="29">
        <f>'МЕДИЧНІ М'!E6</f>
        <v>0.5</v>
      </c>
      <c r="G543" s="30">
        <f t="shared" si="10"/>
        <v>0.25</v>
      </c>
    </row>
    <row r="544" spans="3:7" x14ac:dyDescent="0.3">
      <c r="C544" s="27" t="s">
        <v>1159</v>
      </c>
      <c r="D544" s="28" t="s">
        <v>1160</v>
      </c>
      <c r="E544" s="29">
        <f>E530</f>
        <v>20</v>
      </c>
      <c r="F544" s="29">
        <f>ROUND(3389/I526/60,2)</f>
        <v>0.03</v>
      </c>
      <c r="G544" s="30">
        <f t="shared" si="10"/>
        <v>0.6</v>
      </c>
    </row>
    <row r="545" spans="3:8" x14ac:dyDescent="0.3">
      <c r="C545" s="1019" t="s">
        <v>945</v>
      </c>
      <c r="D545" s="1019"/>
      <c r="E545" s="1019"/>
      <c r="F545" s="1019"/>
      <c r="G545" s="31">
        <f>SUM(G537:G544)</f>
        <v>3.35</v>
      </c>
    </row>
    <row r="547" spans="3:8" x14ac:dyDescent="0.3">
      <c r="C547" s="12" t="s">
        <v>968</v>
      </c>
      <c r="D547" s="12"/>
      <c r="E547" s="12"/>
      <c r="F547" s="11">
        <f>H550</f>
        <v>0.2</v>
      </c>
      <c r="G547" s="12" t="s">
        <v>971</v>
      </c>
    </row>
    <row r="548" spans="3:8" x14ac:dyDescent="0.3">
      <c r="C548" s="22"/>
      <c r="D548" s="22"/>
      <c r="E548" s="22"/>
      <c r="F548" s="23"/>
      <c r="G548" s="22"/>
    </row>
    <row r="549" spans="3:8" ht="27.6" x14ac:dyDescent="0.3">
      <c r="C549" s="14" t="s">
        <v>513</v>
      </c>
      <c r="D549" s="14" t="s">
        <v>969</v>
      </c>
      <c r="E549" s="14" t="s">
        <v>516</v>
      </c>
      <c r="F549" s="14" t="s">
        <v>970</v>
      </c>
      <c r="G549" s="14" t="s">
        <v>930</v>
      </c>
      <c r="H549" s="14" t="s">
        <v>961</v>
      </c>
    </row>
    <row r="550" spans="3:8" x14ac:dyDescent="0.3">
      <c r="C550" s="27" t="s">
        <v>1117</v>
      </c>
      <c r="D550" s="17">
        <f>D498</f>
        <v>815.88</v>
      </c>
      <c r="E550" s="17">
        <f>I526</f>
        <v>1807.2</v>
      </c>
      <c r="F550" s="17">
        <f>ROUND((D550/E550)/60,2)</f>
        <v>0.01</v>
      </c>
      <c r="G550" s="17">
        <f>E530</f>
        <v>20</v>
      </c>
      <c r="H550" s="16">
        <f>ROUND(F550*G550,2)</f>
        <v>0.2</v>
      </c>
    </row>
    <row r="552" spans="3:8" x14ac:dyDescent="0.3">
      <c r="C552" s="12" t="s">
        <v>948</v>
      </c>
      <c r="D552" s="12"/>
      <c r="E552" s="12"/>
      <c r="F552" s="11">
        <f>H564</f>
        <v>2.6</v>
      </c>
      <c r="G552" s="12" t="s">
        <v>971</v>
      </c>
    </row>
    <row r="553" spans="3:8" x14ac:dyDescent="0.3">
      <c r="C553" s="22"/>
      <c r="D553" s="22"/>
      <c r="E553" s="22"/>
      <c r="F553" s="23"/>
    </row>
    <row r="554" spans="3:8" ht="41.4" x14ac:dyDescent="0.3">
      <c r="C554" s="14" t="s">
        <v>948</v>
      </c>
      <c r="D554" s="14" t="s">
        <v>955</v>
      </c>
      <c r="E554" s="14" t="s">
        <v>516</v>
      </c>
      <c r="F554" s="14" t="s">
        <v>954</v>
      </c>
      <c r="G554" s="14" t="s">
        <v>930</v>
      </c>
      <c r="H554" s="14" t="s">
        <v>956</v>
      </c>
    </row>
    <row r="555" spans="3:8" x14ac:dyDescent="0.3">
      <c r="C555" s="1009" t="str">
        <f>C526</f>
        <v>Лікар-психіатр</v>
      </c>
      <c r="D555" s="1010"/>
      <c r="E555" s="1010"/>
      <c r="F555" s="1010"/>
      <c r="G555" s="1010"/>
      <c r="H555" s="1011"/>
    </row>
    <row r="556" spans="3:8" x14ac:dyDescent="0.3">
      <c r="C556" s="17" t="s">
        <v>951</v>
      </c>
      <c r="D556" s="112">
        <f>D504</f>
        <v>12188.608008565312</v>
      </c>
      <c r="E556" s="17">
        <f>I526</f>
        <v>1807.2</v>
      </c>
      <c r="F556" s="17">
        <f>ROUND((D556/E556)/60,2)</f>
        <v>0.11</v>
      </c>
      <c r="G556" s="17">
        <f>E530</f>
        <v>20</v>
      </c>
      <c r="H556" s="16">
        <f>ROUND(F556*G556,2)</f>
        <v>2.2000000000000002</v>
      </c>
    </row>
    <row r="557" spans="3:8" x14ac:dyDescent="0.3">
      <c r="C557" s="17" t="s">
        <v>952</v>
      </c>
      <c r="D557" s="112">
        <f>D505</f>
        <v>53.149721627408987</v>
      </c>
      <c r="E557" s="17">
        <f>I526</f>
        <v>1807.2</v>
      </c>
      <c r="F557" s="17">
        <f>ROUND((D557/E557)/60,2)</f>
        <v>0</v>
      </c>
      <c r="G557" s="17">
        <f>E530</f>
        <v>20</v>
      </c>
      <c r="H557" s="16">
        <f>ROUND(F557*G557,2)</f>
        <v>0</v>
      </c>
    </row>
    <row r="558" spans="3:8" x14ac:dyDescent="0.3">
      <c r="C558" s="17" t="s">
        <v>953</v>
      </c>
      <c r="D558" s="112">
        <f>D506</f>
        <v>374.98368308351178</v>
      </c>
      <c r="E558" s="17">
        <f>I526</f>
        <v>1807.2</v>
      </c>
      <c r="F558" s="17">
        <f>ROUND((D558/E558)/60,2)</f>
        <v>0</v>
      </c>
      <c r="G558" s="17">
        <f>E530</f>
        <v>20</v>
      </c>
      <c r="H558" s="16">
        <f>ROUND(F558*G558,2)</f>
        <v>0</v>
      </c>
    </row>
    <row r="559" spans="3:8" x14ac:dyDescent="0.3">
      <c r="C559" s="17" t="s">
        <v>1109</v>
      </c>
      <c r="D559" s="112">
        <f>D507</f>
        <v>1686.0389293361886</v>
      </c>
      <c r="E559" s="17">
        <f>I526</f>
        <v>1807.2</v>
      </c>
      <c r="F559" s="17">
        <f>ROUND((D559/E559)/60,2)</f>
        <v>0.02</v>
      </c>
      <c r="G559" s="17">
        <f>E530</f>
        <v>20</v>
      </c>
      <c r="H559" s="16">
        <f>ROUND(F559*G559,2)</f>
        <v>0.4</v>
      </c>
    </row>
    <row r="560" spans="3:8" x14ac:dyDescent="0.3">
      <c r="C560" s="1009"/>
      <c r="D560" s="1010"/>
      <c r="E560" s="1010"/>
      <c r="F560" s="1010"/>
      <c r="G560" s="1010"/>
      <c r="H560" s="1011"/>
    </row>
    <row r="561" spans="1:21" hidden="1" x14ac:dyDescent="0.3">
      <c r="C561" s="17"/>
      <c r="D561" s="17"/>
      <c r="E561" s="17"/>
      <c r="F561" s="17"/>
      <c r="G561" s="17"/>
      <c r="H561" s="16"/>
    </row>
    <row r="562" spans="1:21" hidden="1" x14ac:dyDescent="0.3">
      <c r="C562" s="17"/>
      <c r="D562" s="17"/>
      <c r="E562" s="17"/>
      <c r="F562" s="17"/>
      <c r="G562" s="17"/>
      <c r="H562" s="16"/>
    </row>
    <row r="563" spans="1:21" ht="13.5" hidden="1" customHeight="1" x14ac:dyDescent="0.3">
      <c r="C563" s="17"/>
      <c r="D563" s="17"/>
      <c r="E563" s="17"/>
      <c r="F563" s="17"/>
      <c r="G563" s="17"/>
      <c r="H563" s="16"/>
    </row>
    <row r="564" spans="1:21" x14ac:dyDescent="0.3">
      <c r="C564" s="1012" t="s">
        <v>957</v>
      </c>
      <c r="D564" s="1013"/>
      <c r="E564" s="1013"/>
      <c r="F564" s="1013"/>
      <c r="G564" s="1014"/>
      <c r="H564" s="18">
        <f>SUM(H556:H563)</f>
        <v>2.6</v>
      </c>
    </row>
    <row r="567" spans="1:21" x14ac:dyDescent="0.3">
      <c r="C567" s="1015" t="s">
        <v>959</v>
      </c>
      <c r="D567" s="1015"/>
      <c r="E567" s="1015"/>
      <c r="F567" s="1015"/>
      <c r="G567" s="1015"/>
      <c r="H567" s="32">
        <f>F523+F535+F552+F547</f>
        <v>37.630000000000003</v>
      </c>
    </row>
    <row r="568" spans="1:21" x14ac:dyDescent="0.3">
      <c r="C568" s="33"/>
      <c r="D568" s="33"/>
      <c r="E568" s="33"/>
      <c r="F568" s="33"/>
      <c r="G568" s="33"/>
      <c r="H568" s="34"/>
    </row>
    <row r="569" spans="1:21" x14ac:dyDescent="0.3">
      <c r="C569" s="1015" t="s">
        <v>960</v>
      </c>
      <c r="D569" s="1015"/>
      <c r="E569" s="1015"/>
      <c r="F569" s="1015"/>
      <c r="G569" s="1015"/>
      <c r="H569" s="32">
        <f>ROUND(H567,1)</f>
        <v>37.6</v>
      </c>
    </row>
    <row r="571" spans="1:21" s="54" customFormat="1" ht="19.8" x14ac:dyDescent="0.4">
      <c r="A571" s="99"/>
      <c r="B571" s="1016" t="s">
        <v>958</v>
      </c>
      <c r="C571" s="1016"/>
      <c r="D571" s="1016"/>
      <c r="E571" s="1016"/>
      <c r="F571" s="1016"/>
      <c r="G571" s="1016"/>
      <c r="H571" s="1016"/>
      <c r="I571" s="1016"/>
      <c r="J571" s="1016"/>
      <c r="K571" s="132"/>
      <c r="L571" s="126"/>
      <c r="M571" s="126"/>
      <c r="N571" s="53"/>
      <c r="O571" s="53"/>
      <c r="P571" s="53"/>
      <c r="Q571" s="53"/>
      <c r="R571" s="53"/>
      <c r="S571" s="53"/>
      <c r="T571" s="53"/>
      <c r="U571" s="53"/>
    </row>
    <row r="572" spans="1:21" s="54" customFormat="1" ht="19.8" x14ac:dyDescent="0.4">
      <c r="A572" s="99"/>
      <c r="B572" s="53"/>
      <c r="C572" s="53"/>
      <c r="D572" s="53"/>
      <c r="E572" s="53"/>
      <c r="F572" s="53"/>
      <c r="G572" s="53"/>
      <c r="H572" s="53"/>
      <c r="I572" s="53"/>
      <c r="J572" s="53"/>
      <c r="K572" s="132"/>
      <c r="L572" s="126"/>
      <c r="M572" s="126"/>
      <c r="N572" s="53"/>
      <c r="O572" s="53"/>
      <c r="P572" s="53"/>
      <c r="Q572" s="53"/>
      <c r="R572" s="53"/>
      <c r="S572" s="53"/>
      <c r="T572" s="53"/>
      <c r="U572" s="53"/>
    </row>
    <row r="573" spans="1:21" s="54" customFormat="1" ht="36" customHeight="1" x14ac:dyDescent="0.4">
      <c r="A573" s="99"/>
      <c r="B573" s="50" t="s">
        <v>1015</v>
      </c>
      <c r="C573" s="1017" t="s">
        <v>1013</v>
      </c>
      <c r="D573" s="1017"/>
      <c r="E573" s="1017"/>
      <c r="F573" s="52">
        <f>H621</f>
        <v>24.3</v>
      </c>
      <c r="G573" s="52" t="s">
        <v>971</v>
      </c>
      <c r="H573" s="53"/>
      <c r="I573" s="53"/>
      <c r="J573" s="53"/>
      <c r="K573" s="132"/>
      <c r="L573" s="126"/>
      <c r="M573" s="126"/>
      <c r="N573" s="53"/>
      <c r="O573" s="53"/>
      <c r="P573" s="53"/>
      <c r="Q573" s="53"/>
      <c r="R573" s="53"/>
      <c r="S573" s="53"/>
      <c r="T573" s="53"/>
      <c r="U573" s="53"/>
    </row>
    <row r="575" spans="1:21" x14ac:dyDescent="0.3">
      <c r="C575" s="1018" t="s">
        <v>932</v>
      </c>
      <c r="D575" s="1018"/>
      <c r="E575" s="10"/>
      <c r="F575" s="11">
        <f>F582+F585+F583</f>
        <v>19.03</v>
      </c>
      <c r="G575" s="12" t="s">
        <v>971</v>
      </c>
    </row>
    <row r="577" spans="3:10" ht="27.6" x14ac:dyDescent="0.3">
      <c r="C577" s="13" t="s">
        <v>929</v>
      </c>
      <c r="D577" s="14" t="s">
        <v>928</v>
      </c>
      <c r="E577" s="14" t="s">
        <v>514</v>
      </c>
      <c r="F577" s="14" t="s">
        <v>515</v>
      </c>
      <c r="G577" s="14" t="s">
        <v>962</v>
      </c>
      <c r="H577" s="14" t="s">
        <v>926</v>
      </c>
      <c r="I577" s="14" t="s">
        <v>516</v>
      </c>
      <c r="J577" s="14" t="s">
        <v>961</v>
      </c>
    </row>
    <row r="578" spans="3:10" x14ac:dyDescent="0.3">
      <c r="C578" s="17" t="s">
        <v>532</v>
      </c>
      <c r="D578" s="16">
        <f>ЗП!C21</f>
        <v>8555.64</v>
      </c>
      <c r="E578" s="16">
        <f>D578*12</f>
        <v>102667.68</v>
      </c>
      <c r="F578" s="16">
        <f>ЗП!E21</f>
        <v>6581.25</v>
      </c>
      <c r="G578" s="16">
        <f>ЗП!F21</f>
        <v>3290.625</v>
      </c>
      <c r="H578" s="16">
        <f>E578+F578+G578</f>
        <v>112539.55499999999</v>
      </c>
      <c r="I578" s="17">
        <v>1807.2</v>
      </c>
      <c r="J578" s="16">
        <f>ROUND((H578/I578)/60,2)</f>
        <v>1.04</v>
      </c>
    </row>
    <row r="579" spans="3:10" x14ac:dyDescent="0.3">
      <c r="C579" s="17"/>
      <c r="D579" s="16"/>
      <c r="E579" s="16"/>
      <c r="F579" s="16"/>
      <c r="G579" s="16"/>
      <c r="H579" s="16"/>
      <c r="I579" s="17"/>
      <c r="J579" s="16"/>
    </row>
    <row r="581" spans="3:10" ht="27.6" x14ac:dyDescent="0.3">
      <c r="C581" s="13" t="s">
        <v>929</v>
      </c>
      <c r="D581" s="14" t="s">
        <v>961</v>
      </c>
      <c r="E581" s="14" t="s">
        <v>930</v>
      </c>
      <c r="F581" s="14" t="s">
        <v>931</v>
      </c>
    </row>
    <row r="582" spans="3:10" x14ac:dyDescent="0.3">
      <c r="C582" s="15" t="str">
        <f>C578</f>
        <v>Лікар-нарколог</v>
      </c>
      <c r="D582" s="16">
        <f>J578</f>
        <v>1.04</v>
      </c>
      <c r="E582" s="17">
        <v>15</v>
      </c>
      <c r="F582" s="18">
        <f>ROUND(D582*E582,2)</f>
        <v>15.6</v>
      </c>
    </row>
    <row r="583" spans="3:10" x14ac:dyDescent="0.3">
      <c r="C583" s="15"/>
      <c r="D583" s="16"/>
      <c r="E583" s="17"/>
      <c r="F583" s="18"/>
    </row>
    <row r="584" spans="3:10" x14ac:dyDescent="0.3">
      <c r="D584" s="19"/>
    </row>
    <row r="585" spans="3:10" x14ac:dyDescent="0.3">
      <c r="C585" s="17" t="s">
        <v>933</v>
      </c>
      <c r="D585" s="16">
        <f>F582+F583</f>
        <v>15.6</v>
      </c>
      <c r="E585" s="20">
        <v>0.22</v>
      </c>
      <c r="F585" s="21">
        <f>ROUND(D585*E585,2)</f>
        <v>3.43</v>
      </c>
    </row>
    <row r="587" spans="3:10" x14ac:dyDescent="0.3">
      <c r="C587" s="12" t="s">
        <v>946</v>
      </c>
      <c r="D587" s="12"/>
      <c r="E587" s="12"/>
      <c r="F587" s="12">
        <f>G597</f>
        <v>3.2</v>
      </c>
      <c r="G587" s="12" t="s">
        <v>971</v>
      </c>
    </row>
    <row r="589" spans="3:10" x14ac:dyDescent="0.3">
      <c r="C589" s="27" t="s">
        <v>934</v>
      </c>
      <c r="D589" s="28" t="s">
        <v>935</v>
      </c>
      <c r="E589" s="29">
        <v>0.1</v>
      </c>
      <c r="F589" s="29">
        <f>'МЕДИЧНІ М'!E11</f>
        <v>2.8</v>
      </c>
      <c r="G589" s="30">
        <f>ROUND(E589*F589,2)</f>
        <v>0.28000000000000003</v>
      </c>
    </row>
    <row r="590" spans="3:10" x14ac:dyDescent="0.3">
      <c r="C590" s="27" t="s">
        <v>936</v>
      </c>
      <c r="D590" s="28" t="s">
        <v>937</v>
      </c>
      <c r="E590" s="29">
        <v>1</v>
      </c>
      <c r="F590" s="29">
        <f>'МЕДИЧНІ М'!F9</f>
        <v>0.3</v>
      </c>
      <c r="G590" s="30">
        <f t="shared" ref="G590:G596" si="11">ROUND(E590*F590,2)</f>
        <v>0.3</v>
      </c>
    </row>
    <row r="591" spans="3:10" x14ac:dyDescent="0.3">
      <c r="C591" s="27" t="s">
        <v>938</v>
      </c>
      <c r="D591" s="28" t="s">
        <v>939</v>
      </c>
      <c r="E591" s="29">
        <v>0.1</v>
      </c>
      <c r="F591" s="29">
        <f>'МЕДИЧНІ М'!F7</f>
        <v>6</v>
      </c>
      <c r="G591" s="30">
        <f t="shared" si="11"/>
        <v>0.6</v>
      </c>
    </row>
    <row r="592" spans="3:10" x14ac:dyDescent="0.3">
      <c r="C592" s="27" t="s">
        <v>940</v>
      </c>
      <c r="D592" s="28" t="s">
        <v>941</v>
      </c>
      <c r="E592" s="29">
        <v>0.5</v>
      </c>
      <c r="F592" s="29">
        <f>'МЕДИЧНІ М'!E8</f>
        <v>2</v>
      </c>
      <c r="G592" s="30">
        <f t="shared" si="11"/>
        <v>1</v>
      </c>
    </row>
    <row r="593" spans="3:8" x14ac:dyDescent="0.3">
      <c r="C593" s="27" t="s">
        <v>942</v>
      </c>
      <c r="D593" s="28" t="s">
        <v>941</v>
      </c>
      <c r="E593" s="29">
        <v>0.01</v>
      </c>
      <c r="F593" s="29">
        <f>'МЕДИЧНІ М'!E13</f>
        <v>24.6</v>
      </c>
      <c r="G593" s="30">
        <f t="shared" si="11"/>
        <v>0.25</v>
      </c>
    </row>
    <row r="594" spans="3:8" x14ac:dyDescent="0.3">
      <c r="C594" s="27" t="s">
        <v>943</v>
      </c>
      <c r="D594" s="28" t="s">
        <v>944</v>
      </c>
      <c r="E594" s="29">
        <v>1</v>
      </c>
      <c r="F594" s="29">
        <f>'МЕДИЧНІ М'!F5</f>
        <v>7.0000000000000007E-2</v>
      </c>
      <c r="G594" s="30">
        <f t="shared" si="11"/>
        <v>7.0000000000000007E-2</v>
      </c>
    </row>
    <row r="595" spans="3:8" x14ac:dyDescent="0.3">
      <c r="C595" s="27" t="s">
        <v>1124</v>
      </c>
      <c r="D595" s="28" t="s">
        <v>944</v>
      </c>
      <c r="E595" s="29">
        <v>0.5</v>
      </c>
      <c r="F595" s="29">
        <f>'МЕДИЧНІ М'!E6</f>
        <v>0.5</v>
      </c>
      <c r="G595" s="30">
        <f>ROUND(E595*F595,2)</f>
        <v>0.25</v>
      </c>
    </row>
    <row r="596" spans="3:8" x14ac:dyDescent="0.3">
      <c r="C596" s="27" t="s">
        <v>1159</v>
      </c>
      <c r="D596" s="28" t="s">
        <v>1160</v>
      </c>
      <c r="E596" s="29">
        <f>E582</f>
        <v>15</v>
      </c>
      <c r="F596" s="29">
        <f>ROUND(3389/I578/60,2)</f>
        <v>0.03</v>
      </c>
      <c r="G596" s="30">
        <f t="shared" si="11"/>
        <v>0.45</v>
      </c>
    </row>
    <row r="597" spans="3:8" x14ac:dyDescent="0.3">
      <c r="C597" s="1019" t="s">
        <v>945</v>
      </c>
      <c r="D597" s="1019"/>
      <c r="E597" s="1019"/>
      <c r="F597" s="1019"/>
      <c r="G597" s="31">
        <f>SUM(G589:G596)</f>
        <v>3.2</v>
      </c>
    </row>
    <row r="599" spans="3:8" x14ac:dyDescent="0.3">
      <c r="C599" s="12" t="s">
        <v>968</v>
      </c>
      <c r="D599" s="12"/>
      <c r="E599" s="12"/>
      <c r="F599" s="11">
        <f>H602</f>
        <v>0.15</v>
      </c>
      <c r="G599" s="12" t="s">
        <v>971</v>
      </c>
    </row>
    <row r="600" spans="3:8" x14ac:dyDescent="0.3">
      <c r="C600" s="22"/>
      <c r="D600" s="22"/>
      <c r="E600" s="22"/>
      <c r="F600" s="23"/>
      <c r="G600" s="22"/>
    </row>
    <row r="601" spans="3:8" ht="27.6" x14ac:dyDescent="0.3">
      <c r="C601" s="14" t="s">
        <v>513</v>
      </c>
      <c r="D601" s="14" t="s">
        <v>969</v>
      </c>
      <c r="E601" s="14" t="s">
        <v>516</v>
      </c>
      <c r="F601" s="14" t="s">
        <v>970</v>
      </c>
      <c r="G601" s="14" t="s">
        <v>930</v>
      </c>
      <c r="H601" s="14" t="s">
        <v>961</v>
      </c>
    </row>
    <row r="602" spans="3:8" x14ac:dyDescent="0.3">
      <c r="C602" s="27" t="s">
        <v>1117</v>
      </c>
      <c r="D602" s="17">
        <f>D550</f>
        <v>815.88</v>
      </c>
      <c r="E602" s="17">
        <f>I578</f>
        <v>1807.2</v>
      </c>
      <c r="F602" s="17">
        <f>ROUND((D602/E602)/60,2)</f>
        <v>0.01</v>
      </c>
      <c r="G602" s="17">
        <f>E582</f>
        <v>15</v>
      </c>
      <c r="H602" s="16">
        <f>ROUND(F602*G602,2)</f>
        <v>0.15</v>
      </c>
    </row>
    <row r="604" spans="3:8" x14ac:dyDescent="0.3">
      <c r="C604" s="12" t="s">
        <v>948</v>
      </c>
      <c r="D604" s="12"/>
      <c r="E604" s="12"/>
      <c r="F604" s="11">
        <f>H616</f>
        <v>1.95</v>
      </c>
      <c r="G604" s="12" t="s">
        <v>971</v>
      </c>
    </row>
    <row r="605" spans="3:8" x14ac:dyDescent="0.3">
      <c r="C605" s="22"/>
      <c r="D605" s="22"/>
      <c r="E605" s="22"/>
      <c r="F605" s="23"/>
    </row>
    <row r="606" spans="3:8" ht="41.4" x14ac:dyDescent="0.3">
      <c r="C606" s="14" t="s">
        <v>948</v>
      </c>
      <c r="D606" s="14" t="s">
        <v>955</v>
      </c>
      <c r="E606" s="14" t="s">
        <v>516</v>
      </c>
      <c r="F606" s="14" t="s">
        <v>954</v>
      </c>
      <c r="G606" s="14" t="s">
        <v>930</v>
      </c>
      <c r="H606" s="14" t="s">
        <v>956</v>
      </c>
    </row>
    <row r="607" spans="3:8" x14ac:dyDescent="0.3">
      <c r="C607" s="1009" t="str">
        <f>C578</f>
        <v>Лікар-нарколог</v>
      </c>
      <c r="D607" s="1010"/>
      <c r="E607" s="1010"/>
      <c r="F607" s="1010"/>
      <c r="G607" s="1010"/>
      <c r="H607" s="1011"/>
    </row>
    <row r="608" spans="3:8" x14ac:dyDescent="0.3">
      <c r="C608" s="17" t="s">
        <v>951</v>
      </c>
      <c r="D608" s="112">
        <f>D556</f>
        <v>12188.608008565312</v>
      </c>
      <c r="E608" s="17">
        <f>I578</f>
        <v>1807.2</v>
      </c>
      <c r="F608" s="17">
        <f>ROUND((D608/E608)/60,2)</f>
        <v>0.11</v>
      </c>
      <c r="G608" s="17">
        <f>E582</f>
        <v>15</v>
      </c>
      <c r="H608" s="16">
        <f>ROUND(F608*G608,2)</f>
        <v>1.65</v>
      </c>
    </row>
    <row r="609" spans="1:10" x14ac:dyDescent="0.3">
      <c r="C609" s="17" t="s">
        <v>952</v>
      </c>
      <c r="D609" s="112">
        <f>D557</f>
        <v>53.149721627408987</v>
      </c>
      <c r="E609" s="17">
        <f>I578</f>
        <v>1807.2</v>
      </c>
      <c r="F609" s="17">
        <f>ROUND((D609/E609)/60,2)</f>
        <v>0</v>
      </c>
      <c r="G609" s="17">
        <f>E582</f>
        <v>15</v>
      </c>
      <c r="H609" s="16">
        <f>ROUND(F609*G609,2)</f>
        <v>0</v>
      </c>
    </row>
    <row r="610" spans="1:10" x14ac:dyDescent="0.3">
      <c r="C610" s="17" t="s">
        <v>953</v>
      </c>
      <c r="D610" s="112">
        <f>D558</f>
        <v>374.98368308351178</v>
      </c>
      <c r="E610" s="17">
        <f>I578</f>
        <v>1807.2</v>
      </c>
      <c r="F610" s="17">
        <f>ROUND((D610/E610)/60,2)</f>
        <v>0</v>
      </c>
      <c r="G610" s="17">
        <f>E582</f>
        <v>15</v>
      </c>
      <c r="H610" s="16">
        <f>ROUND(F610*G610,2)</f>
        <v>0</v>
      </c>
    </row>
    <row r="611" spans="1:10" x14ac:dyDescent="0.3">
      <c r="C611" s="17" t="s">
        <v>1109</v>
      </c>
      <c r="D611" s="112">
        <f>D559</f>
        <v>1686.0389293361886</v>
      </c>
      <c r="E611" s="17">
        <f>I578</f>
        <v>1807.2</v>
      </c>
      <c r="F611" s="17">
        <f>ROUND((D611/E611)/60,2)</f>
        <v>0.02</v>
      </c>
      <c r="G611" s="17">
        <f>E582</f>
        <v>15</v>
      </c>
      <c r="H611" s="16">
        <f>ROUND(F611*G611,2)</f>
        <v>0.3</v>
      </c>
    </row>
    <row r="612" spans="1:10" x14ac:dyDescent="0.3">
      <c r="C612" s="1009"/>
      <c r="D612" s="1010"/>
      <c r="E612" s="1010"/>
      <c r="F612" s="1010"/>
      <c r="G612" s="1010"/>
      <c r="H612" s="1011"/>
    </row>
    <row r="613" spans="1:10" hidden="1" x14ac:dyDescent="0.3">
      <c r="C613" s="17"/>
      <c r="D613" s="17"/>
      <c r="E613" s="17"/>
      <c r="F613" s="17"/>
      <c r="G613" s="17"/>
      <c r="H613" s="16"/>
    </row>
    <row r="614" spans="1:10" hidden="1" x14ac:dyDescent="0.3">
      <c r="C614" s="17"/>
      <c r="D614" s="17"/>
      <c r="E614" s="17"/>
      <c r="F614" s="17"/>
      <c r="G614" s="17"/>
      <c r="H614" s="16"/>
    </row>
    <row r="615" spans="1:10" hidden="1" x14ac:dyDescent="0.3">
      <c r="C615" s="17"/>
      <c r="D615" s="17"/>
      <c r="E615" s="17"/>
      <c r="F615" s="17"/>
      <c r="G615" s="17"/>
      <c r="H615" s="16"/>
    </row>
    <row r="616" spans="1:10" x14ac:dyDescent="0.3">
      <c r="C616" s="1012" t="s">
        <v>957</v>
      </c>
      <c r="D616" s="1013"/>
      <c r="E616" s="1013"/>
      <c r="F616" s="1013"/>
      <c r="G616" s="1014"/>
      <c r="H616" s="18">
        <f>SUM(H608:H615)</f>
        <v>1.95</v>
      </c>
    </row>
    <row r="617" spans="1:10" ht="14.25" customHeight="1" x14ac:dyDescent="0.3"/>
    <row r="619" spans="1:10" x14ac:dyDescent="0.3">
      <c r="C619" s="1015" t="s">
        <v>959</v>
      </c>
      <c r="D619" s="1015"/>
      <c r="E619" s="1015"/>
      <c r="F619" s="1015"/>
      <c r="G619" s="1015"/>
      <c r="H619" s="32">
        <f>F575+F587+F604+F599</f>
        <v>24.33</v>
      </c>
    </row>
    <row r="620" spans="1:10" x14ac:dyDescent="0.3">
      <c r="C620" s="33"/>
      <c r="D620" s="33"/>
      <c r="E620" s="33"/>
      <c r="F620" s="33"/>
      <c r="G620" s="33"/>
      <c r="H620" s="34"/>
    </row>
    <row r="621" spans="1:10" x14ac:dyDescent="0.3">
      <c r="C621" s="1015" t="s">
        <v>960</v>
      </c>
      <c r="D621" s="1015"/>
      <c r="E621" s="1015"/>
      <c r="F621" s="1015"/>
      <c r="G621" s="1015"/>
      <c r="H621" s="32">
        <f>ROUND(H619,1)</f>
        <v>24.3</v>
      </c>
    </row>
    <row r="622" spans="1:10" x14ac:dyDescent="0.3">
      <c r="C622" s="276"/>
      <c r="D622" s="276"/>
      <c r="E622" s="276"/>
      <c r="F622" s="276"/>
      <c r="G622" s="276"/>
      <c r="H622" s="277"/>
    </row>
    <row r="623" spans="1:10" ht="18.600000000000001" x14ac:dyDescent="0.3">
      <c r="A623" s="3"/>
      <c r="B623" s="1016" t="s">
        <v>958</v>
      </c>
      <c r="C623" s="1016"/>
      <c r="D623" s="1016"/>
      <c r="E623" s="1016"/>
      <c r="F623" s="1016"/>
      <c r="G623" s="1016"/>
      <c r="H623" s="1016"/>
      <c r="I623" s="1016"/>
      <c r="J623" s="1016"/>
    </row>
    <row r="624" spans="1:10" ht="19.2" x14ac:dyDescent="0.35">
      <c r="A624" s="3"/>
      <c r="B624" s="53"/>
      <c r="C624" s="53"/>
      <c r="D624" s="53"/>
      <c r="E624" s="53"/>
      <c r="F624" s="53"/>
      <c r="G624" s="53"/>
      <c r="H624" s="53"/>
      <c r="I624" s="53"/>
      <c r="J624" s="53"/>
    </row>
    <row r="625" spans="1:10" ht="34.5" customHeight="1" x14ac:dyDescent="0.35">
      <c r="A625" s="3"/>
      <c r="B625" s="50" t="s">
        <v>1004</v>
      </c>
      <c r="C625" s="1017" t="s">
        <v>1005</v>
      </c>
      <c r="D625" s="1017"/>
      <c r="E625" s="1017"/>
      <c r="F625" s="52">
        <f>H674</f>
        <v>18</v>
      </c>
      <c r="G625" s="52" t="s">
        <v>971</v>
      </c>
      <c r="H625" s="1020" t="s">
        <v>111</v>
      </c>
      <c r="I625" s="1020"/>
      <c r="J625" s="1020"/>
    </row>
    <row r="627" spans="1:10" x14ac:dyDescent="0.3">
      <c r="A627" s="3"/>
      <c r="C627" s="1018" t="s">
        <v>932</v>
      </c>
      <c r="D627" s="1018"/>
      <c r="E627" s="10"/>
      <c r="F627" s="11">
        <f>F634+F637+F635</f>
        <v>12.93</v>
      </c>
      <c r="G627" s="12" t="s">
        <v>971</v>
      </c>
    </row>
    <row r="629" spans="1:10" ht="27.6" x14ac:dyDescent="0.3">
      <c r="A629" s="3"/>
      <c r="C629" s="13" t="s">
        <v>929</v>
      </c>
      <c r="D629" s="14" t="s">
        <v>928</v>
      </c>
      <c r="E629" s="14" t="s">
        <v>514</v>
      </c>
      <c r="F629" s="14" t="s">
        <v>515</v>
      </c>
      <c r="G629" s="14" t="s">
        <v>962</v>
      </c>
      <c r="H629" s="14" t="s">
        <v>926</v>
      </c>
      <c r="I629" s="14" t="s">
        <v>516</v>
      </c>
      <c r="J629" s="14" t="s">
        <v>961</v>
      </c>
    </row>
    <row r="630" spans="1:10" x14ac:dyDescent="0.3">
      <c r="A630" s="3"/>
      <c r="C630" s="17" t="s">
        <v>1192</v>
      </c>
      <c r="D630" s="16">
        <f>D321</f>
        <v>9241.32</v>
      </c>
      <c r="E630" s="16">
        <f>D630*12</f>
        <v>110895.84</v>
      </c>
      <c r="F630" s="16">
        <f>F321</f>
        <v>7701.1</v>
      </c>
      <c r="G630" s="16">
        <f>G321</f>
        <v>3850.55</v>
      </c>
      <c r="H630" s="16">
        <f>E630+F630+G630</f>
        <v>122447.49</v>
      </c>
      <c r="I630" s="17">
        <v>1932.7</v>
      </c>
      <c r="J630" s="16">
        <f>ROUND((H630/I630)/60,2)</f>
        <v>1.06</v>
      </c>
    </row>
    <row r="631" spans="1:10" x14ac:dyDescent="0.3">
      <c r="A631" s="3"/>
      <c r="C631" s="17"/>
      <c r="D631" s="16"/>
      <c r="E631" s="16"/>
      <c r="F631" s="16"/>
      <c r="G631" s="16"/>
      <c r="H631" s="16"/>
      <c r="I631" s="17"/>
      <c r="J631" s="16"/>
    </row>
    <row r="633" spans="1:10" ht="27.6" x14ac:dyDescent="0.3">
      <c r="A633" s="3"/>
      <c r="C633" s="13" t="s">
        <v>929</v>
      </c>
      <c r="D633" s="14" t="s">
        <v>961</v>
      </c>
      <c r="E633" s="14" t="s">
        <v>930</v>
      </c>
      <c r="F633" s="14" t="s">
        <v>931</v>
      </c>
    </row>
    <row r="634" spans="1:10" x14ac:dyDescent="0.3">
      <c r="A634" s="3"/>
      <c r="C634" s="15" t="str">
        <f>C630</f>
        <v>Лікар-акушер-гінеколог</v>
      </c>
      <c r="D634" s="16">
        <f>J630</f>
        <v>1.06</v>
      </c>
      <c r="E634" s="17">
        <v>10</v>
      </c>
      <c r="F634" s="18">
        <f>ROUND(D634*E634,2)</f>
        <v>10.6</v>
      </c>
    </row>
    <row r="635" spans="1:10" x14ac:dyDescent="0.3">
      <c r="A635" s="3"/>
      <c r="C635" s="15"/>
      <c r="D635" s="16"/>
      <c r="E635" s="17"/>
      <c r="F635" s="18"/>
    </row>
    <row r="636" spans="1:10" x14ac:dyDescent="0.3">
      <c r="A636" s="3"/>
      <c r="D636" s="19"/>
    </row>
    <row r="637" spans="1:10" x14ac:dyDescent="0.3">
      <c r="A637" s="3"/>
      <c r="C637" s="17" t="s">
        <v>933</v>
      </c>
      <c r="D637" s="16">
        <f>F634+F635</f>
        <v>10.6</v>
      </c>
      <c r="E637" s="20">
        <v>0.22</v>
      </c>
      <c r="F637" s="21">
        <f>ROUND(D637*E637,2)</f>
        <v>2.33</v>
      </c>
    </row>
    <row r="639" spans="1:10" x14ac:dyDescent="0.3">
      <c r="A639" s="3"/>
      <c r="C639" s="12" t="s">
        <v>946</v>
      </c>
      <c r="D639" s="12"/>
      <c r="E639" s="12"/>
      <c r="F639" s="12">
        <f>G650</f>
        <v>3.7699999999999996</v>
      </c>
      <c r="G639" s="12" t="s">
        <v>971</v>
      </c>
    </row>
    <row r="641" spans="1:8" x14ac:dyDescent="0.3">
      <c r="A641" s="3"/>
      <c r="C641" s="27" t="s">
        <v>1098</v>
      </c>
      <c r="D641" s="28" t="s">
        <v>935</v>
      </c>
      <c r="E641" s="29">
        <v>0.1</v>
      </c>
      <c r="F641" s="29">
        <f>F332</f>
        <v>10</v>
      </c>
      <c r="G641" s="30">
        <f t="shared" ref="G641:G649" si="12">ROUND(E641*F641,2)</f>
        <v>1</v>
      </c>
    </row>
    <row r="642" spans="1:8" x14ac:dyDescent="0.3">
      <c r="A642" s="3"/>
      <c r="C642" s="27" t="s">
        <v>936</v>
      </c>
      <c r="D642" s="28" t="s">
        <v>937</v>
      </c>
      <c r="E642" s="29">
        <v>1</v>
      </c>
      <c r="F642" s="29">
        <f t="shared" ref="F642:F649" si="13">F333</f>
        <v>0.3</v>
      </c>
      <c r="G642" s="30">
        <f t="shared" si="12"/>
        <v>0.3</v>
      </c>
    </row>
    <row r="643" spans="1:8" x14ac:dyDescent="0.3">
      <c r="A643" s="3"/>
      <c r="C643" s="27" t="s">
        <v>938</v>
      </c>
      <c r="D643" s="28" t="s">
        <v>939</v>
      </c>
      <c r="E643" s="29">
        <v>0.1</v>
      </c>
      <c r="F643" s="29">
        <f t="shared" si="13"/>
        <v>6</v>
      </c>
      <c r="G643" s="30">
        <f t="shared" si="12"/>
        <v>0.6</v>
      </c>
    </row>
    <row r="644" spans="1:8" x14ac:dyDescent="0.3">
      <c r="A644" s="3"/>
      <c r="C644" s="27" t="s">
        <v>940</v>
      </c>
      <c r="D644" s="28" t="s">
        <v>941</v>
      </c>
      <c r="E644" s="29">
        <v>0.5</v>
      </c>
      <c r="F644" s="29">
        <f t="shared" si="13"/>
        <v>2</v>
      </c>
      <c r="G644" s="30">
        <f t="shared" si="12"/>
        <v>1</v>
      </c>
    </row>
    <row r="645" spans="1:8" x14ac:dyDescent="0.3">
      <c r="A645" s="3"/>
      <c r="C645" s="27" t="s">
        <v>942</v>
      </c>
      <c r="D645" s="28" t="s">
        <v>941</v>
      </c>
      <c r="E645" s="29">
        <v>0.01</v>
      </c>
      <c r="F645" s="29">
        <f t="shared" si="13"/>
        <v>24.6</v>
      </c>
      <c r="G645" s="30">
        <f t="shared" si="12"/>
        <v>0.25</v>
      </c>
    </row>
    <row r="646" spans="1:8" x14ac:dyDescent="0.3">
      <c r="A646" s="3"/>
      <c r="C646" s="27" t="s">
        <v>943</v>
      </c>
      <c r="D646" s="28" t="s">
        <v>944</v>
      </c>
      <c r="E646" s="29">
        <v>1</v>
      </c>
      <c r="F646" s="29">
        <f t="shared" si="13"/>
        <v>7.0000000000000007E-2</v>
      </c>
      <c r="G646" s="30">
        <f t="shared" si="12"/>
        <v>7.0000000000000007E-2</v>
      </c>
    </row>
    <row r="647" spans="1:8" x14ac:dyDescent="0.3">
      <c r="A647" s="3"/>
      <c r="C647" s="27" t="s">
        <v>1105</v>
      </c>
      <c r="D647" s="28" t="s">
        <v>941</v>
      </c>
      <c r="E647" s="29">
        <v>1</v>
      </c>
      <c r="F647" s="29">
        <v>0</v>
      </c>
      <c r="G647" s="30">
        <f t="shared" si="12"/>
        <v>0</v>
      </c>
    </row>
    <row r="648" spans="1:8" x14ac:dyDescent="0.3">
      <c r="A648" s="3"/>
      <c r="C648" s="27" t="s">
        <v>1124</v>
      </c>
      <c r="D648" s="28" t="s">
        <v>944</v>
      </c>
      <c r="E648" s="29">
        <v>0.5</v>
      </c>
      <c r="F648" s="29">
        <f t="shared" si="13"/>
        <v>0.5</v>
      </c>
      <c r="G648" s="30">
        <f t="shared" si="12"/>
        <v>0.25</v>
      </c>
    </row>
    <row r="649" spans="1:8" x14ac:dyDescent="0.3">
      <c r="A649" s="3"/>
      <c r="C649" s="27" t="s">
        <v>1159</v>
      </c>
      <c r="D649" s="28" t="s">
        <v>1160</v>
      </c>
      <c r="E649" s="29">
        <f>E634</f>
        <v>10</v>
      </c>
      <c r="F649" s="29">
        <f t="shared" si="13"/>
        <v>0.03</v>
      </c>
      <c r="G649" s="30">
        <f t="shared" si="12"/>
        <v>0.3</v>
      </c>
    </row>
    <row r="650" spans="1:8" ht="15.75" customHeight="1" x14ac:dyDescent="0.3">
      <c r="A650" s="3"/>
      <c r="C650" s="1019" t="s">
        <v>945</v>
      </c>
      <c r="D650" s="1019"/>
      <c r="E650" s="1019"/>
      <c r="F650" s="1019"/>
      <c r="G650" s="31">
        <f>SUM(G641:G649)</f>
        <v>3.7699999999999996</v>
      </c>
    </row>
    <row r="651" spans="1:8" ht="15.75" customHeight="1" x14ac:dyDescent="0.3">
      <c r="A651" s="3"/>
    </row>
    <row r="652" spans="1:8" ht="15.75" customHeight="1" x14ac:dyDescent="0.3">
      <c r="A652" s="3"/>
      <c r="C652" s="12" t="s">
        <v>968</v>
      </c>
      <c r="D652" s="12"/>
      <c r="E652" s="12"/>
      <c r="F652" s="11">
        <f>H655</f>
        <v>0.1</v>
      </c>
      <c r="G652" s="12" t="s">
        <v>971</v>
      </c>
    </row>
    <row r="653" spans="1:8" ht="15.75" customHeight="1" x14ac:dyDescent="0.3">
      <c r="A653" s="3"/>
      <c r="C653" s="22"/>
      <c r="D653" s="22"/>
      <c r="E653" s="22"/>
      <c r="F653" s="23"/>
      <c r="G653" s="22"/>
    </row>
    <row r="654" spans="1:8" ht="27.6" x14ac:dyDescent="0.3">
      <c r="A654" s="3"/>
      <c r="C654" s="14" t="s">
        <v>513</v>
      </c>
      <c r="D654" s="14" t="s">
        <v>1108</v>
      </c>
      <c r="E654" s="14" t="s">
        <v>516</v>
      </c>
      <c r="F654" s="14" t="s">
        <v>970</v>
      </c>
      <c r="G654" s="14" t="s">
        <v>930</v>
      </c>
      <c r="H654" s="14" t="s">
        <v>961</v>
      </c>
    </row>
    <row r="655" spans="1:8" x14ac:dyDescent="0.3">
      <c r="A655" s="3"/>
      <c r="C655" s="27" t="s">
        <v>1117</v>
      </c>
      <c r="D655" s="17">
        <f>D346</f>
        <v>815.88</v>
      </c>
      <c r="E655" s="17">
        <f>I630</f>
        <v>1932.7</v>
      </c>
      <c r="F655" s="17">
        <f>ROUND((D655/E655)/60,2)</f>
        <v>0.01</v>
      </c>
      <c r="G655" s="17">
        <f>E634</f>
        <v>10</v>
      </c>
      <c r="H655" s="16">
        <f>ROUND(F655*G655,2)</f>
        <v>0.1</v>
      </c>
    </row>
    <row r="657" spans="1:8" x14ac:dyDescent="0.3">
      <c r="A657" s="3"/>
      <c r="C657" s="12" t="s">
        <v>948</v>
      </c>
      <c r="D657" s="12"/>
      <c r="E657" s="12"/>
      <c r="F657" s="11">
        <f>H669</f>
        <v>1.2000000000000002</v>
      </c>
      <c r="G657" s="12" t="s">
        <v>971</v>
      </c>
    </row>
    <row r="658" spans="1:8" x14ac:dyDescent="0.3">
      <c r="A658" s="3"/>
      <c r="C658" s="22"/>
      <c r="D658" s="22"/>
      <c r="E658" s="22"/>
      <c r="F658" s="23"/>
    </row>
    <row r="659" spans="1:8" ht="41.4" x14ac:dyDescent="0.3">
      <c r="A659" s="3"/>
      <c r="C659" s="14" t="s">
        <v>948</v>
      </c>
      <c r="D659" s="14" t="s">
        <v>955</v>
      </c>
      <c r="E659" s="14" t="s">
        <v>516</v>
      </c>
      <c r="F659" s="14" t="s">
        <v>954</v>
      </c>
      <c r="G659" s="14" t="s">
        <v>930</v>
      </c>
      <c r="H659" s="14" t="s">
        <v>956</v>
      </c>
    </row>
    <row r="660" spans="1:8" x14ac:dyDescent="0.3">
      <c r="A660" s="3"/>
      <c r="C660" s="1009" t="str">
        <f>C630</f>
        <v>Лікар-акушер-гінеколог</v>
      </c>
      <c r="D660" s="1010"/>
      <c r="E660" s="1010"/>
      <c r="F660" s="1010"/>
      <c r="G660" s="1010"/>
      <c r="H660" s="1011"/>
    </row>
    <row r="661" spans="1:8" x14ac:dyDescent="0.3">
      <c r="A661" s="3"/>
      <c r="C661" s="17" t="s">
        <v>951</v>
      </c>
      <c r="D661" s="112">
        <f>D352</f>
        <v>12188.608008565312</v>
      </c>
      <c r="E661" s="17">
        <f>I630</f>
        <v>1932.7</v>
      </c>
      <c r="F661" s="17">
        <f>ROUND((D661/E661)/60,2)</f>
        <v>0.11</v>
      </c>
      <c r="G661" s="17">
        <f>E634</f>
        <v>10</v>
      </c>
      <c r="H661" s="16">
        <f>ROUND(F661*G661,2)</f>
        <v>1.1000000000000001</v>
      </c>
    </row>
    <row r="662" spans="1:8" x14ac:dyDescent="0.3">
      <c r="A662" s="3"/>
      <c r="C662" s="17" t="s">
        <v>952</v>
      </c>
      <c r="D662" s="112">
        <f>D353</f>
        <v>53.149721627408987</v>
      </c>
      <c r="E662" s="17">
        <f>I630</f>
        <v>1932.7</v>
      </c>
      <c r="F662" s="17">
        <f>ROUND((D662/E662)/60,2)</f>
        <v>0</v>
      </c>
      <c r="G662" s="17">
        <f>E634</f>
        <v>10</v>
      </c>
      <c r="H662" s="16">
        <f>ROUND(F662*G662,2)</f>
        <v>0</v>
      </c>
    </row>
    <row r="663" spans="1:8" x14ac:dyDescent="0.3">
      <c r="A663" s="3"/>
      <c r="C663" s="17" t="s">
        <v>953</v>
      </c>
      <c r="D663" s="112">
        <f>D354</f>
        <v>374.98368308351178</v>
      </c>
      <c r="E663" s="17">
        <f>I630</f>
        <v>1932.7</v>
      </c>
      <c r="F663" s="17">
        <f>ROUND((D663/E663)/60,2)</f>
        <v>0</v>
      </c>
      <c r="G663" s="17">
        <f>E634</f>
        <v>10</v>
      </c>
      <c r="H663" s="16">
        <f>ROUND(F663*G663,2)</f>
        <v>0</v>
      </c>
    </row>
    <row r="664" spans="1:8" x14ac:dyDescent="0.3">
      <c r="A664" s="3"/>
      <c r="C664" s="17" t="s">
        <v>1109</v>
      </c>
      <c r="D664" s="112">
        <f>D355</f>
        <v>1686.0389293361886</v>
      </c>
      <c r="E664" s="17">
        <f>I630</f>
        <v>1932.7</v>
      </c>
      <c r="F664" s="17">
        <f>ROUND((D664/E664)/60,2)</f>
        <v>0.01</v>
      </c>
      <c r="G664" s="17">
        <f>E634</f>
        <v>10</v>
      </c>
      <c r="H664" s="16">
        <f>ROUND(F664*G664,2)</f>
        <v>0.1</v>
      </c>
    </row>
    <row r="665" spans="1:8" hidden="1" x14ac:dyDescent="0.3">
      <c r="A665" s="3"/>
      <c r="C665" s="1009"/>
      <c r="D665" s="1010"/>
      <c r="E665" s="1010"/>
      <c r="F665" s="1010"/>
      <c r="G665" s="1010"/>
      <c r="H665" s="1011"/>
    </row>
    <row r="666" spans="1:8" hidden="1" x14ac:dyDescent="0.3">
      <c r="A666" s="3"/>
      <c r="C666" s="17"/>
      <c r="D666" s="17"/>
      <c r="E666" s="17"/>
      <c r="F666" s="17"/>
      <c r="G666" s="17"/>
      <c r="H666" s="16"/>
    </row>
    <row r="667" spans="1:8" hidden="1" x14ac:dyDescent="0.3">
      <c r="A667" s="3"/>
      <c r="C667" s="17"/>
      <c r="D667" s="17"/>
      <c r="E667" s="17"/>
      <c r="F667" s="17"/>
      <c r="G667" s="17"/>
      <c r="H667" s="16"/>
    </row>
    <row r="668" spans="1:8" hidden="1" x14ac:dyDescent="0.3">
      <c r="A668" s="3"/>
      <c r="C668" s="17"/>
      <c r="D668" s="17"/>
      <c r="E668" s="17"/>
      <c r="F668" s="17"/>
      <c r="G668" s="17"/>
      <c r="H668" s="16"/>
    </row>
    <row r="669" spans="1:8" x14ac:dyDescent="0.3">
      <c r="A669" s="3"/>
      <c r="C669" s="1012" t="s">
        <v>957</v>
      </c>
      <c r="D669" s="1013"/>
      <c r="E669" s="1013"/>
      <c r="F669" s="1013"/>
      <c r="G669" s="1014"/>
      <c r="H669" s="18">
        <f>SUM(H661:H668)</f>
        <v>1.2000000000000002</v>
      </c>
    </row>
    <row r="670" spans="1:8" ht="8.25" customHeight="1" x14ac:dyDescent="0.3">
      <c r="A670" s="3"/>
    </row>
    <row r="671" spans="1:8" hidden="1" x14ac:dyDescent="0.3">
      <c r="A671" s="3"/>
    </row>
    <row r="672" spans="1:8" x14ac:dyDescent="0.3">
      <c r="A672" s="3"/>
      <c r="C672" s="1015" t="s">
        <v>959</v>
      </c>
      <c r="D672" s="1015"/>
      <c r="E672" s="1015"/>
      <c r="F672" s="1015"/>
      <c r="G672" s="1015"/>
      <c r="H672" s="32">
        <f>F627+F639+F657+F652</f>
        <v>18</v>
      </c>
    </row>
    <row r="673" spans="1:8" x14ac:dyDescent="0.3">
      <c r="A673" s="3"/>
      <c r="C673" s="33"/>
      <c r="D673" s="33"/>
      <c r="E673" s="33"/>
      <c r="F673" s="33"/>
      <c r="G673" s="33"/>
      <c r="H673" s="34"/>
    </row>
    <row r="674" spans="1:8" x14ac:dyDescent="0.3">
      <c r="A674" s="3"/>
      <c r="C674" s="1015" t="s">
        <v>960</v>
      </c>
      <c r="D674" s="1015"/>
      <c r="E674" s="1015"/>
      <c r="F674" s="1015"/>
      <c r="G674" s="1015"/>
      <c r="H674" s="32">
        <f>ROUND(H672,1)</f>
        <v>18</v>
      </c>
    </row>
  </sheetData>
  <mergeCells count="117">
    <mergeCell ref="C38:H38"/>
    <mergeCell ref="C43:H43"/>
    <mergeCell ref="B2:J2"/>
    <mergeCell ref="C4:E4"/>
    <mergeCell ref="C6:D6"/>
    <mergeCell ref="C28:F28"/>
    <mergeCell ref="C56:E56"/>
    <mergeCell ref="B54:J54"/>
    <mergeCell ref="C52:G52"/>
    <mergeCell ref="C102:G102"/>
    <mergeCell ref="C142:H142"/>
    <mergeCell ref="C162:D162"/>
    <mergeCell ref="C156:G156"/>
    <mergeCell ref="C160:E160"/>
    <mergeCell ref="C104:G104"/>
    <mergeCell ref="C132:F132"/>
    <mergeCell ref="C47:G47"/>
    <mergeCell ref="C50:G50"/>
    <mergeCell ref="C99:G99"/>
    <mergeCell ref="C95:H95"/>
    <mergeCell ref="C80:F80"/>
    <mergeCell ref="C58:D58"/>
    <mergeCell ref="C90:H90"/>
    <mergeCell ref="B158:J158"/>
    <mergeCell ref="C154:G154"/>
    <mergeCell ref="C151:G151"/>
    <mergeCell ref="B106:J106"/>
    <mergeCell ref="C110:D110"/>
    <mergeCell ref="C108:E108"/>
    <mergeCell ref="C147:H147"/>
    <mergeCell ref="C199:H199"/>
    <mergeCell ref="C236:F236"/>
    <mergeCell ref="C184:F184"/>
    <mergeCell ref="C255:G255"/>
    <mergeCell ref="B210:J210"/>
    <mergeCell ref="C194:H194"/>
    <mergeCell ref="C203:G203"/>
    <mergeCell ref="C208:G208"/>
    <mergeCell ref="C251:H251"/>
    <mergeCell ref="C214:D214"/>
    <mergeCell ref="C260:G260"/>
    <mergeCell ref="C258:G258"/>
    <mergeCell ref="C246:H246"/>
    <mergeCell ref="B314:J314"/>
    <mergeCell ref="C264:E264"/>
    <mergeCell ref="B262:J262"/>
    <mergeCell ref="C266:D266"/>
    <mergeCell ref="C307:G307"/>
    <mergeCell ref="C310:G310"/>
    <mergeCell ref="C298:H298"/>
    <mergeCell ref="C206:G206"/>
    <mergeCell ref="C212:E212"/>
    <mergeCell ref="C312:G312"/>
    <mergeCell ref="C303:H303"/>
    <mergeCell ref="C288:F288"/>
    <mergeCell ref="C316:E316"/>
    <mergeCell ref="C408:H408"/>
    <mergeCell ref="C371:D371"/>
    <mergeCell ref="C412:G412"/>
    <mergeCell ref="C393:F393"/>
    <mergeCell ref="C351:H351"/>
    <mergeCell ref="C356:H356"/>
    <mergeCell ref="C417:G417"/>
    <mergeCell ref="C318:D318"/>
    <mergeCell ref="C341:F341"/>
    <mergeCell ref="C415:G415"/>
    <mergeCell ref="C403:H403"/>
    <mergeCell ref="C369:E369"/>
    <mergeCell ref="B367:J367"/>
    <mergeCell ref="C363:G363"/>
    <mergeCell ref="C365:G365"/>
    <mergeCell ref="C360:G360"/>
    <mergeCell ref="C503:H503"/>
    <mergeCell ref="C493:F493"/>
    <mergeCell ref="C521:E521"/>
    <mergeCell ref="C515:G515"/>
    <mergeCell ref="C508:H508"/>
    <mergeCell ref="B419:J419"/>
    <mergeCell ref="C460:G460"/>
    <mergeCell ref="C445:F445"/>
    <mergeCell ref="C471:D471"/>
    <mergeCell ref="C469:E469"/>
    <mergeCell ref="C463:G463"/>
    <mergeCell ref="C465:G465"/>
    <mergeCell ref="C421:E421"/>
    <mergeCell ref="C423:D423"/>
    <mergeCell ref="C455:H455"/>
    <mergeCell ref="B467:J467"/>
    <mergeCell ref="C560:H560"/>
    <mergeCell ref="C567:G567"/>
    <mergeCell ref="B571:J571"/>
    <mergeCell ref="C569:G569"/>
    <mergeCell ref="C564:G564"/>
    <mergeCell ref="C555:H555"/>
    <mergeCell ref="C517:G517"/>
    <mergeCell ref="B519:J519"/>
    <mergeCell ref="C512:G512"/>
    <mergeCell ref="C523:D523"/>
    <mergeCell ref="C545:F545"/>
    <mergeCell ref="C575:D575"/>
    <mergeCell ref="C621:G621"/>
    <mergeCell ref="C597:F597"/>
    <mergeCell ref="C607:H607"/>
    <mergeCell ref="C612:H612"/>
    <mergeCell ref="C616:G616"/>
    <mergeCell ref="C619:G619"/>
    <mergeCell ref="C660:H660"/>
    <mergeCell ref="C573:E573"/>
    <mergeCell ref="C665:H665"/>
    <mergeCell ref="C669:G669"/>
    <mergeCell ref="C672:G672"/>
    <mergeCell ref="B623:J623"/>
    <mergeCell ref="C625:E625"/>
    <mergeCell ref="C627:D627"/>
    <mergeCell ref="C650:F650"/>
    <mergeCell ref="C674:G674"/>
    <mergeCell ref="H625:J625"/>
  </mergeCells>
  <phoneticPr fontId="8" type="noConversion"/>
  <hyperlinks>
    <hyperlink ref="M5" location="'Медичні Лікарі'!A4" display="Вартість 1-го обстеження лікаря-терапевта" xr:uid="{00000000-0004-0000-0900-000000000000}"/>
    <hyperlink ref="M6" location="'Медичні Лікарі'!A55" display="Вартість 1-го обстеження лікаря-хірурга" xr:uid="{00000000-0004-0000-0900-000001000000}"/>
    <hyperlink ref="M7" location="'Медичні Лікарі'!A100" display="Вартість 1-го обстеження лікаря-невропатолога" xr:uid="{00000000-0004-0000-0900-000002000000}"/>
    <hyperlink ref="M8" location="'Медичні Лікарі'!A148" display="Вартість 1-го обстеження лікаря-офтальмолога" xr:uid="{00000000-0004-0000-0900-000003000000}"/>
    <hyperlink ref="M9" location="'Медичні Лікарі'!A196" display="Вартість 1-го обстеження лікаря-отоларинголога" xr:uid="{00000000-0004-0000-0900-000004000000}"/>
    <hyperlink ref="M10" location="'Медичні Лікарі'!A244" display="Вартість 1-го обстеження лікаря-дерматовенеролога" xr:uid="{00000000-0004-0000-0900-000005000000}"/>
    <hyperlink ref="M11" location="'Медичні Лікарі'!A292" display="Вартість 1-го обстеження лікаря-акушер-гінеколога" xr:uid="{00000000-0004-0000-0900-000006000000}"/>
    <hyperlink ref="M12" location="'Медичні Лікарі'!A341" display="Вартість 1-го обстеження лікаря-стоматолога" xr:uid="{00000000-0004-0000-0900-000007000000}"/>
    <hyperlink ref="M13" location="'Медичні Лікарі'!A388" display="Вартість 1-го обстеження лікаря-психіатр" xr:uid="{00000000-0004-0000-0900-000008000000}"/>
    <hyperlink ref="M14" location="'Медичні Лікарі'!A436" display="Вартість 1-го обстеження лікаря-нарколога" xr:uid="{00000000-0004-0000-0900-000009000000}"/>
    <hyperlink ref="M15" location="'Медичні Лікарі'!A484" display="Вартість 1-го обстеження лікаря-психіатра для видачі сертифіката" xr:uid="{00000000-0004-0000-0900-00000A000000}"/>
    <hyperlink ref="M16" location="'Медичні Лікарі'!A532" display="Вартість 1-го обстеження лікаря-нарколога для видачі сертифіката" xr:uid="{00000000-0004-0000-0900-00000B000000}"/>
  </hyperlinks>
  <pageMargins left="0" right="0" top="0" bottom="0" header="0.31496062992125984" footer="0.31496062992125984"/>
  <pageSetup paperSize="9" scale="80" orientation="portrait" r:id="rId1"/>
  <rowBreaks count="12" manualBreakCount="12">
    <brk id="53" min="1" max="9" man="1"/>
    <brk id="105" min="1" max="9" man="1"/>
    <brk id="157" min="1" max="9" man="1"/>
    <brk id="209" min="1" max="9" man="1"/>
    <brk id="261" min="1" max="9" man="1"/>
    <brk id="313" min="1" max="9" man="1"/>
    <brk id="366" min="1" max="9" man="1"/>
    <brk id="418" min="1" max="9" man="1"/>
    <brk id="466" min="1" max="9" man="1"/>
    <brk id="518" min="1" max="9" man="1"/>
    <brk id="570" min="1" max="9" man="1"/>
    <brk id="622" min="1" max="9" man="1"/>
  </rowBreaks>
  <colBreaks count="1" manualBreakCount="1">
    <brk id="10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X478"/>
  <sheetViews>
    <sheetView view="pageBreakPreview" zoomScale="50" zoomScaleNormal="75" zoomScaleSheetLayoutView="50" workbookViewId="0">
      <selection activeCell="AF7" sqref="AF7"/>
    </sheetView>
  </sheetViews>
  <sheetFormatPr defaultRowHeight="34.799999999999997" x14ac:dyDescent="0.65"/>
  <cols>
    <col min="1" max="1" width="10.88671875" style="889" customWidth="1"/>
    <col min="2" max="2" width="27" style="285" customWidth="1"/>
    <col min="3" max="3" width="12.33203125" style="285" hidden="1" customWidth="1"/>
    <col min="4" max="4" width="255.6640625" style="288" customWidth="1"/>
    <col min="5" max="5" width="18.88671875" style="910" hidden="1" customWidth="1"/>
    <col min="6" max="6" width="15.6640625" style="910" hidden="1" customWidth="1"/>
    <col min="7" max="8" width="18.88671875" style="910" hidden="1" customWidth="1"/>
    <col min="9" max="9" width="19.109375" style="910" hidden="1" customWidth="1"/>
    <col min="10" max="10" width="17" style="910" hidden="1" customWidth="1"/>
    <col min="11" max="12" width="12.88671875" style="910" hidden="1" customWidth="1"/>
    <col min="13" max="13" width="13.109375" style="910" hidden="1" customWidth="1"/>
    <col min="14" max="14" width="27.44140625" style="910" hidden="1" customWidth="1"/>
    <col min="15" max="15" width="18.88671875" style="910" hidden="1" customWidth="1"/>
    <col min="16" max="16" width="25.88671875" style="910" hidden="1" customWidth="1"/>
    <col min="17" max="17" width="32.5546875" style="289" bestFit="1" customWidth="1"/>
    <col min="18" max="18" width="15.6640625" style="289" bestFit="1" customWidth="1"/>
    <col min="19" max="19" width="48" style="289" customWidth="1"/>
    <col min="20" max="20" width="57.88671875" style="289" hidden="1" customWidth="1"/>
    <col min="21" max="21" width="57" style="289" hidden="1" customWidth="1"/>
    <col min="22" max="23" width="19.88671875" style="724" hidden="1" customWidth="1"/>
    <col min="24" max="24" width="9.109375" style="3"/>
  </cols>
  <sheetData>
    <row r="1" spans="1:24" s="436" customFormat="1" ht="40.200000000000003" x14ac:dyDescent="0.7">
      <c r="A1" s="437"/>
      <c r="B1" s="681"/>
      <c r="C1" s="435"/>
      <c r="D1" s="435"/>
      <c r="E1" s="890"/>
      <c r="F1" s="890"/>
      <c r="G1" s="890"/>
      <c r="H1" s="890"/>
      <c r="I1" s="890"/>
      <c r="J1" s="890"/>
      <c r="K1" s="890"/>
      <c r="L1" s="890"/>
      <c r="M1" s="890"/>
      <c r="N1" s="890"/>
      <c r="O1" s="890"/>
      <c r="P1" s="890"/>
      <c r="Q1" s="1021" t="s">
        <v>155</v>
      </c>
      <c r="R1" s="1021"/>
      <c r="S1" s="1021"/>
      <c r="T1" s="709"/>
      <c r="U1" s="709"/>
      <c r="V1" s="713"/>
      <c r="W1" s="713"/>
      <c r="X1" s="437"/>
    </row>
    <row r="2" spans="1:24" s="436" customFormat="1" ht="40.200000000000003" x14ac:dyDescent="0.7">
      <c r="A2" s="437"/>
      <c r="B2" s="682"/>
      <c r="E2" s="890"/>
      <c r="F2" s="890"/>
      <c r="G2" s="890"/>
      <c r="H2" s="890"/>
      <c r="I2" s="890"/>
      <c r="J2" s="890"/>
      <c r="K2" s="890"/>
      <c r="L2" s="890"/>
      <c r="M2" s="890"/>
      <c r="N2" s="890"/>
      <c r="O2" s="890"/>
      <c r="P2" s="890"/>
      <c r="Q2" s="1021" t="s">
        <v>156</v>
      </c>
      <c r="R2" s="1021"/>
      <c r="S2" s="1021"/>
      <c r="T2" s="709"/>
      <c r="U2" s="709"/>
      <c r="V2" s="713"/>
      <c r="W2" s="713"/>
      <c r="X2" s="438"/>
    </row>
    <row r="3" spans="1:24" s="436" customFormat="1" ht="40.200000000000003" x14ac:dyDescent="0.7">
      <c r="A3" s="437"/>
      <c r="B3" s="682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1021" t="s">
        <v>291</v>
      </c>
      <c r="R3" s="1021"/>
      <c r="S3" s="1021"/>
      <c r="T3" s="709"/>
      <c r="U3" s="709"/>
      <c r="V3" s="713"/>
      <c r="W3" s="713"/>
      <c r="X3" s="438"/>
    </row>
    <row r="4" spans="1:24" s="438" customFormat="1" ht="39.6" x14ac:dyDescent="0.65">
      <c r="A4" s="437"/>
      <c r="B4" s="1023"/>
      <c r="C4" s="1023"/>
      <c r="D4" s="1023"/>
      <c r="E4" s="1023"/>
      <c r="F4" s="1023"/>
      <c r="G4" s="1023"/>
      <c r="H4" s="1023"/>
      <c r="I4" s="1023"/>
      <c r="J4" s="1023"/>
      <c r="K4" s="1023"/>
      <c r="L4" s="1023"/>
      <c r="M4" s="1023"/>
      <c r="N4" s="1023"/>
      <c r="O4" s="1023"/>
      <c r="P4" s="1023"/>
      <c r="Q4" s="1023"/>
      <c r="R4" s="1023"/>
      <c r="S4" s="1023"/>
      <c r="T4" s="711"/>
      <c r="U4" s="711"/>
      <c r="V4" s="714"/>
      <c r="W4" s="714"/>
    </row>
    <row r="5" spans="1:24" s="438" customFormat="1" ht="39.6" x14ac:dyDescent="0.65">
      <c r="A5" s="437"/>
      <c r="B5" s="1022" t="s">
        <v>157</v>
      </c>
      <c r="C5" s="1022"/>
      <c r="D5" s="1022"/>
      <c r="E5" s="1022"/>
      <c r="F5" s="1022"/>
      <c r="G5" s="1022"/>
      <c r="H5" s="1022"/>
      <c r="I5" s="1022"/>
      <c r="J5" s="1022"/>
      <c r="K5" s="1022"/>
      <c r="L5" s="1022"/>
      <c r="M5" s="1022"/>
      <c r="N5" s="1022"/>
      <c r="O5" s="1022"/>
      <c r="P5" s="1022"/>
      <c r="Q5" s="1022"/>
      <c r="R5" s="1022"/>
      <c r="S5" s="1022"/>
      <c r="T5" s="710"/>
      <c r="U5" s="710"/>
      <c r="V5" s="714"/>
      <c r="W5" s="714"/>
    </row>
    <row r="6" spans="1:24" s="438" customFormat="1" ht="39.6" x14ac:dyDescent="0.65">
      <c r="A6" s="437"/>
      <c r="B6" s="1022" t="s">
        <v>158</v>
      </c>
      <c r="C6" s="1022"/>
      <c r="D6" s="1022"/>
      <c r="E6" s="1022"/>
      <c r="F6" s="1022"/>
      <c r="G6" s="1022"/>
      <c r="H6" s="1022"/>
      <c r="I6" s="1022"/>
      <c r="J6" s="1022"/>
      <c r="K6" s="1022"/>
      <c r="L6" s="1022"/>
      <c r="M6" s="1022"/>
      <c r="N6" s="1022"/>
      <c r="O6" s="1022"/>
      <c r="P6" s="1022"/>
      <c r="Q6" s="1022"/>
      <c r="R6" s="1022"/>
      <c r="S6" s="1022"/>
      <c r="T6" s="710" t="s">
        <v>292</v>
      </c>
      <c r="U6" s="710"/>
      <c r="V6" s="714"/>
      <c r="W6" s="714"/>
    </row>
    <row r="7" spans="1:24" s="438" customFormat="1" ht="39.6" x14ac:dyDescent="0.65">
      <c r="A7" s="437"/>
      <c r="B7" s="1022"/>
      <c r="C7" s="1022"/>
      <c r="D7" s="1022"/>
      <c r="E7" s="1022"/>
      <c r="F7" s="1022"/>
      <c r="G7" s="1022"/>
      <c r="H7" s="1022"/>
      <c r="I7" s="1022"/>
      <c r="J7" s="1022"/>
      <c r="K7" s="1022"/>
      <c r="L7" s="1022"/>
      <c r="M7" s="1022"/>
      <c r="N7" s="1022"/>
      <c r="O7" s="1022"/>
      <c r="P7" s="1022"/>
      <c r="Q7" s="1022"/>
      <c r="R7" s="1022"/>
      <c r="S7" s="1022"/>
      <c r="T7" s="710"/>
      <c r="U7" s="710"/>
      <c r="V7" s="714"/>
      <c r="W7" s="714"/>
    </row>
    <row r="8" spans="1:24" s="415" customFormat="1" x14ac:dyDescent="0.55000000000000004">
      <c r="B8" s="448">
        <v>1</v>
      </c>
      <c r="C8" s="448"/>
      <c r="D8" s="449" t="s">
        <v>881</v>
      </c>
      <c r="E8" s="895" t="s">
        <v>1118</v>
      </c>
      <c r="F8" s="896">
        <v>0.22</v>
      </c>
      <c r="G8" s="895" t="s">
        <v>1119</v>
      </c>
      <c r="H8" s="895" t="s">
        <v>1125</v>
      </c>
      <c r="I8" s="895" t="s">
        <v>1120</v>
      </c>
      <c r="J8" s="895" t="s">
        <v>1121</v>
      </c>
      <c r="K8" s="895" t="s">
        <v>1122</v>
      </c>
      <c r="L8" s="895" t="s">
        <v>1126</v>
      </c>
      <c r="M8" s="895" t="s">
        <v>1123</v>
      </c>
      <c r="N8" s="895" t="s">
        <v>1127</v>
      </c>
      <c r="O8" s="895"/>
      <c r="P8" s="895" t="s">
        <v>988</v>
      </c>
      <c r="Q8" s="448" t="s">
        <v>988</v>
      </c>
      <c r="R8" s="448" t="s">
        <v>1181</v>
      </c>
      <c r="S8" s="448" t="s">
        <v>1183</v>
      </c>
      <c r="T8" s="712" t="s">
        <v>494</v>
      </c>
      <c r="U8" s="448"/>
      <c r="V8" s="715"/>
      <c r="W8" s="715"/>
      <c r="X8" s="416"/>
    </row>
    <row r="9" spans="1:24" s="417" customFormat="1" ht="35.4" x14ac:dyDescent="0.6">
      <c r="A9" s="415"/>
      <c r="B9" s="450" t="s">
        <v>882</v>
      </c>
      <c r="C9" s="450"/>
      <c r="D9" s="451" t="str">
        <f>'Перелік ціни'!C4</f>
        <v>Медичний огляд для отримання дозволу (ліцензії) на об'єкт дозвільної системи</v>
      </c>
      <c r="E9" s="892"/>
      <c r="F9" s="892"/>
      <c r="G9" s="892"/>
      <c r="H9" s="892"/>
      <c r="I9" s="892"/>
      <c r="J9" s="892"/>
      <c r="K9" s="892"/>
      <c r="L9" s="892"/>
      <c r="M9" s="892"/>
      <c r="N9" s="892"/>
      <c r="O9" s="892"/>
      <c r="P9" s="892"/>
      <c r="Q9" s="452">
        <f>'Перелік ціни'!Y4</f>
        <v>165</v>
      </c>
      <c r="R9" s="452">
        <f t="shared" ref="R9:R14" si="0">ROUND(Q9*0.2,2)</f>
        <v>33</v>
      </c>
      <c r="S9" s="453">
        <f>R9+Q9</f>
        <v>198</v>
      </c>
      <c r="T9" s="453">
        <v>186.84</v>
      </c>
      <c r="U9" s="453">
        <f>S9-T9</f>
        <v>11.159999999999997</v>
      </c>
      <c r="V9" s="716">
        <f>'Перелік ціни'!Y4</f>
        <v>165</v>
      </c>
      <c r="W9" s="716">
        <f>V9-Q9</f>
        <v>0</v>
      </c>
      <c r="X9" s="416"/>
    </row>
    <row r="10" spans="1:24" s="884" customFormat="1" x14ac:dyDescent="0.55000000000000004">
      <c r="B10" s="911" t="s">
        <v>495</v>
      </c>
      <c r="C10" s="911"/>
      <c r="D10" s="912" t="str">
        <f>'Перелік ціни'!C5</f>
        <v>Медичний огляд для отримання дозволу (ліцензії) на об'єкт дозвільної системи (жінки)</v>
      </c>
      <c r="E10" s="913"/>
      <c r="F10" s="913"/>
      <c r="G10" s="913"/>
      <c r="H10" s="913"/>
      <c r="I10" s="913"/>
      <c r="J10" s="913"/>
      <c r="K10" s="913"/>
      <c r="L10" s="913"/>
      <c r="M10" s="913"/>
      <c r="N10" s="913"/>
      <c r="O10" s="913"/>
      <c r="P10" s="913"/>
      <c r="Q10" s="835">
        <f>'Перелік ціни'!Y5</f>
        <v>203</v>
      </c>
      <c r="R10" s="835">
        <f t="shared" si="0"/>
        <v>40.6</v>
      </c>
      <c r="S10" s="835">
        <f t="shared" ref="S10:S16" si="1">R10+Q10</f>
        <v>243.6</v>
      </c>
      <c r="T10" s="835"/>
      <c r="U10" s="835">
        <f t="shared" ref="U10:U19" si="2">S10-T10</f>
        <v>243.6</v>
      </c>
      <c r="V10" s="914"/>
      <c r="W10" s="914"/>
      <c r="X10" s="836"/>
    </row>
    <row r="11" spans="1:24" s="417" customFormat="1" ht="35.4" x14ac:dyDescent="0.6">
      <c r="A11" s="415"/>
      <c r="B11" s="450" t="s">
        <v>884</v>
      </c>
      <c r="C11" s="450"/>
      <c r="D11" s="451" t="str">
        <f>'Перелік ціни'!C6</f>
        <v>Попередній медичний огляд кандидатів у водії (водіїв) транспортних засобів</v>
      </c>
      <c r="E11" s="892"/>
      <c r="F11" s="892"/>
      <c r="G11" s="892"/>
      <c r="H11" s="892"/>
      <c r="I11" s="892"/>
      <c r="J11" s="892"/>
      <c r="K11" s="892"/>
      <c r="L11" s="892"/>
      <c r="M11" s="892"/>
      <c r="N11" s="892"/>
      <c r="O11" s="892"/>
      <c r="P11" s="892"/>
      <c r="Q11" s="452">
        <f>'Перелік ціни'!Y6</f>
        <v>204</v>
      </c>
      <c r="R11" s="452">
        <f t="shared" si="0"/>
        <v>40.799999999999997</v>
      </c>
      <c r="S11" s="453">
        <f t="shared" si="1"/>
        <v>244.8</v>
      </c>
      <c r="T11" s="453">
        <v>229.08</v>
      </c>
      <c r="U11" s="453">
        <f t="shared" si="2"/>
        <v>15.719999999999999</v>
      </c>
      <c r="V11" s="716">
        <f>'Перелік ціни'!Y6</f>
        <v>204</v>
      </c>
      <c r="W11" s="716">
        <f t="shared" ref="W11:W38" si="3">V11-Q11</f>
        <v>0</v>
      </c>
      <c r="X11" s="416"/>
    </row>
    <row r="12" spans="1:24" s="884" customFormat="1" x14ac:dyDescent="0.55000000000000004">
      <c r="B12" s="911" t="s">
        <v>496</v>
      </c>
      <c r="C12" s="911"/>
      <c r="D12" s="912" t="str">
        <f>'Перелік ціни'!C7</f>
        <v>Попередній медичний огляд кандидатів у водії (водіїв) транспортних засобів (жінки)</v>
      </c>
      <c r="E12" s="913"/>
      <c r="F12" s="913"/>
      <c r="G12" s="913"/>
      <c r="H12" s="913"/>
      <c r="I12" s="913"/>
      <c r="J12" s="913"/>
      <c r="K12" s="913"/>
      <c r="L12" s="913"/>
      <c r="M12" s="913"/>
      <c r="N12" s="913"/>
      <c r="O12" s="913"/>
      <c r="P12" s="913"/>
      <c r="Q12" s="835">
        <f>'Перелік ціни'!Y7</f>
        <v>242</v>
      </c>
      <c r="R12" s="835">
        <f t="shared" si="0"/>
        <v>48.4</v>
      </c>
      <c r="S12" s="835">
        <f t="shared" si="1"/>
        <v>290.39999999999998</v>
      </c>
      <c r="T12" s="835"/>
      <c r="U12" s="835">
        <f t="shared" si="2"/>
        <v>290.39999999999998</v>
      </c>
      <c r="V12" s="914"/>
      <c r="W12" s="914"/>
      <c r="X12" s="836"/>
    </row>
    <row r="13" spans="1:24" s="417" customFormat="1" ht="35.4" x14ac:dyDescent="0.6">
      <c r="A13" s="415"/>
      <c r="B13" s="450" t="s">
        <v>886</v>
      </c>
      <c r="C13" s="450"/>
      <c r="D13" s="451" t="str">
        <f>'Перелік ціни'!C8</f>
        <v>Періодичний медичний огляд кандидатів у водії (водіїв) транспортних засобів</v>
      </c>
      <c r="E13" s="892"/>
      <c r="F13" s="892"/>
      <c r="G13" s="892"/>
      <c r="H13" s="892"/>
      <c r="I13" s="892"/>
      <c r="J13" s="892"/>
      <c r="K13" s="892"/>
      <c r="L13" s="892"/>
      <c r="M13" s="892"/>
      <c r="N13" s="892"/>
      <c r="O13" s="892"/>
      <c r="P13" s="892"/>
      <c r="Q13" s="452">
        <f>'Перелік ціни'!Y8</f>
        <v>174</v>
      </c>
      <c r="R13" s="452">
        <f t="shared" si="0"/>
        <v>34.799999999999997</v>
      </c>
      <c r="S13" s="453">
        <f t="shared" si="1"/>
        <v>208.8</v>
      </c>
      <c r="T13" s="453">
        <v>196.32</v>
      </c>
      <c r="U13" s="453">
        <f t="shared" si="2"/>
        <v>12.480000000000018</v>
      </c>
      <c r="V13" s="716">
        <f>'Перелік ціни'!Y8</f>
        <v>174</v>
      </c>
      <c r="W13" s="716">
        <f t="shared" si="3"/>
        <v>0</v>
      </c>
      <c r="X13" s="416"/>
    </row>
    <row r="14" spans="1:24" s="884" customFormat="1" x14ac:dyDescent="0.55000000000000004">
      <c r="B14" s="911" t="s">
        <v>497</v>
      </c>
      <c r="C14" s="911"/>
      <c r="D14" s="912" t="str">
        <f>'Перелік ціни'!C9</f>
        <v>Періодичний медичний огляд кандидатів у водії (водіїв) транспортних засобів (жінки)</v>
      </c>
      <c r="E14" s="913"/>
      <c r="F14" s="913"/>
      <c r="G14" s="913"/>
      <c r="H14" s="913"/>
      <c r="I14" s="913"/>
      <c r="J14" s="913"/>
      <c r="K14" s="913"/>
      <c r="L14" s="913"/>
      <c r="M14" s="913"/>
      <c r="N14" s="913"/>
      <c r="O14" s="913"/>
      <c r="P14" s="913"/>
      <c r="Q14" s="835">
        <f>'Перелік ціни'!Y9</f>
        <v>212</v>
      </c>
      <c r="R14" s="835">
        <f t="shared" si="0"/>
        <v>42.4</v>
      </c>
      <c r="S14" s="835">
        <f t="shared" si="1"/>
        <v>254.4</v>
      </c>
      <c r="T14" s="835"/>
      <c r="U14" s="835">
        <f t="shared" si="2"/>
        <v>254.4</v>
      </c>
      <c r="V14" s="914"/>
      <c r="W14" s="914"/>
      <c r="X14" s="836"/>
    </row>
    <row r="15" spans="1:24" s="417" customFormat="1" ht="35.4" x14ac:dyDescent="0.6">
      <c r="A15" s="415"/>
      <c r="B15" s="450" t="s">
        <v>888</v>
      </c>
      <c r="C15" s="450"/>
      <c r="D15" s="451" t="str">
        <f>'Перелік ціни'!C10</f>
        <v>Попередній медичний огляд працівників певних категорій</v>
      </c>
      <c r="E15" s="892"/>
      <c r="F15" s="892"/>
      <c r="G15" s="892"/>
      <c r="H15" s="892"/>
      <c r="I15" s="892"/>
      <c r="J15" s="892"/>
      <c r="K15" s="892"/>
      <c r="L15" s="892"/>
      <c r="M15" s="892"/>
      <c r="N15" s="892"/>
      <c r="O15" s="892"/>
      <c r="P15" s="892"/>
      <c r="Q15" s="452">
        <f>'Перелік ціни'!Y10</f>
        <v>182</v>
      </c>
      <c r="R15" s="452"/>
      <c r="S15" s="453">
        <f t="shared" si="1"/>
        <v>182</v>
      </c>
      <c r="T15" s="453">
        <v>168.6</v>
      </c>
      <c r="U15" s="453">
        <f t="shared" si="2"/>
        <v>13.400000000000006</v>
      </c>
      <c r="V15" s="716">
        <f>'Перелік ціни'!Y10</f>
        <v>182</v>
      </c>
      <c r="W15" s="716">
        <f t="shared" si="3"/>
        <v>0</v>
      </c>
      <c r="X15" s="416"/>
    </row>
    <row r="16" spans="1:24" s="417" customFormat="1" ht="35.4" x14ac:dyDescent="0.6">
      <c r="A16" s="415"/>
      <c r="B16" s="450" t="s">
        <v>890</v>
      </c>
      <c r="C16" s="450"/>
      <c r="D16" s="451" t="str">
        <f>'Перелік ціни'!C11</f>
        <v>Попередній медичний огляд працівників певних категорій (жінки)</v>
      </c>
      <c r="E16" s="892"/>
      <c r="F16" s="892"/>
      <c r="G16" s="892"/>
      <c r="H16" s="892"/>
      <c r="I16" s="892"/>
      <c r="J16" s="892"/>
      <c r="K16" s="892"/>
      <c r="L16" s="892"/>
      <c r="M16" s="892"/>
      <c r="N16" s="892"/>
      <c r="O16" s="892"/>
      <c r="P16" s="892"/>
      <c r="Q16" s="452">
        <f>'Перелік ціни'!Y11</f>
        <v>220</v>
      </c>
      <c r="R16" s="452"/>
      <c r="S16" s="453">
        <f t="shared" si="1"/>
        <v>220</v>
      </c>
      <c r="T16" s="453">
        <v>204.1</v>
      </c>
      <c r="U16" s="453">
        <f t="shared" si="2"/>
        <v>15.900000000000006</v>
      </c>
      <c r="V16" s="716">
        <f>'Перелік ціни'!Y11</f>
        <v>220</v>
      </c>
      <c r="W16" s="716">
        <f t="shared" si="3"/>
        <v>0</v>
      </c>
      <c r="X16" s="416"/>
    </row>
    <row r="17" spans="1:24" s="417" customFormat="1" ht="106.2" x14ac:dyDescent="0.6">
      <c r="A17" s="415"/>
      <c r="B17" s="450" t="s">
        <v>892</v>
      </c>
      <c r="C17" s="450"/>
      <c r="D17" s="451" t="s">
        <v>893</v>
      </c>
      <c r="E17" s="892"/>
      <c r="F17" s="892"/>
      <c r="G17" s="892"/>
      <c r="H17" s="892"/>
      <c r="I17" s="892"/>
      <c r="J17" s="892"/>
      <c r="K17" s="892"/>
      <c r="L17" s="892"/>
      <c r="M17" s="892"/>
      <c r="N17" s="892"/>
      <c r="O17" s="892"/>
      <c r="P17" s="892"/>
      <c r="Q17" s="452">
        <f>'Перелік ціни'!Y12</f>
        <v>190</v>
      </c>
      <c r="R17" s="452"/>
      <c r="S17" s="453">
        <f t="shared" ref="S17:S32" si="4">ROUND(Q17,2)</f>
        <v>190</v>
      </c>
      <c r="T17" s="453">
        <v>125.3</v>
      </c>
      <c r="U17" s="453">
        <f t="shared" si="2"/>
        <v>64.7</v>
      </c>
      <c r="V17" s="716">
        <f>'Перелік ціни'!Y12</f>
        <v>190</v>
      </c>
      <c r="W17" s="716">
        <f t="shared" si="3"/>
        <v>0</v>
      </c>
      <c r="X17" s="416"/>
    </row>
    <row r="18" spans="1:24" s="417" customFormat="1" ht="106.2" x14ac:dyDescent="0.6">
      <c r="A18" s="415"/>
      <c r="B18" s="450" t="s">
        <v>894</v>
      </c>
      <c r="C18" s="450"/>
      <c r="D18" s="451" t="s">
        <v>895</v>
      </c>
      <c r="E18" s="892"/>
      <c r="F18" s="892"/>
      <c r="G18" s="892"/>
      <c r="H18" s="892"/>
      <c r="I18" s="892"/>
      <c r="J18" s="892"/>
      <c r="K18" s="892"/>
      <c r="L18" s="892"/>
      <c r="M18" s="892"/>
      <c r="N18" s="892"/>
      <c r="O18" s="892"/>
      <c r="P18" s="892"/>
      <c r="Q18" s="452">
        <f>'Перелік ціни'!Y13</f>
        <v>228</v>
      </c>
      <c r="R18" s="452"/>
      <c r="S18" s="453">
        <f t="shared" si="4"/>
        <v>228</v>
      </c>
      <c r="T18" s="453">
        <v>160.80000000000001</v>
      </c>
      <c r="U18" s="453">
        <f t="shared" si="2"/>
        <v>67.199999999999989</v>
      </c>
      <c r="V18" s="716">
        <f>'Перелік ціни'!Y13</f>
        <v>228</v>
      </c>
      <c r="W18" s="716">
        <f t="shared" si="3"/>
        <v>0</v>
      </c>
      <c r="X18" s="416"/>
    </row>
    <row r="19" spans="1:24" s="884" customFormat="1" ht="104.4" x14ac:dyDescent="0.55000000000000004">
      <c r="B19" s="911" t="s">
        <v>166</v>
      </c>
      <c r="C19" s="911"/>
      <c r="D19" s="912" t="str">
        <f>'Перелік ціни'!C14</f>
        <v>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Харчова та переробна промисловість ; Підприємства громадського харчування</v>
      </c>
      <c r="E19" s="913"/>
      <c r="F19" s="913"/>
      <c r="G19" s="913"/>
      <c r="H19" s="913"/>
      <c r="I19" s="913"/>
      <c r="J19" s="913"/>
      <c r="K19" s="913"/>
      <c r="L19" s="913"/>
      <c r="M19" s="913"/>
      <c r="N19" s="913"/>
      <c r="O19" s="913"/>
      <c r="P19" s="913"/>
      <c r="Q19" s="835">
        <f>'Перелік ціни'!Y14</f>
        <v>61</v>
      </c>
      <c r="R19" s="835"/>
      <c r="S19" s="835">
        <f t="shared" si="4"/>
        <v>61</v>
      </c>
      <c r="T19" s="835"/>
      <c r="U19" s="835">
        <f t="shared" si="2"/>
        <v>61</v>
      </c>
      <c r="V19" s="914">
        <f>'Перелік ціни'!Y14</f>
        <v>61</v>
      </c>
      <c r="W19" s="914">
        <f t="shared" si="3"/>
        <v>0</v>
      </c>
      <c r="X19" s="836"/>
    </row>
    <row r="20" spans="1:24" s="417" customFormat="1" ht="141.6" x14ac:dyDescent="0.6">
      <c r="A20" s="415"/>
      <c r="B20" s="450" t="s">
        <v>896</v>
      </c>
      <c r="C20" s="450"/>
      <c r="D20" s="451" t="s">
        <v>897</v>
      </c>
      <c r="E20" s="892"/>
      <c r="F20" s="892"/>
      <c r="G20" s="892"/>
      <c r="H20" s="892"/>
      <c r="I20" s="892"/>
      <c r="J20" s="892"/>
      <c r="K20" s="892"/>
      <c r="L20" s="892"/>
      <c r="M20" s="892"/>
      <c r="N20" s="892"/>
      <c r="O20" s="892"/>
      <c r="P20" s="892"/>
      <c r="Q20" s="452">
        <f>'Перелік ціни'!Y15</f>
        <v>190</v>
      </c>
      <c r="R20" s="452"/>
      <c r="S20" s="453">
        <f t="shared" si="4"/>
        <v>190</v>
      </c>
      <c r="T20" s="453">
        <v>125.3</v>
      </c>
      <c r="U20" s="453">
        <f t="shared" ref="U20:U38" si="5">S20-T20</f>
        <v>64.7</v>
      </c>
      <c r="V20" s="716">
        <f>'Перелік ціни'!Y15</f>
        <v>190</v>
      </c>
      <c r="W20" s="716">
        <f t="shared" si="3"/>
        <v>0</v>
      </c>
      <c r="X20" s="416"/>
    </row>
    <row r="21" spans="1:24" s="417" customFormat="1" ht="141.6" x14ac:dyDescent="0.6">
      <c r="A21" s="415"/>
      <c r="B21" s="450" t="s">
        <v>898</v>
      </c>
      <c r="C21" s="450"/>
      <c r="D21" s="451" t="s">
        <v>899</v>
      </c>
      <c r="E21" s="892"/>
      <c r="F21" s="892"/>
      <c r="G21" s="892"/>
      <c r="H21" s="892"/>
      <c r="I21" s="892"/>
      <c r="J21" s="892"/>
      <c r="K21" s="892"/>
      <c r="L21" s="892"/>
      <c r="M21" s="892"/>
      <c r="N21" s="892"/>
      <c r="O21" s="892"/>
      <c r="P21" s="892"/>
      <c r="Q21" s="452">
        <f>'Перелік ціни'!Y16</f>
        <v>228</v>
      </c>
      <c r="R21" s="452"/>
      <c r="S21" s="453">
        <f t="shared" si="4"/>
        <v>228</v>
      </c>
      <c r="T21" s="453">
        <v>160.80000000000001</v>
      </c>
      <c r="U21" s="453">
        <f t="shared" si="5"/>
        <v>67.199999999999989</v>
      </c>
      <c r="V21" s="716">
        <f>'Перелік ціни'!Y16</f>
        <v>228</v>
      </c>
      <c r="W21" s="716">
        <f t="shared" si="3"/>
        <v>0</v>
      </c>
      <c r="X21" s="416"/>
    </row>
    <row r="22" spans="1:24" s="884" customFormat="1" ht="174" x14ac:dyDescent="0.55000000000000004">
      <c r="B22" s="911" t="s">
        <v>167</v>
      </c>
      <c r="C22" s="911"/>
      <c r="D22" s="912" t="str">
        <f>'Перелік ціни'!C17</f>
        <v>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Підприємства продовольчої торгівлі, у тому числі роздрібної, а також ті, що розташовані на території ринків ; Перукарні , косметичні та масажні кабінети ; Спортивно-оздоровчі комплекси ; Водоочисні та каналізаційні споруди</v>
      </c>
      <c r="E22" s="913"/>
      <c r="F22" s="913"/>
      <c r="G22" s="913"/>
      <c r="H22" s="913"/>
      <c r="I22" s="913"/>
      <c r="J22" s="913"/>
      <c r="K22" s="913"/>
      <c r="L22" s="913"/>
      <c r="M22" s="913"/>
      <c r="N22" s="913"/>
      <c r="O22" s="913"/>
      <c r="P22" s="913"/>
      <c r="Q22" s="835">
        <f>'Перелік ціни'!Y17</f>
        <v>53</v>
      </c>
      <c r="R22" s="835"/>
      <c r="S22" s="835">
        <f t="shared" si="4"/>
        <v>53</v>
      </c>
      <c r="T22" s="835"/>
      <c r="U22" s="835">
        <f t="shared" si="5"/>
        <v>53</v>
      </c>
      <c r="V22" s="914">
        <f>'Перелік ціни'!Y17</f>
        <v>53</v>
      </c>
      <c r="W22" s="914">
        <f t="shared" si="3"/>
        <v>0</v>
      </c>
      <c r="X22" s="836"/>
    </row>
    <row r="23" spans="1:24" s="417" customFormat="1" ht="141.6" x14ac:dyDescent="0.6">
      <c r="A23" s="415"/>
      <c r="B23" s="450" t="s">
        <v>900</v>
      </c>
      <c r="C23" s="450"/>
      <c r="D23" s="451" t="s">
        <v>901</v>
      </c>
      <c r="E23" s="892"/>
      <c r="F23" s="892"/>
      <c r="G23" s="892"/>
      <c r="H23" s="892"/>
      <c r="I23" s="892"/>
      <c r="J23" s="892"/>
      <c r="K23" s="892"/>
      <c r="L23" s="892"/>
      <c r="M23" s="892"/>
      <c r="N23" s="892"/>
      <c r="O23" s="892"/>
      <c r="P23" s="892"/>
      <c r="Q23" s="452">
        <f>'Перелік ціни'!Y18</f>
        <v>190</v>
      </c>
      <c r="R23" s="452"/>
      <c r="S23" s="453">
        <f t="shared" si="4"/>
        <v>190</v>
      </c>
      <c r="T23" s="453">
        <v>125.3</v>
      </c>
      <c r="U23" s="453">
        <f t="shared" si="5"/>
        <v>64.7</v>
      </c>
      <c r="V23" s="716">
        <f>'Перелік ціни'!Y18</f>
        <v>190</v>
      </c>
      <c r="W23" s="716">
        <f t="shared" si="3"/>
        <v>0</v>
      </c>
      <c r="X23" s="416"/>
    </row>
    <row r="24" spans="1:24" s="417" customFormat="1" ht="141.6" x14ac:dyDescent="0.6">
      <c r="A24" s="415"/>
      <c r="B24" s="450" t="s">
        <v>902</v>
      </c>
      <c r="C24" s="450"/>
      <c r="D24" s="451" t="s">
        <v>903</v>
      </c>
      <c r="E24" s="892"/>
      <c r="F24" s="892"/>
      <c r="G24" s="892"/>
      <c r="H24" s="892"/>
      <c r="I24" s="892"/>
      <c r="J24" s="892"/>
      <c r="K24" s="892"/>
      <c r="L24" s="892"/>
      <c r="M24" s="892"/>
      <c r="N24" s="892"/>
      <c r="O24" s="892"/>
      <c r="P24" s="892"/>
      <c r="Q24" s="452">
        <f>'Перелік ціни'!Y19</f>
        <v>228</v>
      </c>
      <c r="R24" s="452"/>
      <c r="S24" s="453">
        <f t="shared" si="4"/>
        <v>228</v>
      </c>
      <c r="T24" s="453">
        <v>160.80000000000001</v>
      </c>
      <c r="U24" s="453">
        <f t="shared" si="5"/>
        <v>67.199999999999989</v>
      </c>
      <c r="V24" s="716">
        <f>'Перелік ціни'!Y19</f>
        <v>228</v>
      </c>
      <c r="W24" s="716">
        <f t="shared" si="3"/>
        <v>0</v>
      </c>
      <c r="X24" s="416"/>
    </row>
    <row r="25" spans="1:24" s="884" customFormat="1" ht="139.19999999999999" x14ac:dyDescent="0.55000000000000004">
      <c r="B25" s="911" t="s">
        <v>168</v>
      </c>
      <c r="C25" s="911"/>
      <c r="D25" s="912" t="str">
        <f>'Перелік ціни'!C20</f>
        <v>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Дошкільні навчальні заклади (дитячі ясла, дитячі садки, дитячі ясла-садки, будинки дитини, дитячі будинки, інші типи дошкільних навчальних закладів) (жінки)</v>
      </c>
      <c r="E25" s="913"/>
      <c r="F25" s="913"/>
      <c r="G25" s="913"/>
      <c r="H25" s="913"/>
      <c r="I25" s="913"/>
      <c r="J25" s="913"/>
      <c r="K25" s="913"/>
      <c r="L25" s="913"/>
      <c r="M25" s="913"/>
      <c r="N25" s="913"/>
      <c r="O25" s="913"/>
      <c r="P25" s="913"/>
      <c r="Q25" s="835">
        <f>'Перелік ціни'!Y20</f>
        <v>166</v>
      </c>
      <c r="R25" s="835"/>
      <c r="S25" s="835">
        <f t="shared" si="4"/>
        <v>166</v>
      </c>
      <c r="T25" s="835"/>
      <c r="U25" s="835">
        <f t="shared" si="5"/>
        <v>166</v>
      </c>
      <c r="V25" s="914">
        <f>'Перелік ціни'!Y20</f>
        <v>166</v>
      </c>
      <c r="W25" s="914">
        <f t="shared" si="3"/>
        <v>0</v>
      </c>
      <c r="X25" s="836"/>
    </row>
    <row r="26" spans="1:24" s="417" customFormat="1" ht="106.2" x14ac:dyDescent="0.6">
      <c r="A26" s="415"/>
      <c r="B26" s="450" t="s">
        <v>904</v>
      </c>
      <c r="C26" s="450"/>
      <c r="D26" s="451" t="s">
        <v>905</v>
      </c>
      <c r="E26" s="892"/>
      <c r="F26" s="892"/>
      <c r="G26" s="892"/>
      <c r="H26" s="892"/>
      <c r="I26" s="892"/>
      <c r="J26" s="892"/>
      <c r="K26" s="892"/>
      <c r="L26" s="892"/>
      <c r="M26" s="892"/>
      <c r="N26" s="892"/>
      <c r="O26" s="892"/>
      <c r="P26" s="892"/>
      <c r="Q26" s="452">
        <f>'Перелік ціни'!Y21</f>
        <v>190</v>
      </c>
      <c r="R26" s="452"/>
      <c r="S26" s="453">
        <f t="shared" si="4"/>
        <v>190</v>
      </c>
      <c r="T26" s="453">
        <v>125.3</v>
      </c>
      <c r="U26" s="453">
        <f t="shared" si="5"/>
        <v>64.7</v>
      </c>
      <c r="V26" s="716">
        <f>'Перелік ціни'!Y21</f>
        <v>190</v>
      </c>
      <c r="W26" s="716">
        <f t="shared" si="3"/>
        <v>0</v>
      </c>
      <c r="X26" s="416"/>
    </row>
    <row r="27" spans="1:24" s="417" customFormat="1" ht="106.2" x14ac:dyDescent="0.6">
      <c r="A27" s="415"/>
      <c r="B27" s="450" t="s">
        <v>906</v>
      </c>
      <c r="C27" s="450"/>
      <c r="D27" s="451" t="s">
        <v>907</v>
      </c>
      <c r="E27" s="892"/>
      <c r="F27" s="892"/>
      <c r="G27" s="892"/>
      <c r="H27" s="892"/>
      <c r="I27" s="892"/>
      <c r="J27" s="892"/>
      <c r="K27" s="892"/>
      <c r="L27" s="892"/>
      <c r="M27" s="892"/>
      <c r="N27" s="892"/>
      <c r="O27" s="892"/>
      <c r="P27" s="892"/>
      <c r="Q27" s="452">
        <f>'Перелік ціни'!Y22</f>
        <v>228</v>
      </c>
      <c r="R27" s="452"/>
      <c r="S27" s="453">
        <f t="shared" si="4"/>
        <v>228</v>
      </c>
      <c r="T27" s="453">
        <v>160.80000000000001</v>
      </c>
      <c r="U27" s="453">
        <f t="shared" si="5"/>
        <v>67.199999999999989</v>
      </c>
      <c r="V27" s="716">
        <f>'Перелік ціни'!Y22</f>
        <v>228</v>
      </c>
      <c r="W27" s="716">
        <f t="shared" si="3"/>
        <v>0</v>
      </c>
      <c r="X27" s="416"/>
    </row>
    <row r="28" spans="1:24" s="417" customFormat="1" ht="106.2" x14ac:dyDescent="0.6">
      <c r="A28" s="415"/>
      <c r="B28" s="450" t="s">
        <v>908</v>
      </c>
      <c r="C28" s="450"/>
      <c r="D28" s="451" t="s">
        <v>909</v>
      </c>
      <c r="E28" s="892"/>
      <c r="F28" s="892"/>
      <c r="G28" s="892"/>
      <c r="H28" s="892"/>
      <c r="I28" s="892"/>
      <c r="J28" s="892"/>
      <c r="K28" s="892"/>
      <c r="L28" s="892"/>
      <c r="M28" s="892"/>
      <c r="N28" s="892"/>
      <c r="O28" s="892"/>
      <c r="P28" s="892"/>
      <c r="Q28" s="452">
        <f>'Перелік ціни'!Y23</f>
        <v>190</v>
      </c>
      <c r="R28" s="452"/>
      <c r="S28" s="453">
        <f t="shared" si="4"/>
        <v>190</v>
      </c>
      <c r="T28" s="453">
        <v>125.3</v>
      </c>
      <c r="U28" s="453">
        <f t="shared" si="5"/>
        <v>64.7</v>
      </c>
      <c r="V28" s="716">
        <f>'Перелік ціни'!Y23</f>
        <v>190</v>
      </c>
      <c r="W28" s="716">
        <f t="shared" si="3"/>
        <v>0</v>
      </c>
      <c r="X28" s="416"/>
    </row>
    <row r="29" spans="1:24" s="417" customFormat="1" ht="106.2" x14ac:dyDescent="0.6">
      <c r="A29" s="415"/>
      <c r="B29" s="450" t="s">
        <v>910</v>
      </c>
      <c r="C29" s="450"/>
      <c r="D29" s="451" t="s">
        <v>911</v>
      </c>
      <c r="E29" s="892"/>
      <c r="F29" s="892"/>
      <c r="G29" s="892"/>
      <c r="H29" s="892"/>
      <c r="I29" s="892"/>
      <c r="J29" s="892"/>
      <c r="K29" s="892"/>
      <c r="L29" s="892"/>
      <c r="M29" s="892"/>
      <c r="N29" s="892"/>
      <c r="O29" s="892"/>
      <c r="P29" s="892"/>
      <c r="Q29" s="452">
        <f>'Перелік ціни'!Y24</f>
        <v>228</v>
      </c>
      <c r="R29" s="452"/>
      <c r="S29" s="453">
        <f t="shared" si="4"/>
        <v>228</v>
      </c>
      <c r="T29" s="453">
        <v>160.80000000000001</v>
      </c>
      <c r="U29" s="453">
        <f t="shared" si="5"/>
        <v>67.199999999999989</v>
      </c>
      <c r="V29" s="716">
        <f>'Перелік ціни'!Y24</f>
        <v>228</v>
      </c>
      <c r="W29" s="716">
        <f t="shared" si="3"/>
        <v>0</v>
      </c>
      <c r="X29" s="416"/>
    </row>
    <row r="30" spans="1:24" s="417" customFormat="1" ht="141.6" x14ac:dyDescent="0.6">
      <c r="A30" s="415"/>
      <c r="B30" s="450" t="s">
        <v>912</v>
      </c>
      <c r="C30" s="450"/>
      <c r="D30" s="451" t="s">
        <v>913</v>
      </c>
      <c r="E30" s="892"/>
      <c r="F30" s="892"/>
      <c r="G30" s="892"/>
      <c r="H30" s="892"/>
      <c r="I30" s="892"/>
      <c r="J30" s="892"/>
      <c r="K30" s="892"/>
      <c r="L30" s="892"/>
      <c r="M30" s="892"/>
      <c r="N30" s="892"/>
      <c r="O30" s="892"/>
      <c r="P30" s="892"/>
      <c r="Q30" s="452">
        <f>'Перелік ціни'!Y25</f>
        <v>190</v>
      </c>
      <c r="R30" s="452"/>
      <c r="S30" s="453">
        <f t="shared" si="4"/>
        <v>190</v>
      </c>
      <c r="T30" s="453">
        <v>125.3</v>
      </c>
      <c r="U30" s="453">
        <f t="shared" si="5"/>
        <v>64.7</v>
      </c>
      <c r="V30" s="716">
        <f>'Перелік ціни'!Y25</f>
        <v>190</v>
      </c>
      <c r="W30" s="716">
        <f t="shared" si="3"/>
        <v>0</v>
      </c>
      <c r="X30" s="416"/>
    </row>
    <row r="31" spans="1:24" s="417" customFormat="1" ht="141.6" x14ac:dyDescent="0.6">
      <c r="A31" s="415"/>
      <c r="B31" s="450" t="s">
        <v>914</v>
      </c>
      <c r="C31" s="450"/>
      <c r="D31" s="451" t="s">
        <v>915</v>
      </c>
      <c r="E31" s="892"/>
      <c r="F31" s="892"/>
      <c r="G31" s="892"/>
      <c r="H31" s="892"/>
      <c r="I31" s="892"/>
      <c r="J31" s="892"/>
      <c r="K31" s="892"/>
      <c r="L31" s="892"/>
      <c r="M31" s="892"/>
      <c r="N31" s="892"/>
      <c r="O31" s="892"/>
      <c r="P31" s="892"/>
      <c r="Q31" s="452">
        <f>'Перелік ціни'!Y26</f>
        <v>228</v>
      </c>
      <c r="R31" s="452"/>
      <c r="S31" s="453">
        <f t="shared" si="4"/>
        <v>228</v>
      </c>
      <c r="T31" s="453">
        <v>160.80000000000001</v>
      </c>
      <c r="U31" s="453">
        <f t="shared" si="5"/>
        <v>67.199999999999989</v>
      </c>
      <c r="V31" s="716">
        <f>'Перелік ціни'!Y26</f>
        <v>228</v>
      </c>
      <c r="W31" s="716">
        <f t="shared" si="3"/>
        <v>0</v>
      </c>
      <c r="X31" s="416"/>
    </row>
    <row r="32" spans="1:24" s="417" customFormat="1" ht="35.4" x14ac:dyDescent="0.6">
      <c r="A32" s="415"/>
      <c r="B32" s="450" t="s">
        <v>916</v>
      </c>
      <c r="C32" s="450"/>
      <c r="D32" s="451" t="s">
        <v>917</v>
      </c>
      <c r="E32" s="892"/>
      <c r="F32" s="892"/>
      <c r="G32" s="892"/>
      <c r="H32" s="892"/>
      <c r="I32" s="892"/>
      <c r="J32" s="892"/>
      <c r="K32" s="892"/>
      <c r="L32" s="892"/>
      <c r="M32" s="892"/>
      <c r="N32" s="892"/>
      <c r="O32" s="892"/>
      <c r="P32" s="892"/>
      <c r="Q32" s="452">
        <f>'Перелік ціни'!Y27</f>
        <v>54</v>
      </c>
      <c r="R32" s="452"/>
      <c r="S32" s="453">
        <f t="shared" si="4"/>
        <v>54</v>
      </c>
      <c r="T32" s="453">
        <v>43.2</v>
      </c>
      <c r="U32" s="453">
        <f t="shared" si="5"/>
        <v>10.799999999999997</v>
      </c>
      <c r="V32" s="716">
        <f>'Перелік ціни'!Y27</f>
        <v>54</v>
      </c>
      <c r="W32" s="716">
        <f t="shared" si="3"/>
        <v>0</v>
      </c>
      <c r="X32" s="416"/>
    </row>
    <row r="33" spans="1:24" s="417" customFormat="1" ht="35.4" x14ac:dyDescent="0.6">
      <c r="A33" s="415"/>
      <c r="B33" s="450" t="s">
        <v>112</v>
      </c>
      <c r="C33" s="450"/>
      <c r="D33" s="451" t="s">
        <v>917</v>
      </c>
      <c r="E33" s="892"/>
      <c r="F33" s="892"/>
      <c r="G33" s="892"/>
      <c r="H33" s="892"/>
      <c r="I33" s="892"/>
      <c r="J33" s="892"/>
      <c r="K33" s="892"/>
      <c r="L33" s="892"/>
      <c r="M33" s="892"/>
      <c r="N33" s="892"/>
      <c r="O33" s="892"/>
      <c r="P33" s="892"/>
      <c r="Q33" s="452">
        <f>'Перелік ціни'!Y28</f>
        <v>54</v>
      </c>
      <c r="R33" s="452">
        <f>ROUND(Q33*0.2,2)</f>
        <v>10.8</v>
      </c>
      <c r="S33" s="453">
        <f>R33+Q33</f>
        <v>64.8</v>
      </c>
      <c r="T33" s="453">
        <v>51.84</v>
      </c>
      <c r="U33" s="453">
        <f t="shared" si="5"/>
        <v>12.959999999999994</v>
      </c>
      <c r="V33" s="716">
        <f>'Перелік ціни'!Y28</f>
        <v>54</v>
      </c>
      <c r="W33" s="716">
        <f t="shared" si="3"/>
        <v>0</v>
      </c>
      <c r="X33" s="416"/>
    </row>
    <row r="34" spans="1:24" s="417" customFormat="1" ht="35.4" x14ac:dyDescent="0.6">
      <c r="A34" s="415"/>
      <c r="B34" s="450" t="s">
        <v>918</v>
      </c>
      <c r="C34" s="450"/>
      <c r="D34" s="451" t="s">
        <v>919</v>
      </c>
      <c r="E34" s="892"/>
      <c r="F34" s="892"/>
      <c r="G34" s="892"/>
      <c r="H34" s="892"/>
      <c r="I34" s="892"/>
      <c r="J34" s="892"/>
      <c r="K34" s="892"/>
      <c r="L34" s="892"/>
      <c r="M34" s="892"/>
      <c r="N34" s="892"/>
      <c r="O34" s="892"/>
      <c r="P34" s="892"/>
      <c r="Q34" s="452">
        <f>'Перелік ціни'!Y29</f>
        <v>44</v>
      </c>
      <c r="R34" s="452"/>
      <c r="S34" s="453">
        <f>ROUND(Q34,2)</f>
        <v>44</v>
      </c>
      <c r="T34" s="453">
        <v>42</v>
      </c>
      <c r="U34" s="453">
        <f t="shared" si="5"/>
        <v>2</v>
      </c>
      <c r="V34" s="716">
        <f>'Перелік ціни'!Y29</f>
        <v>44</v>
      </c>
      <c r="W34" s="716">
        <f t="shared" si="3"/>
        <v>0</v>
      </c>
      <c r="X34" s="416"/>
    </row>
    <row r="35" spans="1:24" s="417" customFormat="1" ht="35.4" x14ac:dyDescent="0.6">
      <c r="A35" s="415"/>
      <c r="B35" s="450" t="s">
        <v>113</v>
      </c>
      <c r="C35" s="450"/>
      <c r="D35" s="451" t="s">
        <v>919</v>
      </c>
      <c r="E35" s="892"/>
      <c r="F35" s="892"/>
      <c r="G35" s="892"/>
      <c r="H35" s="892"/>
      <c r="I35" s="892"/>
      <c r="J35" s="892"/>
      <c r="K35" s="892"/>
      <c r="L35" s="892"/>
      <c r="M35" s="892"/>
      <c r="N35" s="892"/>
      <c r="O35" s="892"/>
      <c r="P35" s="892"/>
      <c r="Q35" s="452">
        <f>'Перелік ціни'!Y30</f>
        <v>44</v>
      </c>
      <c r="R35" s="452">
        <f>ROUND(Q35*0.2,2)</f>
        <v>8.8000000000000007</v>
      </c>
      <c r="S35" s="453">
        <f>R35+Q35</f>
        <v>52.8</v>
      </c>
      <c r="T35" s="453">
        <v>50.4</v>
      </c>
      <c r="U35" s="453">
        <f t="shared" si="5"/>
        <v>2.3999999999999986</v>
      </c>
      <c r="V35" s="716">
        <f>'Перелік ціни'!Y30</f>
        <v>44</v>
      </c>
      <c r="W35" s="716">
        <f t="shared" si="3"/>
        <v>0</v>
      </c>
      <c r="X35" s="416"/>
    </row>
    <row r="36" spans="1:24" s="884" customFormat="1" ht="139.19999999999999" x14ac:dyDescent="0.55000000000000004">
      <c r="B36" s="911" t="s">
        <v>169</v>
      </c>
      <c r="C36" s="911"/>
      <c r="D36" s="912" t="str">
        <f>'Перелік ціни'!C31</f>
        <v>Обов'язковий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Пологові будинки(відділення),  дитячі лікарні (відділення), відділення патології новонароджених,недоношених</v>
      </c>
      <c r="E36" s="913"/>
      <c r="F36" s="913"/>
      <c r="G36" s="913"/>
      <c r="H36" s="913"/>
      <c r="I36" s="913"/>
      <c r="J36" s="913"/>
      <c r="K36" s="913"/>
      <c r="L36" s="913"/>
      <c r="M36" s="913"/>
      <c r="N36" s="913"/>
      <c r="O36" s="913"/>
      <c r="P36" s="913"/>
      <c r="Q36" s="835">
        <f>'Перелік ціни'!Y31</f>
        <v>190</v>
      </c>
      <c r="R36" s="835"/>
      <c r="S36" s="835">
        <f>R36+Q36</f>
        <v>190</v>
      </c>
      <c r="T36" s="835"/>
      <c r="U36" s="835">
        <f t="shared" si="5"/>
        <v>190</v>
      </c>
      <c r="V36" s="914">
        <f>'Перелік ціни'!Y31</f>
        <v>190</v>
      </c>
      <c r="W36" s="914">
        <f t="shared" si="3"/>
        <v>0</v>
      </c>
      <c r="X36" s="836"/>
    </row>
    <row r="37" spans="1:24" s="884" customFormat="1" ht="139.19999999999999" x14ac:dyDescent="0.55000000000000004">
      <c r="B37" s="911" t="s">
        <v>170</v>
      </c>
      <c r="C37" s="911"/>
      <c r="D37" s="912" t="str">
        <f>'Перелік ціни'!C32</f>
        <v>Обов'язковий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Пологові будинки(відділення),  дитячі лікарні (відділення), відділення патології новонароджених,недоношених (жінки)</v>
      </c>
      <c r="E37" s="913"/>
      <c r="F37" s="913"/>
      <c r="G37" s="913"/>
      <c r="H37" s="913"/>
      <c r="I37" s="913"/>
      <c r="J37" s="913"/>
      <c r="K37" s="913"/>
      <c r="L37" s="913"/>
      <c r="M37" s="913"/>
      <c r="N37" s="913"/>
      <c r="O37" s="913"/>
      <c r="P37" s="913"/>
      <c r="Q37" s="835">
        <f>'Перелік ціни'!Y32</f>
        <v>228</v>
      </c>
      <c r="R37" s="835"/>
      <c r="S37" s="835">
        <f>R37+Q37</f>
        <v>228</v>
      </c>
      <c r="T37" s="835"/>
      <c r="U37" s="835">
        <f t="shared" si="5"/>
        <v>228</v>
      </c>
      <c r="V37" s="914">
        <f>'Перелік ціни'!Y32</f>
        <v>228</v>
      </c>
      <c r="W37" s="914">
        <f t="shared" si="3"/>
        <v>0</v>
      </c>
      <c r="X37" s="836"/>
    </row>
    <row r="38" spans="1:24" s="884" customFormat="1" ht="139.19999999999999" x14ac:dyDescent="0.55000000000000004">
      <c r="B38" s="911" t="s">
        <v>172</v>
      </c>
      <c r="C38" s="911"/>
      <c r="D38" s="912" t="str">
        <f>'Перелік ціни'!C33</f>
        <v>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Пологові будинки(відділення),  дитячі лікарні (відділення), відділення патології новонароджених,недоношених</v>
      </c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835">
        <f>'Перелік ціни'!Y33</f>
        <v>61</v>
      </c>
      <c r="R38" s="835"/>
      <c r="S38" s="835">
        <f>R38+Q38</f>
        <v>61</v>
      </c>
      <c r="T38" s="835"/>
      <c r="U38" s="835">
        <f t="shared" si="5"/>
        <v>61</v>
      </c>
      <c r="V38" s="914">
        <f>'Перелік ціни'!Y33</f>
        <v>61</v>
      </c>
      <c r="W38" s="914">
        <f t="shared" si="3"/>
        <v>0</v>
      </c>
      <c r="X38" s="836"/>
    </row>
    <row r="39" spans="1:24" s="184" customFormat="1" x14ac:dyDescent="0.65">
      <c r="A39" s="885"/>
      <c r="B39" s="418"/>
      <c r="C39" s="418"/>
      <c r="D39" s="419"/>
      <c r="E39" s="893"/>
      <c r="F39" s="893"/>
      <c r="G39" s="893"/>
      <c r="H39" s="893"/>
      <c r="I39" s="893"/>
      <c r="J39" s="893"/>
      <c r="K39" s="893"/>
      <c r="L39" s="893"/>
      <c r="M39" s="893"/>
      <c r="N39" s="893"/>
      <c r="O39" s="893"/>
      <c r="P39" s="893"/>
      <c r="Q39" s="420"/>
      <c r="R39" s="420"/>
      <c r="S39" s="420"/>
      <c r="T39" s="420"/>
      <c r="U39" s="420"/>
      <c r="V39" s="717"/>
      <c r="W39" s="717"/>
      <c r="X39" s="193"/>
    </row>
    <row r="40" spans="1:24" s="422" customFormat="1" x14ac:dyDescent="0.65">
      <c r="A40" s="886"/>
      <c r="B40" s="418"/>
      <c r="C40" s="418"/>
      <c r="D40" s="421"/>
      <c r="E40" s="894"/>
      <c r="F40" s="894"/>
      <c r="G40" s="894"/>
      <c r="H40" s="894"/>
      <c r="I40" s="894"/>
      <c r="J40" s="894"/>
      <c r="K40" s="894"/>
      <c r="L40" s="894"/>
      <c r="M40" s="894"/>
      <c r="N40" s="894"/>
      <c r="O40" s="894"/>
      <c r="P40" s="894"/>
      <c r="Q40" s="420"/>
      <c r="R40" s="420"/>
      <c r="S40" s="420"/>
      <c r="T40" s="420"/>
      <c r="U40" s="420"/>
      <c r="V40" s="718"/>
      <c r="W40" s="718"/>
      <c r="X40" s="423"/>
    </row>
    <row r="41" spans="1:24" s="436" customFormat="1" ht="40.200000000000003" x14ac:dyDescent="0.7">
      <c r="A41" s="437"/>
      <c r="B41" s="681"/>
      <c r="C41" s="435"/>
      <c r="D41" s="435"/>
      <c r="E41" s="890"/>
      <c r="F41" s="890"/>
      <c r="G41" s="890"/>
      <c r="H41" s="890"/>
      <c r="I41" s="890"/>
      <c r="J41" s="890"/>
      <c r="K41" s="890"/>
      <c r="L41" s="890"/>
      <c r="M41" s="890"/>
      <c r="N41" s="890"/>
      <c r="O41" s="890"/>
      <c r="P41" s="890"/>
      <c r="Q41" s="1021" t="s">
        <v>155</v>
      </c>
      <c r="R41" s="1021"/>
      <c r="S41" s="1021"/>
      <c r="T41" s="709"/>
      <c r="U41" s="709"/>
      <c r="V41" s="713"/>
      <c r="W41" s="713"/>
      <c r="X41" s="437"/>
    </row>
    <row r="42" spans="1:24" s="436" customFormat="1" ht="40.200000000000003" x14ac:dyDescent="0.7">
      <c r="A42" s="437"/>
      <c r="B42" s="682"/>
      <c r="E42" s="890"/>
      <c r="F42" s="890"/>
      <c r="G42" s="890"/>
      <c r="H42" s="890"/>
      <c r="I42" s="890"/>
      <c r="J42" s="890"/>
      <c r="K42" s="890"/>
      <c r="L42" s="890"/>
      <c r="M42" s="890"/>
      <c r="N42" s="890"/>
      <c r="O42" s="890"/>
      <c r="P42" s="890"/>
      <c r="Q42" s="1021" t="s">
        <v>156</v>
      </c>
      <c r="R42" s="1021"/>
      <c r="S42" s="1021"/>
      <c r="T42" s="709"/>
      <c r="U42" s="709"/>
      <c r="V42" s="713"/>
      <c r="W42" s="713"/>
      <c r="X42" s="438"/>
    </row>
    <row r="43" spans="1:24" s="436" customFormat="1" ht="40.200000000000003" x14ac:dyDescent="0.7">
      <c r="A43" s="437"/>
      <c r="B43" s="682"/>
      <c r="E43" s="890"/>
      <c r="F43" s="890"/>
      <c r="G43" s="890"/>
      <c r="H43" s="890"/>
      <c r="I43" s="890"/>
      <c r="J43" s="890"/>
      <c r="K43" s="890"/>
      <c r="L43" s="890"/>
      <c r="M43" s="890"/>
      <c r="N43" s="890"/>
      <c r="O43" s="890"/>
      <c r="P43" s="890"/>
      <c r="Q43" s="1021" t="str">
        <f>Q3</f>
        <v>______ грудня 2021 року</v>
      </c>
      <c r="R43" s="1021"/>
      <c r="S43" s="1021"/>
      <c r="T43" s="709"/>
      <c r="U43" s="709"/>
      <c r="V43" s="713"/>
      <c r="W43" s="713"/>
      <c r="X43" s="438"/>
    </row>
    <row r="44" spans="1:24" s="438" customFormat="1" ht="39.6" x14ac:dyDescent="0.65">
      <c r="A44" s="437"/>
      <c r="B44" s="1023"/>
      <c r="C44" s="1023"/>
      <c r="D44" s="1023"/>
      <c r="E44" s="1023"/>
      <c r="F44" s="1023"/>
      <c r="G44" s="1023"/>
      <c r="H44" s="1023"/>
      <c r="I44" s="1023"/>
      <c r="J44" s="1023"/>
      <c r="K44" s="1023"/>
      <c r="L44" s="1023"/>
      <c r="M44" s="1023"/>
      <c r="N44" s="1023"/>
      <c r="O44" s="1023"/>
      <c r="P44" s="1023"/>
      <c r="Q44" s="1023"/>
      <c r="R44" s="1023"/>
      <c r="S44" s="1023"/>
      <c r="T44" s="711"/>
      <c r="U44" s="711"/>
      <c r="V44" s="714"/>
      <c r="W44" s="714"/>
    </row>
    <row r="45" spans="1:24" s="438" customFormat="1" ht="39.6" x14ac:dyDescent="0.65">
      <c r="A45" s="437"/>
      <c r="B45" s="1022" t="s">
        <v>157</v>
      </c>
      <c r="C45" s="1022"/>
      <c r="D45" s="1022"/>
      <c r="E45" s="1022"/>
      <c r="F45" s="1022"/>
      <c r="G45" s="1022"/>
      <c r="H45" s="1022"/>
      <c r="I45" s="1022"/>
      <c r="J45" s="1022"/>
      <c r="K45" s="1022"/>
      <c r="L45" s="1022"/>
      <c r="M45" s="1022"/>
      <c r="N45" s="1022"/>
      <c r="O45" s="1022"/>
      <c r="P45" s="1022"/>
      <c r="Q45" s="1022"/>
      <c r="R45" s="1022"/>
      <c r="S45" s="1022"/>
      <c r="T45" s="710"/>
      <c r="U45" s="710"/>
      <c r="V45" s="714"/>
      <c r="W45" s="714"/>
    </row>
    <row r="46" spans="1:24" s="438" customFormat="1" ht="39.6" x14ac:dyDescent="0.65">
      <c r="A46" s="437"/>
      <c r="B46" s="1022" t="s">
        <v>158</v>
      </c>
      <c r="C46" s="1022"/>
      <c r="D46" s="1022"/>
      <c r="E46" s="1022"/>
      <c r="F46" s="1022"/>
      <c r="G46" s="1022"/>
      <c r="H46" s="1022"/>
      <c r="I46" s="1022"/>
      <c r="J46" s="1022"/>
      <c r="K46" s="1022"/>
      <c r="L46" s="1022"/>
      <c r="M46" s="1022"/>
      <c r="N46" s="1022"/>
      <c r="O46" s="1022"/>
      <c r="P46" s="1022"/>
      <c r="Q46" s="1022"/>
      <c r="R46" s="1022"/>
      <c r="S46" s="1022"/>
      <c r="T46" s="710"/>
      <c r="U46" s="710"/>
      <c r="V46" s="714"/>
      <c r="W46" s="714"/>
    </row>
    <row r="47" spans="1:24" s="438" customFormat="1" ht="39.6" x14ac:dyDescent="0.65">
      <c r="A47" s="437"/>
      <c r="B47" s="1022"/>
      <c r="C47" s="1022"/>
      <c r="D47" s="1022"/>
      <c r="E47" s="1022"/>
      <c r="F47" s="1022"/>
      <c r="G47" s="1022"/>
      <c r="H47" s="1022"/>
      <c r="I47" s="1022"/>
      <c r="J47" s="1022"/>
      <c r="K47" s="1022"/>
      <c r="L47" s="1022"/>
      <c r="M47" s="1022"/>
      <c r="N47" s="1022"/>
      <c r="O47" s="1022"/>
      <c r="P47" s="1022"/>
      <c r="Q47" s="1022"/>
      <c r="R47" s="1022"/>
      <c r="S47" s="1022"/>
      <c r="T47" s="710"/>
      <c r="U47" s="710"/>
      <c r="V47" s="714"/>
      <c r="W47" s="714"/>
    </row>
    <row r="48" spans="1:24" s="422" customFormat="1" ht="38.4" x14ac:dyDescent="0.7">
      <c r="A48" s="886"/>
      <c r="B48" s="439" t="s">
        <v>1185</v>
      </c>
      <c r="C48" s="439"/>
      <c r="D48" s="440" t="s">
        <v>1186</v>
      </c>
      <c r="E48" s="891"/>
      <c r="F48" s="891"/>
      <c r="G48" s="891"/>
      <c r="H48" s="891"/>
      <c r="I48" s="891"/>
      <c r="J48" s="891"/>
      <c r="K48" s="891"/>
      <c r="L48" s="891"/>
      <c r="M48" s="891"/>
      <c r="N48" s="891"/>
      <c r="O48" s="891"/>
      <c r="P48" s="891"/>
      <c r="Q48" s="441"/>
      <c r="R48" s="441"/>
      <c r="S48" s="442" t="s">
        <v>1187</v>
      </c>
      <c r="T48" s="442"/>
      <c r="U48" s="442"/>
      <c r="V48" s="718"/>
      <c r="W48" s="718"/>
      <c r="X48" s="423"/>
    </row>
    <row r="49" spans="1:24" s="424" customFormat="1" ht="37.200000000000003" x14ac:dyDescent="0.6">
      <c r="A49" s="887"/>
      <c r="B49" s="442">
        <v>2</v>
      </c>
      <c r="C49" s="442"/>
      <c r="D49" s="464" t="s">
        <v>160</v>
      </c>
      <c r="E49" s="895" t="s">
        <v>1118</v>
      </c>
      <c r="F49" s="896">
        <v>0.22</v>
      </c>
      <c r="G49" s="895" t="s">
        <v>1119</v>
      </c>
      <c r="H49" s="895" t="s">
        <v>1125</v>
      </c>
      <c r="I49" s="895" t="s">
        <v>1120</v>
      </c>
      <c r="J49" s="895" t="s">
        <v>1121</v>
      </c>
      <c r="K49" s="895" t="s">
        <v>1122</v>
      </c>
      <c r="L49" s="895" t="s">
        <v>1126</v>
      </c>
      <c r="M49" s="895" t="s">
        <v>1123</v>
      </c>
      <c r="N49" s="895" t="s">
        <v>1127</v>
      </c>
      <c r="O49" s="895"/>
      <c r="P49" s="895" t="s">
        <v>988</v>
      </c>
      <c r="Q49" s="442" t="s">
        <v>988</v>
      </c>
      <c r="R49" s="442" t="s">
        <v>1181</v>
      </c>
      <c r="S49" s="442" t="s">
        <v>1183</v>
      </c>
      <c r="T49" s="712" t="s">
        <v>494</v>
      </c>
      <c r="U49" s="448"/>
      <c r="V49" s="719"/>
      <c r="W49" s="719"/>
      <c r="X49" s="423"/>
    </row>
    <row r="50" spans="1:24" s="422" customFormat="1" ht="37.799999999999997" x14ac:dyDescent="0.65">
      <c r="A50" s="886"/>
      <c r="B50" s="443" t="s">
        <v>729</v>
      </c>
      <c r="C50" s="443"/>
      <c r="D50" s="444" t="s">
        <v>730</v>
      </c>
      <c r="E50" s="897">
        <f>'Перелік ціни'!D37</f>
        <v>12.48</v>
      </c>
      <c r="F50" s="897">
        <f>'Перелік ціни'!E37</f>
        <v>2.75</v>
      </c>
      <c r="G50" s="897">
        <f>'Перелік ціни'!F37</f>
        <v>6.8299999999999992</v>
      </c>
      <c r="H50" s="897">
        <f>'Перелік ціни'!G37</f>
        <v>0.48</v>
      </c>
      <c r="I50" s="898">
        <f>SUM(E50:H50)</f>
        <v>22.54</v>
      </c>
      <c r="J50" s="897">
        <f>'Перелік ціни'!I37</f>
        <v>1.32</v>
      </c>
      <c r="K50" s="897">
        <f>'Перелік ціни'!J37</f>
        <v>0</v>
      </c>
      <c r="L50" s="897">
        <f>'Перелік ціни'!K37</f>
        <v>0</v>
      </c>
      <c r="M50" s="897">
        <f>'Перелік ціни'!L37</f>
        <v>0.24</v>
      </c>
      <c r="N50" s="898">
        <f>SUM(J50:M50)</f>
        <v>1.56</v>
      </c>
      <c r="O50" s="897">
        <f t="shared" ref="O50:O81" si="6">I50+N50</f>
        <v>24.099999999999998</v>
      </c>
      <c r="P50" s="897"/>
      <c r="Q50" s="445">
        <f>ROUND(O50,0)</f>
        <v>24</v>
      </c>
      <c r="R50" s="445"/>
      <c r="S50" s="446">
        <f t="shared" ref="S50:S81" si="7">ROUND(Q50,2)</f>
        <v>24</v>
      </c>
      <c r="T50" s="453">
        <v>21.7</v>
      </c>
      <c r="U50" s="453">
        <f>S50-T50</f>
        <v>2.3000000000000007</v>
      </c>
      <c r="V50" s="720">
        <f>'Перелік ціни'!P37</f>
        <v>24</v>
      </c>
      <c r="W50" s="716">
        <f t="shared" ref="W50:W105" si="8">V50-Q50</f>
        <v>0</v>
      </c>
      <c r="X50" s="423"/>
    </row>
    <row r="51" spans="1:24" s="422" customFormat="1" ht="37.799999999999997" x14ac:dyDescent="0.65">
      <c r="A51" s="886"/>
      <c r="B51" s="443" t="s">
        <v>731</v>
      </c>
      <c r="C51" s="443"/>
      <c r="D51" s="444" t="s">
        <v>732</v>
      </c>
      <c r="E51" s="897">
        <f>'Перелік ціни'!D38</f>
        <v>18.18</v>
      </c>
      <c r="F51" s="897">
        <f>'Перелік ціни'!E38</f>
        <v>4</v>
      </c>
      <c r="G51" s="897">
        <f>'Перелік ціни'!F38</f>
        <v>5.64</v>
      </c>
      <c r="H51" s="897">
        <f>'Перелік ціни'!G38</f>
        <v>0.72</v>
      </c>
      <c r="I51" s="898">
        <f>SUM(E51:H51)</f>
        <v>28.54</v>
      </c>
      <c r="J51" s="897">
        <f>'Перелік ціни'!I38</f>
        <v>1.98</v>
      </c>
      <c r="K51" s="897">
        <f>'Перелік ціни'!J38</f>
        <v>0</v>
      </c>
      <c r="L51" s="897">
        <f>'Перелік ціни'!K38</f>
        <v>0</v>
      </c>
      <c r="M51" s="897">
        <f>'Перелік ціни'!L38</f>
        <v>0.36</v>
      </c>
      <c r="N51" s="898">
        <f t="shared" ref="N51:N81" si="9">SUM(J51:M51)</f>
        <v>2.34</v>
      </c>
      <c r="O51" s="897">
        <f t="shared" si="6"/>
        <v>30.88</v>
      </c>
      <c r="P51" s="897"/>
      <c r="Q51" s="445">
        <f t="shared" ref="Q51:Q105" si="10">ROUND(O51,0)</f>
        <v>31</v>
      </c>
      <c r="R51" s="445"/>
      <c r="S51" s="446">
        <f t="shared" si="7"/>
        <v>31</v>
      </c>
      <c r="T51" s="446">
        <v>28</v>
      </c>
      <c r="U51" s="453">
        <f t="shared" ref="U51:U105" si="11">S51-T51</f>
        <v>3</v>
      </c>
      <c r="V51" s="720">
        <f>'Перелік ціни'!P38</f>
        <v>31</v>
      </c>
      <c r="W51" s="716">
        <f t="shared" si="8"/>
        <v>0</v>
      </c>
      <c r="X51" s="423"/>
    </row>
    <row r="52" spans="1:24" s="422" customFormat="1" ht="37.799999999999997" x14ac:dyDescent="0.65">
      <c r="A52" s="886"/>
      <c r="B52" s="443" t="s">
        <v>733</v>
      </c>
      <c r="C52" s="443"/>
      <c r="D52" s="444" t="s">
        <v>734</v>
      </c>
      <c r="E52" s="897">
        <f>'Перелік ціни'!D39</f>
        <v>8.68</v>
      </c>
      <c r="F52" s="897">
        <f>'Перелік ціни'!E39</f>
        <v>1.91</v>
      </c>
      <c r="G52" s="897">
        <f>'Перелік ціни'!F39</f>
        <v>4.1500000000000004</v>
      </c>
      <c r="H52" s="897">
        <f>'Перелік ціни'!G39</f>
        <v>0.32</v>
      </c>
      <c r="I52" s="898">
        <f t="shared" ref="I52:I81" si="12">SUM(E52:H52)</f>
        <v>15.06</v>
      </c>
      <c r="J52" s="897">
        <f>'Перелік ціни'!I39</f>
        <v>0.88000000000000012</v>
      </c>
      <c r="K52" s="897">
        <f>'Перелік ціни'!J39</f>
        <v>0</v>
      </c>
      <c r="L52" s="897">
        <f>'Перелік ціни'!K39</f>
        <v>0</v>
      </c>
      <c r="M52" s="897">
        <f>'Перелік ціни'!L39</f>
        <v>0.16</v>
      </c>
      <c r="N52" s="898">
        <f t="shared" si="9"/>
        <v>1.04</v>
      </c>
      <c r="O52" s="897">
        <f t="shared" si="6"/>
        <v>16.100000000000001</v>
      </c>
      <c r="P52" s="897"/>
      <c r="Q52" s="445">
        <f t="shared" si="10"/>
        <v>16</v>
      </c>
      <c r="R52" s="445"/>
      <c r="S52" s="446">
        <f t="shared" si="7"/>
        <v>16</v>
      </c>
      <c r="T52" s="446">
        <v>14.1</v>
      </c>
      <c r="U52" s="453">
        <f t="shared" si="11"/>
        <v>1.9000000000000004</v>
      </c>
      <c r="V52" s="720">
        <f>'Перелік ціни'!P39</f>
        <v>16</v>
      </c>
      <c r="W52" s="716">
        <f t="shared" si="8"/>
        <v>0</v>
      </c>
      <c r="X52" s="423"/>
    </row>
    <row r="53" spans="1:24" s="422" customFormat="1" ht="37.799999999999997" x14ac:dyDescent="0.65">
      <c r="A53" s="886"/>
      <c r="B53" s="443" t="s">
        <v>735</v>
      </c>
      <c r="C53" s="443"/>
      <c r="D53" s="444" t="s">
        <v>736</v>
      </c>
      <c r="E53" s="897">
        <f>'Перелік ціни'!D40</f>
        <v>10.58</v>
      </c>
      <c r="F53" s="897">
        <f>'Перелік ціни'!E40</f>
        <v>2.33</v>
      </c>
      <c r="G53" s="897">
        <f>'Перелік ціни'!F40</f>
        <v>5.21</v>
      </c>
      <c r="H53" s="897">
        <f>'Перелік ціни'!G40</f>
        <v>0.4</v>
      </c>
      <c r="I53" s="898">
        <f t="shared" si="12"/>
        <v>18.52</v>
      </c>
      <c r="J53" s="897">
        <f>'Перелік ціни'!I40</f>
        <v>1.1000000000000001</v>
      </c>
      <c r="K53" s="897">
        <f>'Перелік ціни'!J40</f>
        <v>0</v>
      </c>
      <c r="L53" s="897">
        <f>'Перелік ціни'!K40</f>
        <v>0</v>
      </c>
      <c r="M53" s="897">
        <f>'Перелік ціни'!L40</f>
        <v>0.2</v>
      </c>
      <c r="N53" s="898">
        <f t="shared" si="9"/>
        <v>1.3</v>
      </c>
      <c r="O53" s="897">
        <f t="shared" si="6"/>
        <v>19.82</v>
      </c>
      <c r="P53" s="897"/>
      <c r="Q53" s="445">
        <f t="shared" si="10"/>
        <v>20</v>
      </c>
      <c r="R53" s="445"/>
      <c r="S53" s="446">
        <f t="shared" si="7"/>
        <v>20</v>
      </c>
      <c r="T53" s="446">
        <v>17.7</v>
      </c>
      <c r="U53" s="453">
        <f t="shared" si="11"/>
        <v>2.3000000000000007</v>
      </c>
      <c r="V53" s="720">
        <f>'Перелік ціни'!P40</f>
        <v>20</v>
      </c>
      <c r="W53" s="716">
        <f t="shared" si="8"/>
        <v>0</v>
      </c>
      <c r="X53" s="423"/>
    </row>
    <row r="54" spans="1:24" s="422" customFormat="1" ht="37.799999999999997" x14ac:dyDescent="0.65">
      <c r="A54" s="886"/>
      <c r="B54" s="443" t="s">
        <v>737</v>
      </c>
      <c r="C54" s="443"/>
      <c r="D54" s="444" t="s">
        <v>738</v>
      </c>
      <c r="E54" s="897">
        <f>'Перелік ціни'!D41</f>
        <v>8.68</v>
      </c>
      <c r="F54" s="897">
        <f>'Перелік ціни'!E41</f>
        <v>1.91</v>
      </c>
      <c r="G54" s="897">
        <f>'Перелік ціни'!F41</f>
        <v>4.1500000000000004</v>
      </c>
      <c r="H54" s="897">
        <f>'Перелік ціни'!G41</f>
        <v>0.32</v>
      </c>
      <c r="I54" s="898">
        <f t="shared" si="12"/>
        <v>15.06</v>
      </c>
      <c r="J54" s="897">
        <f>'Перелік ціни'!I41</f>
        <v>0.88000000000000012</v>
      </c>
      <c r="K54" s="897">
        <f>'Перелік ціни'!J41</f>
        <v>0</v>
      </c>
      <c r="L54" s="897">
        <f>'Перелік ціни'!K41</f>
        <v>0</v>
      </c>
      <c r="M54" s="897">
        <f>'Перелік ціни'!L41</f>
        <v>0.16</v>
      </c>
      <c r="N54" s="898">
        <f t="shared" si="9"/>
        <v>1.04</v>
      </c>
      <c r="O54" s="897">
        <f t="shared" si="6"/>
        <v>16.100000000000001</v>
      </c>
      <c r="P54" s="897"/>
      <c r="Q54" s="445">
        <f t="shared" si="10"/>
        <v>16</v>
      </c>
      <c r="R54" s="445"/>
      <c r="S54" s="446">
        <f t="shared" si="7"/>
        <v>16</v>
      </c>
      <c r="T54" s="446">
        <v>14.1</v>
      </c>
      <c r="U54" s="453">
        <f t="shared" si="11"/>
        <v>1.9000000000000004</v>
      </c>
      <c r="V54" s="720">
        <f>'Перелік ціни'!P41</f>
        <v>16</v>
      </c>
      <c r="W54" s="716">
        <f t="shared" si="8"/>
        <v>0</v>
      </c>
      <c r="X54" s="423"/>
    </row>
    <row r="55" spans="1:24" s="422" customFormat="1" ht="37.799999999999997" x14ac:dyDescent="0.65">
      <c r="A55" s="886"/>
      <c r="B55" s="443" t="s">
        <v>739</v>
      </c>
      <c r="C55" s="443"/>
      <c r="D55" s="444" t="s">
        <v>740</v>
      </c>
      <c r="E55" s="897">
        <f>'Перелік ціни'!D42</f>
        <v>13.43</v>
      </c>
      <c r="F55" s="897">
        <f>'Перелік ціни'!E42</f>
        <v>2.95</v>
      </c>
      <c r="G55" s="897">
        <f>'Перелік ціни'!F42</f>
        <v>14.049999999999999</v>
      </c>
      <c r="H55" s="897">
        <f>'Перелік ціни'!G42</f>
        <v>0.52</v>
      </c>
      <c r="I55" s="898">
        <f t="shared" si="12"/>
        <v>30.95</v>
      </c>
      <c r="J55" s="897">
        <f>'Перелік ціни'!I42</f>
        <v>1.4300000000000002</v>
      </c>
      <c r="K55" s="897">
        <f>'Перелік ціни'!J42</f>
        <v>0</v>
      </c>
      <c r="L55" s="897">
        <f>'Перелік ціни'!K42</f>
        <v>0</v>
      </c>
      <c r="M55" s="897">
        <f>'Перелік ціни'!L42</f>
        <v>0.26</v>
      </c>
      <c r="N55" s="898">
        <f t="shared" si="9"/>
        <v>1.6900000000000002</v>
      </c>
      <c r="O55" s="897">
        <f t="shared" si="6"/>
        <v>32.64</v>
      </c>
      <c r="P55" s="897"/>
      <c r="Q55" s="445">
        <f t="shared" si="10"/>
        <v>33</v>
      </c>
      <c r="R55" s="445"/>
      <c r="S55" s="446">
        <f t="shared" si="7"/>
        <v>33</v>
      </c>
      <c r="T55" s="446">
        <v>30.2</v>
      </c>
      <c r="U55" s="453">
        <f t="shared" si="11"/>
        <v>2.8000000000000007</v>
      </c>
      <c r="V55" s="720">
        <f>'Перелік ціни'!P42</f>
        <v>33</v>
      </c>
      <c r="W55" s="716">
        <f t="shared" si="8"/>
        <v>0</v>
      </c>
      <c r="X55" s="423"/>
    </row>
    <row r="56" spans="1:24" s="422" customFormat="1" ht="37.799999999999997" x14ac:dyDescent="0.65">
      <c r="A56" s="886"/>
      <c r="B56" s="443" t="s">
        <v>741</v>
      </c>
      <c r="C56" s="443"/>
      <c r="D56" s="444" t="s">
        <v>742</v>
      </c>
      <c r="E56" s="897">
        <f>'Перелік ціни'!D43</f>
        <v>18.18</v>
      </c>
      <c r="F56" s="897">
        <f>'Перелік ціни'!E43</f>
        <v>4</v>
      </c>
      <c r="G56" s="897">
        <f>'Перелік ціни'!F43</f>
        <v>15.940000000000001</v>
      </c>
      <c r="H56" s="897">
        <f>'Перелік ціни'!G43</f>
        <v>0.72</v>
      </c>
      <c r="I56" s="898">
        <f t="shared" si="12"/>
        <v>38.840000000000003</v>
      </c>
      <c r="J56" s="897">
        <f>'Перелік ціни'!I43</f>
        <v>1.98</v>
      </c>
      <c r="K56" s="897">
        <f>'Перелік ціни'!J43</f>
        <v>0</v>
      </c>
      <c r="L56" s="897">
        <f>'Перелік ціни'!K43</f>
        <v>0</v>
      </c>
      <c r="M56" s="897">
        <f>'Перелік ціни'!L43</f>
        <v>0.36</v>
      </c>
      <c r="N56" s="898">
        <f t="shared" si="9"/>
        <v>2.34</v>
      </c>
      <c r="O56" s="897">
        <f t="shared" si="6"/>
        <v>41.180000000000007</v>
      </c>
      <c r="P56" s="897"/>
      <c r="Q56" s="445">
        <f t="shared" si="10"/>
        <v>41</v>
      </c>
      <c r="R56" s="445"/>
      <c r="S56" s="446">
        <f t="shared" si="7"/>
        <v>41</v>
      </c>
      <c r="T56" s="446">
        <v>38.4</v>
      </c>
      <c r="U56" s="453">
        <f t="shared" si="11"/>
        <v>2.6000000000000014</v>
      </c>
      <c r="V56" s="720">
        <f>'Перелік ціни'!P43</f>
        <v>41</v>
      </c>
      <c r="W56" s="716">
        <f t="shared" si="8"/>
        <v>0</v>
      </c>
      <c r="X56" s="423"/>
    </row>
    <row r="57" spans="1:24" s="422" customFormat="1" ht="37.799999999999997" x14ac:dyDescent="0.65">
      <c r="A57" s="886"/>
      <c r="B57" s="443" t="s">
        <v>743</v>
      </c>
      <c r="C57" s="443"/>
      <c r="D57" s="444" t="s">
        <v>114</v>
      </c>
      <c r="E57" s="897">
        <f>'Перелік ціни'!D44</f>
        <v>27.68</v>
      </c>
      <c r="F57" s="897">
        <f>'Перелік ціни'!E44</f>
        <v>6.09</v>
      </c>
      <c r="G57" s="897">
        <f>'Перелік ціни'!F44</f>
        <v>5.96</v>
      </c>
      <c r="H57" s="897">
        <f>'Перелік ціни'!G44</f>
        <v>1.1200000000000001</v>
      </c>
      <c r="I57" s="898">
        <f t="shared" si="12"/>
        <v>40.849999999999994</v>
      </c>
      <c r="J57" s="897">
        <f>'Перелік ціни'!I44</f>
        <v>3.08</v>
      </c>
      <c r="K57" s="897">
        <f>'Перелік ціни'!J44</f>
        <v>0</v>
      </c>
      <c r="L57" s="897">
        <f>'Перелік ціни'!K44</f>
        <v>0</v>
      </c>
      <c r="M57" s="897">
        <f>'Перелік ціни'!L44</f>
        <v>0.56000000000000005</v>
      </c>
      <c r="N57" s="898">
        <f t="shared" si="9"/>
        <v>3.64</v>
      </c>
      <c r="O57" s="897">
        <f t="shared" si="6"/>
        <v>44.489999999999995</v>
      </c>
      <c r="P57" s="897"/>
      <c r="Q57" s="445">
        <f t="shared" si="10"/>
        <v>44</v>
      </c>
      <c r="R57" s="445"/>
      <c r="S57" s="446">
        <f t="shared" si="7"/>
        <v>44</v>
      </c>
      <c r="T57" s="446">
        <v>40.799999999999997</v>
      </c>
      <c r="U57" s="453">
        <f t="shared" si="11"/>
        <v>3.2000000000000028</v>
      </c>
      <c r="V57" s="720">
        <f>'Перелік ціни'!P44</f>
        <v>44</v>
      </c>
      <c r="W57" s="716">
        <f t="shared" si="8"/>
        <v>0</v>
      </c>
      <c r="X57" s="423"/>
    </row>
    <row r="58" spans="1:24" s="422" customFormat="1" ht="37.799999999999997" x14ac:dyDescent="0.65">
      <c r="A58" s="886"/>
      <c r="B58" s="443" t="s">
        <v>745</v>
      </c>
      <c r="C58" s="443"/>
      <c r="D58" s="444" t="s">
        <v>115</v>
      </c>
      <c r="E58" s="897">
        <f>'Перелік ціни'!D45</f>
        <v>57.11</v>
      </c>
      <c r="F58" s="897">
        <f>'Перелік ціни'!E45</f>
        <v>12.56</v>
      </c>
      <c r="G58" s="897">
        <f>'Перелік ціни'!F45</f>
        <v>6.5200000000000005</v>
      </c>
      <c r="H58" s="897">
        <f>'Перелік ціни'!G45</f>
        <v>1.76</v>
      </c>
      <c r="I58" s="898">
        <f t="shared" si="12"/>
        <v>77.95</v>
      </c>
      <c r="J58" s="897">
        <f>'Перелік ціни'!I45</f>
        <v>4.8499999999999996</v>
      </c>
      <c r="K58" s="897">
        <f>'Перелік ціни'!J45</f>
        <v>0</v>
      </c>
      <c r="L58" s="897">
        <f>'Перелік ціни'!K45</f>
        <v>0</v>
      </c>
      <c r="M58" s="897">
        <f>'Перелік ціни'!L45</f>
        <v>0.88</v>
      </c>
      <c r="N58" s="898">
        <f t="shared" si="9"/>
        <v>5.7299999999999995</v>
      </c>
      <c r="O58" s="897">
        <f t="shared" si="6"/>
        <v>83.68</v>
      </c>
      <c r="P58" s="897"/>
      <c r="Q58" s="445">
        <f t="shared" si="10"/>
        <v>84</v>
      </c>
      <c r="R58" s="445"/>
      <c r="S58" s="446">
        <f t="shared" si="7"/>
        <v>84</v>
      </c>
      <c r="T58" s="446">
        <v>59.9</v>
      </c>
      <c r="U58" s="453">
        <f t="shared" si="11"/>
        <v>24.1</v>
      </c>
      <c r="V58" s="720">
        <f>'Перелік ціни'!P45</f>
        <v>84</v>
      </c>
      <c r="W58" s="716">
        <f t="shared" si="8"/>
        <v>0</v>
      </c>
      <c r="X58" s="423"/>
    </row>
    <row r="59" spans="1:24" s="422" customFormat="1" ht="37.799999999999997" x14ac:dyDescent="0.65">
      <c r="A59" s="886"/>
      <c r="B59" s="443" t="s">
        <v>747</v>
      </c>
      <c r="C59" s="443"/>
      <c r="D59" s="444" t="s">
        <v>749</v>
      </c>
      <c r="E59" s="897">
        <f>'Перелік ціни'!D46</f>
        <v>13.43</v>
      </c>
      <c r="F59" s="897">
        <f>'Перелік ціни'!E46</f>
        <v>2.95</v>
      </c>
      <c r="G59" s="897">
        <f>'Перелік ціни'!F46</f>
        <v>5.74</v>
      </c>
      <c r="H59" s="897">
        <f>'Перелік ціни'!G46</f>
        <v>0.52</v>
      </c>
      <c r="I59" s="898">
        <f t="shared" si="12"/>
        <v>22.639999999999997</v>
      </c>
      <c r="J59" s="897">
        <f>'Перелік ціни'!I46</f>
        <v>1.4300000000000002</v>
      </c>
      <c r="K59" s="897">
        <f>'Перелік ціни'!J46</f>
        <v>0</v>
      </c>
      <c r="L59" s="897">
        <f>'Перелік ціни'!K46</f>
        <v>0</v>
      </c>
      <c r="M59" s="897">
        <f>'Перелік ціни'!L46</f>
        <v>0.26</v>
      </c>
      <c r="N59" s="898">
        <f t="shared" si="9"/>
        <v>1.6900000000000002</v>
      </c>
      <c r="O59" s="897">
        <f t="shared" si="6"/>
        <v>24.33</v>
      </c>
      <c r="P59" s="897"/>
      <c r="Q59" s="445">
        <f t="shared" si="10"/>
        <v>24</v>
      </c>
      <c r="R59" s="445"/>
      <c r="S59" s="446">
        <f t="shared" si="7"/>
        <v>24</v>
      </c>
      <c r="T59" s="446">
        <v>21.9</v>
      </c>
      <c r="U59" s="453">
        <f t="shared" si="11"/>
        <v>2.1000000000000014</v>
      </c>
      <c r="V59" s="720">
        <f>'Перелік ціни'!P46</f>
        <v>24</v>
      </c>
      <c r="W59" s="716">
        <f t="shared" si="8"/>
        <v>0</v>
      </c>
      <c r="X59" s="423"/>
    </row>
    <row r="60" spans="1:24" s="422" customFormat="1" ht="37.799999999999997" x14ac:dyDescent="0.65">
      <c r="A60" s="886"/>
      <c r="B60" s="443" t="s">
        <v>748</v>
      </c>
      <c r="C60" s="443"/>
      <c r="D60" s="444" t="s">
        <v>751</v>
      </c>
      <c r="E60" s="897">
        <f>'Перелік ціни'!D47</f>
        <v>15.33</v>
      </c>
      <c r="F60" s="897">
        <f>'Перелік ціни'!E47</f>
        <v>3.37</v>
      </c>
      <c r="G60" s="897">
        <f>'Перелік ціни'!F47</f>
        <v>8.6700000000000017</v>
      </c>
      <c r="H60" s="897">
        <f>'Перелік ціни'!G47</f>
        <v>0.6</v>
      </c>
      <c r="I60" s="898">
        <f t="shared" si="12"/>
        <v>27.970000000000002</v>
      </c>
      <c r="J60" s="897">
        <f>'Перелік ціни'!I47</f>
        <v>1.6500000000000001</v>
      </c>
      <c r="K60" s="897">
        <f>'Перелік ціни'!J47</f>
        <v>0</v>
      </c>
      <c r="L60" s="897">
        <f>'Перелік ціни'!K47</f>
        <v>0</v>
      </c>
      <c r="M60" s="897">
        <f>'Перелік ціни'!L47</f>
        <v>0.3</v>
      </c>
      <c r="N60" s="898">
        <f t="shared" si="9"/>
        <v>1.9500000000000002</v>
      </c>
      <c r="O60" s="897">
        <f t="shared" si="6"/>
        <v>29.92</v>
      </c>
      <c r="P60" s="897"/>
      <c r="Q60" s="445">
        <f t="shared" si="10"/>
        <v>30</v>
      </c>
      <c r="R60" s="445"/>
      <c r="S60" s="446">
        <f t="shared" si="7"/>
        <v>30</v>
      </c>
      <c r="T60" s="446">
        <v>27.3</v>
      </c>
      <c r="U60" s="453">
        <f t="shared" si="11"/>
        <v>2.6999999999999993</v>
      </c>
      <c r="V60" s="720">
        <f>'Перелік ціни'!P47</f>
        <v>30</v>
      </c>
      <c r="W60" s="716">
        <f t="shared" si="8"/>
        <v>0</v>
      </c>
      <c r="X60" s="423"/>
    </row>
    <row r="61" spans="1:24" s="422" customFormat="1" ht="37.799999999999997" x14ac:dyDescent="0.65">
      <c r="A61" s="886"/>
      <c r="B61" s="443" t="s">
        <v>750</v>
      </c>
      <c r="C61" s="443"/>
      <c r="D61" s="444" t="s">
        <v>116</v>
      </c>
      <c r="E61" s="897">
        <f>'Перелік ціни'!D48</f>
        <v>13.43</v>
      </c>
      <c r="F61" s="897">
        <f>'Перелік ціни'!E48</f>
        <v>2.95</v>
      </c>
      <c r="G61" s="897">
        <f>'Перелік ціни'!F48</f>
        <v>12.419999999999998</v>
      </c>
      <c r="H61" s="897">
        <f>'Перелік ціни'!G48</f>
        <v>0.52</v>
      </c>
      <c r="I61" s="898">
        <f t="shared" si="12"/>
        <v>29.319999999999997</v>
      </c>
      <c r="J61" s="897">
        <f>'Перелік ціни'!I48</f>
        <v>1.4300000000000002</v>
      </c>
      <c r="K61" s="897">
        <f>'Перелік ціни'!J48</f>
        <v>0</v>
      </c>
      <c r="L61" s="897">
        <f>'Перелік ціни'!K48</f>
        <v>0</v>
      </c>
      <c r="M61" s="897">
        <f>'Перелік ціни'!L48</f>
        <v>0.26</v>
      </c>
      <c r="N61" s="898">
        <f t="shared" si="9"/>
        <v>1.6900000000000002</v>
      </c>
      <c r="O61" s="897">
        <f t="shared" si="6"/>
        <v>31.009999999999998</v>
      </c>
      <c r="P61" s="897"/>
      <c r="Q61" s="445">
        <f t="shared" si="10"/>
        <v>31</v>
      </c>
      <c r="R61" s="445"/>
      <c r="S61" s="446">
        <f t="shared" si="7"/>
        <v>31</v>
      </c>
      <c r="T61" s="446">
        <v>24.2</v>
      </c>
      <c r="U61" s="453">
        <f t="shared" si="11"/>
        <v>6.8000000000000007</v>
      </c>
      <c r="V61" s="720">
        <f>'Перелік ціни'!P48</f>
        <v>31</v>
      </c>
      <c r="W61" s="716">
        <f t="shared" si="8"/>
        <v>0</v>
      </c>
      <c r="X61" s="423"/>
    </row>
    <row r="62" spans="1:24" s="422" customFormat="1" ht="37.799999999999997" x14ac:dyDescent="0.65">
      <c r="A62" s="886"/>
      <c r="B62" s="443" t="s">
        <v>752</v>
      </c>
      <c r="C62" s="443"/>
      <c r="D62" s="444" t="s">
        <v>117</v>
      </c>
      <c r="E62" s="897">
        <f>'Перелік ціни'!D49</f>
        <v>27.68</v>
      </c>
      <c r="F62" s="897">
        <f>'Перелік ціни'!E49</f>
        <v>6.09</v>
      </c>
      <c r="G62" s="897">
        <f>'Перелік ціни'!F49</f>
        <v>8.9700000000000024</v>
      </c>
      <c r="H62" s="897">
        <f>'Перелік ціни'!G49</f>
        <v>1.1200000000000001</v>
      </c>
      <c r="I62" s="898">
        <f t="shared" si="12"/>
        <v>43.859999999999992</v>
      </c>
      <c r="J62" s="897">
        <f>'Перелік ціни'!I49</f>
        <v>3.08</v>
      </c>
      <c r="K62" s="897">
        <f>'Перелік ціни'!J49</f>
        <v>0</v>
      </c>
      <c r="L62" s="897">
        <f>'Перелік ціни'!K49</f>
        <v>0</v>
      </c>
      <c r="M62" s="897">
        <f>'Перелік ціни'!L49</f>
        <v>0.56000000000000005</v>
      </c>
      <c r="N62" s="898">
        <f t="shared" si="9"/>
        <v>3.64</v>
      </c>
      <c r="O62" s="897">
        <f t="shared" si="6"/>
        <v>47.499999999999993</v>
      </c>
      <c r="P62" s="897"/>
      <c r="Q62" s="445">
        <f t="shared" si="10"/>
        <v>48</v>
      </c>
      <c r="R62" s="445"/>
      <c r="S62" s="446">
        <f t="shared" si="7"/>
        <v>48</v>
      </c>
      <c r="T62" s="446">
        <v>43.7</v>
      </c>
      <c r="U62" s="453">
        <f t="shared" si="11"/>
        <v>4.2999999999999972</v>
      </c>
      <c r="V62" s="720">
        <f>'Перелік ціни'!P49</f>
        <v>48</v>
      </c>
      <c r="W62" s="716">
        <f t="shared" si="8"/>
        <v>0</v>
      </c>
      <c r="X62" s="423"/>
    </row>
    <row r="63" spans="1:24" s="422" customFormat="1" ht="37.799999999999997" x14ac:dyDescent="0.65">
      <c r="A63" s="886"/>
      <c r="B63" s="443" t="s">
        <v>753</v>
      </c>
      <c r="C63" s="443"/>
      <c r="D63" s="444" t="s">
        <v>118</v>
      </c>
      <c r="E63" s="897">
        <f>'Перелік ціни'!D50</f>
        <v>8.68</v>
      </c>
      <c r="F63" s="897">
        <f>'Перелік ціни'!E50</f>
        <v>1.91</v>
      </c>
      <c r="G63" s="897">
        <f>'Перелік ціни'!F50</f>
        <v>9.5400000000000009</v>
      </c>
      <c r="H63" s="897">
        <f>'Перелік ціни'!G50</f>
        <v>0.32</v>
      </c>
      <c r="I63" s="898">
        <f t="shared" si="12"/>
        <v>20.450000000000003</v>
      </c>
      <c r="J63" s="897">
        <f>'Перелік ціни'!I50</f>
        <v>0.88000000000000012</v>
      </c>
      <c r="K63" s="897">
        <f>'Перелік ціни'!J50</f>
        <v>0</v>
      </c>
      <c r="L63" s="897">
        <f>'Перелік ціни'!K50</f>
        <v>0</v>
      </c>
      <c r="M63" s="897">
        <f>'Перелік ціни'!L50</f>
        <v>0.16</v>
      </c>
      <c r="N63" s="898">
        <f t="shared" si="9"/>
        <v>1.04</v>
      </c>
      <c r="O63" s="897">
        <f t="shared" si="6"/>
        <v>21.490000000000002</v>
      </c>
      <c r="P63" s="897"/>
      <c r="Q63" s="445">
        <f t="shared" si="10"/>
        <v>21</v>
      </c>
      <c r="R63" s="445"/>
      <c r="S63" s="446">
        <f t="shared" si="7"/>
        <v>21</v>
      </c>
      <c r="T63" s="446">
        <v>19.7</v>
      </c>
      <c r="U63" s="453">
        <f t="shared" si="11"/>
        <v>1.3000000000000007</v>
      </c>
      <c r="V63" s="720">
        <f>'Перелік ціни'!P50</f>
        <v>21</v>
      </c>
      <c r="W63" s="716">
        <f t="shared" si="8"/>
        <v>0</v>
      </c>
      <c r="X63" s="423"/>
    </row>
    <row r="64" spans="1:24" s="422" customFormat="1" ht="37.799999999999997" x14ac:dyDescent="0.65">
      <c r="A64" s="886"/>
      <c r="B64" s="443" t="s">
        <v>755</v>
      </c>
      <c r="C64" s="443"/>
      <c r="D64" s="444" t="s">
        <v>760</v>
      </c>
      <c r="E64" s="897">
        <f>'Перелік ціни'!D51</f>
        <v>17.23</v>
      </c>
      <c r="F64" s="897">
        <f>'Перелік ціни'!E51</f>
        <v>3.79</v>
      </c>
      <c r="G64" s="897">
        <f>'Перелік ціни'!F51</f>
        <v>13.01</v>
      </c>
      <c r="H64" s="897">
        <f>'Перелік ціни'!G51</f>
        <v>0.68</v>
      </c>
      <c r="I64" s="898">
        <f t="shared" si="12"/>
        <v>34.71</v>
      </c>
      <c r="J64" s="897">
        <f>'Перелік ціни'!I51</f>
        <v>1.87</v>
      </c>
      <c r="K64" s="897">
        <f>'Перелік ціни'!J51</f>
        <v>0</v>
      </c>
      <c r="L64" s="897">
        <f>'Перелік ціни'!K51</f>
        <v>0</v>
      </c>
      <c r="M64" s="897">
        <f>'Перелік ціни'!L51</f>
        <v>0.34</v>
      </c>
      <c r="N64" s="898">
        <f t="shared" si="9"/>
        <v>2.21</v>
      </c>
      <c r="O64" s="897">
        <f t="shared" si="6"/>
        <v>36.92</v>
      </c>
      <c r="P64" s="897"/>
      <c r="Q64" s="445">
        <f t="shared" si="10"/>
        <v>37</v>
      </c>
      <c r="R64" s="445"/>
      <c r="S64" s="446">
        <f t="shared" si="7"/>
        <v>37</v>
      </c>
      <c r="T64" s="446">
        <v>33.9</v>
      </c>
      <c r="U64" s="453">
        <f t="shared" si="11"/>
        <v>3.1000000000000014</v>
      </c>
      <c r="V64" s="720">
        <f>'Перелік ціни'!P51</f>
        <v>37</v>
      </c>
      <c r="W64" s="716">
        <f t="shared" si="8"/>
        <v>0</v>
      </c>
      <c r="X64" s="423"/>
    </row>
    <row r="65" spans="1:24" s="422" customFormat="1" ht="37.799999999999997" x14ac:dyDescent="0.65">
      <c r="A65" s="886"/>
      <c r="B65" s="443" t="s">
        <v>757</v>
      </c>
      <c r="C65" s="443"/>
      <c r="D65" s="444" t="s">
        <v>197</v>
      </c>
      <c r="E65" s="897">
        <f>'Перелік ціни'!D52</f>
        <v>34.18</v>
      </c>
      <c r="F65" s="897">
        <f>'Перелік ціни'!E52</f>
        <v>7.52</v>
      </c>
      <c r="G65" s="897">
        <f>'Перелік ціни'!F52</f>
        <v>7.5200000000000005</v>
      </c>
      <c r="H65" s="897">
        <f>'Перелік ціни'!G52</f>
        <v>1.06</v>
      </c>
      <c r="I65" s="898">
        <f t="shared" si="12"/>
        <v>50.280000000000008</v>
      </c>
      <c r="J65" s="897">
        <f>'Перелік ціни'!I52</f>
        <v>2.92</v>
      </c>
      <c r="K65" s="897">
        <f>'Перелік ціни'!J52</f>
        <v>0</v>
      </c>
      <c r="L65" s="897">
        <f>'Перелік ціни'!K52</f>
        <v>0</v>
      </c>
      <c r="M65" s="897">
        <f>'Перелік ціни'!L52</f>
        <v>0.53</v>
      </c>
      <c r="N65" s="898">
        <f t="shared" si="9"/>
        <v>3.45</v>
      </c>
      <c r="O65" s="897">
        <f t="shared" si="6"/>
        <v>53.730000000000011</v>
      </c>
      <c r="P65" s="897"/>
      <c r="Q65" s="445">
        <f t="shared" si="10"/>
        <v>54</v>
      </c>
      <c r="R65" s="445"/>
      <c r="S65" s="446">
        <f t="shared" si="7"/>
        <v>54</v>
      </c>
      <c r="T65" s="446">
        <v>42.8</v>
      </c>
      <c r="U65" s="453">
        <f t="shared" si="11"/>
        <v>11.200000000000003</v>
      </c>
      <c r="V65" s="720">
        <f>'Перелік ціни'!P52</f>
        <v>54</v>
      </c>
      <c r="W65" s="716">
        <f t="shared" si="8"/>
        <v>0</v>
      </c>
      <c r="X65" s="423"/>
    </row>
    <row r="66" spans="1:24" s="422" customFormat="1" ht="37.799999999999997" x14ac:dyDescent="0.65">
      <c r="A66" s="886"/>
      <c r="B66" s="443" t="s">
        <v>759</v>
      </c>
      <c r="C66" s="443"/>
      <c r="D66" s="444" t="s">
        <v>764</v>
      </c>
      <c r="E66" s="897">
        <f>'Перелік ціни'!D53</f>
        <v>22.93</v>
      </c>
      <c r="F66" s="897">
        <f>'Перелік ціни'!E53</f>
        <v>5.04</v>
      </c>
      <c r="G66" s="897">
        <f>'Перелік ціни'!F53</f>
        <v>7.67</v>
      </c>
      <c r="H66" s="897">
        <f>'Перелік ціни'!G53</f>
        <v>0.92</v>
      </c>
      <c r="I66" s="898">
        <f t="shared" si="12"/>
        <v>36.56</v>
      </c>
      <c r="J66" s="897">
        <f>'Перелік ціни'!I53</f>
        <v>2.5300000000000002</v>
      </c>
      <c r="K66" s="897">
        <f>'Перелік ціни'!J53</f>
        <v>0</v>
      </c>
      <c r="L66" s="897">
        <f>'Перелік ціни'!K53</f>
        <v>0</v>
      </c>
      <c r="M66" s="897">
        <f>'Перелік ціни'!L53</f>
        <v>0.46</v>
      </c>
      <c r="N66" s="898">
        <f t="shared" si="9"/>
        <v>2.99</v>
      </c>
      <c r="O66" s="897">
        <f t="shared" si="6"/>
        <v>39.550000000000004</v>
      </c>
      <c r="P66" s="897"/>
      <c r="Q66" s="445">
        <f t="shared" si="10"/>
        <v>40</v>
      </c>
      <c r="R66" s="445"/>
      <c r="S66" s="446">
        <f t="shared" si="7"/>
        <v>40</v>
      </c>
      <c r="T66" s="446">
        <v>35.5</v>
      </c>
      <c r="U66" s="453">
        <f t="shared" si="11"/>
        <v>4.5</v>
      </c>
      <c r="V66" s="720">
        <f>'Перелік ціни'!P53</f>
        <v>40</v>
      </c>
      <c r="W66" s="716">
        <f t="shared" si="8"/>
        <v>0</v>
      </c>
      <c r="X66" s="423"/>
    </row>
    <row r="67" spans="1:24" s="422" customFormat="1" ht="37.799999999999997" x14ac:dyDescent="0.65">
      <c r="A67" s="886"/>
      <c r="B67" s="443" t="s">
        <v>761</v>
      </c>
      <c r="C67" s="443"/>
      <c r="D67" s="444" t="s">
        <v>766</v>
      </c>
      <c r="E67" s="897">
        <f>'Перелік ціни'!D54</f>
        <v>15.33</v>
      </c>
      <c r="F67" s="897">
        <f>'Перелік ціни'!E54</f>
        <v>3.37</v>
      </c>
      <c r="G67" s="897">
        <f>'Перелік ціни'!F54</f>
        <v>18.490000000000002</v>
      </c>
      <c r="H67" s="897">
        <f>'Перелік ціни'!G54</f>
        <v>0.6</v>
      </c>
      <c r="I67" s="898">
        <f t="shared" si="12"/>
        <v>37.79</v>
      </c>
      <c r="J67" s="897">
        <f>'Перелік ціни'!I54</f>
        <v>1.6500000000000001</v>
      </c>
      <c r="K67" s="897">
        <f>'Перелік ціни'!J54</f>
        <v>0</v>
      </c>
      <c r="L67" s="897">
        <f>'Перелік ціни'!K54</f>
        <v>0</v>
      </c>
      <c r="M67" s="897">
        <f>'Перелік ціни'!L54</f>
        <v>0.3</v>
      </c>
      <c r="N67" s="898">
        <f t="shared" si="9"/>
        <v>1.9500000000000002</v>
      </c>
      <c r="O67" s="897">
        <f t="shared" si="6"/>
        <v>39.74</v>
      </c>
      <c r="P67" s="897"/>
      <c r="Q67" s="445">
        <f t="shared" si="10"/>
        <v>40</v>
      </c>
      <c r="R67" s="445"/>
      <c r="S67" s="446">
        <f t="shared" si="7"/>
        <v>40</v>
      </c>
      <c r="T67" s="446">
        <v>37.200000000000003</v>
      </c>
      <c r="U67" s="453">
        <f t="shared" si="11"/>
        <v>2.7999999999999972</v>
      </c>
      <c r="V67" s="720">
        <f>'Перелік ціни'!P54</f>
        <v>40</v>
      </c>
      <c r="W67" s="716">
        <f t="shared" si="8"/>
        <v>0</v>
      </c>
      <c r="X67" s="423"/>
    </row>
    <row r="68" spans="1:24" s="422" customFormat="1" ht="37.799999999999997" x14ac:dyDescent="0.65">
      <c r="A68" s="886"/>
      <c r="B68" s="443" t="s">
        <v>763</v>
      </c>
      <c r="C68" s="443"/>
      <c r="D68" s="444" t="s">
        <v>768</v>
      </c>
      <c r="E68" s="897">
        <f>'Перелік ціни'!D55</f>
        <v>11.53</v>
      </c>
      <c r="F68" s="897">
        <f>'Перелік ціни'!E55</f>
        <v>2.54</v>
      </c>
      <c r="G68" s="897">
        <f>'Перелік ціни'!F55</f>
        <v>8.34</v>
      </c>
      <c r="H68" s="897">
        <f>'Перелік ціни'!G55</f>
        <v>0.44</v>
      </c>
      <c r="I68" s="898">
        <f t="shared" si="12"/>
        <v>22.85</v>
      </c>
      <c r="J68" s="897">
        <f>'Перелік ціни'!I55</f>
        <v>1.21</v>
      </c>
      <c r="K68" s="897">
        <f>'Перелік ціни'!J55</f>
        <v>0</v>
      </c>
      <c r="L68" s="897">
        <f>'Перелік ціни'!K55</f>
        <v>0</v>
      </c>
      <c r="M68" s="897">
        <f>'Перелік ціни'!L55</f>
        <v>0.22</v>
      </c>
      <c r="N68" s="898">
        <f t="shared" si="9"/>
        <v>1.43</v>
      </c>
      <c r="O68" s="897">
        <f t="shared" si="6"/>
        <v>24.28</v>
      </c>
      <c r="P68" s="897"/>
      <c r="Q68" s="445">
        <f t="shared" si="10"/>
        <v>24</v>
      </c>
      <c r="R68" s="445"/>
      <c r="S68" s="446">
        <f t="shared" si="7"/>
        <v>24</v>
      </c>
      <c r="T68" s="446">
        <v>21.6</v>
      </c>
      <c r="U68" s="453">
        <f t="shared" si="11"/>
        <v>2.3999999999999986</v>
      </c>
      <c r="V68" s="720">
        <f>'Перелік ціни'!P55</f>
        <v>24</v>
      </c>
      <c r="W68" s="716">
        <f t="shared" si="8"/>
        <v>0</v>
      </c>
      <c r="X68" s="423"/>
    </row>
    <row r="69" spans="1:24" s="422" customFormat="1" ht="37.799999999999997" x14ac:dyDescent="0.65">
      <c r="A69" s="886"/>
      <c r="B69" s="443" t="s">
        <v>765</v>
      </c>
      <c r="C69" s="443"/>
      <c r="D69" s="444" t="s">
        <v>770</v>
      </c>
      <c r="E69" s="897">
        <f>'Перелік ціни'!D56</f>
        <v>11.53</v>
      </c>
      <c r="F69" s="897">
        <f>'Перелік ціни'!E56</f>
        <v>2.54</v>
      </c>
      <c r="G69" s="897">
        <f>'Перелік ціни'!F56</f>
        <v>8.61</v>
      </c>
      <c r="H69" s="897">
        <f>'Перелік ціни'!G56</f>
        <v>0.44</v>
      </c>
      <c r="I69" s="898">
        <f t="shared" si="12"/>
        <v>23.12</v>
      </c>
      <c r="J69" s="897">
        <f>'Перелік ціни'!I56</f>
        <v>1.21</v>
      </c>
      <c r="K69" s="897">
        <f>'Перелік ціни'!J56</f>
        <v>0</v>
      </c>
      <c r="L69" s="897">
        <f>'Перелік ціни'!K56</f>
        <v>0</v>
      </c>
      <c r="M69" s="897">
        <f>'Перелік ціни'!L56</f>
        <v>0.22</v>
      </c>
      <c r="N69" s="898">
        <f t="shared" si="9"/>
        <v>1.43</v>
      </c>
      <c r="O69" s="897">
        <f t="shared" si="6"/>
        <v>24.55</v>
      </c>
      <c r="P69" s="897"/>
      <c r="Q69" s="445">
        <f t="shared" si="10"/>
        <v>25</v>
      </c>
      <c r="R69" s="445"/>
      <c r="S69" s="446">
        <f t="shared" si="7"/>
        <v>25</v>
      </c>
      <c r="T69" s="446">
        <v>19.600000000000001</v>
      </c>
      <c r="U69" s="453">
        <f t="shared" si="11"/>
        <v>5.3999999999999986</v>
      </c>
      <c r="V69" s="720">
        <f>'Перелік ціни'!P56</f>
        <v>25</v>
      </c>
      <c r="W69" s="716">
        <f t="shared" si="8"/>
        <v>0</v>
      </c>
      <c r="X69" s="423"/>
    </row>
    <row r="70" spans="1:24" s="422" customFormat="1" ht="37.799999999999997" x14ac:dyDescent="0.65">
      <c r="A70" s="886"/>
      <c r="B70" s="443" t="s">
        <v>767</v>
      </c>
      <c r="C70" s="443"/>
      <c r="D70" s="444" t="s">
        <v>772</v>
      </c>
      <c r="E70" s="897">
        <f>'Перелік ціни'!D57</f>
        <v>34.18</v>
      </c>
      <c r="F70" s="897">
        <f>'Перелік ціни'!E57</f>
        <v>7.52</v>
      </c>
      <c r="G70" s="897">
        <f>'Перелік ціни'!F57</f>
        <v>32.5</v>
      </c>
      <c r="H70" s="897">
        <f>'Перелік ціни'!G57</f>
        <v>1.06</v>
      </c>
      <c r="I70" s="898">
        <f t="shared" si="12"/>
        <v>75.260000000000005</v>
      </c>
      <c r="J70" s="897">
        <f>'Перелік ціни'!I57</f>
        <v>2.92</v>
      </c>
      <c r="K70" s="897">
        <f>'Перелік ціни'!J57</f>
        <v>0</v>
      </c>
      <c r="L70" s="897">
        <f>'Перелік ціни'!K57</f>
        <v>0</v>
      </c>
      <c r="M70" s="897">
        <f>'Перелік ціни'!L57</f>
        <v>0.53</v>
      </c>
      <c r="N70" s="898">
        <f t="shared" si="9"/>
        <v>3.45</v>
      </c>
      <c r="O70" s="897">
        <f t="shared" si="6"/>
        <v>78.710000000000008</v>
      </c>
      <c r="P70" s="897"/>
      <c r="Q70" s="445">
        <f t="shared" si="10"/>
        <v>79</v>
      </c>
      <c r="R70" s="445"/>
      <c r="S70" s="446">
        <f t="shared" si="7"/>
        <v>79</v>
      </c>
      <c r="T70" s="446">
        <v>48.2</v>
      </c>
      <c r="U70" s="453">
        <f t="shared" si="11"/>
        <v>30.799999999999997</v>
      </c>
      <c r="V70" s="720">
        <f>'Перелік ціни'!P57</f>
        <v>79</v>
      </c>
      <c r="W70" s="716">
        <f t="shared" si="8"/>
        <v>0</v>
      </c>
      <c r="X70" s="423"/>
    </row>
    <row r="71" spans="1:24" s="422" customFormat="1" ht="37.799999999999997" x14ac:dyDescent="0.65">
      <c r="A71" s="886"/>
      <c r="B71" s="443" t="s">
        <v>769</v>
      </c>
      <c r="C71" s="443"/>
      <c r="D71" s="444" t="s">
        <v>774</v>
      </c>
      <c r="E71" s="897">
        <f>'Перелік ціни'!D58</f>
        <v>8.68</v>
      </c>
      <c r="F71" s="897">
        <f>'Перелік ціни'!E58</f>
        <v>1.91</v>
      </c>
      <c r="G71" s="897">
        <f>'Перелік ціни'!F58</f>
        <v>4.5</v>
      </c>
      <c r="H71" s="897">
        <f>'Перелік ціни'!G58</f>
        <v>0.32</v>
      </c>
      <c r="I71" s="898">
        <f t="shared" si="12"/>
        <v>15.41</v>
      </c>
      <c r="J71" s="897">
        <f>'Перелік ціни'!I58</f>
        <v>0.88000000000000012</v>
      </c>
      <c r="K71" s="897">
        <f>'Перелік ціни'!J58</f>
        <v>0</v>
      </c>
      <c r="L71" s="897">
        <f>'Перелік ціни'!K58</f>
        <v>0</v>
      </c>
      <c r="M71" s="897">
        <f>'Перелік ціни'!L58</f>
        <v>0.16</v>
      </c>
      <c r="N71" s="898">
        <f t="shared" si="9"/>
        <v>1.04</v>
      </c>
      <c r="O71" s="897">
        <f t="shared" si="6"/>
        <v>16.45</v>
      </c>
      <c r="P71" s="897"/>
      <c r="Q71" s="445">
        <f t="shared" si="10"/>
        <v>16</v>
      </c>
      <c r="R71" s="445"/>
      <c r="S71" s="446">
        <f t="shared" si="7"/>
        <v>16</v>
      </c>
      <c r="T71" s="446">
        <v>14.3</v>
      </c>
      <c r="U71" s="453">
        <f t="shared" si="11"/>
        <v>1.6999999999999993</v>
      </c>
      <c r="V71" s="720">
        <f>'Перелік ціни'!P58</f>
        <v>16</v>
      </c>
      <c r="W71" s="716">
        <f t="shared" si="8"/>
        <v>0</v>
      </c>
      <c r="X71" s="423"/>
    </row>
    <row r="72" spans="1:24" s="422" customFormat="1" ht="37.799999999999997" x14ac:dyDescent="0.65">
      <c r="A72" s="886"/>
      <c r="B72" s="443" t="s">
        <v>771</v>
      </c>
      <c r="C72" s="443"/>
      <c r="D72" s="444" t="s">
        <v>776</v>
      </c>
      <c r="E72" s="897">
        <f>'Перелік ціни'!D59</f>
        <v>13.43</v>
      </c>
      <c r="F72" s="897">
        <f>'Перелік ціни'!E59</f>
        <v>2.95</v>
      </c>
      <c r="G72" s="897">
        <f>'Перелік ціни'!F59</f>
        <v>4.3699999999999992</v>
      </c>
      <c r="H72" s="897">
        <f>'Перелік ціни'!G59</f>
        <v>0.52</v>
      </c>
      <c r="I72" s="898">
        <f t="shared" si="12"/>
        <v>21.27</v>
      </c>
      <c r="J72" s="897">
        <f>'Перелік ціни'!I59</f>
        <v>1.4300000000000002</v>
      </c>
      <c r="K72" s="897">
        <f>'Перелік ціни'!J59</f>
        <v>0</v>
      </c>
      <c r="L72" s="897">
        <f>'Перелік ціни'!K59</f>
        <v>0</v>
      </c>
      <c r="M72" s="897">
        <f>'Перелік ціни'!L59</f>
        <v>0.26</v>
      </c>
      <c r="N72" s="898">
        <f t="shared" si="9"/>
        <v>1.6900000000000002</v>
      </c>
      <c r="O72" s="897">
        <f t="shared" si="6"/>
        <v>22.96</v>
      </c>
      <c r="P72" s="897"/>
      <c r="Q72" s="445">
        <f t="shared" si="10"/>
        <v>23</v>
      </c>
      <c r="R72" s="445"/>
      <c r="S72" s="446">
        <f t="shared" si="7"/>
        <v>23</v>
      </c>
      <c r="T72" s="446">
        <v>20.399999999999999</v>
      </c>
      <c r="U72" s="453">
        <f t="shared" si="11"/>
        <v>2.6000000000000014</v>
      </c>
      <c r="V72" s="720">
        <f>'Перелік ціни'!P59</f>
        <v>23</v>
      </c>
      <c r="W72" s="716">
        <f t="shared" si="8"/>
        <v>0</v>
      </c>
      <c r="X72" s="423"/>
    </row>
    <row r="73" spans="1:24" s="422" customFormat="1" ht="37.799999999999997" x14ac:dyDescent="0.65">
      <c r="A73" s="886"/>
      <c r="B73" s="443" t="s">
        <v>773</v>
      </c>
      <c r="C73" s="443"/>
      <c r="D73" s="444" t="s">
        <v>119</v>
      </c>
      <c r="E73" s="897">
        <f>'Перелік ціни'!D60</f>
        <v>22.93</v>
      </c>
      <c r="F73" s="897">
        <f>'Перелік ціни'!E60</f>
        <v>5.04</v>
      </c>
      <c r="G73" s="897">
        <f>'Перелік ціни'!F60</f>
        <v>12.100000000000001</v>
      </c>
      <c r="H73" s="897">
        <f>'Перелік ціни'!G60</f>
        <v>4.83</v>
      </c>
      <c r="I73" s="898">
        <f t="shared" si="12"/>
        <v>44.9</v>
      </c>
      <c r="J73" s="897">
        <f>'Перелік ціни'!I60</f>
        <v>2.5300000000000002</v>
      </c>
      <c r="K73" s="897">
        <f>'Перелік ціни'!J60</f>
        <v>0</v>
      </c>
      <c r="L73" s="897">
        <f>'Перелік ціни'!K60</f>
        <v>0</v>
      </c>
      <c r="M73" s="897">
        <f>'Перелік ціни'!L60</f>
        <v>0.46</v>
      </c>
      <c r="N73" s="898">
        <f t="shared" si="9"/>
        <v>2.99</v>
      </c>
      <c r="O73" s="897">
        <f t="shared" si="6"/>
        <v>47.89</v>
      </c>
      <c r="P73" s="897"/>
      <c r="Q73" s="445">
        <f t="shared" si="10"/>
        <v>48</v>
      </c>
      <c r="R73" s="445"/>
      <c r="S73" s="446">
        <f t="shared" si="7"/>
        <v>48</v>
      </c>
      <c r="T73" s="446">
        <v>59</v>
      </c>
      <c r="U73" s="453">
        <f t="shared" si="11"/>
        <v>-11</v>
      </c>
      <c r="V73" s="720">
        <f>'Перелік ціни'!P60</f>
        <v>48</v>
      </c>
      <c r="W73" s="716">
        <f t="shared" si="8"/>
        <v>0</v>
      </c>
      <c r="X73" s="423"/>
    </row>
    <row r="74" spans="1:24" s="422" customFormat="1" ht="75.599999999999994" x14ac:dyDescent="0.65">
      <c r="A74" s="886"/>
      <c r="B74" s="443" t="s">
        <v>775</v>
      </c>
      <c r="C74" s="443"/>
      <c r="D74" s="444" t="s">
        <v>99</v>
      </c>
      <c r="E74" s="897">
        <f>'Перелік ціни'!D61</f>
        <v>22.93</v>
      </c>
      <c r="F74" s="897">
        <f>'Перелік ціни'!E61</f>
        <v>5.04</v>
      </c>
      <c r="G74" s="897">
        <f>'Перелік ціни'!F61</f>
        <v>12.100000000000001</v>
      </c>
      <c r="H74" s="897">
        <f>'Перелік ціни'!G61</f>
        <v>2.5299999999999998</v>
      </c>
      <c r="I74" s="898">
        <f t="shared" si="12"/>
        <v>42.6</v>
      </c>
      <c r="J74" s="897">
        <f>'Перелік ціни'!I61</f>
        <v>2.5300000000000002</v>
      </c>
      <c r="K74" s="897">
        <f>'Перелік ціни'!J61</f>
        <v>0</v>
      </c>
      <c r="L74" s="897">
        <f>'Перелік ціни'!K61</f>
        <v>0</v>
      </c>
      <c r="M74" s="897">
        <f>'Перелік ціни'!L61</f>
        <v>0.46</v>
      </c>
      <c r="N74" s="898">
        <f t="shared" si="9"/>
        <v>2.99</v>
      </c>
      <c r="O74" s="897">
        <f t="shared" si="6"/>
        <v>45.59</v>
      </c>
      <c r="P74" s="897"/>
      <c r="Q74" s="445">
        <f t="shared" si="10"/>
        <v>46</v>
      </c>
      <c r="R74" s="445"/>
      <c r="S74" s="446">
        <f t="shared" si="7"/>
        <v>46</v>
      </c>
      <c r="T74" s="446">
        <v>56.7</v>
      </c>
      <c r="U74" s="453">
        <f t="shared" si="11"/>
        <v>-10.700000000000003</v>
      </c>
      <c r="V74" s="720">
        <f>'Перелік ціни'!P61</f>
        <v>46</v>
      </c>
      <c r="W74" s="716">
        <f t="shared" si="8"/>
        <v>0</v>
      </c>
      <c r="X74" s="423"/>
    </row>
    <row r="75" spans="1:24" s="422" customFormat="1" ht="37.799999999999997" x14ac:dyDescent="0.65">
      <c r="A75" s="886"/>
      <c r="B75" s="443" t="s">
        <v>777</v>
      </c>
      <c r="C75" s="443"/>
      <c r="D75" s="444" t="s">
        <v>782</v>
      </c>
      <c r="E75" s="897">
        <f>'Перелік ціни'!D62</f>
        <v>33.9</v>
      </c>
      <c r="F75" s="897">
        <f>'Перелік ціни'!E62</f>
        <v>7.46</v>
      </c>
      <c r="G75" s="897">
        <f>'Перелік ціни'!F62</f>
        <v>7.74</v>
      </c>
      <c r="H75" s="897">
        <f>'Перелік ціни'!G62</f>
        <v>0</v>
      </c>
      <c r="I75" s="898">
        <f t="shared" si="12"/>
        <v>49.1</v>
      </c>
      <c r="J75" s="897">
        <f>'Перелік ціни'!I62</f>
        <v>3.3</v>
      </c>
      <c r="K75" s="897">
        <f>'Перелік ціни'!J62</f>
        <v>0</v>
      </c>
      <c r="L75" s="897">
        <f>'Перелік ціни'!K62</f>
        <v>0</v>
      </c>
      <c r="M75" s="897">
        <f>'Перелік ціни'!L62</f>
        <v>0.6</v>
      </c>
      <c r="N75" s="898">
        <f t="shared" si="9"/>
        <v>3.9</v>
      </c>
      <c r="O75" s="897">
        <f t="shared" si="6"/>
        <v>53</v>
      </c>
      <c r="P75" s="897"/>
      <c r="Q75" s="445">
        <f t="shared" si="10"/>
        <v>53</v>
      </c>
      <c r="R75" s="445"/>
      <c r="S75" s="446">
        <f t="shared" si="7"/>
        <v>53</v>
      </c>
      <c r="T75" s="446">
        <v>42.4</v>
      </c>
      <c r="U75" s="453">
        <f t="shared" si="11"/>
        <v>10.600000000000001</v>
      </c>
      <c r="V75" s="720">
        <f>'Перелік ціни'!P62</f>
        <v>53</v>
      </c>
      <c r="W75" s="716">
        <f t="shared" si="8"/>
        <v>0</v>
      </c>
      <c r="X75" s="423"/>
    </row>
    <row r="76" spans="1:24" s="422" customFormat="1" ht="37.799999999999997" x14ac:dyDescent="0.65">
      <c r="A76" s="886"/>
      <c r="B76" s="443" t="s">
        <v>779</v>
      </c>
      <c r="C76" s="443"/>
      <c r="D76" s="444" t="s">
        <v>784</v>
      </c>
      <c r="E76" s="897">
        <f>'Перелік ціни'!D63</f>
        <v>33.9</v>
      </c>
      <c r="F76" s="897">
        <f>'Перелік ціни'!E63</f>
        <v>7.46</v>
      </c>
      <c r="G76" s="897">
        <f>'Перелік ціни'!F63</f>
        <v>6.2500000000000009</v>
      </c>
      <c r="H76" s="897">
        <f>'Перелік ціни'!G63</f>
        <v>0</v>
      </c>
      <c r="I76" s="898">
        <f t="shared" si="12"/>
        <v>47.61</v>
      </c>
      <c r="J76" s="897">
        <f>'Перелік ціни'!I63</f>
        <v>3.3</v>
      </c>
      <c r="K76" s="897">
        <f>'Перелік ціни'!J63</f>
        <v>0</v>
      </c>
      <c r="L76" s="897">
        <f>'Перелік ціни'!K63</f>
        <v>0</v>
      </c>
      <c r="M76" s="897">
        <f>'Перелік ціни'!L63</f>
        <v>0.6</v>
      </c>
      <c r="N76" s="898">
        <f t="shared" si="9"/>
        <v>3.9</v>
      </c>
      <c r="O76" s="897">
        <f t="shared" si="6"/>
        <v>51.51</v>
      </c>
      <c r="P76" s="897"/>
      <c r="Q76" s="445">
        <f t="shared" si="10"/>
        <v>52</v>
      </c>
      <c r="R76" s="445"/>
      <c r="S76" s="446">
        <f t="shared" si="7"/>
        <v>52</v>
      </c>
      <c r="T76" s="446">
        <v>42.1</v>
      </c>
      <c r="U76" s="453">
        <f t="shared" si="11"/>
        <v>9.8999999999999986</v>
      </c>
      <c r="V76" s="720">
        <f>'Перелік ціни'!P63</f>
        <v>52</v>
      </c>
      <c r="W76" s="716">
        <f t="shared" si="8"/>
        <v>0</v>
      </c>
      <c r="X76" s="423"/>
    </row>
    <row r="77" spans="1:24" s="422" customFormat="1" ht="37.799999999999997" x14ac:dyDescent="0.65">
      <c r="A77" s="886"/>
      <c r="B77" s="443" t="s">
        <v>781</v>
      </c>
      <c r="C77" s="443"/>
      <c r="D77" s="444" t="s">
        <v>785</v>
      </c>
      <c r="E77" s="897">
        <f>'Перелік ціни'!D64</f>
        <v>33.9</v>
      </c>
      <c r="F77" s="897">
        <f>'Перелік ціни'!E64</f>
        <v>7.46</v>
      </c>
      <c r="G77" s="897">
        <f>'Перелік ціни'!F64</f>
        <v>6.38</v>
      </c>
      <c r="H77" s="897">
        <f>'Перелік ціни'!G64</f>
        <v>0</v>
      </c>
      <c r="I77" s="898">
        <f t="shared" si="12"/>
        <v>47.74</v>
      </c>
      <c r="J77" s="897">
        <f>'Перелік ціни'!I64</f>
        <v>3.3</v>
      </c>
      <c r="K77" s="897">
        <f>'Перелік ціни'!J64</f>
        <v>0</v>
      </c>
      <c r="L77" s="897">
        <f>'Перелік ціни'!K64</f>
        <v>0</v>
      </c>
      <c r="M77" s="897">
        <f>'Перелік ціни'!L64</f>
        <v>0.6</v>
      </c>
      <c r="N77" s="898">
        <f t="shared" si="9"/>
        <v>3.9</v>
      </c>
      <c r="O77" s="897">
        <f t="shared" si="6"/>
        <v>51.64</v>
      </c>
      <c r="P77" s="897"/>
      <c r="Q77" s="445">
        <f t="shared" si="10"/>
        <v>52</v>
      </c>
      <c r="R77" s="445"/>
      <c r="S77" s="446">
        <f t="shared" si="7"/>
        <v>52</v>
      </c>
      <c r="T77" s="446">
        <v>42.2</v>
      </c>
      <c r="U77" s="453">
        <f t="shared" si="11"/>
        <v>9.7999999999999972</v>
      </c>
      <c r="V77" s="720">
        <f>'Перелік ціни'!P64</f>
        <v>52</v>
      </c>
      <c r="W77" s="716">
        <f t="shared" si="8"/>
        <v>0</v>
      </c>
      <c r="X77" s="423"/>
    </row>
    <row r="78" spans="1:24" s="422" customFormat="1" ht="37.799999999999997" x14ac:dyDescent="0.65">
      <c r="A78" s="886"/>
      <c r="B78" s="443" t="s">
        <v>783</v>
      </c>
      <c r="C78" s="443"/>
      <c r="D78" s="444" t="s">
        <v>1081</v>
      </c>
      <c r="E78" s="897">
        <f>'Перелік ціни'!D65</f>
        <v>21.08</v>
      </c>
      <c r="F78" s="897">
        <f>'Перелік ціни'!E65</f>
        <v>4.6399999999999997</v>
      </c>
      <c r="G78" s="897">
        <f>'Перелік ціни'!F65</f>
        <v>9.82</v>
      </c>
      <c r="H78" s="897">
        <f>'Перелік ціни'!G65</f>
        <v>3.15</v>
      </c>
      <c r="I78" s="898">
        <f t="shared" si="12"/>
        <v>38.69</v>
      </c>
      <c r="J78" s="897">
        <f>'Перелік ціни'!I65</f>
        <v>1.8199999999999998</v>
      </c>
      <c r="K78" s="897">
        <f>'Перелік ціни'!J65</f>
        <v>0</v>
      </c>
      <c r="L78" s="897">
        <f>'Перелік ціни'!K65</f>
        <v>0</v>
      </c>
      <c r="M78" s="897">
        <f>'Перелік ціни'!L65</f>
        <v>0.32999999999999996</v>
      </c>
      <c r="N78" s="898">
        <f t="shared" si="9"/>
        <v>2.15</v>
      </c>
      <c r="O78" s="897">
        <f t="shared" si="6"/>
        <v>40.839999999999996</v>
      </c>
      <c r="P78" s="897"/>
      <c r="Q78" s="445">
        <f t="shared" si="10"/>
        <v>41</v>
      </c>
      <c r="R78" s="445"/>
      <c r="S78" s="446">
        <f t="shared" si="7"/>
        <v>41</v>
      </c>
      <c r="T78" s="446">
        <v>35.4</v>
      </c>
      <c r="U78" s="453">
        <f t="shared" si="11"/>
        <v>5.6000000000000014</v>
      </c>
      <c r="V78" s="720">
        <f>'Перелік ціни'!P65</f>
        <v>41</v>
      </c>
      <c r="W78" s="716">
        <f t="shared" si="8"/>
        <v>0</v>
      </c>
      <c r="X78" s="423"/>
    </row>
    <row r="79" spans="1:24" s="422" customFormat="1" ht="37.799999999999997" x14ac:dyDescent="0.65">
      <c r="A79" s="886"/>
      <c r="B79" s="443" t="s">
        <v>80</v>
      </c>
      <c r="C79" s="443"/>
      <c r="D79" s="447" t="s">
        <v>104</v>
      </c>
      <c r="E79" s="897">
        <f>'Перелік ціни'!D66</f>
        <v>40.729999999999997</v>
      </c>
      <c r="F79" s="897">
        <f>'Перелік ціни'!E66</f>
        <v>8.9600000000000009</v>
      </c>
      <c r="G79" s="897">
        <f>'Перелік ціни'!F66</f>
        <v>68.789999999999992</v>
      </c>
      <c r="H79" s="897">
        <f>'Перелік ціни'!G66</f>
        <v>1.58</v>
      </c>
      <c r="I79" s="898">
        <f t="shared" si="12"/>
        <v>120.05999999999999</v>
      </c>
      <c r="J79" s="897">
        <f>'Перелік ціни'!I66</f>
        <v>3.4699999999999998</v>
      </c>
      <c r="K79" s="897">
        <f>'Перелік ціни'!J66</f>
        <v>0</v>
      </c>
      <c r="L79" s="897">
        <f>'Перелік ціни'!K66</f>
        <v>0</v>
      </c>
      <c r="M79" s="897">
        <f>'Перелік ціни'!L66</f>
        <v>0.63</v>
      </c>
      <c r="N79" s="898">
        <f t="shared" si="9"/>
        <v>4.0999999999999996</v>
      </c>
      <c r="O79" s="897">
        <f t="shared" si="6"/>
        <v>124.15999999999998</v>
      </c>
      <c r="P79" s="897"/>
      <c r="Q79" s="445">
        <f t="shared" si="10"/>
        <v>124</v>
      </c>
      <c r="R79" s="445"/>
      <c r="S79" s="446">
        <f t="shared" si="7"/>
        <v>124</v>
      </c>
      <c r="T79" s="446">
        <v>107.8</v>
      </c>
      <c r="U79" s="453">
        <f t="shared" si="11"/>
        <v>16.200000000000003</v>
      </c>
      <c r="V79" s="720">
        <f>'Перелік ціни'!P66</f>
        <v>124</v>
      </c>
      <c r="W79" s="716">
        <f t="shared" si="8"/>
        <v>0</v>
      </c>
      <c r="X79" s="423"/>
    </row>
    <row r="80" spans="1:24" s="422" customFormat="1" ht="37.799999999999997" x14ac:dyDescent="0.65">
      <c r="A80" s="886"/>
      <c r="B80" s="443" t="s">
        <v>81</v>
      </c>
      <c r="C80" s="443"/>
      <c r="D80" s="447" t="s">
        <v>77</v>
      </c>
      <c r="E80" s="897">
        <f>'Перелік ціни'!D67</f>
        <v>40.729999999999997</v>
      </c>
      <c r="F80" s="897">
        <f>'Перелік ціни'!E67</f>
        <v>8.9600000000000009</v>
      </c>
      <c r="G80" s="897">
        <f>'Перелік ціни'!F67</f>
        <v>52.96</v>
      </c>
      <c r="H80" s="897">
        <f>'Перелік ціни'!G67</f>
        <v>1.58</v>
      </c>
      <c r="I80" s="898">
        <f t="shared" si="12"/>
        <v>104.23</v>
      </c>
      <c r="J80" s="897">
        <f>'Перелік ціни'!I67</f>
        <v>3.4699999999999998</v>
      </c>
      <c r="K80" s="897">
        <f>'Перелік ціни'!J67</f>
        <v>0</v>
      </c>
      <c r="L80" s="897">
        <f>'Перелік ціни'!K67</f>
        <v>0</v>
      </c>
      <c r="M80" s="897">
        <f>'Перелік ціни'!L67</f>
        <v>0.63</v>
      </c>
      <c r="N80" s="898">
        <f t="shared" si="9"/>
        <v>4.0999999999999996</v>
      </c>
      <c r="O80" s="897">
        <f t="shared" si="6"/>
        <v>108.33</v>
      </c>
      <c r="P80" s="897"/>
      <c r="Q80" s="445">
        <f t="shared" si="10"/>
        <v>108</v>
      </c>
      <c r="R80" s="445"/>
      <c r="S80" s="446">
        <f t="shared" si="7"/>
        <v>108</v>
      </c>
      <c r="T80" s="446">
        <v>92</v>
      </c>
      <c r="U80" s="453">
        <f t="shared" si="11"/>
        <v>16</v>
      </c>
      <c r="V80" s="720">
        <f>'Перелік ціни'!P67</f>
        <v>108</v>
      </c>
      <c r="W80" s="716">
        <f t="shared" si="8"/>
        <v>0</v>
      </c>
      <c r="X80" s="423"/>
    </row>
    <row r="81" spans="1:24" s="422" customFormat="1" ht="37.799999999999997" x14ac:dyDescent="0.65">
      <c r="A81" s="886"/>
      <c r="B81" s="443" t="s">
        <v>103</v>
      </c>
      <c r="C81" s="443"/>
      <c r="D81" s="447" t="s">
        <v>82</v>
      </c>
      <c r="E81" s="897">
        <f>'Перелік ціни'!D68</f>
        <v>40.729999999999997</v>
      </c>
      <c r="F81" s="897">
        <f>'Перелік ціни'!E68</f>
        <v>8.9600000000000009</v>
      </c>
      <c r="G81" s="897">
        <f>'Перелік ціни'!F68</f>
        <v>52.96</v>
      </c>
      <c r="H81" s="897">
        <f>'Перелік ціни'!G68</f>
        <v>1.58</v>
      </c>
      <c r="I81" s="898">
        <f t="shared" si="12"/>
        <v>104.23</v>
      </c>
      <c r="J81" s="897">
        <f>'Перелік ціни'!I68</f>
        <v>3.4699999999999998</v>
      </c>
      <c r="K81" s="897">
        <f>'Перелік ціни'!J68</f>
        <v>0</v>
      </c>
      <c r="L81" s="897">
        <f>'Перелік ціни'!K68</f>
        <v>0</v>
      </c>
      <c r="M81" s="897">
        <f>'Перелік ціни'!L68</f>
        <v>0.63</v>
      </c>
      <c r="N81" s="898">
        <f t="shared" si="9"/>
        <v>4.0999999999999996</v>
      </c>
      <c r="O81" s="897">
        <f t="shared" si="6"/>
        <v>108.33</v>
      </c>
      <c r="P81" s="897"/>
      <c r="Q81" s="445">
        <f t="shared" si="10"/>
        <v>108</v>
      </c>
      <c r="R81" s="445"/>
      <c r="S81" s="446">
        <f t="shared" si="7"/>
        <v>108</v>
      </c>
      <c r="T81" s="446">
        <v>92</v>
      </c>
      <c r="U81" s="453">
        <f t="shared" si="11"/>
        <v>16</v>
      </c>
      <c r="V81" s="720">
        <f>'Перелік ціни'!P68</f>
        <v>108</v>
      </c>
      <c r="W81" s="716">
        <f t="shared" si="8"/>
        <v>0</v>
      </c>
      <c r="X81" s="423"/>
    </row>
    <row r="82" spans="1:24" s="853" customFormat="1" ht="37.200000000000003" x14ac:dyDescent="0.6">
      <c r="B82" s="849" t="s">
        <v>173</v>
      </c>
      <c r="C82" s="849"/>
      <c r="D82" s="915" t="str">
        <f>'Перелік ціни'!C69</f>
        <v>Аналіз сечі за Зимницьким</v>
      </c>
      <c r="E82" s="899">
        <f>'Перелік ціни'!D69</f>
        <v>18.18</v>
      </c>
      <c r="F82" s="899">
        <f>'Перелік ціни'!E69</f>
        <v>4</v>
      </c>
      <c r="G82" s="899">
        <f>'Перелік ціни'!F69</f>
        <v>4.5</v>
      </c>
      <c r="H82" s="899">
        <f>'Перелік ціни'!G69</f>
        <v>0.72</v>
      </c>
      <c r="I82" s="899">
        <f t="shared" ref="I82:I103" si="13">SUM(E82:H82)</f>
        <v>27.4</v>
      </c>
      <c r="J82" s="899">
        <f>'Перелік ціни'!I69</f>
        <v>1.98</v>
      </c>
      <c r="K82" s="899">
        <f>'Перелік ціни'!J69</f>
        <v>0</v>
      </c>
      <c r="L82" s="899">
        <f>'Перелік ціни'!K69</f>
        <v>0</v>
      </c>
      <c r="M82" s="899">
        <f>'Перелік ціни'!L69</f>
        <v>0.36</v>
      </c>
      <c r="N82" s="899">
        <f t="shared" ref="N82:N103" si="14">SUM(J82:M82)</f>
        <v>2.34</v>
      </c>
      <c r="O82" s="899">
        <f t="shared" ref="O82:O103" si="15">I82+N82</f>
        <v>29.74</v>
      </c>
      <c r="P82" s="899"/>
      <c r="Q82" s="839">
        <f t="shared" si="10"/>
        <v>30</v>
      </c>
      <c r="R82" s="839"/>
      <c r="S82" s="839">
        <f t="shared" ref="S82:S103" si="16">ROUND(Q82,2)</f>
        <v>30</v>
      </c>
      <c r="T82" s="839"/>
      <c r="U82" s="835">
        <f t="shared" si="11"/>
        <v>30</v>
      </c>
      <c r="V82" s="916">
        <f>'Перелік ціни'!P69</f>
        <v>30</v>
      </c>
      <c r="W82" s="914">
        <f t="shared" si="8"/>
        <v>0</v>
      </c>
      <c r="X82" s="840"/>
    </row>
    <row r="83" spans="1:24" s="853" customFormat="1" ht="37.200000000000003" x14ac:dyDescent="0.6">
      <c r="B83" s="849" t="s">
        <v>174</v>
      </c>
      <c r="C83" s="849"/>
      <c r="D83" s="915" t="str">
        <f>'Перелік ціни'!C70</f>
        <v>Аналіз сечі на кетони (ацетон)</v>
      </c>
      <c r="E83" s="899">
        <f>'Перелік ціни'!D70</f>
        <v>18.18</v>
      </c>
      <c r="F83" s="899">
        <f>'Перелік ціни'!E70</f>
        <v>4</v>
      </c>
      <c r="G83" s="899">
        <f>'Перелік ціни'!F70</f>
        <v>7.51</v>
      </c>
      <c r="H83" s="899">
        <f>'Перелік ціни'!G70</f>
        <v>0.72</v>
      </c>
      <c r="I83" s="899">
        <f t="shared" si="13"/>
        <v>30.409999999999997</v>
      </c>
      <c r="J83" s="899">
        <f>'Перелік ціни'!I70</f>
        <v>1.98</v>
      </c>
      <c r="K83" s="899">
        <f>'Перелік ціни'!J70</f>
        <v>0</v>
      </c>
      <c r="L83" s="899">
        <f>'Перелік ціни'!K70</f>
        <v>0</v>
      </c>
      <c r="M83" s="899">
        <f>'Перелік ціни'!L70</f>
        <v>0.36</v>
      </c>
      <c r="N83" s="899">
        <f t="shared" si="14"/>
        <v>2.34</v>
      </c>
      <c r="O83" s="899">
        <f t="shared" si="15"/>
        <v>32.75</v>
      </c>
      <c r="P83" s="899"/>
      <c r="Q83" s="839">
        <f t="shared" si="10"/>
        <v>33</v>
      </c>
      <c r="R83" s="839"/>
      <c r="S83" s="839">
        <f t="shared" si="16"/>
        <v>33</v>
      </c>
      <c r="T83" s="839"/>
      <c r="U83" s="835">
        <f t="shared" si="11"/>
        <v>33</v>
      </c>
      <c r="V83" s="916">
        <f>'Перелік ціни'!P70</f>
        <v>33</v>
      </c>
      <c r="W83" s="914">
        <f t="shared" si="8"/>
        <v>0</v>
      </c>
      <c r="X83" s="840"/>
    </row>
    <row r="84" spans="1:24" s="853" customFormat="1" ht="37.200000000000003" x14ac:dyDescent="0.6">
      <c r="B84" s="849" t="s">
        <v>175</v>
      </c>
      <c r="C84" s="849"/>
      <c r="D84" s="915" t="str">
        <f>'Перелік ціни'!C71</f>
        <v>Дослідження калу на лямблії</v>
      </c>
      <c r="E84" s="899">
        <f>'Перелік ціни'!D71</f>
        <v>8.68</v>
      </c>
      <c r="F84" s="899">
        <f>'Перелік ціни'!E71</f>
        <v>1.91</v>
      </c>
      <c r="G84" s="899">
        <f>'Перелік ціни'!F71</f>
        <v>5.0999999999999996</v>
      </c>
      <c r="H84" s="899">
        <f>'Перелік ціни'!G71</f>
        <v>0.32</v>
      </c>
      <c r="I84" s="899">
        <f t="shared" si="13"/>
        <v>16.009999999999998</v>
      </c>
      <c r="J84" s="899">
        <f>'Перелік ціни'!I71</f>
        <v>0.88000000000000012</v>
      </c>
      <c r="K84" s="899">
        <f>'Перелік ціни'!J71</f>
        <v>0</v>
      </c>
      <c r="L84" s="899">
        <f>'Перелік ціни'!K71</f>
        <v>0</v>
      </c>
      <c r="M84" s="899">
        <f>'Перелік ціни'!L71</f>
        <v>0.16</v>
      </c>
      <c r="N84" s="899">
        <f t="shared" si="14"/>
        <v>1.04</v>
      </c>
      <c r="O84" s="899">
        <f t="shared" si="15"/>
        <v>17.049999999999997</v>
      </c>
      <c r="P84" s="899"/>
      <c r="Q84" s="839">
        <f t="shared" si="10"/>
        <v>17</v>
      </c>
      <c r="R84" s="839"/>
      <c r="S84" s="839">
        <f t="shared" si="16"/>
        <v>17</v>
      </c>
      <c r="T84" s="839"/>
      <c r="U84" s="835">
        <f t="shared" si="11"/>
        <v>17</v>
      </c>
      <c r="V84" s="916">
        <f>'Перелік ціни'!P71</f>
        <v>17</v>
      </c>
      <c r="W84" s="914">
        <f t="shared" si="8"/>
        <v>0</v>
      </c>
      <c r="X84" s="840"/>
    </row>
    <row r="85" spans="1:24" s="853" customFormat="1" ht="37.200000000000003" x14ac:dyDescent="0.6">
      <c r="B85" s="849" t="s">
        <v>177</v>
      </c>
      <c r="C85" s="849"/>
      <c r="D85" s="915" t="str">
        <f>'Перелік ціни'!C72</f>
        <v>Мазок на генітальні інфекції</v>
      </c>
      <c r="E85" s="899">
        <f>'Перелік ціни'!D72</f>
        <v>24.4</v>
      </c>
      <c r="F85" s="899">
        <f>'Перелік ціни'!E72</f>
        <v>5.37</v>
      </c>
      <c r="G85" s="899">
        <f>'Перелік ціни'!F72</f>
        <v>6.43</v>
      </c>
      <c r="H85" s="899">
        <f>'Перелік ціни'!G72</f>
        <v>0.8</v>
      </c>
      <c r="I85" s="899">
        <f t="shared" si="13"/>
        <v>37</v>
      </c>
      <c r="J85" s="899">
        <f>'Перелік ціни'!I72</f>
        <v>2.2000000000000002</v>
      </c>
      <c r="K85" s="899">
        <f>'Перелік ціни'!J72</f>
        <v>0</v>
      </c>
      <c r="L85" s="899">
        <f>'Перелік ціни'!K72</f>
        <v>0</v>
      </c>
      <c r="M85" s="899">
        <f>'Перелік ціни'!L72</f>
        <v>0.4</v>
      </c>
      <c r="N85" s="899">
        <f t="shared" si="14"/>
        <v>2.6</v>
      </c>
      <c r="O85" s="899">
        <f t="shared" si="15"/>
        <v>39.6</v>
      </c>
      <c r="P85" s="899"/>
      <c r="Q85" s="839">
        <f t="shared" si="10"/>
        <v>40</v>
      </c>
      <c r="R85" s="839"/>
      <c r="S85" s="839">
        <f t="shared" si="16"/>
        <v>40</v>
      </c>
      <c r="T85" s="839"/>
      <c r="U85" s="835">
        <f t="shared" si="11"/>
        <v>40</v>
      </c>
      <c r="V85" s="916">
        <f>'Перелік ціни'!P72</f>
        <v>40</v>
      </c>
      <c r="W85" s="914">
        <f t="shared" si="8"/>
        <v>0</v>
      </c>
      <c r="X85" s="840"/>
    </row>
    <row r="86" spans="1:24" s="853" customFormat="1" ht="37.200000000000003" x14ac:dyDescent="0.6">
      <c r="B86" s="849" t="s">
        <v>178</v>
      </c>
      <c r="C86" s="849"/>
      <c r="D86" s="915" t="str">
        <f>'Перелік ціни'!C73</f>
        <v>Мікроскопічне дослідження на Демодекс</v>
      </c>
      <c r="E86" s="899">
        <f>'Перелік ціни'!D73</f>
        <v>24.4</v>
      </c>
      <c r="F86" s="899">
        <f>'Перелік ціни'!E73</f>
        <v>5.37</v>
      </c>
      <c r="G86" s="899">
        <f>'Перелік ціни'!F73</f>
        <v>55.389999999999993</v>
      </c>
      <c r="H86" s="899">
        <f>'Перелік ціни'!G73</f>
        <v>0.8</v>
      </c>
      <c r="I86" s="899">
        <f t="shared" si="13"/>
        <v>85.96</v>
      </c>
      <c r="J86" s="899">
        <f>'Перелік ціни'!I73</f>
        <v>2.2000000000000002</v>
      </c>
      <c r="K86" s="899">
        <f>'Перелік ціни'!J73</f>
        <v>0</v>
      </c>
      <c r="L86" s="899">
        <f>'Перелік ціни'!K73</f>
        <v>0</v>
      </c>
      <c r="M86" s="899">
        <f>'Перелік ціни'!L73</f>
        <v>0.4</v>
      </c>
      <c r="N86" s="899">
        <f t="shared" si="14"/>
        <v>2.6</v>
      </c>
      <c r="O86" s="899">
        <f t="shared" si="15"/>
        <v>88.559999999999988</v>
      </c>
      <c r="P86" s="899"/>
      <c r="Q86" s="839">
        <f t="shared" si="10"/>
        <v>89</v>
      </c>
      <c r="R86" s="839"/>
      <c r="S86" s="839">
        <f t="shared" si="16"/>
        <v>89</v>
      </c>
      <c r="T86" s="839"/>
      <c r="U86" s="835">
        <f t="shared" si="11"/>
        <v>89</v>
      </c>
      <c r="V86" s="916">
        <f>'Перелік ціни'!P73</f>
        <v>89</v>
      </c>
      <c r="W86" s="914">
        <f t="shared" si="8"/>
        <v>0</v>
      </c>
      <c r="X86" s="840"/>
    </row>
    <row r="87" spans="1:24" s="853" customFormat="1" ht="37.200000000000003" x14ac:dyDescent="0.6">
      <c r="B87" s="849" t="s">
        <v>179</v>
      </c>
      <c r="C87" s="849"/>
      <c r="D87" s="915" t="str">
        <f>'Перелік ціни'!C74</f>
        <v>Мікроскопічне дослідження на патологічні грибки</v>
      </c>
      <c r="E87" s="899">
        <f>'Перелік ціни'!D74</f>
        <v>24.4</v>
      </c>
      <c r="F87" s="899">
        <f>'Перелік ціни'!E74</f>
        <v>5.37</v>
      </c>
      <c r="G87" s="899">
        <f>'Перелік ціни'!F74</f>
        <v>54.689999999999991</v>
      </c>
      <c r="H87" s="899">
        <f>'Перелік ціни'!G74</f>
        <v>0.8</v>
      </c>
      <c r="I87" s="899">
        <f t="shared" si="13"/>
        <v>85.259999999999991</v>
      </c>
      <c r="J87" s="899">
        <f>'Перелік ціни'!I74</f>
        <v>2.2000000000000002</v>
      </c>
      <c r="K87" s="899">
        <f>'Перелік ціни'!J74</f>
        <v>0</v>
      </c>
      <c r="L87" s="899">
        <f>'Перелік ціни'!K74</f>
        <v>0</v>
      </c>
      <c r="M87" s="899">
        <f>'Перелік ціни'!L74</f>
        <v>0.4</v>
      </c>
      <c r="N87" s="899">
        <f t="shared" si="14"/>
        <v>2.6</v>
      </c>
      <c r="O87" s="899">
        <f t="shared" si="15"/>
        <v>87.859999999999985</v>
      </c>
      <c r="P87" s="899"/>
      <c r="Q87" s="839">
        <f t="shared" si="10"/>
        <v>88</v>
      </c>
      <c r="R87" s="839"/>
      <c r="S87" s="839">
        <f t="shared" si="16"/>
        <v>88</v>
      </c>
      <c r="T87" s="839"/>
      <c r="U87" s="835">
        <f t="shared" si="11"/>
        <v>88</v>
      </c>
      <c r="V87" s="916">
        <f>'Перелік ціни'!P74</f>
        <v>88</v>
      </c>
      <c r="W87" s="914">
        <f t="shared" si="8"/>
        <v>0</v>
      </c>
      <c r="X87" s="840"/>
    </row>
    <row r="88" spans="1:24" s="853" customFormat="1" ht="37.200000000000003" x14ac:dyDescent="0.6">
      <c r="B88" s="849" t="s">
        <v>180</v>
      </c>
      <c r="C88" s="849"/>
      <c r="D88" s="915" t="str">
        <f>'Перелік ціни'!C75</f>
        <v>Дослідження мікрофлори ротової порожнини</v>
      </c>
      <c r="E88" s="899">
        <f>'Перелік ціни'!D75</f>
        <v>17.850000000000001</v>
      </c>
      <c r="F88" s="899">
        <f>'Перелік ціни'!E75</f>
        <v>3.93</v>
      </c>
      <c r="G88" s="899">
        <f>'Перелік ціни'!F75</f>
        <v>5.5</v>
      </c>
      <c r="H88" s="899">
        <f>'Перелік ціни'!G75</f>
        <v>0.6</v>
      </c>
      <c r="I88" s="899">
        <f t="shared" si="13"/>
        <v>27.880000000000003</v>
      </c>
      <c r="J88" s="899">
        <f>'Перелік ціни'!I75</f>
        <v>1.6500000000000001</v>
      </c>
      <c r="K88" s="899">
        <f>'Перелік ціни'!J75</f>
        <v>0</v>
      </c>
      <c r="L88" s="899">
        <f>'Перелік ціни'!K75</f>
        <v>0</v>
      </c>
      <c r="M88" s="899">
        <f>'Перелік ціни'!L75</f>
        <v>0.30000000000000004</v>
      </c>
      <c r="N88" s="899">
        <f t="shared" si="14"/>
        <v>1.9500000000000002</v>
      </c>
      <c r="O88" s="899">
        <f t="shared" si="15"/>
        <v>29.830000000000002</v>
      </c>
      <c r="P88" s="899"/>
      <c r="Q88" s="839">
        <f t="shared" si="10"/>
        <v>30</v>
      </c>
      <c r="R88" s="839"/>
      <c r="S88" s="839">
        <f t="shared" si="16"/>
        <v>30</v>
      </c>
      <c r="T88" s="839"/>
      <c r="U88" s="835">
        <f t="shared" si="11"/>
        <v>30</v>
      </c>
      <c r="V88" s="916">
        <f>'Перелік ціни'!P75</f>
        <v>30</v>
      </c>
      <c r="W88" s="914">
        <f t="shared" si="8"/>
        <v>0</v>
      </c>
      <c r="X88" s="840"/>
    </row>
    <row r="89" spans="1:24" s="853" customFormat="1" ht="37.200000000000003" x14ac:dyDescent="0.6">
      <c r="B89" s="849" t="s">
        <v>181</v>
      </c>
      <c r="C89" s="849"/>
      <c r="D89" s="915" t="str">
        <f>'Перелік ціни'!C76</f>
        <v>Обстеження на загальний білок</v>
      </c>
      <c r="E89" s="899">
        <f>'Перелік ціни'!D76</f>
        <v>29.05</v>
      </c>
      <c r="F89" s="899">
        <f>'Перелік ціни'!E76</f>
        <v>6.39</v>
      </c>
      <c r="G89" s="899">
        <f>'Перелік ціни'!F76</f>
        <v>6.91</v>
      </c>
      <c r="H89" s="899">
        <f>'Перелік ціни'!G76</f>
        <v>0.92</v>
      </c>
      <c r="I89" s="899">
        <f t="shared" si="13"/>
        <v>43.269999999999996</v>
      </c>
      <c r="J89" s="899">
        <f>'Перелік ціни'!I76</f>
        <v>2.5300000000000002</v>
      </c>
      <c r="K89" s="899">
        <f>'Перелік ціни'!J76</f>
        <v>0</v>
      </c>
      <c r="L89" s="899">
        <f>'Перелік ціни'!K76</f>
        <v>0</v>
      </c>
      <c r="M89" s="899">
        <f>'Перелік ціни'!L76</f>
        <v>0.46</v>
      </c>
      <c r="N89" s="899">
        <f t="shared" si="14"/>
        <v>2.99</v>
      </c>
      <c r="O89" s="899">
        <f t="shared" si="15"/>
        <v>46.26</v>
      </c>
      <c r="P89" s="899"/>
      <c r="Q89" s="839">
        <f t="shared" si="10"/>
        <v>46</v>
      </c>
      <c r="R89" s="839"/>
      <c r="S89" s="839">
        <f t="shared" si="16"/>
        <v>46</v>
      </c>
      <c r="T89" s="839"/>
      <c r="U89" s="835">
        <f t="shared" si="11"/>
        <v>46</v>
      </c>
      <c r="V89" s="916">
        <f>'Перелік ціни'!P76</f>
        <v>46</v>
      </c>
      <c r="W89" s="914">
        <f t="shared" si="8"/>
        <v>0</v>
      </c>
      <c r="X89" s="840"/>
    </row>
    <row r="90" spans="1:24" s="853" customFormat="1" ht="37.200000000000003" x14ac:dyDescent="0.6">
      <c r="B90" s="849" t="s">
        <v>187</v>
      </c>
      <c r="C90" s="849"/>
      <c r="D90" s="915" t="str">
        <f>'Перелік ціни'!C77</f>
        <v>Аналіз крові на LE - клітини</v>
      </c>
      <c r="E90" s="899">
        <f>'Перелік ціни'!D77</f>
        <v>57.11</v>
      </c>
      <c r="F90" s="899">
        <f>'Перелік ціни'!E77</f>
        <v>12.56</v>
      </c>
      <c r="G90" s="899">
        <f>'Перелік ціни'!F77</f>
        <v>4.42</v>
      </c>
      <c r="H90" s="899">
        <f>'Перелік ціни'!G77</f>
        <v>1.76</v>
      </c>
      <c r="I90" s="899">
        <f t="shared" si="13"/>
        <v>75.850000000000009</v>
      </c>
      <c r="J90" s="899">
        <f>'Перелік ціни'!I77</f>
        <v>4.8499999999999996</v>
      </c>
      <c r="K90" s="899">
        <f>'Перелік ціни'!J77</f>
        <v>0</v>
      </c>
      <c r="L90" s="899">
        <f>'Перелік ціни'!K77</f>
        <v>0</v>
      </c>
      <c r="M90" s="899">
        <f>'Перелік ціни'!L77</f>
        <v>0.88</v>
      </c>
      <c r="N90" s="899">
        <f t="shared" si="14"/>
        <v>5.7299999999999995</v>
      </c>
      <c r="O90" s="899">
        <f t="shared" si="15"/>
        <v>81.580000000000013</v>
      </c>
      <c r="P90" s="899"/>
      <c r="Q90" s="839">
        <f t="shared" si="10"/>
        <v>82</v>
      </c>
      <c r="R90" s="839"/>
      <c r="S90" s="839">
        <f t="shared" si="16"/>
        <v>82</v>
      </c>
      <c r="T90" s="839"/>
      <c r="U90" s="835">
        <f t="shared" si="11"/>
        <v>82</v>
      </c>
      <c r="V90" s="916">
        <f>'Перелік ціни'!P77</f>
        <v>82</v>
      </c>
      <c r="W90" s="914">
        <f t="shared" si="8"/>
        <v>0</v>
      </c>
      <c r="X90" s="840"/>
    </row>
    <row r="91" spans="1:24" s="853" customFormat="1" ht="37.200000000000003" x14ac:dyDescent="0.6">
      <c r="B91" s="849" t="s">
        <v>316</v>
      </c>
      <c r="C91" s="849"/>
      <c r="D91" s="915" t="str">
        <f>'Перелік ціни'!C78</f>
        <v>СРБ (С- реактивний білок) (кількісні результати)</v>
      </c>
      <c r="E91" s="899">
        <f>'Перелік ціни'!D78</f>
        <v>26.53</v>
      </c>
      <c r="F91" s="899">
        <f>'Перелік ціни'!E78</f>
        <v>5.84</v>
      </c>
      <c r="G91" s="899">
        <f>'Перелік ціни'!F78</f>
        <v>107.33999999999999</v>
      </c>
      <c r="H91" s="899">
        <f>'Перелік ціни'!G78</f>
        <v>0.46</v>
      </c>
      <c r="I91" s="899">
        <f t="shared" si="13"/>
        <v>140.16999999999999</v>
      </c>
      <c r="J91" s="899">
        <f>'Перелік ціни'!I78</f>
        <v>2.5300000000000002</v>
      </c>
      <c r="K91" s="899">
        <f>'Перелік ціни'!J78</f>
        <v>0</v>
      </c>
      <c r="L91" s="899">
        <f>'Перелік ціни'!K78</f>
        <v>0</v>
      </c>
      <c r="M91" s="899">
        <f>'Перелік ціни'!L78</f>
        <v>0.46</v>
      </c>
      <c r="N91" s="899">
        <f t="shared" si="14"/>
        <v>2.99</v>
      </c>
      <c r="O91" s="899">
        <f t="shared" si="15"/>
        <v>143.16</v>
      </c>
      <c r="P91" s="899"/>
      <c r="Q91" s="839">
        <f t="shared" si="10"/>
        <v>143</v>
      </c>
      <c r="R91" s="839"/>
      <c r="S91" s="839">
        <f t="shared" si="16"/>
        <v>143</v>
      </c>
      <c r="T91" s="839"/>
      <c r="U91" s="835">
        <f t="shared" si="11"/>
        <v>143</v>
      </c>
      <c r="V91" s="916">
        <f>'Перелік ціни'!P78</f>
        <v>143</v>
      </c>
      <c r="W91" s="914">
        <f t="shared" si="8"/>
        <v>0</v>
      </c>
      <c r="X91" s="840"/>
    </row>
    <row r="92" spans="1:24" s="853" customFormat="1" ht="37.200000000000003" x14ac:dyDescent="0.6">
      <c r="B92" s="849" t="s">
        <v>317</v>
      </c>
      <c r="C92" s="849"/>
      <c r="D92" s="915" t="str">
        <f>'Перелік ціни'!C79</f>
        <v>Прокальцитонін (кількісні результати)</v>
      </c>
      <c r="E92" s="899">
        <f>'Перелік ціни'!D79</f>
        <v>35.700000000000003</v>
      </c>
      <c r="F92" s="899">
        <f>'Перелік ціни'!E79</f>
        <v>7.85</v>
      </c>
      <c r="G92" s="899">
        <f>'Перелік ціни'!F79</f>
        <v>287.34000000000003</v>
      </c>
      <c r="H92" s="899">
        <f>'Перелік ціни'!G79</f>
        <v>0.6</v>
      </c>
      <c r="I92" s="899">
        <f t="shared" si="13"/>
        <v>331.49000000000007</v>
      </c>
      <c r="J92" s="899">
        <f>'Перелік ціни'!I79</f>
        <v>3.3000000000000003</v>
      </c>
      <c r="K92" s="899">
        <f>'Перелік ціни'!J79</f>
        <v>0</v>
      </c>
      <c r="L92" s="899">
        <f>'Перелік ціни'!K79</f>
        <v>0</v>
      </c>
      <c r="M92" s="899">
        <f>'Перелік ціни'!L79</f>
        <v>0.60000000000000009</v>
      </c>
      <c r="N92" s="899">
        <f t="shared" si="14"/>
        <v>3.9000000000000004</v>
      </c>
      <c r="O92" s="899">
        <f t="shared" si="15"/>
        <v>335.39000000000004</v>
      </c>
      <c r="P92" s="899"/>
      <c r="Q92" s="839">
        <f t="shared" si="10"/>
        <v>335</v>
      </c>
      <c r="R92" s="839"/>
      <c r="S92" s="839">
        <f t="shared" si="16"/>
        <v>335</v>
      </c>
      <c r="T92" s="839"/>
      <c r="U92" s="835">
        <f t="shared" si="11"/>
        <v>335</v>
      </c>
      <c r="V92" s="916">
        <f>'Перелік ціни'!P79</f>
        <v>335</v>
      </c>
      <c r="W92" s="914">
        <f t="shared" si="8"/>
        <v>0</v>
      </c>
      <c r="X92" s="840"/>
    </row>
    <row r="93" spans="1:24" s="853" customFormat="1" ht="37.200000000000003" x14ac:dyDescent="0.6">
      <c r="B93" s="849" t="s">
        <v>318</v>
      </c>
      <c r="C93" s="849"/>
      <c r="D93" s="915" t="str">
        <f>'Перелік ціни'!C80</f>
        <v>D - димер (кількісні результати)</v>
      </c>
      <c r="E93" s="899">
        <f>'Перелік ціни'!D80</f>
        <v>35.700000000000003</v>
      </c>
      <c r="F93" s="899">
        <f>'Перелік ціни'!E80</f>
        <v>7.85</v>
      </c>
      <c r="G93" s="899">
        <f>'Перелік ціни'!F80</f>
        <v>192.34</v>
      </c>
      <c r="H93" s="899">
        <f>'Перелік ціни'!G80</f>
        <v>0.6</v>
      </c>
      <c r="I93" s="899">
        <f t="shared" si="13"/>
        <v>236.49</v>
      </c>
      <c r="J93" s="899">
        <f>'Перелік ціни'!I80</f>
        <v>3.3000000000000003</v>
      </c>
      <c r="K93" s="899">
        <f>'Перелік ціни'!J80</f>
        <v>0</v>
      </c>
      <c r="L93" s="899">
        <f>'Перелік ціни'!K80</f>
        <v>0</v>
      </c>
      <c r="M93" s="899">
        <f>'Перелік ціни'!L80</f>
        <v>0.60000000000000009</v>
      </c>
      <c r="N93" s="899">
        <f t="shared" si="14"/>
        <v>3.9000000000000004</v>
      </c>
      <c r="O93" s="899">
        <f t="shared" si="15"/>
        <v>240.39000000000001</v>
      </c>
      <c r="P93" s="899"/>
      <c r="Q93" s="839">
        <f t="shared" si="10"/>
        <v>240</v>
      </c>
      <c r="R93" s="839"/>
      <c r="S93" s="839">
        <f t="shared" si="16"/>
        <v>240</v>
      </c>
      <c r="T93" s="839"/>
      <c r="U93" s="835">
        <f t="shared" si="11"/>
        <v>240</v>
      </c>
      <c r="V93" s="916">
        <f>'Перелік ціни'!P80</f>
        <v>240</v>
      </c>
      <c r="W93" s="914">
        <f t="shared" si="8"/>
        <v>0</v>
      </c>
      <c r="X93" s="840"/>
    </row>
    <row r="94" spans="1:24" s="853" customFormat="1" ht="37.200000000000003" x14ac:dyDescent="0.6">
      <c r="B94" s="849" t="s">
        <v>319</v>
      </c>
      <c r="C94" s="849"/>
      <c r="D94" s="915" t="str">
        <f>'Перелік ціни'!C81</f>
        <v>Вітамін D ( 25 - OH - D3 ) (кількісні результати)</v>
      </c>
      <c r="E94" s="899">
        <f>'Перелік ціни'!D81</f>
        <v>48.8</v>
      </c>
      <c r="F94" s="899">
        <f>'Перелік ціни'!E81</f>
        <v>10.74</v>
      </c>
      <c r="G94" s="899">
        <f>'Перелік ціни'!F81</f>
        <v>277.34000000000003</v>
      </c>
      <c r="H94" s="899">
        <f>'Перелік ціни'!G81</f>
        <v>0.8</v>
      </c>
      <c r="I94" s="899">
        <f t="shared" si="13"/>
        <v>337.68000000000006</v>
      </c>
      <c r="J94" s="899">
        <f>'Перелік ціни'!I81</f>
        <v>4.4000000000000004</v>
      </c>
      <c r="K94" s="899">
        <f>'Перелік ціни'!J81</f>
        <v>0</v>
      </c>
      <c r="L94" s="899">
        <f>'Перелік ціни'!K81</f>
        <v>0</v>
      </c>
      <c r="M94" s="899">
        <f>'Перелік ціни'!L81</f>
        <v>0.8</v>
      </c>
      <c r="N94" s="899">
        <f t="shared" si="14"/>
        <v>5.2</v>
      </c>
      <c r="O94" s="899">
        <f t="shared" si="15"/>
        <v>342.88000000000005</v>
      </c>
      <c r="P94" s="899"/>
      <c r="Q94" s="839">
        <f t="shared" si="10"/>
        <v>343</v>
      </c>
      <c r="R94" s="839"/>
      <c r="S94" s="839">
        <f t="shared" si="16"/>
        <v>343</v>
      </c>
      <c r="T94" s="839"/>
      <c r="U94" s="835">
        <f t="shared" si="11"/>
        <v>343</v>
      </c>
      <c r="V94" s="916">
        <f>'Перелік ціни'!P81</f>
        <v>343</v>
      </c>
      <c r="W94" s="914">
        <f t="shared" si="8"/>
        <v>0</v>
      </c>
      <c r="X94" s="840"/>
    </row>
    <row r="95" spans="1:24" s="853" customFormat="1" ht="37.200000000000003" x14ac:dyDescent="0.6">
      <c r="B95" s="849" t="s">
        <v>320</v>
      </c>
      <c r="C95" s="849"/>
      <c r="D95" s="915" t="str">
        <f>'Перелік ціни'!C82</f>
        <v>ТТГ (тиреотропний гормон ) (кількісні результати)</v>
      </c>
      <c r="E95" s="899">
        <f>'Перелік ціни'!D82</f>
        <v>42.25</v>
      </c>
      <c r="F95" s="899">
        <f>'Перелік ціни'!E82</f>
        <v>9.3000000000000007</v>
      </c>
      <c r="G95" s="899">
        <f>'Перелік ціни'!F82</f>
        <v>112.33999999999999</v>
      </c>
      <c r="H95" s="899">
        <f>'Перелік ціни'!G82</f>
        <v>0.7</v>
      </c>
      <c r="I95" s="899">
        <f t="shared" si="13"/>
        <v>164.58999999999997</v>
      </c>
      <c r="J95" s="899">
        <f>'Перелік ціни'!I82</f>
        <v>3.85</v>
      </c>
      <c r="K95" s="899">
        <f>'Перелік ціни'!J82</f>
        <v>0</v>
      </c>
      <c r="L95" s="899">
        <f>'Перелік ціни'!K82</f>
        <v>0</v>
      </c>
      <c r="M95" s="899">
        <f>'Перелік ціни'!L82</f>
        <v>0.7</v>
      </c>
      <c r="N95" s="899">
        <f t="shared" si="14"/>
        <v>4.55</v>
      </c>
      <c r="O95" s="899">
        <f t="shared" si="15"/>
        <v>169.14</v>
      </c>
      <c r="P95" s="899"/>
      <c r="Q95" s="839">
        <f t="shared" si="10"/>
        <v>169</v>
      </c>
      <c r="R95" s="839"/>
      <c r="S95" s="839">
        <f t="shared" si="16"/>
        <v>169</v>
      </c>
      <c r="T95" s="839"/>
      <c r="U95" s="835">
        <f t="shared" si="11"/>
        <v>169</v>
      </c>
      <c r="V95" s="916">
        <f>'Перелік ціни'!P82</f>
        <v>169</v>
      </c>
      <c r="W95" s="914">
        <f t="shared" si="8"/>
        <v>0</v>
      </c>
      <c r="X95" s="840"/>
    </row>
    <row r="96" spans="1:24" s="853" customFormat="1" ht="37.200000000000003" x14ac:dyDescent="0.6">
      <c r="B96" s="849" t="s">
        <v>321</v>
      </c>
      <c r="C96" s="849"/>
      <c r="D96" s="915" t="str">
        <f>'Перелік ціни'!C83</f>
        <v>Т3 (трийодтиронін) (кількісні результати)</v>
      </c>
      <c r="E96" s="899">
        <f>'Перелік ціни'!D83</f>
        <v>42.25</v>
      </c>
      <c r="F96" s="899">
        <f>'Перелік ціни'!E83</f>
        <v>9.3000000000000007</v>
      </c>
      <c r="G96" s="899">
        <f>'Перелік ціни'!F83</f>
        <v>112.33999999999999</v>
      </c>
      <c r="H96" s="899">
        <f>'Перелік ціни'!G83</f>
        <v>0.7</v>
      </c>
      <c r="I96" s="899">
        <f t="shared" si="13"/>
        <v>164.58999999999997</v>
      </c>
      <c r="J96" s="899">
        <f>'Перелік ціни'!I83</f>
        <v>3.85</v>
      </c>
      <c r="K96" s="899">
        <f>'Перелік ціни'!J83</f>
        <v>0</v>
      </c>
      <c r="L96" s="899">
        <f>'Перелік ціни'!K83</f>
        <v>0</v>
      </c>
      <c r="M96" s="899">
        <f>'Перелік ціни'!L83</f>
        <v>0.7</v>
      </c>
      <c r="N96" s="899">
        <f t="shared" si="14"/>
        <v>4.55</v>
      </c>
      <c r="O96" s="899">
        <f t="shared" si="15"/>
        <v>169.14</v>
      </c>
      <c r="P96" s="899"/>
      <c r="Q96" s="839">
        <f t="shared" si="10"/>
        <v>169</v>
      </c>
      <c r="R96" s="839"/>
      <c r="S96" s="839">
        <f t="shared" si="16"/>
        <v>169</v>
      </c>
      <c r="T96" s="839"/>
      <c r="U96" s="835">
        <f t="shared" si="11"/>
        <v>169</v>
      </c>
      <c r="V96" s="916">
        <f>'Перелік ціни'!P83</f>
        <v>169</v>
      </c>
      <c r="W96" s="914">
        <f t="shared" si="8"/>
        <v>0</v>
      </c>
      <c r="X96" s="840"/>
    </row>
    <row r="97" spans="1:24" s="853" customFormat="1" ht="37.200000000000003" x14ac:dyDescent="0.6">
      <c r="B97" s="849" t="s">
        <v>322</v>
      </c>
      <c r="C97" s="849"/>
      <c r="D97" s="915" t="str">
        <f>'Перелік ціни'!C84</f>
        <v>Т4 (тироксин) (кількісні результати)</v>
      </c>
      <c r="E97" s="899">
        <f>'Перелік ціни'!D84</f>
        <v>35.700000000000003</v>
      </c>
      <c r="F97" s="899">
        <f>'Перелік ціни'!E84</f>
        <v>7.85</v>
      </c>
      <c r="G97" s="899">
        <f>'Перелік ціни'!F84</f>
        <v>112.33999999999999</v>
      </c>
      <c r="H97" s="899">
        <f>'Перелік ціни'!G84</f>
        <v>0.6</v>
      </c>
      <c r="I97" s="899">
        <f t="shared" si="13"/>
        <v>156.48999999999998</v>
      </c>
      <c r="J97" s="899">
        <f>'Перелік ціни'!I84</f>
        <v>3.3000000000000003</v>
      </c>
      <c r="K97" s="899">
        <f>'Перелік ціни'!J84</f>
        <v>0</v>
      </c>
      <c r="L97" s="899">
        <f>'Перелік ціни'!K84</f>
        <v>0</v>
      </c>
      <c r="M97" s="899">
        <f>'Перелік ціни'!L84</f>
        <v>0.60000000000000009</v>
      </c>
      <c r="N97" s="899">
        <f t="shared" si="14"/>
        <v>3.9000000000000004</v>
      </c>
      <c r="O97" s="899">
        <f t="shared" si="15"/>
        <v>160.38999999999999</v>
      </c>
      <c r="P97" s="899"/>
      <c r="Q97" s="839">
        <f t="shared" si="10"/>
        <v>160</v>
      </c>
      <c r="R97" s="839"/>
      <c r="S97" s="839">
        <f t="shared" si="16"/>
        <v>160</v>
      </c>
      <c r="T97" s="839"/>
      <c r="U97" s="835">
        <f t="shared" si="11"/>
        <v>160</v>
      </c>
      <c r="V97" s="916">
        <f>'Перелік ціни'!P84</f>
        <v>160</v>
      </c>
      <c r="W97" s="914">
        <f t="shared" si="8"/>
        <v>0</v>
      </c>
      <c r="X97" s="840"/>
    </row>
    <row r="98" spans="1:24" s="853" customFormat="1" ht="37.200000000000003" x14ac:dyDescent="0.6">
      <c r="B98" s="849" t="s">
        <v>323</v>
      </c>
      <c r="C98" s="849"/>
      <c r="D98" s="915" t="str">
        <f>'Перелік ціни'!C85</f>
        <v>ХГЛ (хоріонічний гонадотропін людини) (кількісні результати)</v>
      </c>
      <c r="E98" s="899">
        <f>'Перелік ціни'!D85</f>
        <v>42.25</v>
      </c>
      <c r="F98" s="899">
        <f>'Перелік ціни'!E85</f>
        <v>9.3000000000000007</v>
      </c>
      <c r="G98" s="899">
        <f>'Перелік ціни'!F85</f>
        <v>112.33999999999999</v>
      </c>
      <c r="H98" s="899">
        <f>'Перелік ціни'!G85</f>
        <v>0.7</v>
      </c>
      <c r="I98" s="899">
        <f t="shared" si="13"/>
        <v>164.58999999999997</v>
      </c>
      <c r="J98" s="899">
        <f>'Перелік ціни'!I85</f>
        <v>3.85</v>
      </c>
      <c r="K98" s="899">
        <f>'Перелік ціни'!J85</f>
        <v>0</v>
      </c>
      <c r="L98" s="899">
        <f>'Перелік ціни'!K85</f>
        <v>0</v>
      </c>
      <c r="M98" s="899">
        <f>'Перелік ціни'!L85</f>
        <v>0.7</v>
      </c>
      <c r="N98" s="899">
        <f t="shared" si="14"/>
        <v>4.55</v>
      </c>
      <c r="O98" s="899">
        <f t="shared" si="15"/>
        <v>169.14</v>
      </c>
      <c r="P98" s="899"/>
      <c r="Q98" s="839">
        <f t="shared" si="10"/>
        <v>169</v>
      </c>
      <c r="R98" s="839"/>
      <c r="S98" s="839">
        <f t="shared" si="16"/>
        <v>169</v>
      </c>
      <c r="T98" s="839"/>
      <c r="U98" s="835">
        <f t="shared" si="11"/>
        <v>169</v>
      </c>
      <c r="V98" s="916">
        <f>'Перелік ціни'!P85</f>
        <v>169</v>
      </c>
      <c r="W98" s="914">
        <f t="shared" si="8"/>
        <v>0</v>
      </c>
      <c r="X98" s="840"/>
    </row>
    <row r="99" spans="1:24" s="853" customFormat="1" ht="37.200000000000003" x14ac:dyDescent="0.6">
      <c r="B99" s="849" t="s">
        <v>332</v>
      </c>
      <c r="C99" s="849"/>
      <c r="D99" s="915" t="str">
        <f>'Перелік ціни'!C86</f>
        <v>ФСГ (фолікулостимулюючий гормон) (кількісні результати)</v>
      </c>
      <c r="E99" s="899">
        <f>'Перелік ціни'!D86</f>
        <v>35.700000000000003</v>
      </c>
      <c r="F99" s="899">
        <f>'Перелік ціни'!E86</f>
        <v>7.85</v>
      </c>
      <c r="G99" s="899">
        <f>'Перелік ціни'!F86</f>
        <v>137.34</v>
      </c>
      <c r="H99" s="899">
        <f>'Перелік ціни'!G86</f>
        <v>0.6</v>
      </c>
      <c r="I99" s="899">
        <f t="shared" si="13"/>
        <v>181.49</v>
      </c>
      <c r="J99" s="899">
        <f>'Перелік ціни'!I86</f>
        <v>3.3000000000000003</v>
      </c>
      <c r="K99" s="899">
        <f>'Перелік ціни'!J86</f>
        <v>0</v>
      </c>
      <c r="L99" s="899">
        <f>'Перелік ціни'!K86</f>
        <v>0</v>
      </c>
      <c r="M99" s="899">
        <f>'Перелік ціни'!L86</f>
        <v>0.60000000000000009</v>
      </c>
      <c r="N99" s="899">
        <f t="shared" si="14"/>
        <v>3.9000000000000004</v>
      </c>
      <c r="O99" s="899">
        <f t="shared" si="15"/>
        <v>185.39000000000001</v>
      </c>
      <c r="P99" s="899"/>
      <c r="Q99" s="839">
        <f t="shared" si="10"/>
        <v>185</v>
      </c>
      <c r="R99" s="839"/>
      <c r="S99" s="839">
        <f t="shared" si="16"/>
        <v>185</v>
      </c>
      <c r="T99" s="839"/>
      <c r="U99" s="835">
        <f t="shared" si="11"/>
        <v>185</v>
      </c>
      <c r="V99" s="916">
        <f>'Перелік ціни'!P86</f>
        <v>185</v>
      </c>
      <c r="W99" s="914">
        <f t="shared" si="8"/>
        <v>0</v>
      </c>
      <c r="X99" s="840"/>
    </row>
    <row r="100" spans="1:24" s="853" customFormat="1" ht="37.200000000000003" x14ac:dyDescent="0.6">
      <c r="B100" s="849" t="s">
        <v>333</v>
      </c>
      <c r="C100" s="849"/>
      <c r="D100" s="915" t="str">
        <f>'Перелік ціни'!C87</f>
        <v>Пролактин (кількісні результати)</v>
      </c>
      <c r="E100" s="899">
        <f>'Перелік ціни'!D87</f>
        <v>35.700000000000003</v>
      </c>
      <c r="F100" s="899">
        <f>'Перелік ціни'!E87</f>
        <v>7.85</v>
      </c>
      <c r="G100" s="899">
        <f>'Перелік ціни'!F87</f>
        <v>137.34</v>
      </c>
      <c r="H100" s="899">
        <f>'Перелік ціни'!G87</f>
        <v>0.6</v>
      </c>
      <c r="I100" s="899">
        <f t="shared" si="13"/>
        <v>181.49</v>
      </c>
      <c r="J100" s="899">
        <f>'Перелік ціни'!I87</f>
        <v>3.3000000000000003</v>
      </c>
      <c r="K100" s="899">
        <f>'Перелік ціни'!J87</f>
        <v>0</v>
      </c>
      <c r="L100" s="899">
        <f>'Перелік ціни'!K87</f>
        <v>0</v>
      </c>
      <c r="M100" s="899">
        <f>'Перелік ціни'!L87</f>
        <v>0.60000000000000009</v>
      </c>
      <c r="N100" s="899">
        <f t="shared" si="14"/>
        <v>3.9000000000000004</v>
      </c>
      <c r="O100" s="899">
        <f t="shared" si="15"/>
        <v>185.39000000000001</v>
      </c>
      <c r="P100" s="899"/>
      <c r="Q100" s="839">
        <f t="shared" si="10"/>
        <v>185</v>
      </c>
      <c r="R100" s="839"/>
      <c r="S100" s="839">
        <f t="shared" si="16"/>
        <v>185</v>
      </c>
      <c r="T100" s="839"/>
      <c r="U100" s="835">
        <f t="shared" si="11"/>
        <v>185</v>
      </c>
      <c r="V100" s="916">
        <f>'Перелік ціни'!P87</f>
        <v>185</v>
      </c>
      <c r="W100" s="914">
        <f t="shared" si="8"/>
        <v>0</v>
      </c>
      <c r="X100" s="840"/>
    </row>
    <row r="101" spans="1:24" s="853" customFormat="1" ht="37.200000000000003" x14ac:dyDescent="0.6">
      <c r="B101" s="849" t="s">
        <v>334</v>
      </c>
      <c r="C101" s="849"/>
      <c r="D101" s="915" t="str">
        <f>'Перелік ціни'!C88</f>
        <v>АМГ (антимюллерів гормон ) (кількісні результати)</v>
      </c>
      <c r="E101" s="899">
        <f>'Перелік ціни'!D88</f>
        <v>35.700000000000003</v>
      </c>
      <c r="F101" s="899">
        <f>'Перелік ціни'!E88</f>
        <v>7.85</v>
      </c>
      <c r="G101" s="899">
        <f>'Перелік ціни'!F88</f>
        <v>242.34</v>
      </c>
      <c r="H101" s="899">
        <f>'Перелік ціни'!G88</f>
        <v>0.6</v>
      </c>
      <c r="I101" s="899">
        <f t="shared" si="13"/>
        <v>286.49</v>
      </c>
      <c r="J101" s="899">
        <f>'Перелік ціни'!I88</f>
        <v>3.3000000000000003</v>
      </c>
      <c r="K101" s="899">
        <f>'Перелік ціни'!J88</f>
        <v>0</v>
      </c>
      <c r="L101" s="899">
        <f>'Перелік ціни'!K88</f>
        <v>0</v>
      </c>
      <c r="M101" s="899">
        <f>'Перелік ціни'!L88</f>
        <v>0.60000000000000009</v>
      </c>
      <c r="N101" s="899">
        <f t="shared" si="14"/>
        <v>3.9000000000000004</v>
      </c>
      <c r="O101" s="899">
        <f t="shared" si="15"/>
        <v>290.39</v>
      </c>
      <c r="P101" s="899"/>
      <c r="Q101" s="839">
        <f t="shared" si="10"/>
        <v>290</v>
      </c>
      <c r="R101" s="839"/>
      <c r="S101" s="839">
        <f t="shared" si="16"/>
        <v>290</v>
      </c>
      <c r="T101" s="839"/>
      <c r="U101" s="835">
        <f t="shared" si="11"/>
        <v>290</v>
      </c>
      <c r="V101" s="916">
        <f>'Перелік ціни'!P88</f>
        <v>290</v>
      </c>
      <c r="W101" s="914">
        <f t="shared" si="8"/>
        <v>0</v>
      </c>
      <c r="X101" s="840"/>
    </row>
    <row r="102" spans="1:24" s="853" customFormat="1" ht="37.200000000000003" x14ac:dyDescent="0.6">
      <c r="B102" s="849" t="s">
        <v>335</v>
      </c>
      <c r="C102" s="849"/>
      <c r="D102" s="915" t="str">
        <f>'Перелік ціни'!C89</f>
        <v>Глікований гемоглобін (HbF1c ) (кількісні результати)</v>
      </c>
      <c r="E102" s="899">
        <f>'Перелік ціни'!D89</f>
        <v>42.25</v>
      </c>
      <c r="F102" s="899">
        <f>'Перелік ціни'!E89</f>
        <v>9.3000000000000007</v>
      </c>
      <c r="G102" s="899">
        <f>'Перелік ціни'!F89</f>
        <v>102.33999999999999</v>
      </c>
      <c r="H102" s="899">
        <f>'Перелік ціни'!G89</f>
        <v>0.7</v>
      </c>
      <c r="I102" s="899">
        <f t="shared" si="13"/>
        <v>154.58999999999997</v>
      </c>
      <c r="J102" s="899">
        <f>'Перелік ціни'!I89</f>
        <v>3.85</v>
      </c>
      <c r="K102" s="899">
        <f>'Перелік ціни'!J89</f>
        <v>0</v>
      </c>
      <c r="L102" s="899">
        <f>'Перелік ціни'!K89</f>
        <v>0</v>
      </c>
      <c r="M102" s="899">
        <f>'Перелік ціни'!L89</f>
        <v>0.7</v>
      </c>
      <c r="N102" s="899">
        <f t="shared" si="14"/>
        <v>4.55</v>
      </c>
      <c r="O102" s="899">
        <f t="shared" si="15"/>
        <v>159.13999999999999</v>
      </c>
      <c r="P102" s="899"/>
      <c r="Q102" s="839">
        <f t="shared" si="10"/>
        <v>159</v>
      </c>
      <c r="R102" s="839"/>
      <c r="S102" s="839">
        <f t="shared" si="16"/>
        <v>159</v>
      </c>
      <c r="T102" s="839"/>
      <c r="U102" s="835">
        <f t="shared" si="11"/>
        <v>159</v>
      </c>
      <c r="V102" s="916">
        <f>'Перелік ціни'!P89</f>
        <v>159</v>
      </c>
      <c r="W102" s="914">
        <f t="shared" si="8"/>
        <v>0</v>
      </c>
      <c r="X102" s="840"/>
    </row>
    <row r="103" spans="1:24" s="853" customFormat="1" ht="37.200000000000003" x14ac:dyDescent="0.6">
      <c r="B103" s="849" t="s">
        <v>336</v>
      </c>
      <c r="C103" s="849"/>
      <c r="D103" s="915" t="str">
        <f>'Перелік ціни'!C90</f>
        <v>ПСА (простато-специфічний антиген) (кількісні результати)</v>
      </c>
      <c r="E103" s="899">
        <f>'Перелік ціни'!D90</f>
        <v>35.700000000000003</v>
      </c>
      <c r="F103" s="899">
        <f>'Перелік ціни'!E90</f>
        <v>7.85</v>
      </c>
      <c r="G103" s="899">
        <f>'Перелік ціни'!F90</f>
        <v>177.34</v>
      </c>
      <c r="H103" s="899">
        <f>'Перелік ціни'!G90</f>
        <v>0.6</v>
      </c>
      <c r="I103" s="899">
        <f t="shared" si="13"/>
        <v>221.49</v>
      </c>
      <c r="J103" s="899">
        <f>'Перелік ціни'!I90</f>
        <v>3.3000000000000003</v>
      </c>
      <c r="K103" s="899">
        <f>'Перелік ціни'!J90</f>
        <v>0</v>
      </c>
      <c r="L103" s="899">
        <f>'Перелік ціни'!K90</f>
        <v>0</v>
      </c>
      <c r="M103" s="899">
        <f>'Перелік ціни'!L90</f>
        <v>0.60000000000000009</v>
      </c>
      <c r="N103" s="899">
        <f t="shared" si="14"/>
        <v>3.9000000000000004</v>
      </c>
      <c r="O103" s="899">
        <f t="shared" si="15"/>
        <v>225.39000000000001</v>
      </c>
      <c r="P103" s="899"/>
      <c r="Q103" s="839">
        <f t="shared" si="10"/>
        <v>225</v>
      </c>
      <c r="R103" s="839"/>
      <c r="S103" s="839">
        <f t="shared" si="16"/>
        <v>225</v>
      </c>
      <c r="T103" s="839"/>
      <c r="U103" s="835">
        <f t="shared" si="11"/>
        <v>225</v>
      </c>
      <c r="V103" s="916">
        <f>'Перелік ціни'!P90</f>
        <v>225</v>
      </c>
      <c r="W103" s="914">
        <f t="shared" si="8"/>
        <v>0</v>
      </c>
      <c r="X103" s="840"/>
    </row>
    <row r="104" spans="1:24" s="853" customFormat="1" ht="37.200000000000003" x14ac:dyDescent="0.6">
      <c r="B104" s="849" t="s">
        <v>211</v>
      </c>
      <c r="C104" s="849"/>
      <c r="D104" s="915" t="str">
        <f>'Перелік ціни'!C91</f>
        <v>Визначення нейтралізуючих антитіл до коронавірусу</v>
      </c>
      <c r="E104" s="899">
        <f>'Перелік ціни'!D91</f>
        <v>29.15</v>
      </c>
      <c r="F104" s="899">
        <f>'Перелік ціни'!E91</f>
        <v>6.41</v>
      </c>
      <c r="G104" s="899">
        <f>'Перелік ціни'!F91</f>
        <v>327.34000000000003</v>
      </c>
      <c r="H104" s="899">
        <f>'Перелік ціни'!G91</f>
        <v>0.5</v>
      </c>
      <c r="I104" s="899">
        <f>SUM(E104:H104)</f>
        <v>363.40000000000003</v>
      </c>
      <c r="J104" s="899">
        <f>'Перелік ціни'!I91</f>
        <v>2.75</v>
      </c>
      <c r="K104" s="899">
        <f>'Перелік ціни'!J91</f>
        <v>0</v>
      </c>
      <c r="L104" s="899">
        <f>'Перелік ціни'!K91</f>
        <v>0</v>
      </c>
      <c r="M104" s="899">
        <f>'Перелік ціни'!L91</f>
        <v>0.5</v>
      </c>
      <c r="N104" s="899">
        <f>SUM(J104:M104)</f>
        <v>3.25</v>
      </c>
      <c r="O104" s="899">
        <f>I104+N104</f>
        <v>366.65000000000003</v>
      </c>
      <c r="P104" s="899"/>
      <c r="Q104" s="839">
        <f t="shared" si="10"/>
        <v>367</v>
      </c>
      <c r="R104" s="839"/>
      <c r="S104" s="839">
        <f>ROUND(Q104,2)</f>
        <v>367</v>
      </c>
      <c r="T104" s="839"/>
      <c r="U104" s="835">
        <f t="shared" si="11"/>
        <v>367</v>
      </c>
      <c r="V104" s="916">
        <f>'Перелік ціни'!P91</f>
        <v>367</v>
      </c>
      <c r="W104" s="914">
        <f t="shared" si="8"/>
        <v>0</v>
      </c>
      <c r="X104" s="840"/>
    </row>
    <row r="105" spans="1:24" s="853" customFormat="1" ht="37.200000000000003" x14ac:dyDescent="0.6">
      <c r="B105" s="849" t="s">
        <v>215</v>
      </c>
      <c r="C105" s="849"/>
      <c r="D105" s="915" t="str">
        <f>'Перелік ціни'!C92</f>
        <v>Визначення феритину</v>
      </c>
      <c r="E105" s="899">
        <f>'Перелік ціни'!D92</f>
        <v>29.15</v>
      </c>
      <c r="F105" s="899">
        <f>'Перелік ціни'!E92</f>
        <v>6.41</v>
      </c>
      <c r="G105" s="899">
        <f>'Перелік ціни'!F92</f>
        <v>202.34</v>
      </c>
      <c r="H105" s="899">
        <f>'Перелік ціни'!G92</f>
        <v>0.5</v>
      </c>
      <c r="I105" s="899">
        <f>SUM(E105:H105)</f>
        <v>238.4</v>
      </c>
      <c r="J105" s="899">
        <f>'Перелік ціни'!I92</f>
        <v>2.75</v>
      </c>
      <c r="K105" s="899">
        <f>'Перелік ціни'!J92</f>
        <v>0</v>
      </c>
      <c r="L105" s="899">
        <f>'Перелік ціни'!K92</f>
        <v>0</v>
      </c>
      <c r="M105" s="899">
        <f>'Перелік ціни'!L92</f>
        <v>0.5</v>
      </c>
      <c r="N105" s="899">
        <f>SUM(J105:M105)</f>
        <v>3.25</v>
      </c>
      <c r="O105" s="899">
        <f>I105+N105</f>
        <v>241.65</v>
      </c>
      <c r="P105" s="899"/>
      <c r="Q105" s="839">
        <f t="shared" si="10"/>
        <v>242</v>
      </c>
      <c r="R105" s="839"/>
      <c r="S105" s="839">
        <f>ROUND(Q105,2)</f>
        <v>242</v>
      </c>
      <c r="T105" s="839"/>
      <c r="U105" s="835">
        <f t="shared" si="11"/>
        <v>242</v>
      </c>
      <c r="V105" s="916">
        <f>'Перелік ціни'!P92</f>
        <v>242</v>
      </c>
      <c r="W105" s="914">
        <f t="shared" si="8"/>
        <v>0</v>
      </c>
      <c r="X105" s="840"/>
    </row>
    <row r="106" spans="1:24" s="422" customFormat="1" ht="37.799999999999997" x14ac:dyDescent="0.65">
      <c r="A106" s="886"/>
      <c r="B106" s="443"/>
      <c r="C106" s="443"/>
      <c r="D106" s="447"/>
      <c r="E106" s="897"/>
      <c r="F106" s="897"/>
      <c r="G106" s="897"/>
      <c r="H106" s="897"/>
      <c r="I106" s="898"/>
      <c r="J106" s="897"/>
      <c r="K106" s="897"/>
      <c r="L106" s="897"/>
      <c r="M106" s="897"/>
      <c r="N106" s="898"/>
      <c r="O106" s="897"/>
      <c r="P106" s="897"/>
      <c r="Q106" s="445"/>
      <c r="R106" s="445"/>
      <c r="S106" s="446"/>
      <c r="T106" s="446"/>
      <c r="U106" s="446"/>
      <c r="V106" s="720"/>
      <c r="W106" s="716"/>
      <c r="X106" s="423"/>
    </row>
    <row r="107" spans="1:24" s="422" customFormat="1" ht="34.200000000000003" x14ac:dyDescent="0.6">
      <c r="A107" s="886"/>
      <c r="B107" s="425"/>
      <c r="C107" s="425"/>
      <c r="D107" s="426"/>
      <c r="E107" s="900"/>
      <c r="F107" s="900"/>
      <c r="G107" s="900"/>
      <c r="H107" s="900"/>
      <c r="I107" s="901"/>
      <c r="J107" s="900"/>
      <c r="K107" s="900"/>
      <c r="L107" s="900"/>
      <c r="M107" s="900"/>
      <c r="N107" s="901"/>
      <c r="O107" s="900"/>
      <c r="P107" s="900"/>
      <c r="Q107" s="427"/>
      <c r="R107" s="427"/>
      <c r="S107" s="428"/>
      <c r="T107" s="428"/>
      <c r="U107" s="428"/>
      <c r="V107" s="718"/>
      <c r="W107" s="716"/>
      <c r="X107" s="423"/>
    </row>
    <row r="108" spans="1:24" s="422" customFormat="1" x14ac:dyDescent="0.65">
      <c r="A108" s="886"/>
      <c r="B108" s="418"/>
      <c r="C108" s="418"/>
      <c r="D108" s="421"/>
      <c r="E108" s="894"/>
      <c r="F108" s="894"/>
      <c r="G108" s="894"/>
      <c r="H108" s="894"/>
      <c r="I108" s="894"/>
      <c r="J108" s="894"/>
      <c r="K108" s="894"/>
      <c r="L108" s="894"/>
      <c r="M108" s="894"/>
      <c r="N108" s="894"/>
      <c r="O108" s="894"/>
      <c r="P108" s="894"/>
      <c r="Q108" s="420"/>
      <c r="R108" s="420"/>
      <c r="S108" s="420"/>
      <c r="T108" s="420"/>
      <c r="U108" s="420"/>
      <c r="V108" s="718"/>
      <c r="W108" s="716"/>
      <c r="X108" s="423"/>
    </row>
    <row r="109" spans="1:24" s="436" customFormat="1" ht="40.200000000000003" x14ac:dyDescent="0.7">
      <c r="A109" s="437"/>
      <c r="B109" s="681"/>
      <c r="C109" s="435"/>
      <c r="D109" s="435"/>
      <c r="E109" s="890"/>
      <c r="F109" s="890"/>
      <c r="G109" s="890"/>
      <c r="H109" s="890"/>
      <c r="I109" s="890"/>
      <c r="J109" s="890"/>
      <c r="K109" s="890"/>
      <c r="L109" s="890"/>
      <c r="M109" s="890"/>
      <c r="N109" s="890"/>
      <c r="O109" s="890"/>
      <c r="P109" s="890"/>
      <c r="Q109" s="1021" t="s">
        <v>155</v>
      </c>
      <c r="R109" s="1021"/>
      <c r="S109" s="1021"/>
      <c r="T109" s="709"/>
      <c r="U109" s="709"/>
      <c r="V109" s="713"/>
      <c r="W109" s="716"/>
      <c r="X109" s="437"/>
    </row>
    <row r="110" spans="1:24" s="436" customFormat="1" ht="40.200000000000003" x14ac:dyDescent="0.7">
      <c r="A110" s="437"/>
      <c r="B110" s="682"/>
      <c r="E110" s="890"/>
      <c r="F110" s="890"/>
      <c r="G110" s="890"/>
      <c r="H110" s="890"/>
      <c r="I110" s="890"/>
      <c r="J110" s="890"/>
      <c r="K110" s="890"/>
      <c r="L110" s="890"/>
      <c r="M110" s="890"/>
      <c r="N110" s="890"/>
      <c r="O110" s="890"/>
      <c r="P110" s="890"/>
      <c r="Q110" s="1021" t="s">
        <v>156</v>
      </c>
      <c r="R110" s="1021"/>
      <c r="S110" s="1021"/>
      <c r="T110" s="709"/>
      <c r="U110" s="709"/>
      <c r="V110" s="713"/>
      <c r="W110" s="716"/>
      <c r="X110" s="438"/>
    </row>
    <row r="111" spans="1:24" s="436" customFormat="1" ht="40.200000000000003" x14ac:dyDescent="0.7">
      <c r="A111" s="437"/>
      <c r="B111" s="682"/>
      <c r="E111" s="890"/>
      <c r="F111" s="890"/>
      <c r="G111" s="890"/>
      <c r="H111" s="890"/>
      <c r="I111" s="890"/>
      <c r="J111" s="890"/>
      <c r="K111" s="890"/>
      <c r="L111" s="890"/>
      <c r="M111" s="890"/>
      <c r="N111" s="890"/>
      <c r="O111" s="890"/>
      <c r="P111" s="890"/>
      <c r="Q111" s="1021" t="str">
        <f>Q43</f>
        <v>______ грудня 2021 року</v>
      </c>
      <c r="R111" s="1021"/>
      <c r="S111" s="1021"/>
      <c r="T111" s="709"/>
      <c r="U111" s="709"/>
      <c r="V111" s="713"/>
      <c r="W111" s="716"/>
      <c r="X111" s="438"/>
    </row>
    <row r="112" spans="1:24" s="438" customFormat="1" ht="39.6" x14ac:dyDescent="0.65">
      <c r="A112" s="437"/>
      <c r="B112" s="1023"/>
      <c r="C112" s="1023"/>
      <c r="D112" s="1023"/>
      <c r="E112" s="1023"/>
      <c r="F112" s="1023"/>
      <c r="G112" s="1023"/>
      <c r="H112" s="1023"/>
      <c r="I112" s="1023"/>
      <c r="J112" s="1023"/>
      <c r="K112" s="1023"/>
      <c r="L112" s="1023"/>
      <c r="M112" s="1023"/>
      <c r="N112" s="1023"/>
      <c r="O112" s="1023"/>
      <c r="P112" s="1023"/>
      <c r="Q112" s="1023"/>
      <c r="R112" s="1023"/>
      <c r="S112" s="1023"/>
      <c r="T112" s="711"/>
      <c r="U112" s="711"/>
      <c r="V112" s="714"/>
      <c r="W112" s="716"/>
    </row>
    <row r="113" spans="1:24" s="438" customFormat="1" ht="39.6" x14ac:dyDescent="0.65">
      <c r="A113" s="437"/>
      <c r="B113" s="1022" t="s">
        <v>157</v>
      </c>
      <c r="C113" s="1022"/>
      <c r="D113" s="1022"/>
      <c r="E113" s="1022"/>
      <c r="F113" s="1022"/>
      <c r="G113" s="1022"/>
      <c r="H113" s="1022"/>
      <c r="I113" s="1022"/>
      <c r="J113" s="1022"/>
      <c r="K113" s="1022"/>
      <c r="L113" s="1022"/>
      <c r="M113" s="1022"/>
      <c r="N113" s="1022"/>
      <c r="O113" s="1022"/>
      <c r="P113" s="1022"/>
      <c r="Q113" s="1022"/>
      <c r="R113" s="1022"/>
      <c r="S113" s="1022"/>
      <c r="T113" s="710"/>
      <c r="U113" s="710"/>
      <c r="V113" s="714"/>
      <c r="W113" s="716"/>
    </row>
    <row r="114" spans="1:24" s="438" customFormat="1" ht="39.6" x14ac:dyDescent="0.65">
      <c r="A114" s="437"/>
      <c r="B114" s="1022" t="s">
        <v>158</v>
      </c>
      <c r="C114" s="1022"/>
      <c r="D114" s="1022"/>
      <c r="E114" s="1022"/>
      <c r="F114" s="1022"/>
      <c r="G114" s="1022"/>
      <c r="H114" s="1022"/>
      <c r="I114" s="1022"/>
      <c r="J114" s="1022"/>
      <c r="K114" s="1022"/>
      <c r="L114" s="1022"/>
      <c r="M114" s="1022"/>
      <c r="N114" s="1022"/>
      <c r="O114" s="1022"/>
      <c r="P114" s="1022"/>
      <c r="Q114" s="1022"/>
      <c r="R114" s="1022"/>
      <c r="S114" s="1022"/>
      <c r="T114" s="710"/>
      <c r="U114" s="710"/>
      <c r="V114" s="714"/>
      <c r="W114" s="716"/>
    </row>
    <row r="115" spans="1:24" s="438" customFormat="1" ht="39.6" x14ac:dyDescent="0.65">
      <c r="A115" s="437"/>
      <c r="B115" s="1022"/>
      <c r="C115" s="1022"/>
      <c r="D115" s="1022"/>
      <c r="E115" s="1022"/>
      <c r="F115" s="1022"/>
      <c r="G115" s="1022"/>
      <c r="H115" s="1022"/>
      <c r="I115" s="1022"/>
      <c r="J115" s="1022"/>
      <c r="K115" s="1022"/>
      <c r="L115" s="1022"/>
      <c r="M115" s="1022"/>
      <c r="N115" s="1022"/>
      <c r="O115" s="1022"/>
      <c r="P115" s="1022"/>
      <c r="Q115" s="1022"/>
      <c r="R115" s="1022"/>
      <c r="S115" s="1022"/>
      <c r="T115" s="710"/>
      <c r="U115" s="710"/>
      <c r="V115" s="714"/>
      <c r="W115" s="716"/>
    </row>
    <row r="116" spans="1:24" s="422" customFormat="1" ht="38.4" x14ac:dyDescent="0.7">
      <c r="A116" s="886"/>
      <c r="B116" s="439" t="s">
        <v>1185</v>
      </c>
      <c r="C116" s="439"/>
      <c r="D116" s="440" t="s">
        <v>1186</v>
      </c>
      <c r="E116" s="891"/>
      <c r="F116" s="891"/>
      <c r="G116" s="891"/>
      <c r="H116" s="891"/>
      <c r="I116" s="891"/>
      <c r="J116" s="891"/>
      <c r="K116" s="891"/>
      <c r="L116" s="891"/>
      <c r="M116" s="891"/>
      <c r="N116" s="891"/>
      <c r="O116" s="891"/>
      <c r="P116" s="891"/>
      <c r="Q116" s="441"/>
      <c r="R116" s="441"/>
      <c r="S116" s="442" t="s">
        <v>1187</v>
      </c>
      <c r="T116" s="442">
        <v>180</v>
      </c>
      <c r="U116" s="442"/>
      <c r="V116" s="718"/>
      <c r="W116" s="716"/>
      <c r="X116" s="423"/>
    </row>
    <row r="117" spans="1:24" s="424" customFormat="1" ht="37.200000000000003" x14ac:dyDescent="0.6">
      <c r="A117" s="887"/>
      <c r="B117" s="442">
        <v>3</v>
      </c>
      <c r="C117" s="442"/>
      <c r="D117" s="464" t="s">
        <v>788</v>
      </c>
      <c r="E117" s="895" t="s">
        <v>1118</v>
      </c>
      <c r="F117" s="896">
        <v>0.22</v>
      </c>
      <c r="G117" s="895" t="s">
        <v>1119</v>
      </c>
      <c r="H117" s="895" t="s">
        <v>1125</v>
      </c>
      <c r="I117" s="895" t="s">
        <v>1120</v>
      </c>
      <c r="J117" s="895" t="s">
        <v>1121</v>
      </c>
      <c r="K117" s="895" t="s">
        <v>1122</v>
      </c>
      <c r="L117" s="895" t="s">
        <v>1126</v>
      </c>
      <c r="M117" s="895" t="s">
        <v>1123</v>
      </c>
      <c r="N117" s="895" t="s">
        <v>1127</v>
      </c>
      <c r="O117" s="895"/>
      <c r="P117" s="895" t="s">
        <v>988</v>
      </c>
      <c r="Q117" s="442" t="s">
        <v>988</v>
      </c>
      <c r="R117" s="442" t="s">
        <v>1181</v>
      </c>
      <c r="S117" s="442" t="s">
        <v>1183</v>
      </c>
      <c r="T117" s="712" t="s">
        <v>494</v>
      </c>
      <c r="U117" s="448"/>
      <c r="V117" s="719"/>
      <c r="W117" s="716"/>
      <c r="X117" s="423"/>
    </row>
    <row r="118" spans="1:24" s="422" customFormat="1" ht="37.799999999999997" x14ac:dyDescent="0.65">
      <c r="A118" s="886"/>
      <c r="B118" s="443" t="s">
        <v>789</v>
      </c>
      <c r="C118" s="443"/>
      <c r="D118" s="444" t="s">
        <v>790</v>
      </c>
      <c r="E118" s="897">
        <f>'Перелік ціни'!D96</f>
        <v>14.8</v>
      </c>
      <c r="F118" s="897">
        <f>'Перелік ціни'!E96</f>
        <v>3.26</v>
      </c>
      <c r="G118" s="897">
        <f>'Перелік ціни'!F96</f>
        <v>16.84</v>
      </c>
      <c r="H118" s="897">
        <f>'Перелік ціни'!G96</f>
        <v>0.2</v>
      </c>
      <c r="I118" s="898">
        <f t="shared" ref="I118:I144" si="17">SUM(E118:H118)</f>
        <v>35.100000000000009</v>
      </c>
      <c r="J118" s="897">
        <f>'Перелік ціни'!I96</f>
        <v>2.2000000000000002</v>
      </c>
      <c r="K118" s="897">
        <f>'Перелік ціни'!J96</f>
        <v>0</v>
      </c>
      <c r="L118" s="897">
        <f>'Перелік ціни'!K96</f>
        <v>0</v>
      </c>
      <c r="M118" s="897">
        <f>'Перелік ціни'!L96</f>
        <v>0.2</v>
      </c>
      <c r="N118" s="898">
        <f>SUM(J118:M118)</f>
        <v>2.4000000000000004</v>
      </c>
      <c r="O118" s="898"/>
      <c r="P118" s="897">
        <f>I118+N118</f>
        <v>37.500000000000007</v>
      </c>
      <c r="Q118" s="445">
        <f>(P118)</f>
        <v>37.500000000000007</v>
      </c>
      <c r="R118" s="445">
        <f>ROUND(Q118*0.2,2)</f>
        <v>7.5</v>
      </c>
      <c r="S118" s="446">
        <f t="shared" ref="S118:S144" si="18">R118+Q118</f>
        <v>45.000000000000007</v>
      </c>
      <c r="T118" s="453">
        <v>36</v>
      </c>
      <c r="U118" s="453">
        <f>S118-T118</f>
        <v>9.0000000000000071</v>
      </c>
      <c r="V118" s="720">
        <f>'Перелік ціни'!N96</f>
        <v>37.500000000000007</v>
      </c>
      <c r="W118" s="716">
        <f>V118-Q118</f>
        <v>0</v>
      </c>
      <c r="X118" s="423"/>
    </row>
    <row r="119" spans="1:24" s="422" customFormat="1" ht="37.799999999999997" x14ac:dyDescent="0.65">
      <c r="A119" s="886"/>
      <c r="B119" s="443" t="s">
        <v>791</v>
      </c>
      <c r="C119" s="443"/>
      <c r="D119" s="444" t="s">
        <v>792</v>
      </c>
      <c r="E119" s="897">
        <f>'Перелік ціни'!D97</f>
        <v>14.8</v>
      </c>
      <c r="F119" s="897">
        <f>'Перелік ціни'!E97</f>
        <v>3.26</v>
      </c>
      <c r="G119" s="897">
        <f>'Перелік ціни'!F97</f>
        <v>16.84</v>
      </c>
      <c r="H119" s="897">
        <f>'Перелік ціни'!G97</f>
        <v>0.2</v>
      </c>
      <c r="I119" s="898">
        <f t="shared" si="17"/>
        <v>35.100000000000009</v>
      </c>
      <c r="J119" s="897">
        <f>'Перелік ціни'!I97</f>
        <v>2.2000000000000002</v>
      </c>
      <c r="K119" s="897">
        <f>'Перелік ціни'!J97</f>
        <v>0</v>
      </c>
      <c r="L119" s="897">
        <f>'Перелік ціни'!K97</f>
        <v>0</v>
      </c>
      <c r="M119" s="897">
        <f>'Перелік ціни'!L97</f>
        <v>0.2</v>
      </c>
      <c r="N119" s="898">
        <f>SUM(J119:M119)</f>
        <v>2.4000000000000004</v>
      </c>
      <c r="O119" s="898"/>
      <c r="P119" s="897">
        <f>I119+N119</f>
        <v>37.500000000000007</v>
      </c>
      <c r="Q119" s="445">
        <f t="shared" ref="Q119:Q144" si="19">(P119)</f>
        <v>37.500000000000007</v>
      </c>
      <c r="R119" s="445">
        <f t="shared" ref="R119:R144" si="20">ROUND(Q119*0.2,2)</f>
        <v>7.5</v>
      </c>
      <c r="S119" s="446">
        <f t="shared" si="18"/>
        <v>45.000000000000007</v>
      </c>
      <c r="T119" s="446">
        <v>36</v>
      </c>
      <c r="U119" s="453">
        <f t="shared" ref="U119:U144" si="21">S119-T119</f>
        <v>9.0000000000000071</v>
      </c>
      <c r="V119" s="720">
        <f>'Перелік ціни'!N97</f>
        <v>37.500000000000007</v>
      </c>
      <c r="W119" s="716">
        <f t="shared" ref="W119:W144" si="22">V119-Q119</f>
        <v>0</v>
      </c>
      <c r="X119" s="423"/>
    </row>
    <row r="120" spans="1:24" s="422" customFormat="1" ht="37.799999999999997" x14ac:dyDescent="0.65">
      <c r="A120" s="886"/>
      <c r="B120" s="443" t="s">
        <v>793</v>
      </c>
      <c r="C120" s="443"/>
      <c r="D120" s="447" t="s">
        <v>794</v>
      </c>
      <c r="E120" s="897">
        <f>'Перелік ціни'!D98</f>
        <v>14.8</v>
      </c>
      <c r="F120" s="897">
        <f>'Перелік ціни'!E98</f>
        <v>3.26</v>
      </c>
      <c r="G120" s="897">
        <f>'Перелік ціни'!F98</f>
        <v>16.84</v>
      </c>
      <c r="H120" s="897">
        <f>'Перелік ціни'!G98</f>
        <v>0.2</v>
      </c>
      <c r="I120" s="898">
        <f t="shared" si="17"/>
        <v>35.100000000000009</v>
      </c>
      <c r="J120" s="897">
        <f>'Перелік ціни'!I98</f>
        <v>2.2000000000000002</v>
      </c>
      <c r="K120" s="897">
        <f>'Перелік ціни'!J98</f>
        <v>0</v>
      </c>
      <c r="L120" s="897">
        <f>'Перелік ціни'!K98</f>
        <v>0</v>
      </c>
      <c r="M120" s="897">
        <f>'Перелік ціни'!L98</f>
        <v>0.2</v>
      </c>
      <c r="N120" s="898">
        <f>SUM(J120:M120)</f>
        <v>2.4000000000000004</v>
      </c>
      <c r="O120" s="898"/>
      <c r="P120" s="897">
        <f>I120+N120</f>
        <v>37.500000000000007</v>
      </c>
      <c r="Q120" s="445">
        <f t="shared" si="19"/>
        <v>37.500000000000007</v>
      </c>
      <c r="R120" s="445">
        <f t="shared" si="20"/>
        <v>7.5</v>
      </c>
      <c r="S120" s="446">
        <f t="shared" si="18"/>
        <v>45.000000000000007</v>
      </c>
      <c r="T120" s="446">
        <v>36</v>
      </c>
      <c r="U120" s="453">
        <f t="shared" si="21"/>
        <v>9.0000000000000071</v>
      </c>
      <c r="V120" s="720">
        <f>'Перелік ціни'!N98</f>
        <v>37.500000000000007</v>
      </c>
      <c r="W120" s="716">
        <f t="shared" si="22"/>
        <v>0</v>
      </c>
      <c r="X120" s="423"/>
    </row>
    <row r="121" spans="1:24" s="422" customFormat="1" ht="37.799999999999997" x14ac:dyDescent="0.65">
      <c r="A121" s="886"/>
      <c r="B121" s="443" t="s">
        <v>795</v>
      </c>
      <c r="C121" s="443"/>
      <c r="D121" s="447" t="s">
        <v>796</v>
      </c>
      <c r="E121" s="897">
        <f>'Перелік ціни'!D99</f>
        <v>22.2</v>
      </c>
      <c r="F121" s="897">
        <f>'Перелік ціни'!E99</f>
        <v>4.88</v>
      </c>
      <c r="G121" s="897">
        <f>'Перелік ціни'!F99</f>
        <v>18.72</v>
      </c>
      <c r="H121" s="897">
        <f>'Перелік ціни'!G99</f>
        <v>0.6</v>
      </c>
      <c r="I121" s="898">
        <f t="shared" si="17"/>
        <v>46.4</v>
      </c>
      <c r="J121" s="897">
        <f>'Перелік ціни'!I99</f>
        <v>3.3</v>
      </c>
      <c r="K121" s="897">
        <f>'Перелік ціни'!J99</f>
        <v>0</v>
      </c>
      <c r="L121" s="897">
        <f>'Перелік ціни'!K99</f>
        <v>0</v>
      </c>
      <c r="M121" s="897">
        <f>'Перелік ціни'!L99</f>
        <v>0.3</v>
      </c>
      <c r="N121" s="898">
        <f t="shared" ref="N121:N144" si="23">SUM(J121:M121)</f>
        <v>3.5999999999999996</v>
      </c>
      <c r="O121" s="898"/>
      <c r="P121" s="897">
        <f t="shared" ref="P121:P144" si="24">I121+N121</f>
        <v>50</v>
      </c>
      <c r="Q121" s="445">
        <f t="shared" si="19"/>
        <v>50</v>
      </c>
      <c r="R121" s="445">
        <f t="shared" si="20"/>
        <v>10</v>
      </c>
      <c r="S121" s="446">
        <f t="shared" si="18"/>
        <v>60</v>
      </c>
      <c r="T121" s="446">
        <v>47.999999999999993</v>
      </c>
      <c r="U121" s="453">
        <f t="shared" si="21"/>
        <v>12.000000000000007</v>
      </c>
      <c r="V121" s="720">
        <f>'Перелік ціни'!N99</f>
        <v>50</v>
      </c>
      <c r="W121" s="716">
        <f t="shared" si="22"/>
        <v>0</v>
      </c>
      <c r="X121" s="423"/>
    </row>
    <row r="122" spans="1:24" s="422" customFormat="1" ht="37.799999999999997" x14ac:dyDescent="0.65">
      <c r="A122" s="886"/>
      <c r="B122" s="443" t="s">
        <v>797</v>
      </c>
      <c r="C122" s="443"/>
      <c r="D122" s="447" t="s">
        <v>798</v>
      </c>
      <c r="E122" s="897">
        <f>'Перелік ціни'!D100</f>
        <v>22.2</v>
      </c>
      <c r="F122" s="897">
        <f>'Перелік ціни'!E100</f>
        <v>4.88</v>
      </c>
      <c r="G122" s="897">
        <f>'Перелік ціни'!F100</f>
        <v>18.72</v>
      </c>
      <c r="H122" s="897">
        <f>'Перелік ціни'!G100</f>
        <v>0.6</v>
      </c>
      <c r="I122" s="898">
        <f t="shared" si="17"/>
        <v>46.4</v>
      </c>
      <c r="J122" s="897">
        <f>'Перелік ціни'!I100</f>
        <v>3.3</v>
      </c>
      <c r="K122" s="897">
        <f>'Перелік ціни'!J100</f>
        <v>0</v>
      </c>
      <c r="L122" s="897">
        <f>'Перелік ціни'!K100</f>
        <v>0</v>
      </c>
      <c r="M122" s="897">
        <f>'Перелік ціни'!L100</f>
        <v>0.3</v>
      </c>
      <c r="N122" s="898">
        <f t="shared" si="23"/>
        <v>3.5999999999999996</v>
      </c>
      <c r="O122" s="898"/>
      <c r="P122" s="897">
        <f t="shared" si="24"/>
        <v>50</v>
      </c>
      <c r="Q122" s="445">
        <f t="shared" si="19"/>
        <v>50</v>
      </c>
      <c r="R122" s="445">
        <f t="shared" si="20"/>
        <v>10</v>
      </c>
      <c r="S122" s="446">
        <f t="shared" si="18"/>
        <v>60</v>
      </c>
      <c r="T122" s="446">
        <v>47.999999999999993</v>
      </c>
      <c r="U122" s="453">
        <f t="shared" si="21"/>
        <v>12.000000000000007</v>
      </c>
      <c r="V122" s="720">
        <f>'Перелік ціни'!N100</f>
        <v>50</v>
      </c>
      <c r="W122" s="716">
        <f t="shared" si="22"/>
        <v>0</v>
      </c>
      <c r="X122" s="423"/>
    </row>
    <row r="123" spans="1:24" s="422" customFormat="1" ht="37.799999999999997" x14ac:dyDescent="0.65">
      <c r="A123" s="886"/>
      <c r="B123" s="443" t="s">
        <v>799</v>
      </c>
      <c r="C123" s="443"/>
      <c r="D123" s="447" t="s">
        <v>800</v>
      </c>
      <c r="E123" s="897">
        <f>'Перелік ціни'!D101</f>
        <v>22.2</v>
      </c>
      <c r="F123" s="897">
        <f>'Перелік ціни'!E101</f>
        <v>4.88</v>
      </c>
      <c r="G123" s="897">
        <f>'Перелік ціни'!F101</f>
        <v>18.72</v>
      </c>
      <c r="H123" s="897">
        <f>'Перелік ціни'!G101</f>
        <v>0.6</v>
      </c>
      <c r="I123" s="898">
        <f t="shared" si="17"/>
        <v>46.4</v>
      </c>
      <c r="J123" s="897">
        <f>'Перелік ціни'!I101</f>
        <v>3.3</v>
      </c>
      <c r="K123" s="897">
        <f>'Перелік ціни'!J101</f>
        <v>0</v>
      </c>
      <c r="L123" s="897">
        <f>'Перелік ціни'!K101</f>
        <v>0</v>
      </c>
      <c r="M123" s="897">
        <f>'Перелік ціни'!L101</f>
        <v>0.3</v>
      </c>
      <c r="N123" s="898">
        <f t="shared" si="23"/>
        <v>3.5999999999999996</v>
      </c>
      <c r="O123" s="898"/>
      <c r="P123" s="897">
        <f t="shared" si="24"/>
        <v>50</v>
      </c>
      <c r="Q123" s="445">
        <f t="shared" si="19"/>
        <v>50</v>
      </c>
      <c r="R123" s="445">
        <f t="shared" si="20"/>
        <v>10</v>
      </c>
      <c r="S123" s="446">
        <f t="shared" si="18"/>
        <v>60</v>
      </c>
      <c r="T123" s="446">
        <v>47.999999999999993</v>
      </c>
      <c r="U123" s="453">
        <f t="shared" si="21"/>
        <v>12.000000000000007</v>
      </c>
      <c r="V123" s="720">
        <f>'Перелік ціни'!N101</f>
        <v>50</v>
      </c>
      <c r="W123" s="716">
        <f t="shared" si="22"/>
        <v>0</v>
      </c>
      <c r="X123" s="423"/>
    </row>
    <row r="124" spans="1:24" s="422" customFormat="1" ht="37.799999999999997" x14ac:dyDescent="0.65">
      <c r="A124" s="886"/>
      <c r="B124" s="443" t="s">
        <v>801</v>
      </c>
      <c r="C124" s="443"/>
      <c r="D124" s="447" t="s">
        <v>802</v>
      </c>
      <c r="E124" s="897">
        <f>'Перелік ціни'!D102</f>
        <v>14.8</v>
      </c>
      <c r="F124" s="897">
        <f>'Перелік ціни'!E102</f>
        <v>3.26</v>
      </c>
      <c r="G124" s="897">
        <f>'Перелік ціни'!F102</f>
        <v>16.84</v>
      </c>
      <c r="H124" s="897">
        <f>'Перелік ціни'!G102</f>
        <v>0.2</v>
      </c>
      <c r="I124" s="898">
        <f t="shared" si="17"/>
        <v>35.100000000000009</v>
      </c>
      <c r="J124" s="897">
        <f>'Перелік ціни'!I102</f>
        <v>2.2000000000000002</v>
      </c>
      <c r="K124" s="897">
        <f>'Перелік ціни'!J102</f>
        <v>0</v>
      </c>
      <c r="L124" s="897">
        <f>'Перелік ціни'!K102</f>
        <v>0</v>
      </c>
      <c r="M124" s="897">
        <f>'Перелік ціни'!L102</f>
        <v>0.2</v>
      </c>
      <c r="N124" s="898">
        <f t="shared" si="23"/>
        <v>2.4000000000000004</v>
      </c>
      <c r="O124" s="898"/>
      <c r="P124" s="897">
        <f t="shared" si="24"/>
        <v>37.500000000000007</v>
      </c>
      <c r="Q124" s="445">
        <f t="shared" si="19"/>
        <v>37.500000000000007</v>
      </c>
      <c r="R124" s="445">
        <f t="shared" si="20"/>
        <v>7.5</v>
      </c>
      <c r="S124" s="446">
        <f t="shared" si="18"/>
        <v>45.000000000000007</v>
      </c>
      <c r="T124" s="446">
        <v>36</v>
      </c>
      <c r="U124" s="453">
        <f t="shared" si="21"/>
        <v>9.0000000000000071</v>
      </c>
      <c r="V124" s="720">
        <f>'Перелік ціни'!N102</f>
        <v>37.500000000000007</v>
      </c>
      <c r="W124" s="716">
        <f t="shared" si="22"/>
        <v>0</v>
      </c>
      <c r="X124" s="423"/>
    </row>
    <row r="125" spans="1:24" s="422" customFormat="1" ht="37.799999999999997" x14ac:dyDescent="0.65">
      <c r="A125" s="886"/>
      <c r="B125" s="443" t="s">
        <v>803</v>
      </c>
      <c r="C125" s="443"/>
      <c r="D125" s="447" t="s">
        <v>804</v>
      </c>
      <c r="E125" s="897">
        <f>'Перелік ціни'!D103</f>
        <v>14.8</v>
      </c>
      <c r="F125" s="897">
        <f>'Перелік ціни'!E103</f>
        <v>3.26</v>
      </c>
      <c r="G125" s="897">
        <f>'Перелік ціни'!F103</f>
        <v>16.84</v>
      </c>
      <c r="H125" s="897">
        <f>'Перелік ціни'!G103</f>
        <v>0.2</v>
      </c>
      <c r="I125" s="898">
        <f t="shared" si="17"/>
        <v>35.100000000000009</v>
      </c>
      <c r="J125" s="897">
        <f>'Перелік ціни'!I103</f>
        <v>2.2000000000000002</v>
      </c>
      <c r="K125" s="897">
        <f>'Перелік ціни'!J103</f>
        <v>0</v>
      </c>
      <c r="L125" s="897">
        <f>'Перелік ціни'!K103</f>
        <v>0</v>
      </c>
      <c r="M125" s="897">
        <f>'Перелік ціни'!L103</f>
        <v>0.2</v>
      </c>
      <c r="N125" s="898">
        <f t="shared" si="23"/>
        <v>2.4000000000000004</v>
      </c>
      <c r="O125" s="898"/>
      <c r="P125" s="897">
        <f t="shared" si="24"/>
        <v>37.500000000000007</v>
      </c>
      <c r="Q125" s="445">
        <f t="shared" si="19"/>
        <v>37.500000000000007</v>
      </c>
      <c r="R125" s="445">
        <f t="shared" si="20"/>
        <v>7.5</v>
      </c>
      <c r="S125" s="446">
        <f t="shared" si="18"/>
        <v>45.000000000000007</v>
      </c>
      <c r="T125" s="446">
        <v>36</v>
      </c>
      <c r="U125" s="453">
        <f t="shared" si="21"/>
        <v>9.0000000000000071</v>
      </c>
      <c r="V125" s="720">
        <f>'Перелік ціни'!N103</f>
        <v>37.500000000000007</v>
      </c>
      <c r="W125" s="716">
        <f t="shared" si="22"/>
        <v>0</v>
      </c>
      <c r="X125" s="423"/>
    </row>
    <row r="126" spans="1:24" s="422" customFormat="1" ht="37.799999999999997" x14ac:dyDescent="0.65">
      <c r="A126" s="886"/>
      <c r="B126" s="443" t="s">
        <v>805</v>
      </c>
      <c r="C126" s="443"/>
      <c r="D126" s="447" t="s">
        <v>806</v>
      </c>
      <c r="E126" s="897">
        <f>'Перелік ціни'!D104</f>
        <v>14.8</v>
      </c>
      <c r="F126" s="897">
        <f>'Перелік ціни'!E104</f>
        <v>3.26</v>
      </c>
      <c r="G126" s="897">
        <f>'Перелік ціни'!F104</f>
        <v>16.84</v>
      </c>
      <c r="H126" s="897">
        <f>'Перелік ціни'!G104</f>
        <v>0.2</v>
      </c>
      <c r="I126" s="898">
        <f t="shared" si="17"/>
        <v>35.100000000000009</v>
      </c>
      <c r="J126" s="897">
        <f>'Перелік ціни'!I104</f>
        <v>2.2000000000000002</v>
      </c>
      <c r="K126" s="897">
        <f>'Перелік ціни'!J104</f>
        <v>0</v>
      </c>
      <c r="L126" s="897">
        <f>'Перелік ціни'!K104</f>
        <v>0</v>
      </c>
      <c r="M126" s="897">
        <f>'Перелік ціни'!L104</f>
        <v>0.2</v>
      </c>
      <c r="N126" s="898">
        <f t="shared" si="23"/>
        <v>2.4000000000000004</v>
      </c>
      <c r="O126" s="898"/>
      <c r="P126" s="897">
        <f t="shared" si="24"/>
        <v>37.500000000000007</v>
      </c>
      <c r="Q126" s="445">
        <f t="shared" si="19"/>
        <v>37.500000000000007</v>
      </c>
      <c r="R126" s="445">
        <f t="shared" si="20"/>
        <v>7.5</v>
      </c>
      <c r="S126" s="446">
        <f t="shared" si="18"/>
        <v>45.000000000000007</v>
      </c>
      <c r="T126" s="446">
        <v>36</v>
      </c>
      <c r="U126" s="453">
        <f t="shared" si="21"/>
        <v>9.0000000000000071</v>
      </c>
      <c r="V126" s="720">
        <f>'Перелік ціни'!N104</f>
        <v>37.500000000000007</v>
      </c>
      <c r="W126" s="716">
        <f t="shared" si="22"/>
        <v>0</v>
      </c>
      <c r="X126" s="423"/>
    </row>
    <row r="127" spans="1:24" s="422" customFormat="1" ht="37.799999999999997" x14ac:dyDescent="0.65">
      <c r="A127" s="886"/>
      <c r="B127" s="443" t="s">
        <v>807</v>
      </c>
      <c r="C127" s="443"/>
      <c r="D127" s="447" t="s">
        <v>808</v>
      </c>
      <c r="E127" s="897">
        <f>'Перелік ціни'!D105</f>
        <v>14.8</v>
      </c>
      <c r="F127" s="897">
        <f>'Перелік ціни'!E105</f>
        <v>3.26</v>
      </c>
      <c r="G127" s="897">
        <f>'Перелік ціни'!F105</f>
        <v>16.84</v>
      </c>
      <c r="H127" s="897">
        <f>'Перелік ціни'!G105</f>
        <v>0.2</v>
      </c>
      <c r="I127" s="898">
        <f t="shared" si="17"/>
        <v>35.100000000000009</v>
      </c>
      <c r="J127" s="897">
        <f>'Перелік ціни'!I105</f>
        <v>2.2000000000000002</v>
      </c>
      <c r="K127" s="897">
        <f>'Перелік ціни'!J105</f>
        <v>0</v>
      </c>
      <c r="L127" s="897">
        <f>'Перелік ціни'!K105</f>
        <v>0</v>
      </c>
      <c r="M127" s="897">
        <f>'Перелік ціни'!L105</f>
        <v>0.2</v>
      </c>
      <c r="N127" s="898">
        <f t="shared" si="23"/>
        <v>2.4000000000000004</v>
      </c>
      <c r="O127" s="898"/>
      <c r="P127" s="897">
        <f t="shared" si="24"/>
        <v>37.500000000000007</v>
      </c>
      <c r="Q127" s="445">
        <f t="shared" si="19"/>
        <v>37.500000000000007</v>
      </c>
      <c r="R127" s="445">
        <f t="shared" si="20"/>
        <v>7.5</v>
      </c>
      <c r="S127" s="446">
        <f t="shared" si="18"/>
        <v>45.000000000000007</v>
      </c>
      <c r="T127" s="446">
        <v>36</v>
      </c>
      <c r="U127" s="453">
        <f t="shared" si="21"/>
        <v>9.0000000000000071</v>
      </c>
      <c r="V127" s="720">
        <f>'Перелік ціни'!N105</f>
        <v>37.500000000000007</v>
      </c>
      <c r="W127" s="716">
        <f t="shared" si="22"/>
        <v>0</v>
      </c>
      <c r="X127" s="423"/>
    </row>
    <row r="128" spans="1:24" s="422" customFormat="1" ht="37.799999999999997" x14ac:dyDescent="0.65">
      <c r="A128" s="886"/>
      <c r="B128" s="443" t="s">
        <v>809</v>
      </c>
      <c r="C128" s="443"/>
      <c r="D128" s="447" t="s">
        <v>810</v>
      </c>
      <c r="E128" s="897">
        <f>'Перелік ціни'!D106</f>
        <v>14.8</v>
      </c>
      <c r="F128" s="897">
        <f>'Перелік ціни'!E106</f>
        <v>3.26</v>
      </c>
      <c r="G128" s="897">
        <f>'Перелік ціни'!F106</f>
        <v>16.84</v>
      </c>
      <c r="H128" s="897">
        <f>'Перелік ціни'!G106</f>
        <v>0.2</v>
      </c>
      <c r="I128" s="898">
        <f t="shared" si="17"/>
        <v>35.100000000000009</v>
      </c>
      <c r="J128" s="897">
        <f>'Перелік ціни'!I106</f>
        <v>2.2000000000000002</v>
      </c>
      <c r="K128" s="897">
        <f>'Перелік ціни'!J106</f>
        <v>0</v>
      </c>
      <c r="L128" s="897">
        <f>'Перелік ціни'!K106</f>
        <v>0</v>
      </c>
      <c r="M128" s="897">
        <f>'Перелік ціни'!L106</f>
        <v>0.2</v>
      </c>
      <c r="N128" s="898">
        <f t="shared" si="23"/>
        <v>2.4000000000000004</v>
      </c>
      <c r="O128" s="898"/>
      <c r="P128" s="897">
        <f t="shared" si="24"/>
        <v>37.500000000000007</v>
      </c>
      <c r="Q128" s="445">
        <f t="shared" si="19"/>
        <v>37.500000000000007</v>
      </c>
      <c r="R128" s="445">
        <f t="shared" si="20"/>
        <v>7.5</v>
      </c>
      <c r="S128" s="446">
        <f t="shared" si="18"/>
        <v>45.000000000000007</v>
      </c>
      <c r="T128" s="446">
        <v>36</v>
      </c>
      <c r="U128" s="453">
        <f t="shared" si="21"/>
        <v>9.0000000000000071</v>
      </c>
      <c r="V128" s="720">
        <f>'Перелік ціни'!N106</f>
        <v>37.500000000000007</v>
      </c>
      <c r="W128" s="716">
        <f t="shared" si="22"/>
        <v>0</v>
      </c>
      <c r="X128" s="423"/>
    </row>
    <row r="129" spans="1:24" s="422" customFormat="1" ht="37.799999999999997" x14ac:dyDescent="0.65">
      <c r="A129" s="886"/>
      <c r="B129" s="443" t="s">
        <v>811</v>
      </c>
      <c r="C129" s="443"/>
      <c r="D129" s="447" t="s">
        <v>812</v>
      </c>
      <c r="E129" s="897">
        <f>'Перелік ціни'!D107</f>
        <v>22.2</v>
      </c>
      <c r="F129" s="897">
        <f>'Перелік ціни'!E107</f>
        <v>4.88</v>
      </c>
      <c r="G129" s="897">
        <f>'Перелік ціни'!F107</f>
        <v>18.72</v>
      </c>
      <c r="H129" s="897">
        <f>'Перелік ціни'!G107</f>
        <v>0.6</v>
      </c>
      <c r="I129" s="898">
        <f t="shared" si="17"/>
        <v>46.4</v>
      </c>
      <c r="J129" s="897">
        <f>'Перелік ціни'!I107</f>
        <v>3.3</v>
      </c>
      <c r="K129" s="897">
        <f>'Перелік ціни'!J107</f>
        <v>0</v>
      </c>
      <c r="L129" s="897">
        <f>'Перелік ціни'!K107</f>
        <v>0</v>
      </c>
      <c r="M129" s="897">
        <f>'Перелік ціни'!L107</f>
        <v>0.3</v>
      </c>
      <c r="N129" s="898">
        <f t="shared" si="23"/>
        <v>3.5999999999999996</v>
      </c>
      <c r="O129" s="898"/>
      <c r="P129" s="897">
        <f t="shared" si="24"/>
        <v>50</v>
      </c>
      <c r="Q129" s="445">
        <f t="shared" si="19"/>
        <v>50</v>
      </c>
      <c r="R129" s="445">
        <f t="shared" si="20"/>
        <v>10</v>
      </c>
      <c r="S129" s="446">
        <f t="shared" si="18"/>
        <v>60</v>
      </c>
      <c r="T129" s="446">
        <v>47.999999999999993</v>
      </c>
      <c r="U129" s="453">
        <f t="shared" si="21"/>
        <v>12.000000000000007</v>
      </c>
      <c r="V129" s="720">
        <f>'Перелік ціни'!N107</f>
        <v>50</v>
      </c>
      <c r="W129" s="716">
        <f t="shared" si="22"/>
        <v>0</v>
      </c>
      <c r="X129" s="423"/>
    </row>
    <row r="130" spans="1:24" s="422" customFormat="1" ht="37.799999999999997" x14ac:dyDescent="0.65">
      <c r="A130" s="886"/>
      <c r="B130" s="443" t="s">
        <v>813</v>
      </c>
      <c r="C130" s="443"/>
      <c r="D130" s="447" t="s">
        <v>814</v>
      </c>
      <c r="E130" s="897">
        <f>'Перелік ціни'!D108</f>
        <v>22.2</v>
      </c>
      <c r="F130" s="897">
        <f>'Перелік ціни'!E108</f>
        <v>4.88</v>
      </c>
      <c r="G130" s="897">
        <f>'Перелік ціни'!F108</f>
        <v>18.72</v>
      </c>
      <c r="H130" s="897">
        <f>'Перелік ціни'!G108</f>
        <v>0.6</v>
      </c>
      <c r="I130" s="898">
        <f t="shared" si="17"/>
        <v>46.4</v>
      </c>
      <c r="J130" s="897">
        <f>'Перелік ціни'!I108</f>
        <v>3.3</v>
      </c>
      <c r="K130" s="897">
        <f>'Перелік ціни'!J108</f>
        <v>0</v>
      </c>
      <c r="L130" s="897">
        <f>'Перелік ціни'!K108</f>
        <v>0</v>
      </c>
      <c r="M130" s="897">
        <f>'Перелік ціни'!L108</f>
        <v>0.3</v>
      </c>
      <c r="N130" s="898">
        <f t="shared" si="23"/>
        <v>3.5999999999999996</v>
      </c>
      <c r="O130" s="898"/>
      <c r="P130" s="897">
        <f t="shared" si="24"/>
        <v>50</v>
      </c>
      <c r="Q130" s="445">
        <f t="shared" si="19"/>
        <v>50</v>
      </c>
      <c r="R130" s="445">
        <f t="shared" si="20"/>
        <v>10</v>
      </c>
      <c r="S130" s="446">
        <f t="shared" si="18"/>
        <v>60</v>
      </c>
      <c r="T130" s="446">
        <v>47.999999999999993</v>
      </c>
      <c r="U130" s="453">
        <f t="shared" si="21"/>
        <v>12.000000000000007</v>
      </c>
      <c r="V130" s="720">
        <f>'Перелік ціни'!N108</f>
        <v>50</v>
      </c>
      <c r="W130" s="716">
        <f t="shared" si="22"/>
        <v>0</v>
      </c>
      <c r="X130" s="423"/>
    </row>
    <row r="131" spans="1:24" s="422" customFormat="1" ht="37.799999999999997" x14ac:dyDescent="0.65">
      <c r="A131" s="886"/>
      <c r="B131" s="443" t="s">
        <v>815</v>
      </c>
      <c r="C131" s="443"/>
      <c r="D131" s="447" t="s">
        <v>816</v>
      </c>
      <c r="E131" s="897">
        <f>'Перелік ціни'!D109</f>
        <v>22.2</v>
      </c>
      <c r="F131" s="897">
        <f>'Перелік ціни'!E109</f>
        <v>4.88</v>
      </c>
      <c r="G131" s="897">
        <f>'Перелік ціни'!F109</f>
        <v>18.72</v>
      </c>
      <c r="H131" s="897">
        <f>'Перелік ціни'!G109</f>
        <v>0.6</v>
      </c>
      <c r="I131" s="898">
        <f t="shared" si="17"/>
        <v>46.4</v>
      </c>
      <c r="J131" s="897">
        <f>'Перелік ціни'!I109</f>
        <v>3.3</v>
      </c>
      <c r="K131" s="897">
        <f>'Перелік ціни'!J109</f>
        <v>0</v>
      </c>
      <c r="L131" s="897">
        <f>'Перелік ціни'!K109</f>
        <v>0</v>
      </c>
      <c r="M131" s="897">
        <f>'Перелік ціни'!L109</f>
        <v>0.3</v>
      </c>
      <c r="N131" s="898">
        <f t="shared" si="23"/>
        <v>3.5999999999999996</v>
      </c>
      <c r="O131" s="898"/>
      <c r="P131" s="897">
        <f t="shared" si="24"/>
        <v>50</v>
      </c>
      <c r="Q131" s="445">
        <f t="shared" si="19"/>
        <v>50</v>
      </c>
      <c r="R131" s="445">
        <f t="shared" si="20"/>
        <v>10</v>
      </c>
      <c r="S131" s="446">
        <f t="shared" si="18"/>
        <v>60</v>
      </c>
      <c r="T131" s="446">
        <v>47.999999999999993</v>
      </c>
      <c r="U131" s="453">
        <f t="shared" si="21"/>
        <v>12.000000000000007</v>
      </c>
      <c r="V131" s="720">
        <f>'Перелік ціни'!N109</f>
        <v>50</v>
      </c>
      <c r="W131" s="716">
        <f t="shared" si="22"/>
        <v>0</v>
      </c>
      <c r="X131" s="423"/>
    </row>
    <row r="132" spans="1:24" s="422" customFormat="1" ht="37.799999999999997" x14ac:dyDescent="0.65">
      <c r="A132" s="886"/>
      <c r="B132" s="443" t="s">
        <v>817</v>
      </c>
      <c r="C132" s="443"/>
      <c r="D132" s="447" t="s">
        <v>818</v>
      </c>
      <c r="E132" s="897">
        <f>'Перелік ціни'!D110</f>
        <v>14.8</v>
      </c>
      <c r="F132" s="897">
        <f>'Перелік ціни'!E110</f>
        <v>3.26</v>
      </c>
      <c r="G132" s="897">
        <f>'Перелік ціни'!F110</f>
        <v>16.84</v>
      </c>
      <c r="H132" s="897">
        <f>'Перелік ціни'!G110</f>
        <v>0.2</v>
      </c>
      <c r="I132" s="898">
        <f t="shared" si="17"/>
        <v>35.100000000000009</v>
      </c>
      <c r="J132" s="897">
        <f>'Перелік ціни'!I110</f>
        <v>2.2000000000000002</v>
      </c>
      <c r="K132" s="897">
        <f>'Перелік ціни'!J110</f>
        <v>0</v>
      </c>
      <c r="L132" s="897">
        <f>'Перелік ціни'!K110</f>
        <v>0</v>
      </c>
      <c r="M132" s="897">
        <f>'Перелік ціни'!L110</f>
        <v>0.2</v>
      </c>
      <c r="N132" s="898">
        <f t="shared" si="23"/>
        <v>2.4000000000000004</v>
      </c>
      <c r="O132" s="898"/>
      <c r="P132" s="897">
        <f t="shared" si="24"/>
        <v>37.500000000000007</v>
      </c>
      <c r="Q132" s="445">
        <f t="shared" si="19"/>
        <v>37.500000000000007</v>
      </c>
      <c r="R132" s="445">
        <f t="shared" si="20"/>
        <v>7.5</v>
      </c>
      <c r="S132" s="446">
        <f t="shared" si="18"/>
        <v>45.000000000000007</v>
      </c>
      <c r="T132" s="446">
        <v>36</v>
      </c>
      <c r="U132" s="453">
        <f t="shared" si="21"/>
        <v>9.0000000000000071</v>
      </c>
      <c r="V132" s="720">
        <f>'Перелік ціни'!N110</f>
        <v>37.500000000000007</v>
      </c>
      <c r="W132" s="716">
        <f t="shared" si="22"/>
        <v>0</v>
      </c>
      <c r="X132" s="423"/>
    </row>
    <row r="133" spans="1:24" s="422" customFormat="1" ht="37.799999999999997" x14ac:dyDescent="0.65">
      <c r="A133" s="886"/>
      <c r="B133" s="443" t="s">
        <v>819</v>
      </c>
      <c r="C133" s="443"/>
      <c r="D133" s="447" t="s">
        <v>120</v>
      </c>
      <c r="E133" s="897">
        <f>'Перелік ціни'!D111</f>
        <v>14.8</v>
      </c>
      <c r="F133" s="897">
        <f>'Перелік ціни'!E111</f>
        <v>3.26</v>
      </c>
      <c r="G133" s="897">
        <f>'Перелік ціни'!F111</f>
        <v>16.84</v>
      </c>
      <c r="H133" s="897">
        <f>'Перелік ціни'!G111</f>
        <v>0.2</v>
      </c>
      <c r="I133" s="898">
        <f t="shared" si="17"/>
        <v>35.100000000000009</v>
      </c>
      <c r="J133" s="897">
        <f>'Перелік ціни'!I111</f>
        <v>2.2000000000000002</v>
      </c>
      <c r="K133" s="897">
        <f>'Перелік ціни'!J111</f>
        <v>0</v>
      </c>
      <c r="L133" s="897">
        <f>'Перелік ціни'!K111</f>
        <v>0</v>
      </c>
      <c r="M133" s="897">
        <f>'Перелік ціни'!L111</f>
        <v>0.2</v>
      </c>
      <c r="N133" s="898">
        <f t="shared" si="23"/>
        <v>2.4000000000000004</v>
      </c>
      <c r="O133" s="898"/>
      <c r="P133" s="897">
        <f t="shared" si="24"/>
        <v>37.500000000000007</v>
      </c>
      <c r="Q133" s="445">
        <f t="shared" si="19"/>
        <v>37.500000000000007</v>
      </c>
      <c r="R133" s="445">
        <f t="shared" si="20"/>
        <v>7.5</v>
      </c>
      <c r="S133" s="446">
        <f t="shared" si="18"/>
        <v>45.000000000000007</v>
      </c>
      <c r="T133" s="446">
        <v>36</v>
      </c>
      <c r="U133" s="453">
        <f t="shared" si="21"/>
        <v>9.0000000000000071</v>
      </c>
      <c r="V133" s="720">
        <f>'Перелік ціни'!N111</f>
        <v>37.500000000000007</v>
      </c>
      <c r="W133" s="716">
        <f t="shared" si="22"/>
        <v>0</v>
      </c>
      <c r="X133" s="423"/>
    </row>
    <row r="134" spans="1:24" s="422" customFormat="1" ht="37.799999999999997" x14ac:dyDescent="0.65">
      <c r="A134" s="886"/>
      <c r="B134" s="443" t="s">
        <v>821</v>
      </c>
      <c r="C134" s="443"/>
      <c r="D134" s="447" t="s">
        <v>121</v>
      </c>
      <c r="E134" s="897">
        <f>'Перелік ціни'!D112</f>
        <v>14.8</v>
      </c>
      <c r="F134" s="897">
        <f>'Перелік ціни'!E112</f>
        <v>3.26</v>
      </c>
      <c r="G134" s="897">
        <f>'Перелік ціни'!F112</f>
        <v>16.84</v>
      </c>
      <c r="H134" s="897">
        <f>'Перелік ціни'!G112</f>
        <v>0.2</v>
      </c>
      <c r="I134" s="898">
        <f t="shared" si="17"/>
        <v>35.100000000000009</v>
      </c>
      <c r="J134" s="897">
        <f>'Перелік ціни'!I112</f>
        <v>2.2000000000000002</v>
      </c>
      <c r="K134" s="897">
        <f>'Перелік ціни'!J112</f>
        <v>0</v>
      </c>
      <c r="L134" s="897">
        <f>'Перелік ціни'!K112</f>
        <v>0</v>
      </c>
      <c r="M134" s="897">
        <f>'Перелік ціни'!L112</f>
        <v>0.2</v>
      </c>
      <c r="N134" s="898">
        <f t="shared" si="23"/>
        <v>2.4000000000000004</v>
      </c>
      <c r="O134" s="898"/>
      <c r="P134" s="897">
        <f t="shared" si="24"/>
        <v>37.500000000000007</v>
      </c>
      <c r="Q134" s="445">
        <f t="shared" si="19"/>
        <v>37.500000000000007</v>
      </c>
      <c r="R134" s="445">
        <f t="shared" si="20"/>
        <v>7.5</v>
      </c>
      <c r="S134" s="446">
        <f t="shared" si="18"/>
        <v>45.000000000000007</v>
      </c>
      <c r="T134" s="446">
        <v>36</v>
      </c>
      <c r="U134" s="453">
        <f t="shared" si="21"/>
        <v>9.0000000000000071</v>
      </c>
      <c r="V134" s="720">
        <f>'Перелік ціни'!N112</f>
        <v>37.500000000000007</v>
      </c>
      <c r="W134" s="716">
        <f t="shared" si="22"/>
        <v>0</v>
      </c>
      <c r="X134" s="423"/>
    </row>
    <row r="135" spans="1:24" s="422" customFormat="1" ht="37.799999999999997" x14ac:dyDescent="0.65">
      <c r="A135" s="886"/>
      <c r="B135" s="443" t="s">
        <v>823</v>
      </c>
      <c r="C135" s="443"/>
      <c r="D135" s="447" t="s">
        <v>824</v>
      </c>
      <c r="E135" s="897">
        <f>'Перелік ціни'!D113</f>
        <v>22.2</v>
      </c>
      <c r="F135" s="897">
        <f>'Перелік ціни'!E113</f>
        <v>4.88</v>
      </c>
      <c r="G135" s="897">
        <f>'Перелік ціни'!F113</f>
        <v>18.72</v>
      </c>
      <c r="H135" s="897">
        <f>'Перелік ціни'!G113</f>
        <v>0.6</v>
      </c>
      <c r="I135" s="898">
        <f t="shared" si="17"/>
        <v>46.4</v>
      </c>
      <c r="J135" s="897">
        <f>'Перелік ціни'!I113</f>
        <v>3.3</v>
      </c>
      <c r="K135" s="897">
        <f>'Перелік ціни'!J113</f>
        <v>0</v>
      </c>
      <c r="L135" s="897">
        <f>'Перелік ціни'!K113</f>
        <v>0</v>
      </c>
      <c r="M135" s="897">
        <f>'Перелік ціни'!L113</f>
        <v>0.3</v>
      </c>
      <c r="N135" s="898">
        <f t="shared" si="23"/>
        <v>3.5999999999999996</v>
      </c>
      <c r="O135" s="898"/>
      <c r="P135" s="897">
        <f t="shared" si="24"/>
        <v>50</v>
      </c>
      <c r="Q135" s="445">
        <f t="shared" si="19"/>
        <v>50</v>
      </c>
      <c r="R135" s="445">
        <f t="shared" si="20"/>
        <v>10</v>
      </c>
      <c r="S135" s="446">
        <f t="shared" si="18"/>
        <v>60</v>
      </c>
      <c r="T135" s="446">
        <v>47.999999999999993</v>
      </c>
      <c r="U135" s="453">
        <f t="shared" si="21"/>
        <v>12.000000000000007</v>
      </c>
      <c r="V135" s="720">
        <f>'Перелік ціни'!N113</f>
        <v>50</v>
      </c>
      <c r="W135" s="716">
        <f t="shared" si="22"/>
        <v>0</v>
      </c>
      <c r="X135" s="423"/>
    </row>
    <row r="136" spans="1:24" s="422" customFormat="1" ht="37.799999999999997" x14ac:dyDescent="0.65">
      <c r="A136" s="886"/>
      <c r="B136" s="443" t="s">
        <v>825</v>
      </c>
      <c r="C136" s="443"/>
      <c r="D136" s="447" t="s">
        <v>826</v>
      </c>
      <c r="E136" s="897">
        <f>'Перелік ціни'!D114</f>
        <v>22.2</v>
      </c>
      <c r="F136" s="897">
        <f>'Перелік ціни'!E114</f>
        <v>4.88</v>
      </c>
      <c r="G136" s="897">
        <f>'Перелік ціни'!F114</f>
        <v>18.72</v>
      </c>
      <c r="H136" s="897">
        <f>'Перелік ціни'!G114</f>
        <v>0.6</v>
      </c>
      <c r="I136" s="898">
        <f t="shared" si="17"/>
        <v>46.4</v>
      </c>
      <c r="J136" s="897">
        <f>'Перелік ціни'!I114</f>
        <v>3.3</v>
      </c>
      <c r="K136" s="897">
        <f>'Перелік ціни'!J114</f>
        <v>0</v>
      </c>
      <c r="L136" s="897">
        <f>'Перелік ціни'!K114</f>
        <v>0</v>
      </c>
      <c r="M136" s="897">
        <f>'Перелік ціни'!L114</f>
        <v>0.3</v>
      </c>
      <c r="N136" s="898">
        <f t="shared" si="23"/>
        <v>3.5999999999999996</v>
      </c>
      <c r="O136" s="898"/>
      <c r="P136" s="897">
        <f t="shared" si="24"/>
        <v>50</v>
      </c>
      <c r="Q136" s="445">
        <f t="shared" si="19"/>
        <v>50</v>
      </c>
      <c r="R136" s="445">
        <f t="shared" si="20"/>
        <v>10</v>
      </c>
      <c r="S136" s="446">
        <f t="shared" si="18"/>
        <v>60</v>
      </c>
      <c r="T136" s="446">
        <v>47.999999999999993</v>
      </c>
      <c r="U136" s="453">
        <f t="shared" si="21"/>
        <v>12.000000000000007</v>
      </c>
      <c r="V136" s="720">
        <f>'Перелік ціни'!N114</f>
        <v>50</v>
      </c>
      <c r="W136" s="716">
        <f t="shared" si="22"/>
        <v>0</v>
      </c>
      <c r="X136" s="423"/>
    </row>
    <row r="137" spans="1:24" s="422" customFormat="1" ht="37.799999999999997" x14ac:dyDescent="0.65">
      <c r="A137" s="886"/>
      <c r="B137" s="443" t="s">
        <v>827</v>
      </c>
      <c r="C137" s="443"/>
      <c r="D137" s="447" t="s">
        <v>828</v>
      </c>
      <c r="E137" s="897">
        <f>'Перелік ціни'!D115</f>
        <v>14.8</v>
      </c>
      <c r="F137" s="897">
        <f>'Перелік ціни'!E115</f>
        <v>3.26</v>
      </c>
      <c r="G137" s="897">
        <f>'Перелік ціни'!F115</f>
        <v>16.84</v>
      </c>
      <c r="H137" s="897">
        <f>'Перелік ціни'!G115</f>
        <v>0.2</v>
      </c>
      <c r="I137" s="898">
        <f t="shared" si="17"/>
        <v>35.100000000000009</v>
      </c>
      <c r="J137" s="897">
        <f>'Перелік ціни'!I115</f>
        <v>2.2000000000000002</v>
      </c>
      <c r="K137" s="897">
        <f>'Перелік ціни'!J115</f>
        <v>0</v>
      </c>
      <c r="L137" s="897">
        <f>'Перелік ціни'!K115</f>
        <v>0</v>
      </c>
      <c r="M137" s="897">
        <f>'Перелік ціни'!L115</f>
        <v>0.2</v>
      </c>
      <c r="N137" s="898">
        <f t="shared" si="23"/>
        <v>2.4000000000000004</v>
      </c>
      <c r="O137" s="898"/>
      <c r="P137" s="897">
        <f t="shared" si="24"/>
        <v>37.500000000000007</v>
      </c>
      <c r="Q137" s="445">
        <f t="shared" si="19"/>
        <v>37.500000000000007</v>
      </c>
      <c r="R137" s="445">
        <f t="shared" si="20"/>
        <v>7.5</v>
      </c>
      <c r="S137" s="446">
        <f t="shared" si="18"/>
        <v>45.000000000000007</v>
      </c>
      <c r="T137" s="446">
        <v>36</v>
      </c>
      <c r="U137" s="453">
        <f t="shared" si="21"/>
        <v>9.0000000000000071</v>
      </c>
      <c r="V137" s="720">
        <f>'Перелік ціни'!N115</f>
        <v>37.500000000000007</v>
      </c>
      <c r="W137" s="716">
        <f t="shared" si="22"/>
        <v>0</v>
      </c>
      <c r="X137" s="423"/>
    </row>
    <row r="138" spans="1:24" s="422" customFormat="1" ht="37.799999999999997" x14ac:dyDescent="0.65">
      <c r="A138" s="886"/>
      <c r="B138" s="443" t="s">
        <v>829</v>
      </c>
      <c r="C138" s="443"/>
      <c r="D138" s="447" t="s">
        <v>830</v>
      </c>
      <c r="E138" s="897">
        <f>'Перелік ціни'!D116</f>
        <v>14.8</v>
      </c>
      <c r="F138" s="897">
        <f>'Перелік ціни'!E116</f>
        <v>3.26</v>
      </c>
      <c r="G138" s="897">
        <f>'Перелік ціни'!F116</f>
        <v>16.84</v>
      </c>
      <c r="H138" s="897">
        <f>'Перелік ціни'!G116</f>
        <v>0.2</v>
      </c>
      <c r="I138" s="898">
        <f t="shared" si="17"/>
        <v>35.100000000000009</v>
      </c>
      <c r="J138" s="897">
        <f>'Перелік ціни'!I116</f>
        <v>2.2000000000000002</v>
      </c>
      <c r="K138" s="897">
        <f>'Перелік ціни'!J116</f>
        <v>0</v>
      </c>
      <c r="L138" s="897">
        <f>'Перелік ціни'!K116</f>
        <v>0</v>
      </c>
      <c r="M138" s="897">
        <f>'Перелік ціни'!L116</f>
        <v>0.2</v>
      </c>
      <c r="N138" s="898">
        <f t="shared" si="23"/>
        <v>2.4000000000000004</v>
      </c>
      <c r="O138" s="898"/>
      <c r="P138" s="897">
        <f t="shared" si="24"/>
        <v>37.500000000000007</v>
      </c>
      <c r="Q138" s="445">
        <f t="shared" si="19"/>
        <v>37.500000000000007</v>
      </c>
      <c r="R138" s="445">
        <f t="shared" si="20"/>
        <v>7.5</v>
      </c>
      <c r="S138" s="446">
        <f t="shared" si="18"/>
        <v>45.000000000000007</v>
      </c>
      <c r="T138" s="446">
        <v>36</v>
      </c>
      <c r="U138" s="453">
        <f t="shared" si="21"/>
        <v>9.0000000000000071</v>
      </c>
      <c r="V138" s="720">
        <f>'Перелік ціни'!N116</f>
        <v>37.500000000000007</v>
      </c>
      <c r="W138" s="716">
        <f t="shared" si="22"/>
        <v>0</v>
      </c>
      <c r="X138" s="423"/>
    </row>
    <row r="139" spans="1:24" s="422" customFormat="1" ht="37.799999999999997" x14ac:dyDescent="0.65">
      <c r="A139" s="886"/>
      <c r="B139" s="443" t="s">
        <v>831</v>
      </c>
      <c r="C139" s="443"/>
      <c r="D139" s="447" t="s">
        <v>832</v>
      </c>
      <c r="E139" s="897">
        <f>'Перелік ціни'!D117</f>
        <v>14.8</v>
      </c>
      <c r="F139" s="897">
        <f>'Перелік ціни'!E117</f>
        <v>3.26</v>
      </c>
      <c r="G139" s="897">
        <f>'Перелік ціни'!F117</f>
        <v>16.84</v>
      </c>
      <c r="H139" s="897">
        <f>'Перелік ціни'!G117</f>
        <v>0.2</v>
      </c>
      <c r="I139" s="898">
        <f t="shared" si="17"/>
        <v>35.100000000000009</v>
      </c>
      <c r="J139" s="897">
        <f>'Перелік ціни'!I117</f>
        <v>2.2000000000000002</v>
      </c>
      <c r="K139" s="897">
        <f>'Перелік ціни'!J117</f>
        <v>0</v>
      </c>
      <c r="L139" s="897">
        <f>'Перелік ціни'!K117</f>
        <v>0</v>
      </c>
      <c r="M139" s="897">
        <f>'Перелік ціни'!L117</f>
        <v>0.2</v>
      </c>
      <c r="N139" s="898">
        <f t="shared" si="23"/>
        <v>2.4000000000000004</v>
      </c>
      <c r="O139" s="898"/>
      <c r="P139" s="897">
        <f t="shared" si="24"/>
        <v>37.500000000000007</v>
      </c>
      <c r="Q139" s="445">
        <f t="shared" si="19"/>
        <v>37.500000000000007</v>
      </c>
      <c r="R139" s="445">
        <f t="shared" si="20"/>
        <v>7.5</v>
      </c>
      <c r="S139" s="446">
        <f t="shared" si="18"/>
        <v>45.000000000000007</v>
      </c>
      <c r="T139" s="446">
        <v>36</v>
      </c>
      <c r="U139" s="453">
        <f t="shared" si="21"/>
        <v>9.0000000000000071</v>
      </c>
      <c r="V139" s="720">
        <f>'Перелік ціни'!N117</f>
        <v>37.500000000000007</v>
      </c>
      <c r="W139" s="716">
        <f t="shared" si="22"/>
        <v>0</v>
      </c>
      <c r="X139" s="423"/>
    </row>
    <row r="140" spans="1:24" s="422" customFormat="1" ht="37.799999999999997" x14ac:dyDescent="0.65">
      <c r="A140" s="886"/>
      <c r="B140" s="443" t="s">
        <v>833</v>
      </c>
      <c r="C140" s="443"/>
      <c r="D140" s="447" t="s">
        <v>834</v>
      </c>
      <c r="E140" s="897">
        <f>'Перелік ціни'!D118</f>
        <v>14.8</v>
      </c>
      <c r="F140" s="897">
        <f>'Перелік ціни'!E118</f>
        <v>3.26</v>
      </c>
      <c r="G140" s="897">
        <f>'Перелік ціни'!F118</f>
        <v>16.84</v>
      </c>
      <c r="H140" s="897">
        <f>'Перелік ціни'!G118</f>
        <v>0.2</v>
      </c>
      <c r="I140" s="898">
        <f t="shared" si="17"/>
        <v>35.100000000000009</v>
      </c>
      <c r="J140" s="897">
        <f>'Перелік ціни'!I118</f>
        <v>2.2000000000000002</v>
      </c>
      <c r="K140" s="897">
        <f>'Перелік ціни'!J118</f>
        <v>0</v>
      </c>
      <c r="L140" s="897">
        <f>'Перелік ціни'!K118</f>
        <v>0</v>
      </c>
      <c r="M140" s="897">
        <f>'Перелік ціни'!L118</f>
        <v>0.2</v>
      </c>
      <c r="N140" s="898">
        <f t="shared" si="23"/>
        <v>2.4000000000000004</v>
      </c>
      <c r="O140" s="898"/>
      <c r="P140" s="897">
        <f t="shared" si="24"/>
        <v>37.500000000000007</v>
      </c>
      <c r="Q140" s="445">
        <f t="shared" si="19"/>
        <v>37.500000000000007</v>
      </c>
      <c r="R140" s="445">
        <f t="shared" si="20"/>
        <v>7.5</v>
      </c>
      <c r="S140" s="446">
        <f t="shared" si="18"/>
        <v>45.000000000000007</v>
      </c>
      <c r="T140" s="446">
        <v>36</v>
      </c>
      <c r="U140" s="453">
        <f t="shared" si="21"/>
        <v>9.0000000000000071</v>
      </c>
      <c r="V140" s="720">
        <f>'Перелік ціни'!N118</f>
        <v>37.500000000000007</v>
      </c>
      <c r="W140" s="716">
        <f t="shared" si="22"/>
        <v>0</v>
      </c>
      <c r="X140" s="423"/>
    </row>
    <row r="141" spans="1:24" s="422" customFormat="1" ht="37.799999999999997" x14ac:dyDescent="0.65">
      <c r="A141" s="886"/>
      <c r="B141" s="443" t="s">
        <v>835</v>
      </c>
      <c r="C141" s="443"/>
      <c r="D141" s="447" t="s">
        <v>836</v>
      </c>
      <c r="E141" s="897">
        <f>'Перелік ціни'!D119</f>
        <v>29.6</v>
      </c>
      <c r="F141" s="897">
        <f>'Перелік ціни'!E119</f>
        <v>6.51</v>
      </c>
      <c r="G141" s="897">
        <f>'Перелік ціни'!F119</f>
        <v>17.239999999999998</v>
      </c>
      <c r="H141" s="897">
        <f>'Перелік ціни'!G119</f>
        <v>0.18</v>
      </c>
      <c r="I141" s="898">
        <f t="shared" si="17"/>
        <v>53.529999999999994</v>
      </c>
      <c r="J141" s="897">
        <f>'Перелік ціни'!I119</f>
        <v>4.4000000000000004</v>
      </c>
      <c r="K141" s="897">
        <f>'Перелік ціни'!J119</f>
        <v>0</v>
      </c>
      <c r="L141" s="897">
        <f>'Перелік ціни'!K119</f>
        <v>0</v>
      </c>
      <c r="M141" s="897">
        <f>'Перелік ціни'!L119</f>
        <v>0.4</v>
      </c>
      <c r="N141" s="898">
        <f t="shared" si="23"/>
        <v>4.8000000000000007</v>
      </c>
      <c r="O141" s="898"/>
      <c r="P141" s="897">
        <f t="shared" si="24"/>
        <v>58.33</v>
      </c>
      <c r="Q141" s="445">
        <f t="shared" si="19"/>
        <v>58.33</v>
      </c>
      <c r="R141" s="445">
        <f t="shared" si="20"/>
        <v>11.67</v>
      </c>
      <c r="S141" s="446">
        <f t="shared" si="18"/>
        <v>70</v>
      </c>
      <c r="T141" s="446">
        <v>59</v>
      </c>
      <c r="U141" s="453">
        <f t="shared" si="21"/>
        <v>11</v>
      </c>
      <c r="V141" s="720">
        <f>'Перелік ціни'!N119</f>
        <v>58.33</v>
      </c>
      <c r="W141" s="716">
        <f t="shared" si="22"/>
        <v>0</v>
      </c>
      <c r="X141" s="423"/>
    </row>
    <row r="142" spans="1:24" s="422" customFormat="1" ht="37.799999999999997" x14ac:dyDescent="0.65">
      <c r="A142" s="886"/>
      <c r="B142" s="443" t="s">
        <v>837</v>
      </c>
      <c r="C142" s="443"/>
      <c r="D142" s="444" t="s">
        <v>122</v>
      </c>
      <c r="E142" s="897">
        <f>'Перелік ціни'!D120</f>
        <v>22.2</v>
      </c>
      <c r="F142" s="897">
        <f>'Перелік ціни'!E120</f>
        <v>4.88</v>
      </c>
      <c r="G142" s="897">
        <f>'Перелік ціни'!F120</f>
        <v>18.72</v>
      </c>
      <c r="H142" s="897">
        <f>'Перелік ціни'!G120</f>
        <v>0.6</v>
      </c>
      <c r="I142" s="898">
        <f t="shared" si="17"/>
        <v>46.4</v>
      </c>
      <c r="J142" s="897">
        <f>'Перелік ціни'!I120</f>
        <v>3.3</v>
      </c>
      <c r="K142" s="897">
        <f>'Перелік ціни'!J120</f>
        <v>0</v>
      </c>
      <c r="L142" s="897">
        <f>'Перелік ціни'!K120</f>
        <v>0</v>
      </c>
      <c r="M142" s="897">
        <f>'Перелік ціни'!L120</f>
        <v>0.3</v>
      </c>
      <c r="N142" s="898">
        <f t="shared" si="23"/>
        <v>3.5999999999999996</v>
      </c>
      <c r="O142" s="898"/>
      <c r="P142" s="897">
        <f t="shared" si="24"/>
        <v>50</v>
      </c>
      <c r="Q142" s="445">
        <f t="shared" si="19"/>
        <v>50</v>
      </c>
      <c r="R142" s="445">
        <f t="shared" si="20"/>
        <v>10</v>
      </c>
      <c r="S142" s="446">
        <f t="shared" si="18"/>
        <v>60</v>
      </c>
      <c r="T142" s="446">
        <v>47.999999999999993</v>
      </c>
      <c r="U142" s="453">
        <f t="shared" si="21"/>
        <v>12.000000000000007</v>
      </c>
      <c r="V142" s="720">
        <f>'Перелік ціни'!N120</f>
        <v>50</v>
      </c>
      <c r="W142" s="716">
        <f t="shared" si="22"/>
        <v>0</v>
      </c>
      <c r="X142" s="423"/>
    </row>
    <row r="143" spans="1:24" s="422" customFormat="1" ht="37.799999999999997" x14ac:dyDescent="0.65">
      <c r="A143" s="886"/>
      <c r="B143" s="443" t="s">
        <v>839</v>
      </c>
      <c r="C143" s="443"/>
      <c r="D143" s="444" t="s">
        <v>840</v>
      </c>
      <c r="E143" s="897">
        <f>'Перелік ціни'!D121</f>
        <v>14.8</v>
      </c>
      <c r="F143" s="897">
        <f>'Перелік ціни'!E121</f>
        <v>3.26</v>
      </c>
      <c r="G143" s="897">
        <f>'Перелік ціни'!F121</f>
        <v>16.84</v>
      </c>
      <c r="H143" s="897">
        <f>'Перелік ціни'!G121</f>
        <v>0.2</v>
      </c>
      <c r="I143" s="898">
        <f t="shared" si="17"/>
        <v>35.100000000000009</v>
      </c>
      <c r="J143" s="897">
        <f>'Перелік ціни'!I121</f>
        <v>2.2000000000000002</v>
      </c>
      <c r="K143" s="897">
        <f>'Перелік ціни'!J121</f>
        <v>0</v>
      </c>
      <c r="L143" s="897">
        <f>'Перелік ціни'!K121</f>
        <v>0</v>
      </c>
      <c r="M143" s="897">
        <f>'Перелік ціни'!L121</f>
        <v>0.2</v>
      </c>
      <c r="N143" s="898">
        <f t="shared" si="23"/>
        <v>2.4000000000000004</v>
      </c>
      <c r="O143" s="898"/>
      <c r="P143" s="897">
        <f t="shared" si="24"/>
        <v>37.500000000000007</v>
      </c>
      <c r="Q143" s="445">
        <f t="shared" si="19"/>
        <v>37.500000000000007</v>
      </c>
      <c r="R143" s="445">
        <f t="shared" si="20"/>
        <v>7.5</v>
      </c>
      <c r="S143" s="446">
        <f t="shared" si="18"/>
        <v>45.000000000000007</v>
      </c>
      <c r="T143" s="446">
        <v>36</v>
      </c>
      <c r="U143" s="453">
        <f t="shared" si="21"/>
        <v>9.0000000000000071</v>
      </c>
      <c r="V143" s="720">
        <f>'Перелік ціни'!N121</f>
        <v>37.500000000000007</v>
      </c>
      <c r="W143" s="716">
        <f t="shared" si="22"/>
        <v>0</v>
      </c>
      <c r="X143" s="423"/>
    </row>
    <row r="144" spans="1:24" s="422" customFormat="1" ht="37.799999999999997" x14ac:dyDescent="0.65">
      <c r="A144" s="886"/>
      <c r="B144" s="443" t="s">
        <v>841</v>
      </c>
      <c r="C144" s="443"/>
      <c r="D144" s="444" t="s">
        <v>842</v>
      </c>
      <c r="E144" s="897">
        <f>'Перелік ціни'!D122</f>
        <v>22.2</v>
      </c>
      <c r="F144" s="897">
        <f>'Перелік ціни'!E122</f>
        <v>4.88</v>
      </c>
      <c r="G144" s="897">
        <f>'Перелік ціни'!F122</f>
        <v>18.72</v>
      </c>
      <c r="H144" s="897">
        <f>'Перелік ціни'!G122</f>
        <v>0.6</v>
      </c>
      <c r="I144" s="898">
        <f t="shared" si="17"/>
        <v>46.4</v>
      </c>
      <c r="J144" s="897">
        <f>'Перелік ціни'!I122</f>
        <v>3.3</v>
      </c>
      <c r="K144" s="897">
        <f>'Перелік ціни'!J122</f>
        <v>0</v>
      </c>
      <c r="L144" s="897">
        <f>'Перелік ціни'!K122</f>
        <v>0</v>
      </c>
      <c r="M144" s="897">
        <f>'Перелік ціни'!L122</f>
        <v>0.3</v>
      </c>
      <c r="N144" s="898">
        <f t="shared" si="23"/>
        <v>3.5999999999999996</v>
      </c>
      <c r="O144" s="898"/>
      <c r="P144" s="897">
        <f t="shared" si="24"/>
        <v>50</v>
      </c>
      <c r="Q144" s="445">
        <f t="shared" si="19"/>
        <v>50</v>
      </c>
      <c r="R144" s="445">
        <f t="shared" si="20"/>
        <v>10</v>
      </c>
      <c r="S144" s="446">
        <f t="shared" si="18"/>
        <v>60</v>
      </c>
      <c r="T144" s="446">
        <v>47.999999999999993</v>
      </c>
      <c r="U144" s="453">
        <f t="shared" si="21"/>
        <v>12.000000000000007</v>
      </c>
      <c r="V144" s="720">
        <f>'Перелік ціни'!N122</f>
        <v>50</v>
      </c>
      <c r="W144" s="716">
        <f t="shared" si="22"/>
        <v>0</v>
      </c>
      <c r="X144" s="423"/>
    </row>
    <row r="145" spans="1:24" s="422" customFormat="1" ht="34.200000000000003" x14ac:dyDescent="0.6">
      <c r="A145" s="886"/>
      <c r="B145" s="425"/>
      <c r="C145" s="425"/>
      <c r="D145" s="426"/>
      <c r="E145" s="900"/>
      <c r="F145" s="900"/>
      <c r="G145" s="900"/>
      <c r="H145" s="900"/>
      <c r="I145" s="901"/>
      <c r="J145" s="900"/>
      <c r="K145" s="900"/>
      <c r="L145" s="900"/>
      <c r="M145" s="900"/>
      <c r="N145" s="901"/>
      <c r="O145" s="901"/>
      <c r="P145" s="900"/>
      <c r="Q145" s="427"/>
      <c r="R145" s="427"/>
      <c r="S145" s="428"/>
      <c r="T145" s="428"/>
      <c r="U145" s="428"/>
      <c r="V145" s="718"/>
      <c r="W145" s="718"/>
      <c r="X145" s="423"/>
    </row>
    <row r="146" spans="1:24" s="422" customFormat="1" ht="34.200000000000003" x14ac:dyDescent="0.6">
      <c r="A146" s="886"/>
      <c r="B146" s="425"/>
      <c r="C146" s="425"/>
      <c r="D146" s="426"/>
      <c r="E146" s="900"/>
      <c r="F146" s="900"/>
      <c r="G146" s="900"/>
      <c r="H146" s="900"/>
      <c r="I146" s="901"/>
      <c r="J146" s="900"/>
      <c r="K146" s="900"/>
      <c r="L146" s="900"/>
      <c r="M146" s="900"/>
      <c r="N146" s="901"/>
      <c r="O146" s="901"/>
      <c r="P146" s="900"/>
      <c r="Q146" s="427"/>
      <c r="R146" s="427"/>
      <c r="S146" s="428"/>
      <c r="T146" s="428"/>
      <c r="U146" s="428"/>
      <c r="V146" s="718"/>
      <c r="W146" s="718"/>
      <c r="X146" s="423"/>
    </row>
    <row r="147" spans="1:24" s="436" customFormat="1" ht="40.200000000000003" x14ac:dyDescent="0.7">
      <c r="A147" s="437"/>
      <c r="B147" s="681"/>
      <c r="C147" s="435"/>
      <c r="D147" s="435"/>
      <c r="E147" s="890"/>
      <c r="F147" s="890"/>
      <c r="G147" s="890"/>
      <c r="H147" s="890"/>
      <c r="I147" s="890"/>
      <c r="J147" s="890"/>
      <c r="K147" s="890"/>
      <c r="L147" s="890"/>
      <c r="M147" s="890"/>
      <c r="N147" s="890"/>
      <c r="O147" s="890"/>
      <c r="P147" s="890"/>
      <c r="Q147" s="1021" t="s">
        <v>155</v>
      </c>
      <c r="R147" s="1021"/>
      <c r="S147" s="1021"/>
      <c r="T147" s="709"/>
      <c r="U147" s="709"/>
      <c r="V147" s="713"/>
      <c r="W147" s="713"/>
      <c r="X147" s="437"/>
    </row>
    <row r="148" spans="1:24" s="436" customFormat="1" ht="40.200000000000003" x14ac:dyDescent="0.7">
      <c r="A148" s="437"/>
      <c r="B148" s="682"/>
      <c r="E148" s="890"/>
      <c r="F148" s="890"/>
      <c r="G148" s="890"/>
      <c r="H148" s="890"/>
      <c r="I148" s="890"/>
      <c r="J148" s="890"/>
      <c r="K148" s="890"/>
      <c r="L148" s="890"/>
      <c r="M148" s="890"/>
      <c r="N148" s="890"/>
      <c r="O148" s="890"/>
      <c r="P148" s="890"/>
      <c r="Q148" s="1021" t="s">
        <v>156</v>
      </c>
      <c r="R148" s="1021"/>
      <c r="S148" s="1021"/>
      <c r="T148" s="709"/>
      <c r="U148" s="709"/>
      <c r="V148" s="713"/>
      <c r="W148" s="713"/>
      <c r="X148" s="438"/>
    </row>
    <row r="149" spans="1:24" s="436" customFormat="1" ht="40.200000000000003" x14ac:dyDescent="0.7">
      <c r="A149" s="437"/>
      <c r="B149" s="682"/>
      <c r="E149" s="890"/>
      <c r="F149" s="890"/>
      <c r="G149" s="890"/>
      <c r="H149" s="890"/>
      <c r="I149" s="890"/>
      <c r="J149" s="890"/>
      <c r="K149" s="890"/>
      <c r="L149" s="890"/>
      <c r="M149" s="890"/>
      <c r="N149" s="890"/>
      <c r="O149" s="890"/>
      <c r="P149" s="890"/>
      <c r="Q149" s="1021" t="str">
        <f>Q111</f>
        <v>______ грудня 2021 року</v>
      </c>
      <c r="R149" s="1021"/>
      <c r="S149" s="1021"/>
      <c r="T149" s="709"/>
      <c r="U149" s="709"/>
      <c r="V149" s="713"/>
      <c r="W149" s="713"/>
      <c r="X149" s="438"/>
    </row>
    <row r="150" spans="1:24" s="438" customFormat="1" ht="39.6" x14ac:dyDescent="0.65">
      <c r="A150" s="437"/>
      <c r="B150" s="1023"/>
      <c r="C150" s="1023"/>
      <c r="D150" s="1023"/>
      <c r="E150" s="1023"/>
      <c r="F150" s="1023"/>
      <c r="G150" s="1023"/>
      <c r="H150" s="1023"/>
      <c r="I150" s="1023"/>
      <c r="J150" s="1023"/>
      <c r="K150" s="1023"/>
      <c r="L150" s="1023"/>
      <c r="M150" s="1023"/>
      <c r="N150" s="1023"/>
      <c r="O150" s="1023"/>
      <c r="P150" s="1023"/>
      <c r="Q150" s="1023"/>
      <c r="R150" s="1023"/>
      <c r="S150" s="1023"/>
      <c r="T150" s="711"/>
      <c r="U150" s="711"/>
      <c r="V150" s="714"/>
      <c r="W150" s="714"/>
    </row>
    <row r="151" spans="1:24" s="438" customFormat="1" ht="39.6" x14ac:dyDescent="0.65">
      <c r="A151" s="437"/>
      <c r="B151" s="1022" t="s">
        <v>157</v>
      </c>
      <c r="C151" s="1022"/>
      <c r="D151" s="1022"/>
      <c r="E151" s="1022"/>
      <c r="F151" s="1022"/>
      <c r="G151" s="1022"/>
      <c r="H151" s="1022"/>
      <c r="I151" s="1022"/>
      <c r="J151" s="1022"/>
      <c r="K151" s="1022"/>
      <c r="L151" s="1022"/>
      <c r="M151" s="1022"/>
      <c r="N151" s="1022"/>
      <c r="O151" s="1022"/>
      <c r="P151" s="1022"/>
      <c r="Q151" s="1022"/>
      <c r="R151" s="1022"/>
      <c r="S151" s="1022"/>
      <c r="T151" s="710"/>
      <c r="U151" s="710"/>
      <c r="V151" s="714"/>
      <c r="W151" s="714"/>
    </row>
    <row r="152" spans="1:24" s="438" customFormat="1" ht="39.6" x14ac:dyDescent="0.65">
      <c r="A152" s="437"/>
      <c r="B152" s="1022" t="s">
        <v>158</v>
      </c>
      <c r="C152" s="1022"/>
      <c r="D152" s="1022"/>
      <c r="E152" s="1022"/>
      <c r="F152" s="1022"/>
      <c r="G152" s="1022"/>
      <c r="H152" s="1022"/>
      <c r="I152" s="1022"/>
      <c r="J152" s="1022"/>
      <c r="K152" s="1022"/>
      <c r="L152" s="1022"/>
      <c r="M152" s="1022"/>
      <c r="N152" s="1022"/>
      <c r="O152" s="1022"/>
      <c r="P152" s="1022"/>
      <c r="Q152" s="1022"/>
      <c r="R152" s="1022"/>
      <c r="S152" s="1022"/>
      <c r="T152" s="710"/>
      <c r="U152" s="710"/>
      <c r="V152" s="714"/>
      <c r="W152" s="714"/>
    </row>
    <row r="153" spans="1:24" s="438" customFormat="1" ht="39.6" x14ac:dyDescent="0.65">
      <c r="A153" s="437"/>
      <c r="B153" s="1022"/>
      <c r="C153" s="1022"/>
      <c r="D153" s="1022"/>
      <c r="E153" s="1022"/>
      <c r="F153" s="1022"/>
      <c r="G153" s="1022"/>
      <c r="H153" s="1022"/>
      <c r="I153" s="1022"/>
      <c r="J153" s="1022"/>
      <c r="K153" s="1022"/>
      <c r="L153" s="1022"/>
      <c r="M153" s="1022"/>
      <c r="N153" s="1022"/>
      <c r="O153" s="1022"/>
      <c r="P153" s="1022"/>
      <c r="Q153" s="1022"/>
      <c r="R153" s="1022"/>
      <c r="S153" s="1022"/>
      <c r="T153" s="710"/>
      <c r="U153" s="710"/>
      <c r="V153" s="714"/>
      <c r="W153" s="714"/>
    </row>
    <row r="154" spans="1:24" s="454" customFormat="1" ht="38.4" x14ac:dyDescent="0.7">
      <c r="A154" s="456"/>
      <c r="B154" s="439" t="s">
        <v>1185</v>
      </c>
      <c r="C154" s="439"/>
      <c r="D154" s="440" t="s">
        <v>1186</v>
      </c>
      <c r="E154" s="891"/>
      <c r="F154" s="891"/>
      <c r="G154" s="891"/>
      <c r="H154" s="891"/>
      <c r="I154" s="891"/>
      <c r="J154" s="891"/>
      <c r="K154" s="891"/>
      <c r="L154" s="891"/>
      <c r="M154" s="891"/>
      <c r="N154" s="891"/>
      <c r="O154" s="891"/>
      <c r="P154" s="891"/>
      <c r="Q154" s="441"/>
      <c r="R154" s="441"/>
      <c r="S154" s="442" t="s">
        <v>1187</v>
      </c>
      <c r="T154" s="442"/>
      <c r="U154" s="442"/>
      <c r="V154" s="718"/>
      <c r="W154" s="718"/>
      <c r="X154" s="455"/>
    </row>
    <row r="155" spans="1:24" s="456" customFormat="1" ht="38.4" x14ac:dyDescent="0.7">
      <c r="B155" s="442">
        <v>4</v>
      </c>
      <c r="C155" s="442"/>
      <c r="D155" s="464" t="s">
        <v>161</v>
      </c>
      <c r="E155" s="895" t="s">
        <v>1118</v>
      </c>
      <c r="F155" s="896">
        <v>0.22</v>
      </c>
      <c r="G155" s="895" t="s">
        <v>1119</v>
      </c>
      <c r="H155" s="895" t="s">
        <v>1125</v>
      </c>
      <c r="I155" s="895" t="s">
        <v>1120</v>
      </c>
      <c r="J155" s="895" t="s">
        <v>1121</v>
      </c>
      <c r="K155" s="895" t="s">
        <v>1122</v>
      </c>
      <c r="L155" s="895" t="s">
        <v>1126</v>
      </c>
      <c r="M155" s="895" t="s">
        <v>1123</v>
      </c>
      <c r="N155" s="895" t="s">
        <v>1127</v>
      </c>
      <c r="O155" s="895"/>
      <c r="P155" s="895" t="s">
        <v>988</v>
      </c>
      <c r="Q155" s="442" t="s">
        <v>988</v>
      </c>
      <c r="R155" s="442" t="s">
        <v>1181</v>
      </c>
      <c r="S155" s="442" t="s">
        <v>1183</v>
      </c>
      <c r="T155" s="712" t="s">
        <v>494</v>
      </c>
      <c r="U155" s="448"/>
      <c r="V155" s="719"/>
      <c r="W155" s="719"/>
      <c r="X155" s="455"/>
    </row>
    <row r="156" spans="1:24" s="454" customFormat="1" ht="38.4" x14ac:dyDescent="0.7">
      <c r="A156" s="456"/>
      <c r="B156" s="443" t="s">
        <v>925</v>
      </c>
      <c r="C156" s="443"/>
      <c r="D156" s="444" t="s">
        <v>549</v>
      </c>
      <c r="E156" s="897">
        <f>'Перелік ціни'!D126</f>
        <v>32.799999999999997</v>
      </c>
      <c r="F156" s="897">
        <f>'Перелік ціни'!E126</f>
        <v>7.22</v>
      </c>
      <c r="G156" s="897">
        <f>'Перелік ціни'!F126</f>
        <v>12.45</v>
      </c>
      <c r="H156" s="897">
        <f>'Перелік ціни'!G126</f>
        <v>27.4</v>
      </c>
      <c r="I156" s="898">
        <f>SUM(E156:H156)</f>
        <v>79.87</v>
      </c>
      <c r="J156" s="897">
        <f>'Перелік ціни'!I126</f>
        <v>4.5999999999999996</v>
      </c>
      <c r="K156" s="897">
        <f>'Перелік ціни'!J126</f>
        <v>0</v>
      </c>
      <c r="L156" s="897">
        <f>'Перелік ціни'!K126</f>
        <v>0</v>
      </c>
      <c r="M156" s="897">
        <f>'Перелік ціни'!L126</f>
        <v>0.60000000000000009</v>
      </c>
      <c r="N156" s="898">
        <f>SUM(J156:M156)</f>
        <v>5.1999999999999993</v>
      </c>
      <c r="O156" s="898"/>
      <c r="P156" s="897">
        <f t="shared" ref="P156:P186" si="25">I156+N156</f>
        <v>85.070000000000007</v>
      </c>
      <c r="Q156" s="445">
        <f>ROUND(P156,0)</f>
        <v>85</v>
      </c>
      <c r="R156" s="457"/>
      <c r="S156" s="446">
        <f t="shared" ref="S156:S186" si="26">ROUND(Q156,2)</f>
        <v>85</v>
      </c>
      <c r="T156" s="453">
        <v>87.2</v>
      </c>
      <c r="U156" s="453">
        <f>S156-T156</f>
        <v>-2.2000000000000028</v>
      </c>
      <c r="V156" s="718"/>
      <c r="W156" s="718"/>
      <c r="X156" s="455"/>
    </row>
    <row r="157" spans="1:24" s="454" customFormat="1" ht="38.4" x14ac:dyDescent="0.7">
      <c r="A157" s="456"/>
      <c r="B157" s="443" t="s">
        <v>544</v>
      </c>
      <c r="C157" s="443"/>
      <c r="D157" s="444" t="s">
        <v>551</v>
      </c>
      <c r="E157" s="897">
        <f>'Перелік ціни'!D127</f>
        <v>32.799999999999997</v>
      </c>
      <c r="F157" s="897">
        <f>'Перелік ціни'!E127</f>
        <v>7.22</v>
      </c>
      <c r="G157" s="897">
        <f>'Перелік ціни'!F127</f>
        <v>12.45</v>
      </c>
      <c r="H157" s="897">
        <f>'Перелік ціни'!G127</f>
        <v>27.4</v>
      </c>
      <c r="I157" s="898">
        <f t="shared" ref="I157:I189" si="27">SUM(E157:H157)</f>
        <v>79.87</v>
      </c>
      <c r="J157" s="897">
        <f>'Перелік ціни'!I127</f>
        <v>4.5999999999999996</v>
      </c>
      <c r="K157" s="897">
        <f>'Перелік ціни'!J127</f>
        <v>0</v>
      </c>
      <c r="L157" s="897">
        <f>'Перелік ціни'!K127</f>
        <v>0</v>
      </c>
      <c r="M157" s="897">
        <f>'Перелік ціни'!L127</f>
        <v>0.60000000000000009</v>
      </c>
      <c r="N157" s="898">
        <f t="shared" ref="N157:N189" si="28">SUM(J157:M157)</f>
        <v>5.1999999999999993</v>
      </c>
      <c r="O157" s="898"/>
      <c r="P157" s="897">
        <f t="shared" si="25"/>
        <v>85.070000000000007</v>
      </c>
      <c r="Q157" s="445">
        <f t="shared" ref="Q157:Q196" si="29">ROUND(P157,0)</f>
        <v>85</v>
      </c>
      <c r="R157" s="457"/>
      <c r="S157" s="446">
        <f t="shared" si="26"/>
        <v>85</v>
      </c>
      <c r="T157" s="446">
        <v>87.2</v>
      </c>
      <c r="U157" s="453">
        <f t="shared" ref="U157:U196" si="30">S157-T157</f>
        <v>-2.2000000000000028</v>
      </c>
      <c r="V157" s="718"/>
      <c r="W157" s="718"/>
      <c r="X157" s="455"/>
    </row>
    <row r="158" spans="1:24" s="454" customFormat="1" ht="38.4" x14ac:dyDescent="0.7">
      <c r="A158" s="456"/>
      <c r="B158" s="443" t="s">
        <v>546</v>
      </c>
      <c r="C158" s="443"/>
      <c r="D158" s="444" t="s">
        <v>553</v>
      </c>
      <c r="E158" s="897">
        <f>'Перелік ціни'!D128</f>
        <v>49.2</v>
      </c>
      <c r="F158" s="897">
        <f>'Перелік ціни'!E128</f>
        <v>10.82</v>
      </c>
      <c r="G158" s="897">
        <f>'Перелік ціни'!F128</f>
        <v>12.45</v>
      </c>
      <c r="H158" s="897">
        <f>'Перелік ціни'!G128</f>
        <v>41.1</v>
      </c>
      <c r="I158" s="898">
        <f t="shared" si="27"/>
        <v>113.57</v>
      </c>
      <c r="J158" s="897">
        <f>'Перелік ціни'!I128</f>
        <v>6.9</v>
      </c>
      <c r="K158" s="897">
        <f>'Перелік ціни'!J128</f>
        <v>0</v>
      </c>
      <c r="L158" s="897">
        <f>'Перелік ціни'!K128</f>
        <v>0</v>
      </c>
      <c r="M158" s="897">
        <f>'Перелік ціни'!L128</f>
        <v>0.89999999999999991</v>
      </c>
      <c r="N158" s="898">
        <f t="shared" si="28"/>
        <v>7.8000000000000007</v>
      </c>
      <c r="O158" s="898"/>
      <c r="P158" s="897">
        <f t="shared" si="25"/>
        <v>121.36999999999999</v>
      </c>
      <c r="Q158" s="445">
        <f t="shared" si="29"/>
        <v>121</v>
      </c>
      <c r="R158" s="457"/>
      <c r="S158" s="446">
        <f t="shared" si="26"/>
        <v>121</v>
      </c>
      <c r="T158" s="446">
        <v>101</v>
      </c>
      <c r="U158" s="453">
        <f t="shared" si="30"/>
        <v>20</v>
      </c>
      <c r="V158" s="718"/>
      <c r="W158" s="718"/>
      <c r="X158" s="455"/>
    </row>
    <row r="159" spans="1:24" s="454" customFormat="1" ht="38.4" x14ac:dyDescent="0.7">
      <c r="A159" s="456"/>
      <c r="B159" s="443" t="s">
        <v>548</v>
      </c>
      <c r="C159" s="443"/>
      <c r="D159" s="444" t="s">
        <v>555</v>
      </c>
      <c r="E159" s="897">
        <f>'Перелік ціни'!D129</f>
        <v>32.799999999999997</v>
      </c>
      <c r="F159" s="897">
        <f>'Перелік ціни'!E129</f>
        <v>7.22</v>
      </c>
      <c r="G159" s="897">
        <f>'Перелік ціни'!F129</f>
        <v>12.45</v>
      </c>
      <c r="H159" s="897">
        <f>'Перелік ціни'!G129</f>
        <v>27.4</v>
      </c>
      <c r="I159" s="898">
        <f t="shared" si="27"/>
        <v>79.87</v>
      </c>
      <c r="J159" s="897">
        <f>'Перелік ціни'!I129</f>
        <v>4.5999999999999996</v>
      </c>
      <c r="K159" s="897">
        <f>'Перелік ціни'!J129</f>
        <v>0</v>
      </c>
      <c r="L159" s="897">
        <f>'Перелік ціни'!K129</f>
        <v>0</v>
      </c>
      <c r="M159" s="897">
        <f>'Перелік ціни'!L129</f>
        <v>0.60000000000000009</v>
      </c>
      <c r="N159" s="898">
        <f t="shared" si="28"/>
        <v>5.1999999999999993</v>
      </c>
      <c r="O159" s="898"/>
      <c r="P159" s="897">
        <f t="shared" si="25"/>
        <v>85.070000000000007</v>
      </c>
      <c r="Q159" s="445">
        <f t="shared" si="29"/>
        <v>85</v>
      </c>
      <c r="R159" s="457"/>
      <c r="S159" s="446">
        <f t="shared" si="26"/>
        <v>85</v>
      </c>
      <c r="T159" s="446">
        <v>71.400000000000006</v>
      </c>
      <c r="U159" s="453">
        <f t="shared" si="30"/>
        <v>13.599999999999994</v>
      </c>
      <c r="V159" s="718"/>
      <c r="W159" s="718"/>
      <c r="X159" s="455"/>
    </row>
    <row r="160" spans="1:24" s="454" customFormat="1" ht="38.4" x14ac:dyDescent="0.7">
      <c r="A160" s="456"/>
      <c r="B160" s="443" t="s">
        <v>550</v>
      </c>
      <c r="C160" s="443"/>
      <c r="D160" s="444" t="s">
        <v>557</v>
      </c>
      <c r="E160" s="897">
        <f>'Перелік ціни'!D130</f>
        <v>32.799999999999997</v>
      </c>
      <c r="F160" s="897">
        <f>'Перелік ціни'!E130</f>
        <v>7.22</v>
      </c>
      <c r="G160" s="897">
        <f>'Перелік ціни'!F130</f>
        <v>12.45</v>
      </c>
      <c r="H160" s="897">
        <f>'Перелік ціни'!G130</f>
        <v>27.4</v>
      </c>
      <c r="I160" s="898">
        <f t="shared" si="27"/>
        <v>79.87</v>
      </c>
      <c r="J160" s="897">
        <f>'Перелік ціни'!I130</f>
        <v>4.5999999999999996</v>
      </c>
      <c r="K160" s="897">
        <f>'Перелік ціни'!J130</f>
        <v>0</v>
      </c>
      <c r="L160" s="897">
        <f>'Перелік ціни'!K130</f>
        <v>0</v>
      </c>
      <c r="M160" s="897">
        <f>'Перелік ціни'!L130</f>
        <v>0.60000000000000009</v>
      </c>
      <c r="N160" s="898">
        <f t="shared" si="28"/>
        <v>5.1999999999999993</v>
      </c>
      <c r="O160" s="898"/>
      <c r="P160" s="897">
        <f t="shared" si="25"/>
        <v>85.070000000000007</v>
      </c>
      <c r="Q160" s="445">
        <f t="shared" si="29"/>
        <v>85</v>
      </c>
      <c r="R160" s="457"/>
      <c r="S160" s="446">
        <f t="shared" si="26"/>
        <v>85</v>
      </c>
      <c r="T160" s="446">
        <v>71.400000000000006</v>
      </c>
      <c r="U160" s="453">
        <f t="shared" si="30"/>
        <v>13.599999999999994</v>
      </c>
      <c r="V160" s="718"/>
      <c r="W160" s="718"/>
      <c r="X160" s="455"/>
    </row>
    <row r="161" spans="1:24" s="454" customFormat="1" ht="38.4" x14ac:dyDescent="0.7">
      <c r="A161" s="456"/>
      <c r="B161" s="443" t="s">
        <v>552</v>
      </c>
      <c r="C161" s="443"/>
      <c r="D161" s="447" t="s">
        <v>559</v>
      </c>
      <c r="E161" s="897">
        <f>'Перелік ціни'!D131</f>
        <v>32.799999999999997</v>
      </c>
      <c r="F161" s="897">
        <f>'Перелік ціни'!E131</f>
        <v>7.22</v>
      </c>
      <c r="G161" s="897">
        <f>'Перелік ціни'!F131</f>
        <v>12.45</v>
      </c>
      <c r="H161" s="897">
        <f>'Перелік ціни'!G131</f>
        <v>27.4</v>
      </c>
      <c r="I161" s="898">
        <f t="shared" si="27"/>
        <v>79.87</v>
      </c>
      <c r="J161" s="897">
        <f>'Перелік ціни'!I131</f>
        <v>4.5999999999999996</v>
      </c>
      <c r="K161" s="897">
        <f>'Перелік ціни'!J131</f>
        <v>0</v>
      </c>
      <c r="L161" s="897">
        <f>'Перелік ціни'!K131</f>
        <v>0</v>
      </c>
      <c r="M161" s="897">
        <f>'Перелік ціни'!L131</f>
        <v>0.60000000000000009</v>
      </c>
      <c r="N161" s="898">
        <f t="shared" si="28"/>
        <v>5.1999999999999993</v>
      </c>
      <c r="O161" s="898"/>
      <c r="P161" s="897">
        <f t="shared" si="25"/>
        <v>85.070000000000007</v>
      </c>
      <c r="Q161" s="445">
        <f t="shared" si="29"/>
        <v>85</v>
      </c>
      <c r="R161" s="457"/>
      <c r="S161" s="446">
        <f t="shared" si="26"/>
        <v>85</v>
      </c>
      <c r="T161" s="446">
        <v>71.400000000000006</v>
      </c>
      <c r="U161" s="453">
        <f t="shared" si="30"/>
        <v>13.599999999999994</v>
      </c>
      <c r="V161" s="718"/>
      <c r="W161" s="718"/>
      <c r="X161" s="455"/>
    </row>
    <row r="162" spans="1:24" s="454" customFormat="1" ht="38.4" x14ac:dyDescent="0.7">
      <c r="A162" s="456"/>
      <c r="B162" s="443" t="s">
        <v>554</v>
      </c>
      <c r="C162" s="443"/>
      <c r="D162" s="447" t="s">
        <v>561</v>
      </c>
      <c r="E162" s="897">
        <f>'Перелік ціни'!D132</f>
        <v>32.799999999999997</v>
      </c>
      <c r="F162" s="897">
        <f>'Перелік ціни'!E132</f>
        <v>7.22</v>
      </c>
      <c r="G162" s="897">
        <f>'Перелік ціни'!F132</f>
        <v>12.45</v>
      </c>
      <c r="H162" s="897">
        <f>'Перелік ціни'!G132</f>
        <v>27.4</v>
      </c>
      <c r="I162" s="898">
        <f t="shared" si="27"/>
        <v>79.87</v>
      </c>
      <c r="J162" s="897">
        <f>'Перелік ціни'!I132</f>
        <v>4.5999999999999996</v>
      </c>
      <c r="K162" s="897">
        <f>'Перелік ціни'!J132</f>
        <v>0</v>
      </c>
      <c r="L162" s="897">
        <f>'Перелік ціни'!K132</f>
        <v>0</v>
      </c>
      <c r="M162" s="897">
        <f>'Перелік ціни'!L132</f>
        <v>0.60000000000000009</v>
      </c>
      <c r="N162" s="898">
        <f t="shared" si="28"/>
        <v>5.1999999999999993</v>
      </c>
      <c r="O162" s="898"/>
      <c r="P162" s="897">
        <f t="shared" si="25"/>
        <v>85.070000000000007</v>
      </c>
      <c r="Q162" s="445">
        <f t="shared" si="29"/>
        <v>85</v>
      </c>
      <c r="R162" s="457"/>
      <c r="S162" s="446">
        <f t="shared" si="26"/>
        <v>85</v>
      </c>
      <c r="T162" s="446">
        <v>71.400000000000006</v>
      </c>
      <c r="U162" s="453">
        <f t="shared" si="30"/>
        <v>13.599999999999994</v>
      </c>
      <c r="V162" s="718"/>
      <c r="W162" s="718"/>
      <c r="X162" s="455"/>
    </row>
    <row r="163" spans="1:24" s="454" customFormat="1" ht="38.4" x14ac:dyDescent="0.7">
      <c r="A163" s="456"/>
      <c r="B163" s="443" t="s">
        <v>556</v>
      </c>
      <c r="C163" s="443"/>
      <c r="D163" s="444" t="s">
        <v>563</v>
      </c>
      <c r="E163" s="897">
        <f>'Перелік ціни'!D133</f>
        <v>24.6</v>
      </c>
      <c r="F163" s="897">
        <f>'Перелік ціни'!E133</f>
        <v>5.41</v>
      </c>
      <c r="G163" s="897">
        <f>'Перелік ціни'!F133</f>
        <v>12.45</v>
      </c>
      <c r="H163" s="897">
        <f>'Перелік ціни'!G133</f>
        <v>20.55</v>
      </c>
      <c r="I163" s="898">
        <f t="shared" si="27"/>
        <v>63.010000000000005</v>
      </c>
      <c r="J163" s="897">
        <f>'Перелік ціни'!I133</f>
        <v>3.45</v>
      </c>
      <c r="K163" s="897">
        <f>'Перелік ціни'!J133</f>
        <v>0</v>
      </c>
      <c r="L163" s="897">
        <f>'Перелік ціни'!K133</f>
        <v>0</v>
      </c>
      <c r="M163" s="897">
        <f>'Перелік ціни'!L133</f>
        <v>0.44999999999999996</v>
      </c>
      <c r="N163" s="898">
        <f t="shared" si="28"/>
        <v>3.9000000000000004</v>
      </c>
      <c r="O163" s="898"/>
      <c r="P163" s="897">
        <f t="shared" si="25"/>
        <v>66.910000000000011</v>
      </c>
      <c r="Q163" s="445">
        <f t="shared" si="29"/>
        <v>67</v>
      </c>
      <c r="R163" s="457"/>
      <c r="S163" s="446">
        <f t="shared" si="26"/>
        <v>67</v>
      </c>
      <c r="T163" s="446">
        <v>56.6</v>
      </c>
      <c r="U163" s="453">
        <f t="shared" si="30"/>
        <v>10.399999999999999</v>
      </c>
      <c r="V163" s="718"/>
      <c r="W163" s="718"/>
      <c r="X163" s="455"/>
    </row>
    <row r="164" spans="1:24" s="454" customFormat="1" ht="38.4" x14ac:dyDescent="0.7">
      <c r="A164" s="456"/>
      <c r="B164" s="443" t="s">
        <v>558</v>
      </c>
      <c r="C164" s="443"/>
      <c r="D164" s="444" t="s">
        <v>565</v>
      </c>
      <c r="E164" s="897">
        <f>'Перелік ціни'!D134</f>
        <v>24.6</v>
      </c>
      <c r="F164" s="897">
        <f>'Перелік ціни'!E134</f>
        <v>5.41</v>
      </c>
      <c r="G164" s="897">
        <f>'Перелік ціни'!F134</f>
        <v>12.45</v>
      </c>
      <c r="H164" s="897">
        <f>'Перелік ціни'!G134</f>
        <v>20.55</v>
      </c>
      <c r="I164" s="898">
        <f t="shared" si="27"/>
        <v>63.010000000000005</v>
      </c>
      <c r="J164" s="897">
        <f>'Перелік ціни'!I134</f>
        <v>3.45</v>
      </c>
      <c r="K164" s="897">
        <f>'Перелік ціни'!J134</f>
        <v>0</v>
      </c>
      <c r="L164" s="897">
        <f>'Перелік ціни'!K134</f>
        <v>0</v>
      </c>
      <c r="M164" s="897">
        <f>'Перелік ціни'!L134</f>
        <v>0.44999999999999996</v>
      </c>
      <c r="N164" s="898">
        <f t="shared" si="28"/>
        <v>3.9000000000000004</v>
      </c>
      <c r="O164" s="898"/>
      <c r="P164" s="897">
        <f t="shared" si="25"/>
        <v>66.910000000000011</v>
      </c>
      <c r="Q164" s="445">
        <f t="shared" si="29"/>
        <v>67</v>
      </c>
      <c r="R164" s="457"/>
      <c r="S164" s="446">
        <f t="shared" si="26"/>
        <v>67</v>
      </c>
      <c r="T164" s="446">
        <v>56.6</v>
      </c>
      <c r="U164" s="453">
        <f t="shared" si="30"/>
        <v>10.399999999999999</v>
      </c>
      <c r="V164" s="718"/>
      <c r="W164" s="718"/>
      <c r="X164" s="455"/>
    </row>
    <row r="165" spans="1:24" s="454" customFormat="1" ht="38.4" x14ac:dyDescent="0.7">
      <c r="A165" s="456"/>
      <c r="B165" s="443" t="s">
        <v>560</v>
      </c>
      <c r="C165" s="443"/>
      <c r="D165" s="444" t="s">
        <v>567</v>
      </c>
      <c r="E165" s="897">
        <f>'Перелік ціни'!D135</f>
        <v>98.4</v>
      </c>
      <c r="F165" s="897">
        <f>'Перелік ціни'!E135</f>
        <v>21.65</v>
      </c>
      <c r="G165" s="897">
        <f>'Перелік ціни'!F135</f>
        <v>12.45</v>
      </c>
      <c r="H165" s="897">
        <f>'Перелік ціни'!G135</f>
        <v>82.2</v>
      </c>
      <c r="I165" s="898">
        <f t="shared" si="27"/>
        <v>214.7</v>
      </c>
      <c r="J165" s="897">
        <f>'Перелік ціни'!I135</f>
        <v>13.8</v>
      </c>
      <c r="K165" s="897">
        <f>'Перелік ціни'!J135</f>
        <v>0</v>
      </c>
      <c r="L165" s="897">
        <f>'Перелік ціни'!K135</f>
        <v>0</v>
      </c>
      <c r="M165" s="897">
        <f>'Перелік ціни'!L135</f>
        <v>1.7999999999999998</v>
      </c>
      <c r="N165" s="898">
        <f t="shared" si="28"/>
        <v>15.600000000000001</v>
      </c>
      <c r="O165" s="898"/>
      <c r="P165" s="897">
        <f t="shared" si="25"/>
        <v>230.29999999999998</v>
      </c>
      <c r="Q165" s="445">
        <f t="shared" si="29"/>
        <v>230</v>
      </c>
      <c r="R165" s="457"/>
      <c r="S165" s="446">
        <f t="shared" si="26"/>
        <v>230</v>
      </c>
      <c r="T165" s="446">
        <v>189.8</v>
      </c>
      <c r="U165" s="453">
        <f t="shared" si="30"/>
        <v>40.199999999999989</v>
      </c>
      <c r="V165" s="718"/>
      <c r="W165" s="718"/>
      <c r="X165" s="455"/>
    </row>
    <row r="166" spans="1:24" s="454" customFormat="1" ht="38.4" x14ac:dyDescent="0.7">
      <c r="A166" s="456"/>
      <c r="B166" s="443" t="s">
        <v>562</v>
      </c>
      <c r="C166" s="443"/>
      <c r="D166" s="444" t="s">
        <v>569</v>
      </c>
      <c r="E166" s="897">
        <f>'Перелік ціни'!D136</f>
        <v>73.8</v>
      </c>
      <c r="F166" s="897">
        <f>'Перелік ціни'!E136</f>
        <v>16.239999999999998</v>
      </c>
      <c r="G166" s="897">
        <f>'Перелік ціни'!F136</f>
        <v>12.45</v>
      </c>
      <c r="H166" s="897">
        <f>'Перелік ціни'!G136</f>
        <v>61.65</v>
      </c>
      <c r="I166" s="898">
        <f t="shared" si="27"/>
        <v>164.14</v>
      </c>
      <c r="J166" s="897">
        <f>'Перелік ціни'!I136</f>
        <v>10.350000000000001</v>
      </c>
      <c r="K166" s="897">
        <f>'Перелік ціни'!J136</f>
        <v>0</v>
      </c>
      <c r="L166" s="897">
        <f>'Перелік ціни'!K136</f>
        <v>0</v>
      </c>
      <c r="M166" s="897">
        <f>'Перелік ціни'!L136</f>
        <v>1.35</v>
      </c>
      <c r="N166" s="898">
        <f t="shared" si="28"/>
        <v>11.700000000000001</v>
      </c>
      <c r="O166" s="898"/>
      <c r="P166" s="897">
        <f t="shared" si="25"/>
        <v>175.83999999999997</v>
      </c>
      <c r="Q166" s="445">
        <f t="shared" si="29"/>
        <v>176</v>
      </c>
      <c r="R166" s="457"/>
      <c r="S166" s="446">
        <f t="shared" si="26"/>
        <v>176</v>
      </c>
      <c r="T166" s="446">
        <v>145.4</v>
      </c>
      <c r="U166" s="453">
        <f t="shared" si="30"/>
        <v>30.599999999999994</v>
      </c>
      <c r="V166" s="718"/>
      <c r="W166" s="718"/>
      <c r="X166" s="455"/>
    </row>
    <row r="167" spans="1:24" s="454" customFormat="1" ht="38.4" x14ac:dyDescent="0.7">
      <c r="A167" s="456"/>
      <c r="B167" s="443" t="s">
        <v>564</v>
      </c>
      <c r="C167" s="443"/>
      <c r="D167" s="444" t="s">
        <v>571</v>
      </c>
      <c r="E167" s="897">
        <f>'Перелік ціни'!D137</f>
        <v>24.6</v>
      </c>
      <c r="F167" s="897">
        <f>'Перелік ціни'!E137</f>
        <v>5.41</v>
      </c>
      <c r="G167" s="897">
        <f>'Перелік ціни'!F137</f>
        <v>12.45</v>
      </c>
      <c r="H167" s="897">
        <f>'Перелік ціни'!G137</f>
        <v>20.55</v>
      </c>
      <c r="I167" s="898">
        <f t="shared" si="27"/>
        <v>63.010000000000005</v>
      </c>
      <c r="J167" s="897">
        <f>'Перелік ціни'!I137</f>
        <v>3.45</v>
      </c>
      <c r="K167" s="897">
        <f>'Перелік ціни'!J137</f>
        <v>0</v>
      </c>
      <c r="L167" s="897">
        <f>'Перелік ціни'!K137</f>
        <v>0</v>
      </c>
      <c r="M167" s="897">
        <f>'Перелік ціни'!L137</f>
        <v>0.44999999999999996</v>
      </c>
      <c r="N167" s="898">
        <f t="shared" si="28"/>
        <v>3.9000000000000004</v>
      </c>
      <c r="O167" s="898"/>
      <c r="P167" s="897">
        <f t="shared" si="25"/>
        <v>66.910000000000011</v>
      </c>
      <c r="Q167" s="445">
        <f t="shared" si="29"/>
        <v>67</v>
      </c>
      <c r="R167" s="457"/>
      <c r="S167" s="446">
        <f t="shared" si="26"/>
        <v>67</v>
      </c>
      <c r="T167" s="446">
        <v>56.6</v>
      </c>
      <c r="U167" s="453">
        <f t="shared" si="30"/>
        <v>10.399999999999999</v>
      </c>
      <c r="V167" s="718"/>
      <c r="W167" s="718"/>
      <c r="X167" s="455"/>
    </row>
    <row r="168" spans="1:24" s="454" customFormat="1" ht="38.4" x14ac:dyDescent="0.7">
      <c r="A168" s="456"/>
      <c r="B168" s="443" t="s">
        <v>566</v>
      </c>
      <c r="C168" s="443"/>
      <c r="D168" s="444" t="s">
        <v>573</v>
      </c>
      <c r="E168" s="897">
        <f>'Перелік ціни'!D138</f>
        <v>32.799999999999997</v>
      </c>
      <c r="F168" s="897">
        <f>'Перелік ціни'!E138</f>
        <v>7.22</v>
      </c>
      <c r="G168" s="897">
        <f>'Перелік ціни'!F138</f>
        <v>12.45</v>
      </c>
      <c r="H168" s="897">
        <f>'Перелік ціни'!G138</f>
        <v>27.4</v>
      </c>
      <c r="I168" s="898">
        <f t="shared" si="27"/>
        <v>79.87</v>
      </c>
      <c r="J168" s="897">
        <f>'Перелік ціни'!I138</f>
        <v>4.5999999999999996</v>
      </c>
      <c r="K168" s="897">
        <f>'Перелік ціни'!J138</f>
        <v>0</v>
      </c>
      <c r="L168" s="897">
        <f>'Перелік ціни'!K138</f>
        <v>0</v>
      </c>
      <c r="M168" s="897">
        <f>'Перелік ціни'!L138</f>
        <v>0.60000000000000009</v>
      </c>
      <c r="N168" s="898">
        <f t="shared" si="28"/>
        <v>5.1999999999999993</v>
      </c>
      <c r="O168" s="898"/>
      <c r="P168" s="897">
        <f t="shared" si="25"/>
        <v>85.070000000000007</v>
      </c>
      <c r="Q168" s="445">
        <f t="shared" si="29"/>
        <v>85</v>
      </c>
      <c r="R168" s="457"/>
      <c r="S168" s="446">
        <f t="shared" si="26"/>
        <v>85</v>
      </c>
      <c r="T168" s="446">
        <v>71.400000000000006</v>
      </c>
      <c r="U168" s="453">
        <f t="shared" si="30"/>
        <v>13.599999999999994</v>
      </c>
      <c r="V168" s="718"/>
      <c r="W168" s="718"/>
      <c r="X168" s="455"/>
    </row>
    <row r="169" spans="1:24" s="454" customFormat="1" ht="38.4" x14ac:dyDescent="0.7">
      <c r="A169" s="456"/>
      <c r="B169" s="443" t="s">
        <v>568</v>
      </c>
      <c r="C169" s="443"/>
      <c r="D169" s="444" t="s">
        <v>575</v>
      </c>
      <c r="E169" s="897">
        <f>'Перелік ціни'!D139</f>
        <v>49.2</v>
      </c>
      <c r="F169" s="897">
        <f>'Перелік ціни'!E139</f>
        <v>10.82</v>
      </c>
      <c r="G169" s="897">
        <f>'Перелік ціни'!F139</f>
        <v>12.45</v>
      </c>
      <c r="H169" s="897">
        <f>'Перелік ціни'!G139</f>
        <v>41.1</v>
      </c>
      <c r="I169" s="898">
        <f t="shared" si="27"/>
        <v>113.57</v>
      </c>
      <c r="J169" s="897">
        <f>'Перелік ціни'!I139</f>
        <v>6.9</v>
      </c>
      <c r="K169" s="897">
        <f>'Перелік ціни'!J139</f>
        <v>0</v>
      </c>
      <c r="L169" s="897">
        <f>'Перелік ціни'!K139</f>
        <v>0</v>
      </c>
      <c r="M169" s="897">
        <f>'Перелік ціни'!L139</f>
        <v>0.89999999999999991</v>
      </c>
      <c r="N169" s="898">
        <f t="shared" si="28"/>
        <v>7.8000000000000007</v>
      </c>
      <c r="O169" s="898"/>
      <c r="P169" s="897">
        <f t="shared" si="25"/>
        <v>121.36999999999999</v>
      </c>
      <c r="Q169" s="445">
        <f t="shared" si="29"/>
        <v>121</v>
      </c>
      <c r="R169" s="457"/>
      <c r="S169" s="446">
        <f t="shared" si="26"/>
        <v>121</v>
      </c>
      <c r="T169" s="446">
        <v>101</v>
      </c>
      <c r="U169" s="453">
        <f t="shared" si="30"/>
        <v>20</v>
      </c>
      <c r="V169" s="718"/>
      <c r="W169" s="718"/>
      <c r="X169" s="455"/>
    </row>
    <row r="170" spans="1:24" s="454" customFormat="1" ht="38.4" x14ac:dyDescent="0.7">
      <c r="A170" s="456"/>
      <c r="B170" s="443" t="s">
        <v>570</v>
      </c>
      <c r="C170" s="443"/>
      <c r="D170" s="447" t="s">
        <v>577</v>
      </c>
      <c r="E170" s="897">
        <f>'Перелік ціни'!D140</f>
        <v>32.799999999999997</v>
      </c>
      <c r="F170" s="897">
        <f>'Перелік ціни'!E140</f>
        <v>7.22</v>
      </c>
      <c r="G170" s="897">
        <f>'Перелік ціни'!F140</f>
        <v>12.45</v>
      </c>
      <c r="H170" s="897">
        <f>'Перелік ціни'!G140</f>
        <v>27.4</v>
      </c>
      <c r="I170" s="898">
        <f t="shared" si="27"/>
        <v>79.87</v>
      </c>
      <c r="J170" s="897">
        <f>'Перелік ціни'!I140</f>
        <v>4.5999999999999996</v>
      </c>
      <c r="K170" s="897">
        <f>'Перелік ціни'!J140</f>
        <v>0</v>
      </c>
      <c r="L170" s="897">
        <f>'Перелік ціни'!K140</f>
        <v>0</v>
      </c>
      <c r="M170" s="897">
        <f>'Перелік ціни'!L140</f>
        <v>0.60000000000000009</v>
      </c>
      <c r="N170" s="898">
        <f t="shared" si="28"/>
        <v>5.1999999999999993</v>
      </c>
      <c r="O170" s="898"/>
      <c r="P170" s="897">
        <f t="shared" si="25"/>
        <v>85.070000000000007</v>
      </c>
      <c r="Q170" s="445">
        <f t="shared" si="29"/>
        <v>85</v>
      </c>
      <c r="R170" s="457"/>
      <c r="S170" s="446">
        <f t="shared" si="26"/>
        <v>85</v>
      </c>
      <c r="T170" s="446">
        <v>71.400000000000006</v>
      </c>
      <c r="U170" s="453">
        <f t="shared" si="30"/>
        <v>13.599999999999994</v>
      </c>
      <c r="V170" s="718"/>
      <c r="W170" s="718"/>
      <c r="X170" s="455"/>
    </row>
    <row r="171" spans="1:24" s="454" customFormat="1" ht="38.4" x14ac:dyDescent="0.7">
      <c r="A171" s="456"/>
      <c r="B171" s="443" t="s">
        <v>572</v>
      </c>
      <c r="C171" s="443"/>
      <c r="D171" s="447" t="s">
        <v>579</v>
      </c>
      <c r="E171" s="897">
        <f>'Перелік ціни'!D141</f>
        <v>24.6</v>
      </c>
      <c r="F171" s="897">
        <f>'Перелік ціни'!E141</f>
        <v>5.41</v>
      </c>
      <c r="G171" s="897">
        <f>'Перелік ціни'!F141</f>
        <v>12.45</v>
      </c>
      <c r="H171" s="897">
        <f>'Перелік ціни'!G141</f>
        <v>20.55</v>
      </c>
      <c r="I171" s="898">
        <f t="shared" si="27"/>
        <v>63.010000000000005</v>
      </c>
      <c r="J171" s="897">
        <f>'Перелік ціни'!I141</f>
        <v>3.45</v>
      </c>
      <c r="K171" s="897">
        <f>'Перелік ціни'!J141</f>
        <v>0</v>
      </c>
      <c r="L171" s="897">
        <f>'Перелік ціни'!K141</f>
        <v>0</v>
      </c>
      <c r="M171" s="897">
        <f>'Перелік ціни'!L141</f>
        <v>0.44999999999999996</v>
      </c>
      <c r="N171" s="898">
        <f t="shared" si="28"/>
        <v>3.9000000000000004</v>
      </c>
      <c r="O171" s="898"/>
      <c r="P171" s="897">
        <f t="shared" si="25"/>
        <v>66.910000000000011</v>
      </c>
      <c r="Q171" s="445">
        <f t="shared" si="29"/>
        <v>67</v>
      </c>
      <c r="R171" s="457"/>
      <c r="S171" s="446">
        <f t="shared" si="26"/>
        <v>67</v>
      </c>
      <c r="T171" s="446">
        <v>56.6</v>
      </c>
      <c r="U171" s="453">
        <f t="shared" si="30"/>
        <v>10.399999999999999</v>
      </c>
      <c r="V171" s="718"/>
      <c r="W171" s="718"/>
      <c r="X171" s="455"/>
    </row>
    <row r="172" spans="1:24" s="454" customFormat="1" ht="38.4" x14ac:dyDescent="0.7">
      <c r="A172" s="456"/>
      <c r="B172" s="443" t="s">
        <v>574</v>
      </c>
      <c r="C172" s="443"/>
      <c r="D172" s="447" t="s">
        <v>581</v>
      </c>
      <c r="E172" s="897">
        <f>'Перелік ціни'!D142</f>
        <v>24.6</v>
      </c>
      <c r="F172" s="897">
        <f>'Перелік ціни'!E142</f>
        <v>5.41</v>
      </c>
      <c r="G172" s="897">
        <f>'Перелік ціни'!F142</f>
        <v>12.45</v>
      </c>
      <c r="H172" s="897">
        <f>'Перелік ціни'!G142</f>
        <v>20.55</v>
      </c>
      <c r="I172" s="898">
        <f t="shared" si="27"/>
        <v>63.010000000000005</v>
      </c>
      <c r="J172" s="897">
        <f>'Перелік ціни'!I142</f>
        <v>3.45</v>
      </c>
      <c r="K172" s="897">
        <f>'Перелік ціни'!J142</f>
        <v>0</v>
      </c>
      <c r="L172" s="897">
        <f>'Перелік ціни'!K142</f>
        <v>0</v>
      </c>
      <c r="M172" s="897">
        <f>'Перелік ціни'!L142</f>
        <v>0.44999999999999996</v>
      </c>
      <c r="N172" s="898">
        <f t="shared" si="28"/>
        <v>3.9000000000000004</v>
      </c>
      <c r="O172" s="898"/>
      <c r="P172" s="897">
        <f t="shared" si="25"/>
        <v>66.910000000000011</v>
      </c>
      <c r="Q172" s="445">
        <f t="shared" si="29"/>
        <v>67</v>
      </c>
      <c r="R172" s="457"/>
      <c r="S172" s="446">
        <f t="shared" si="26"/>
        <v>67</v>
      </c>
      <c r="T172" s="446">
        <v>56.6</v>
      </c>
      <c r="U172" s="453">
        <f t="shared" si="30"/>
        <v>10.399999999999999</v>
      </c>
      <c r="V172" s="718"/>
      <c r="W172" s="718"/>
      <c r="X172" s="455"/>
    </row>
    <row r="173" spans="1:24" s="454" customFormat="1" ht="38.4" x14ac:dyDescent="0.7">
      <c r="A173" s="456"/>
      <c r="B173" s="443" t="s">
        <v>576</v>
      </c>
      <c r="C173" s="443"/>
      <c r="D173" s="447" t="s">
        <v>583</v>
      </c>
      <c r="E173" s="897">
        <f>'Перелік ціни'!D143</f>
        <v>24.6</v>
      </c>
      <c r="F173" s="897">
        <f>'Перелік ціни'!E143</f>
        <v>5.41</v>
      </c>
      <c r="G173" s="897">
        <f>'Перелік ціни'!F143</f>
        <v>12.45</v>
      </c>
      <c r="H173" s="897">
        <f>'Перелік ціни'!G143</f>
        <v>20.55</v>
      </c>
      <c r="I173" s="898">
        <f t="shared" si="27"/>
        <v>63.010000000000005</v>
      </c>
      <c r="J173" s="897">
        <f>'Перелік ціни'!I143</f>
        <v>3.45</v>
      </c>
      <c r="K173" s="897">
        <f>'Перелік ціни'!J143</f>
        <v>0</v>
      </c>
      <c r="L173" s="897">
        <f>'Перелік ціни'!K143</f>
        <v>0</v>
      </c>
      <c r="M173" s="897">
        <f>'Перелік ціни'!L143</f>
        <v>0.44999999999999996</v>
      </c>
      <c r="N173" s="898">
        <f t="shared" si="28"/>
        <v>3.9000000000000004</v>
      </c>
      <c r="O173" s="898"/>
      <c r="P173" s="897">
        <f t="shared" si="25"/>
        <v>66.910000000000011</v>
      </c>
      <c r="Q173" s="445">
        <f t="shared" si="29"/>
        <v>67</v>
      </c>
      <c r="R173" s="457"/>
      <c r="S173" s="446">
        <f t="shared" si="26"/>
        <v>67</v>
      </c>
      <c r="T173" s="446">
        <v>56.6</v>
      </c>
      <c r="U173" s="453">
        <f t="shared" si="30"/>
        <v>10.399999999999999</v>
      </c>
      <c r="V173" s="718"/>
      <c r="W173" s="718"/>
      <c r="X173" s="455"/>
    </row>
    <row r="174" spans="1:24" s="454" customFormat="1" ht="38.4" x14ac:dyDescent="0.7">
      <c r="A174" s="456"/>
      <c r="B174" s="443" t="s">
        <v>578</v>
      </c>
      <c r="C174" s="443"/>
      <c r="D174" s="447" t="s">
        <v>585</v>
      </c>
      <c r="E174" s="897">
        <f>'Перелік ціни'!D144</f>
        <v>24.6</v>
      </c>
      <c r="F174" s="897">
        <f>'Перелік ціни'!E144</f>
        <v>5.41</v>
      </c>
      <c r="G174" s="897">
        <f>'Перелік ціни'!F144</f>
        <v>12.45</v>
      </c>
      <c r="H174" s="897">
        <f>'Перелік ціни'!G144</f>
        <v>20.55</v>
      </c>
      <c r="I174" s="898">
        <f t="shared" si="27"/>
        <v>63.010000000000005</v>
      </c>
      <c r="J174" s="897">
        <f>'Перелік ціни'!I144</f>
        <v>3.45</v>
      </c>
      <c r="K174" s="897">
        <f>'Перелік ціни'!J144</f>
        <v>0</v>
      </c>
      <c r="L174" s="897">
        <f>'Перелік ціни'!K144</f>
        <v>0</v>
      </c>
      <c r="M174" s="897">
        <f>'Перелік ціни'!L144</f>
        <v>0.44999999999999996</v>
      </c>
      <c r="N174" s="898">
        <f t="shared" si="28"/>
        <v>3.9000000000000004</v>
      </c>
      <c r="O174" s="898"/>
      <c r="P174" s="897">
        <f t="shared" si="25"/>
        <v>66.910000000000011</v>
      </c>
      <c r="Q174" s="445">
        <f t="shared" si="29"/>
        <v>67</v>
      </c>
      <c r="R174" s="457"/>
      <c r="S174" s="446">
        <f t="shared" si="26"/>
        <v>67</v>
      </c>
      <c r="T174" s="446">
        <v>56.6</v>
      </c>
      <c r="U174" s="453">
        <f t="shared" si="30"/>
        <v>10.399999999999999</v>
      </c>
      <c r="V174" s="718"/>
      <c r="W174" s="718"/>
      <c r="X174" s="455"/>
    </row>
    <row r="175" spans="1:24" s="454" customFormat="1" ht="38.4" x14ac:dyDescent="0.7">
      <c r="A175" s="456"/>
      <c r="B175" s="443" t="s">
        <v>580</v>
      </c>
      <c r="C175" s="443"/>
      <c r="D175" s="444" t="s">
        <v>587</v>
      </c>
      <c r="E175" s="897">
        <f>'Перелік ціни'!D145</f>
        <v>24.6</v>
      </c>
      <c r="F175" s="897">
        <f>'Перелік ціни'!E145</f>
        <v>5.41</v>
      </c>
      <c r="G175" s="897">
        <f>'Перелік ціни'!F145</f>
        <v>12.45</v>
      </c>
      <c r="H175" s="897">
        <f>'Перелік ціни'!G145</f>
        <v>20.55</v>
      </c>
      <c r="I175" s="898">
        <f t="shared" si="27"/>
        <v>63.010000000000005</v>
      </c>
      <c r="J175" s="897">
        <f>'Перелік ціни'!I145</f>
        <v>3.45</v>
      </c>
      <c r="K175" s="897">
        <f>'Перелік ціни'!J145</f>
        <v>0</v>
      </c>
      <c r="L175" s="897">
        <f>'Перелік ціни'!K145</f>
        <v>0</v>
      </c>
      <c r="M175" s="897">
        <f>'Перелік ціни'!L145</f>
        <v>0.44999999999999996</v>
      </c>
      <c r="N175" s="898">
        <f t="shared" si="28"/>
        <v>3.9000000000000004</v>
      </c>
      <c r="O175" s="898"/>
      <c r="P175" s="897">
        <f t="shared" si="25"/>
        <v>66.910000000000011</v>
      </c>
      <c r="Q175" s="445">
        <f t="shared" si="29"/>
        <v>67</v>
      </c>
      <c r="R175" s="457"/>
      <c r="S175" s="446">
        <f t="shared" si="26"/>
        <v>67</v>
      </c>
      <c r="T175" s="446">
        <v>56.6</v>
      </c>
      <c r="U175" s="453">
        <f t="shared" si="30"/>
        <v>10.399999999999999</v>
      </c>
      <c r="V175" s="718"/>
      <c r="W175" s="718"/>
      <c r="X175" s="455"/>
    </row>
    <row r="176" spans="1:24" s="454" customFormat="1" ht="38.4" x14ac:dyDescent="0.7">
      <c r="A176" s="456"/>
      <c r="B176" s="443" t="s">
        <v>582</v>
      </c>
      <c r="C176" s="443"/>
      <c r="D176" s="444" t="s">
        <v>589</v>
      </c>
      <c r="E176" s="897">
        <f>'Перелік ціни'!D146</f>
        <v>32.799999999999997</v>
      </c>
      <c r="F176" s="897">
        <f>'Перелік ціни'!E146</f>
        <v>7.22</v>
      </c>
      <c r="G176" s="897">
        <f>'Перелік ціни'!F146</f>
        <v>12.45</v>
      </c>
      <c r="H176" s="897">
        <f>'Перелік ціни'!G146</f>
        <v>27.4</v>
      </c>
      <c r="I176" s="898">
        <f t="shared" si="27"/>
        <v>79.87</v>
      </c>
      <c r="J176" s="897">
        <f>'Перелік ціни'!I146</f>
        <v>4.5999999999999996</v>
      </c>
      <c r="K176" s="897">
        <f>'Перелік ціни'!J146</f>
        <v>0</v>
      </c>
      <c r="L176" s="897">
        <f>'Перелік ціни'!K146</f>
        <v>0</v>
      </c>
      <c r="M176" s="897">
        <f>'Перелік ціни'!L146</f>
        <v>0.60000000000000009</v>
      </c>
      <c r="N176" s="898">
        <f t="shared" si="28"/>
        <v>5.1999999999999993</v>
      </c>
      <c r="O176" s="898"/>
      <c r="P176" s="897">
        <f t="shared" si="25"/>
        <v>85.070000000000007</v>
      </c>
      <c r="Q176" s="445">
        <f t="shared" si="29"/>
        <v>85</v>
      </c>
      <c r="R176" s="457"/>
      <c r="S176" s="446">
        <f t="shared" si="26"/>
        <v>85</v>
      </c>
      <c r="T176" s="446">
        <v>71.400000000000006</v>
      </c>
      <c r="U176" s="453">
        <f t="shared" si="30"/>
        <v>13.599999999999994</v>
      </c>
      <c r="V176" s="718"/>
      <c r="W176" s="718"/>
      <c r="X176" s="455"/>
    </row>
    <row r="177" spans="1:24" s="454" customFormat="1" ht="38.4" x14ac:dyDescent="0.7">
      <c r="A177" s="456"/>
      <c r="B177" s="443" t="s">
        <v>584</v>
      </c>
      <c r="C177" s="443"/>
      <c r="D177" s="444" t="s">
        <v>591</v>
      </c>
      <c r="E177" s="897">
        <f>'Перелік ціни'!D147</f>
        <v>32.799999999999997</v>
      </c>
      <c r="F177" s="897">
        <f>'Перелік ціни'!E147</f>
        <v>7.22</v>
      </c>
      <c r="G177" s="897">
        <f>'Перелік ціни'!F147</f>
        <v>12.45</v>
      </c>
      <c r="H177" s="897">
        <f>'Перелік ціни'!G147</f>
        <v>27.4</v>
      </c>
      <c r="I177" s="898">
        <f t="shared" si="27"/>
        <v>79.87</v>
      </c>
      <c r="J177" s="897">
        <f>'Перелік ціни'!I147</f>
        <v>4.5999999999999996</v>
      </c>
      <c r="K177" s="897">
        <f>'Перелік ціни'!J147</f>
        <v>0</v>
      </c>
      <c r="L177" s="897">
        <f>'Перелік ціни'!K147</f>
        <v>0</v>
      </c>
      <c r="M177" s="897">
        <f>'Перелік ціни'!L147</f>
        <v>0.60000000000000009</v>
      </c>
      <c r="N177" s="898">
        <f t="shared" si="28"/>
        <v>5.1999999999999993</v>
      </c>
      <c r="O177" s="898"/>
      <c r="P177" s="897">
        <f t="shared" si="25"/>
        <v>85.070000000000007</v>
      </c>
      <c r="Q177" s="445">
        <f t="shared" si="29"/>
        <v>85</v>
      </c>
      <c r="R177" s="457"/>
      <c r="S177" s="446">
        <f t="shared" si="26"/>
        <v>85</v>
      </c>
      <c r="T177" s="446">
        <v>71.400000000000006</v>
      </c>
      <c r="U177" s="453">
        <f t="shared" si="30"/>
        <v>13.599999999999994</v>
      </c>
      <c r="V177" s="718"/>
      <c r="W177" s="718"/>
      <c r="X177" s="455"/>
    </row>
    <row r="178" spans="1:24" s="454" customFormat="1" ht="38.4" x14ac:dyDescent="0.7">
      <c r="A178" s="456"/>
      <c r="B178" s="443" t="s">
        <v>586</v>
      </c>
      <c r="C178" s="443"/>
      <c r="D178" s="447" t="s">
        <v>593</v>
      </c>
      <c r="E178" s="897">
        <f>'Перелік ціни'!D148</f>
        <v>24.6</v>
      </c>
      <c r="F178" s="897">
        <f>'Перелік ціни'!E148</f>
        <v>5.41</v>
      </c>
      <c r="G178" s="897">
        <f>'Перелік ціни'!F148</f>
        <v>12.45</v>
      </c>
      <c r="H178" s="897">
        <f>'Перелік ціни'!G148</f>
        <v>20.55</v>
      </c>
      <c r="I178" s="898">
        <f t="shared" si="27"/>
        <v>63.010000000000005</v>
      </c>
      <c r="J178" s="897">
        <f>'Перелік ціни'!I148</f>
        <v>3.45</v>
      </c>
      <c r="K178" s="897">
        <f>'Перелік ціни'!J148</f>
        <v>0</v>
      </c>
      <c r="L178" s="897">
        <f>'Перелік ціни'!K148</f>
        <v>0</v>
      </c>
      <c r="M178" s="897">
        <f>'Перелік ціни'!L148</f>
        <v>0.44999999999999996</v>
      </c>
      <c r="N178" s="898">
        <f t="shared" si="28"/>
        <v>3.9000000000000004</v>
      </c>
      <c r="O178" s="898"/>
      <c r="P178" s="897">
        <f t="shared" si="25"/>
        <v>66.910000000000011</v>
      </c>
      <c r="Q178" s="445">
        <f t="shared" si="29"/>
        <v>67</v>
      </c>
      <c r="R178" s="457"/>
      <c r="S178" s="446">
        <f t="shared" si="26"/>
        <v>67</v>
      </c>
      <c r="T178" s="446">
        <v>56.6</v>
      </c>
      <c r="U178" s="453">
        <f t="shared" si="30"/>
        <v>10.399999999999999</v>
      </c>
      <c r="V178" s="718"/>
      <c r="W178" s="718"/>
      <c r="X178" s="455"/>
    </row>
    <row r="179" spans="1:24" s="454" customFormat="1" ht="38.4" x14ac:dyDescent="0.7">
      <c r="A179" s="456"/>
      <c r="B179" s="443" t="s">
        <v>588</v>
      </c>
      <c r="C179" s="443"/>
      <c r="D179" s="447" t="s">
        <v>595</v>
      </c>
      <c r="E179" s="897">
        <f>'Перелік ціни'!D149</f>
        <v>24.6</v>
      </c>
      <c r="F179" s="897">
        <f>'Перелік ціни'!E149</f>
        <v>5.41</v>
      </c>
      <c r="G179" s="897">
        <f>'Перелік ціни'!F149</f>
        <v>12.45</v>
      </c>
      <c r="H179" s="897">
        <f>'Перелік ціни'!G149</f>
        <v>20.55</v>
      </c>
      <c r="I179" s="898">
        <f t="shared" si="27"/>
        <v>63.010000000000005</v>
      </c>
      <c r="J179" s="897">
        <f>'Перелік ціни'!I149</f>
        <v>3.45</v>
      </c>
      <c r="K179" s="897">
        <f>'Перелік ціни'!J149</f>
        <v>0</v>
      </c>
      <c r="L179" s="897">
        <f>'Перелік ціни'!K149</f>
        <v>0</v>
      </c>
      <c r="M179" s="897">
        <f>'Перелік ціни'!L149</f>
        <v>0.44999999999999996</v>
      </c>
      <c r="N179" s="898">
        <f t="shared" si="28"/>
        <v>3.9000000000000004</v>
      </c>
      <c r="O179" s="898"/>
      <c r="P179" s="897">
        <f t="shared" si="25"/>
        <v>66.910000000000011</v>
      </c>
      <c r="Q179" s="445">
        <f t="shared" si="29"/>
        <v>67</v>
      </c>
      <c r="R179" s="457"/>
      <c r="S179" s="446">
        <f t="shared" si="26"/>
        <v>67</v>
      </c>
      <c r="T179" s="446">
        <v>56.6</v>
      </c>
      <c r="U179" s="453">
        <f t="shared" si="30"/>
        <v>10.399999999999999</v>
      </c>
      <c r="V179" s="718"/>
      <c r="W179" s="718"/>
      <c r="X179" s="455"/>
    </row>
    <row r="180" spans="1:24" s="454" customFormat="1" ht="38.4" x14ac:dyDescent="0.7">
      <c r="A180" s="456"/>
      <c r="B180" s="443" t="s">
        <v>590</v>
      </c>
      <c r="C180" s="443"/>
      <c r="D180" s="447" t="s">
        <v>649</v>
      </c>
      <c r="E180" s="897">
        <f>'Перелік ціни'!D150</f>
        <v>49.2</v>
      </c>
      <c r="F180" s="897">
        <f>'Перелік ціни'!E150</f>
        <v>10.82</v>
      </c>
      <c r="G180" s="897">
        <f>'Перелік ціни'!F150</f>
        <v>12.45</v>
      </c>
      <c r="H180" s="897">
        <f>'Перелік ціни'!G150</f>
        <v>41.1</v>
      </c>
      <c r="I180" s="898">
        <f t="shared" si="27"/>
        <v>113.57</v>
      </c>
      <c r="J180" s="897">
        <f>'Перелік ціни'!I150</f>
        <v>6.9</v>
      </c>
      <c r="K180" s="897">
        <f>'Перелік ціни'!J150</f>
        <v>0</v>
      </c>
      <c r="L180" s="897">
        <f>'Перелік ціни'!K150</f>
        <v>0</v>
      </c>
      <c r="M180" s="897">
        <f>'Перелік ціни'!L150</f>
        <v>0.89999999999999991</v>
      </c>
      <c r="N180" s="898">
        <f t="shared" si="28"/>
        <v>7.8000000000000007</v>
      </c>
      <c r="O180" s="898"/>
      <c r="P180" s="897">
        <f t="shared" si="25"/>
        <v>121.36999999999999</v>
      </c>
      <c r="Q180" s="445">
        <f t="shared" si="29"/>
        <v>121</v>
      </c>
      <c r="R180" s="457"/>
      <c r="S180" s="446">
        <f t="shared" si="26"/>
        <v>121</v>
      </c>
      <c r="T180" s="446">
        <v>101</v>
      </c>
      <c r="U180" s="453">
        <f t="shared" si="30"/>
        <v>20</v>
      </c>
      <c r="V180" s="718"/>
      <c r="W180" s="718"/>
      <c r="X180" s="455"/>
    </row>
    <row r="181" spans="1:24" s="454" customFormat="1" ht="38.4" x14ac:dyDescent="0.7">
      <c r="A181" s="456"/>
      <c r="B181" s="443" t="s">
        <v>592</v>
      </c>
      <c r="C181" s="443"/>
      <c r="D181" s="447" t="s">
        <v>651</v>
      </c>
      <c r="E181" s="897">
        <f>'Перелік ціни'!D151</f>
        <v>65.599999999999994</v>
      </c>
      <c r="F181" s="897">
        <f>'Перелік ціни'!E151</f>
        <v>14.43</v>
      </c>
      <c r="G181" s="897">
        <f>'Перелік ціни'!F151</f>
        <v>12.45</v>
      </c>
      <c r="H181" s="897">
        <f>'Перелік ціни'!G151</f>
        <v>54.8</v>
      </c>
      <c r="I181" s="898">
        <f t="shared" si="27"/>
        <v>147.28</v>
      </c>
      <c r="J181" s="897">
        <f>'Перелік ціни'!I151</f>
        <v>9.1999999999999993</v>
      </c>
      <c r="K181" s="897">
        <f>'Перелік ціни'!J151</f>
        <v>0</v>
      </c>
      <c r="L181" s="897">
        <f>'Перелік ціни'!K151</f>
        <v>0</v>
      </c>
      <c r="M181" s="897">
        <f>'Перелік ціни'!L151</f>
        <v>1.2000000000000002</v>
      </c>
      <c r="N181" s="898">
        <f t="shared" si="28"/>
        <v>10.399999999999999</v>
      </c>
      <c r="O181" s="898"/>
      <c r="P181" s="897">
        <f t="shared" si="25"/>
        <v>157.68</v>
      </c>
      <c r="Q181" s="445">
        <f t="shared" si="29"/>
        <v>158</v>
      </c>
      <c r="R181" s="457"/>
      <c r="S181" s="446">
        <f t="shared" si="26"/>
        <v>158</v>
      </c>
      <c r="T181" s="446">
        <v>130.6</v>
      </c>
      <c r="U181" s="453">
        <f t="shared" si="30"/>
        <v>27.400000000000006</v>
      </c>
      <c r="V181" s="718"/>
      <c r="W181" s="718"/>
      <c r="X181" s="455"/>
    </row>
    <row r="182" spans="1:24" s="454" customFormat="1" ht="38.4" x14ac:dyDescent="0.7">
      <c r="A182" s="456"/>
      <c r="B182" s="443" t="s">
        <v>594</v>
      </c>
      <c r="C182" s="443"/>
      <c r="D182" s="447" t="s">
        <v>653</v>
      </c>
      <c r="E182" s="897">
        <f>'Перелік ціни'!D152</f>
        <v>65.599999999999994</v>
      </c>
      <c r="F182" s="897">
        <f>'Перелік ціни'!E152</f>
        <v>14.43</v>
      </c>
      <c r="G182" s="897">
        <f>'Перелік ціни'!F152</f>
        <v>12.45</v>
      </c>
      <c r="H182" s="897">
        <f>'Перелік ціни'!G152</f>
        <v>54.8</v>
      </c>
      <c r="I182" s="898">
        <f t="shared" si="27"/>
        <v>147.28</v>
      </c>
      <c r="J182" s="897">
        <f>'Перелік ціни'!I152</f>
        <v>9.1999999999999993</v>
      </c>
      <c r="K182" s="897">
        <f>'Перелік ціни'!J152</f>
        <v>0</v>
      </c>
      <c r="L182" s="897">
        <f>'Перелік ціни'!K152</f>
        <v>0</v>
      </c>
      <c r="M182" s="897">
        <f>'Перелік ціни'!L152</f>
        <v>1.2000000000000002</v>
      </c>
      <c r="N182" s="898">
        <f t="shared" si="28"/>
        <v>10.399999999999999</v>
      </c>
      <c r="O182" s="898"/>
      <c r="P182" s="897">
        <f t="shared" si="25"/>
        <v>157.68</v>
      </c>
      <c r="Q182" s="445">
        <f t="shared" si="29"/>
        <v>158</v>
      </c>
      <c r="R182" s="457"/>
      <c r="S182" s="446">
        <f t="shared" si="26"/>
        <v>158</v>
      </c>
      <c r="T182" s="446">
        <v>130.6</v>
      </c>
      <c r="U182" s="453">
        <f t="shared" si="30"/>
        <v>27.400000000000006</v>
      </c>
      <c r="V182" s="718"/>
      <c r="W182" s="718"/>
      <c r="X182" s="455"/>
    </row>
    <row r="183" spans="1:24" s="454" customFormat="1" ht="38.4" x14ac:dyDescent="0.7">
      <c r="A183" s="456"/>
      <c r="B183" s="443" t="s">
        <v>596</v>
      </c>
      <c r="C183" s="443"/>
      <c r="D183" s="447" t="s">
        <v>655</v>
      </c>
      <c r="E183" s="897">
        <f>'Перелік ціни'!D153</f>
        <v>65.599999999999994</v>
      </c>
      <c r="F183" s="897">
        <f>'Перелік ціни'!E153</f>
        <v>14.43</v>
      </c>
      <c r="G183" s="897">
        <f>'Перелік ціни'!F153</f>
        <v>12.45</v>
      </c>
      <c r="H183" s="897">
        <f>'Перелік ціни'!G153</f>
        <v>54.8</v>
      </c>
      <c r="I183" s="898">
        <f t="shared" si="27"/>
        <v>147.28</v>
      </c>
      <c r="J183" s="897">
        <f>'Перелік ціни'!I153</f>
        <v>9.1999999999999993</v>
      </c>
      <c r="K183" s="897">
        <f>'Перелік ціни'!J153</f>
        <v>0</v>
      </c>
      <c r="L183" s="897">
        <f>'Перелік ціни'!K153</f>
        <v>0</v>
      </c>
      <c r="M183" s="897">
        <f>'Перелік ціни'!L153</f>
        <v>1.2000000000000002</v>
      </c>
      <c r="N183" s="898">
        <f t="shared" si="28"/>
        <v>10.399999999999999</v>
      </c>
      <c r="O183" s="898"/>
      <c r="P183" s="897">
        <f t="shared" si="25"/>
        <v>157.68</v>
      </c>
      <c r="Q183" s="445">
        <f t="shared" si="29"/>
        <v>158</v>
      </c>
      <c r="R183" s="457"/>
      <c r="S183" s="446">
        <f t="shared" si="26"/>
        <v>158</v>
      </c>
      <c r="T183" s="446">
        <v>130.6</v>
      </c>
      <c r="U183" s="453">
        <f t="shared" si="30"/>
        <v>27.400000000000006</v>
      </c>
      <c r="V183" s="718"/>
      <c r="W183" s="718"/>
      <c r="X183" s="455"/>
    </row>
    <row r="184" spans="1:24" s="454" customFormat="1" ht="38.4" x14ac:dyDescent="0.7">
      <c r="A184" s="456"/>
      <c r="B184" s="443" t="s">
        <v>598</v>
      </c>
      <c r="C184" s="443"/>
      <c r="D184" s="447" t="s">
        <v>657</v>
      </c>
      <c r="E184" s="897">
        <f>'Перелік ціни'!D154</f>
        <v>32.799999999999997</v>
      </c>
      <c r="F184" s="897">
        <f>'Перелік ціни'!E154</f>
        <v>7.22</v>
      </c>
      <c r="G184" s="897">
        <f>'Перелік ціни'!F154</f>
        <v>12.45</v>
      </c>
      <c r="H184" s="897">
        <f>'Перелік ціни'!G154</f>
        <v>27.4</v>
      </c>
      <c r="I184" s="898">
        <f t="shared" si="27"/>
        <v>79.87</v>
      </c>
      <c r="J184" s="897">
        <f>'Перелік ціни'!I154</f>
        <v>4.5999999999999996</v>
      </c>
      <c r="K184" s="897">
        <f>'Перелік ціни'!J154</f>
        <v>0</v>
      </c>
      <c r="L184" s="897">
        <f>'Перелік ціни'!K154</f>
        <v>0</v>
      </c>
      <c r="M184" s="897">
        <f>'Перелік ціни'!L154</f>
        <v>0.60000000000000009</v>
      </c>
      <c r="N184" s="898">
        <f t="shared" si="28"/>
        <v>5.1999999999999993</v>
      </c>
      <c r="O184" s="898"/>
      <c r="P184" s="897">
        <f t="shared" si="25"/>
        <v>85.070000000000007</v>
      </c>
      <c r="Q184" s="445">
        <f t="shared" si="29"/>
        <v>85</v>
      </c>
      <c r="R184" s="457"/>
      <c r="S184" s="446">
        <f t="shared" si="26"/>
        <v>85</v>
      </c>
      <c r="T184" s="446">
        <v>71.400000000000006</v>
      </c>
      <c r="U184" s="453">
        <f t="shared" si="30"/>
        <v>13.599999999999994</v>
      </c>
      <c r="V184" s="718"/>
      <c r="W184" s="718"/>
      <c r="X184" s="455"/>
    </row>
    <row r="185" spans="1:24" s="454" customFormat="1" ht="38.4" x14ac:dyDescent="0.7">
      <c r="A185" s="456"/>
      <c r="B185" s="443" t="s">
        <v>600</v>
      </c>
      <c r="C185" s="443"/>
      <c r="D185" s="444" t="s">
        <v>659</v>
      </c>
      <c r="E185" s="897">
        <f>'Перелік ціни'!D155</f>
        <v>49.2</v>
      </c>
      <c r="F185" s="897">
        <f>'Перелік ціни'!E155</f>
        <v>10.82</v>
      </c>
      <c r="G185" s="897">
        <f>'Перелік ціни'!F155</f>
        <v>12.45</v>
      </c>
      <c r="H185" s="897">
        <f>'Перелік ціни'!G155</f>
        <v>41.1</v>
      </c>
      <c r="I185" s="898">
        <f t="shared" si="27"/>
        <v>113.57</v>
      </c>
      <c r="J185" s="897">
        <f>'Перелік ціни'!I155</f>
        <v>6.9</v>
      </c>
      <c r="K185" s="897">
        <f>'Перелік ціни'!J155</f>
        <v>0</v>
      </c>
      <c r="L185" s="897">
        <f>'Перелік ціни'!K155</f>
        <v>0</v>
      </c>
      <c r="M185" s="897">
        <f>'Перелік ціни'!L155</f>
        <v>0.89999999999999991</v>
      </c>
      <c r="N185" s="898">
        <f t="shared" si="28"/>
        <v>7.8000000000000007</v>
      </c>
      <c r="O185" s="898"/>
      <c r="P185" s="897">
        <f t="shared" si="25"/>
        <v>121.36999999999999</v>
      </c>
      <c r="Q185" s="445">
        <f t="shared" si="29"/>
        <v>121</v>
      </c>
      <c r="R185" s="457"/>
      <c r="S185" s="446">
        <f t="shared" si="26"/>
        <v>121</v>
      </c>
      <c r="T185" s="446">
        <v>101</v>
      </c>
      <c r="U185" s="453">
        <f t="shared" si="30"/>
        <v>20</v>
      </c>
      <c r="V185" s="718"/>
      <c r="W185" s="718"/>
      <c r="X185" s="455"/>
    </row>
    <row r="186" spans="1:24" s="454" customFormat="1" ht="38.4" x14ac:dyDescent="0.7">
      <c r="A186" s="456"/>
      <c r="B186" s="443" t="s">
        <v>602</v>
      </c>
      <c r="C186" s="443"/>
      <c r="D186" s="444" t="s">
        <v>661</v>
      </c>
      <c r="E186" s="897">
        <f>'Перелік ціни'!D156</f>
        <v>49.2</v>
      </c>
      <c r="F186" s="897">
        <f>'Перелік ціни'!E156</f>
        <v>10.82</v>
      </c>
      <c r="G186" s="897">
        <f>'Перелік ціни'!F156</f>
        <v>12.45</v>
      </c>
      <c r="H186" s="897">
        <f>'Перелік ціни'!G156</f>
        <v>41.1</v>
      </c>
      <c r="I186" s="898">
        <f t="shared" si="27"/>
        <v>113.57</v>
      </c>
      <c r="J186" s="897">
        <f>'Перелік ціни'!I156</f>
        <v>6.9</v>
      </c>
      <c r="K186" s="897">
        <f>'Перелік ціни'!J156</f>
        <v>0</v>
      </c>
      <c r="L186" s="897">
        <f>'Перелік ціни'!K156</f>
        <v>0</v>
      </c>
      <c r="M186" s="897">
        <f>'Перелік ціни'!L156</f>
        <v>0.89999999999999991</v>
      </c>
      <c r="N186" s="898">
        <f t="shared" si="28"/>
        <v>7.8000000000000007</v>
      </c>
      <c r="O186" s="898"/>
      <c r="P186" s="897">
        <f t="shared" si="25"/>
        <v>121.36999999999999</v>
      </c>
      <c r="Q186" s="445">
        <f t="shared" si="29"/>
        <v>121</v>
      </c>
      <c r="R186" s="457"/>
      <c r="S186" s="446">
        <f t="shared" si="26"/>
        <v>121</v>
      </c>
      <c r="T186" s="446">
        <v>101</v>
      </c>
      <c r="U186" s="453">
        <f t="shared" si="30"/>
        <v>20</v>
      </c>
      <c r="V186" s="718"/>
      <c r="W186" s="718"/>
      <c r="X186" s="455"/>
    </row>
    <row r="187" spans="1:24" s="454" customFormat="1" ht="38.4" x14ac:dyDescent="0.7">
      <c r="A187" s="456"/>
      <c r="B187" s="443" t="s">
        <v>604</v>
      </c>
      <c r="C187" s="443"/>
      <c r="D187" s="444" t="s">
        <v>663</v>
      </c>
      <c r="E187" s="897">
        <f>'Перелік ціни'!D157</f>
        <v>65.599999999999994</v>
      </c>
      <c r="F187" s="897">
        <f>'Перелік ціни'!E157</f>
        <v>14.43</v>
      </c>
      <c r="G187" s="897">
        <f>'Перелік ціни'!F157</f>
        <v>12.45</v>
      </c>
      <c r="H187" s="897">
        <f>'Перелік ціни'!G157</f>
        <v>54.8</v>
      </c>
      <c r="I187" s="898">
        <f t="shared" si="27"/>
        <v>147.28</v>
      </c>
      <c r="J187" s="897">
        <f>'Перелік ціни'!I157</f>
        <v>9.1999999999999993</v>
      </c>
      <c r="K187" s="897">
        <f>'Перелік ціни'!J157</f>
        <v>0</v>
      </c>
      <c r="L187" s="897">
        <f>'Перелік ціни'!K157</f>
        <v>0</v>
      </c>
      <c r="M187" s="897">
        <f>'Перелік ціни'!L157</f>
        <v>1.2000000000000002</v>
      </c>
      <c r="N187" s="898">
        <f t="shared" si="28"/>
        <v>10.399999999999999</v>
      </c>
      <c r="O187" s="898"/>
      <c r="P187" s="897">
        <f t="shared" ref="P187:P196" si="31">I187+N187</f>
        <v>157.68</v>
      </c>
      <c r="Q187" s="445">
        <f t="shared" si="29"/>
        <v>158</v>
      </c>
      <c r="R187" s="457"/>
      <c r="S187" s="446">
        <f t="shared" ref="S187:S196" si="32">ROUND(Q187,2)</f>
        <v>158</v>
      </c>
      <c r="T187" s="446">
        <v>130.6</v>
      </c>
      <c r="U187" s="453">
        <f t="shared" si="30"/>
        <v>27.400000000000006</v>
      </c>
      <c r="V187" s="718"/>
      <c r="W187" s="718"/>
      <c r="X187" s="455"/>
    </row>
    <row r="188" spans="1:24" s="454" customFormat="1" ht="38.4" x14ac:dyDescent="0.7">
      <c r="A188" s="456"/>
      <c r="B188" s="443" t="s">
        <v>606</v>
      </c>
      <c r="C188" s="443"/>
      <c r="D188" s="444" t="s">
        <v>665</v>
      </c>
      <c r="E188" s="897">
        <f>'Перелік ціни'!D158</f>
        <v>49.2</v>
      </c>
      <c r="F188" s="897">
        <f>'Перелік ціни'!E158</f>
        <v>10.82</v>
      </c>
      <c r="G188" s="897">
        <f>'Перелік ціни'!F158</f>
        <v>12.45</v>
      </c>
      <c r="H188" s="897">
        <f>'Перелік ціни'!G158</f>
        <v>41.1</v>
      </c>
      <c r="I188" s="898">
        <f t="shared" si="27"/>
        <v>113.57</v>
      </c>
      <c r="J188" s="897">
        <f>'Перелік ціни'!I158</f>
        <v>6.9</v>
      </c>
      <c r="K188" s="897">
        <f>'Перелік ціни'!J158</f>
        <v>0</v>
      </c>
      <c r="L188" s="897">
        <f>'Перелік ціни'!K158</f>
        <v>0</v>
      </c>
      <c r="M188" s="897">
        <f>'Перелік ціни'!L158</f>
        <v>0.89999999999999991</v>
      </c>
      <c r="N188" s="898">
        <f t="shared" si="28"/>
        <v>7.8000000000000007</v>
      </c>
      <c r="O188" s="898"/>
      <c r="P188" s="897">
        <f t="shared" si="31"/>
        <v>121.36999999999999</v>
      </c>
      <c r="Q188" s="445">
        <f t="shared" si="29"/>
        <v>121</v>
      </c>
      <c r="R188" s="457"/>
      <c r="S188" s="446">
        <f t="shared" si="32"/>
        <v>121</v>
      </c>
      <c r="T188" s="446">
        <v>101</v>
      </c>
      <c r="U188" s="453">
        <f t="shared" si="30"/>
        <v>20</v>
      </c>
      <c r="V188" s="718"/>
      <c r="W188" s="718"/>
      <c r="X188" s="455"/>
    </row>
    <row r="189" spans="1:24" s="454" customFormat="1" ht="38.4" x14ac:dyDescent="0.7">
      <c r="A189" s="456"/>
      <c r="B189" s="443" t="s">
        <v>608</v>
      </c>
      <c r="C189" s="443"/>
      <c r="D189" s="444" t="str">
        <f>'Перелік ціни'!C159</f>
        <v>Ультразвукові дослідження в акушерстві</v>
      </c>
      <c r="E189" s="897">
        <f>'Перелік ціни'!D159</f>
        <v>65.599999999999994</v>
      </c>
      <c r="F189" s="897">
        <f>'Перелік ціни'!E159</f>
        <v>14.43</v>
      </c>
      <c r="G189" s="897">
        <f>'Перелік ціни'!F159</f>
        <v>12.45</v>
      </c>
      <c r="H189" s="897">
        <f>'Перелік ціни'!G159</f>
        <v>54.8</v>
      </c>
      <c r="I189" s="898">
        <f t="shared" si="27"/>
        <v>147.28</v>
      </c>
      <c r="J189" s="897">
        <f>'Перелік ціни'!I159</f>
        <v>9.1999999999999993</v>
      </c>
      <c r="K189" s="897">
        <f>'Перелік ціни'!J159</f>
        <v>0</v>
      </c>
      <c r="L189" s="897">
        <f>'Перелік ціни'!K159</f>
        <v>0</v>
      </c>
      <c r="M189" s="897">
        <f>'Перелік ціни'!L159</f>
        <v>1.2000000000000002</v>
      </c>
      <c r="N189" s="898">
        <f t="shared" si="28"/>
        <v>10.399999999999999</v>
      </c>
      <c r="O189" s="898"/>
      <c r="P189" s="897">
        <f t="shared" si="31"/>
        <v>157.68</v>
      </c>
      <c r="Q189" s="445">
        <f t="shared" si="29"/>
        <v>158</v>
      </c>
      <c r="R189" s="457"/>
      <c r="S189" s="446">
        <f t="shared" si="32"/>
        <v>158</v>
      </c>
      <c r="T189" s="446">
        <v>130.6</v>
      </c>
      <c r="U189" s="453">
        <f t="shared" si="30"/>
        <v>27.400000000000006</v>
      </c>
      <c r="V189" s="718"/>
      <c r="W189" s="718"/>
      <c r="X189" s="455"/>
    </row>
    <row r="190" spans="1:24" s="454" customFormat="1" ht="38.4" x14ac:dyDescent="0.7">
      <c r="A190" s="456"/>
      <c r="B190" s="443" t="s">
        <v>610</v>
      </c>
      <c r="C190" s="443"/>
      <c r="D190" s="444" t="str">
        <f>'Перелік ціни'!C160</f>
        <v>Ультразвукова доплерографія екстракраніальних артерій і вен голови</v>
      </c>
      <c r="E190" s="897">
        <f>'Перелік ціни'!D160</f>
        <v>32.6</v>
      </c>
      <c r="F190" s="897">
        <f>'Перелік ціни'!E160</f>
        <v>7.17</v>
      </c>
      <c r="G190" s="897">
        <f>'Перелік ціни'!F160</f>
        <v>12.45</v>
      </c>
      <c r="H190" s="897">
        <f>'Перелік ціни'!G160</f>
        <v>27.4</v>
      </c>
      <c r="I190" s="898">
        <f t="shared" ref="I190:I196" si="33">SUM(E190:H190)</f>
        <v>79.62</v>
      </c>
      <c r="J190" s="897">
        <f>'Перелік ціни'!I160</f>
        <v>4.5999999999999996</v>
      </c>
      <c r="K190" s="897">
        <f>'Перелік ціни'!J160</f>
        <v>0</v>
      </c>
      <c r="L190" s="897">
        <f>'Перелік ціни'!K160</f>
        <v>0</v>
      </c>
      <c r="M190" s="897">
        <f>'Перелік ціни'!L160</f>
        <v>0.60000000000000009</v>
      </c>
      <c r="N190" s="898">
        <f t="shared" ref="N190:N196" si="34">SUM(J190:M190)</f>
        <v>5.1999999999999993</v>
      </c>
      <c r="O190" s="898"/>
      <c r="P190" s="897">
        <f t="shared" si="31"/>
        <v>84.820000000000007</v>
      </c>
      <c r="Q190" s="445">
        <f t="shared" si="29"/>
        <v>85</v>
      </c>
      <c r="R190" s="457"/>
      <c r="S190" s="446">
        <f t="shared" si="32"/>
        <v>85</v>
      </c>
      <c r="T190" s="446">
        <v>71.400000000000006</v>
      </c>
      <c r="U190" s="453">
        <f t="shared" si="30"/>
        <v>13.599999999999994</v>
      </c>
      <c r="V190" s="718"/>
      <c r="W190" s="718"/>
      <c r="X190" s="455"/>
    </row>
    <row r="191" spans="1:24" s="454" customFormat="1" ht="38.4" x14ac:dyDescent="0.7">
      <c r="A191" s="456"/>
      <c r="B191" s="443" t="s">
        <v>612</v>
      </c>
      <c r="C191" s="443"/>
      <c r="D191" s="444" t="str">
        <f>'Перелік ціни'!C161</f>
        <v>Ультразвукове дослідження паращитоподібних залоз</v>
      </c>
      <c r="E191" s="897">
        <f>'Перелік ціни'!D161</f>
        <v>24.6</v>
      </c>
      <c r="F191" s="897">
        <f>'Перелік ціни'!E161</f>
        <v>5.41</v>
      </c>
      <c r="G191" s="897">
        <f>'Перелік ціни'!F161</f>
        <v>12.45</v>
      </c>
      <c r="H191" s="897">
        <f>'Перелік ціни'!G161</f>
        <v>20.55</v>
      </c>
      <c r="I191" s="898">
        <f t="shared" si="33"/>
        <v>63.010000000000005</v>
      </c>
      <c r="J191" s="897">
        <f>'Перелік ціни'!I161</f>
        <v>3.45</v>
      </c>
      <c r="K191" s="897">
        <f>'Перелік ціни'!J161</f>
        <v>0</v>
      </c>
      <c r="L191" s="897">
        <f>'Перелік ціни'!K161</f>
        <v>0</v>
      </c>
      <c r="M191" s="897">
        <f>'Перелік ціни'!L161</f>
        <v>0.44999999999999996</v>
      </c>
      <c r="N191" s="898">
        <f t="shared" si="34"/>
        <v>3.9000000000000004</v>
      </c>
      <c r="O191" s="898"/>
      <c r="P191" s="897">
        <f t="shared" si="31"/>
        <v>66.910000000000011</v>
      </c>
      <c r="Q191" s="445">
        <f t="shared" si="29"/>
        <v>67</v>
      </c>
      <c r="R191" s="457"/>
      <c r="S191" s="446">
        <f t="shared" si="32"/>
        <v>67</v>
      </c>
      <c r="T191" s="446">
        <v>56.6</v>
      </c>
      <c r="U191" s="453">
        <f t="shared" si="30"/>
        <v>10.399999999999999</v>
      </c>
      <c r="V191" s="718"/>
      <c r="W191" s="718"/>
      <c r="X191" s="455"/>
    </row>
    <row r="192" spans="1:24" s="454" customFormat="1" ht="38.4" x14ac:dyDescent="0.7">
      <c r="A192" s="456"/>
      <c r="B192" s="443" t="s">
        <v>614</v>
      </c>
      <c r="C192" s="443"/>
      <c r="D192" s="444" t="str">
        <f>'Перелік ціни'!C162</f>
        <v>Доплерографія судин нирок</v>
      </c>
      <c r="E192" s="897">
        <f>'Перелік ціни'!D162</f>
        <v>48.9</v>
      </c>
      <c r="F192" s="897">
        <f>'Перелік ціни'!E162</f>
        <v>10.76</v>
      </c>
      <c r="G192" s="897">
        <f>'Перелік ціни'!F162</f>
        <v>12.45</v>
      </c>
      <c r="H192" s="897">
        <f>'Перелік ціни'!G162</f>
        <v>41.1</v>
      </c>
      <c r="I192" s="898">
        <f t="shared" si="33"/>
        <v>113.21000000000001</v>
      </c>
      <c r="J192" s="897">
        <f>'Перелік ціни'!I162</f>
        <v>6.9</v>
      </c>
      <c r="K192" s="897">
        <f>'Перелік ціни'!J162</f>
        <v>0</v>
      </c>
      <c r="L192" s="897">
        <f>'Перелік ціни'!K162</f>
        <v>0</v>
      </c>
      <c r="M192" s="897">
        <f>'Перелік ціни'!L162</f>
        <v>0.89999999999999991</v>
      </c>
      <c r="N192" s="898">
        <f t="shared" si="34"/>
        <v>7.8000000000000007</v>
      </c>
      <c r="O192" s="898"/>
      <c r="P192" s="897">
        <f t="shared" si="31"/>
        <v>121.01</v>
      </c>
      <c r="Q192" s="445">
        <f t="shared" si="29"/>
        <v>121</v>
      </c>
      <c r="R192" s="457"/>
      <c r="S192" s="446">
        <f t="shared" si="32"/>
        <v>121</v>
      </c>
      <c r="T192" s="446">
        <v>101</v>
      </c>
      <c r="U192" s="453">
        <f t="shared" si="30"/>
        <v>20</v>
      </c>
      <c r="V192" s="718"/>
      <c r="W192" s="718"/>
      <c r="X192" s="455"/>
    </row>
    <row r="193" spans="1:24" s="454" customFormat="1" ht="38.4" x14ac:dyDescent="0.7">
      <c r="A193" s="456"/>
      <c r="B193" s="443" t="s">
        <v>616</v>
      </c>
      <c r="C193" s="443"/>
      <c r="D193" s="444" t="str">
        <f>'Перелік ціни'!C163</f>
        <v>Доплерографія судин печінки</v>
      </c>
      <c r="E193" s="897">
        <f>'Перелік ціни'!D163</f>
        <v>33.200000000000003</v>
      </c>
      <c r="F193" s="897">
        <f>'Перелік ціни'!E163</f>
        <v>7.3</v>
      </c>
      <c r="G193" s="897">
        <f>'Перелік ціни'!F163</f>
        <v>12.45</v>
      </c>
      <c r="H193" s="897">
        <f>'Перелік ціни'!G163</f>
        <v>27.4</v>
      </c>
      <c r="I193" s="898">
        <f t="shared" si="33"/>
        <v>80.349999999999994</v>
      </c>
      <c r="J193" s="897">
        <f>'Перелік ціни'!I163</f>
        <v>4.5999999999999996</v>
      </c>
      <c r="K193" s="897">
        <f>'Перелік ціни'!J163</f>
        <v>0</v>
      </c>
      <c r="L193" s="897">
        <f>'Перелік ціни'!K163</f>
        <v>0</v>
      </c>
      <c r="M193" s="897">
        <f>'Перелік ціни'!L163</f>
        <v>0.60000000000000009</v>
      </c>
      <c r="N193" s="898">
        <f t="shared" si="34"/>
        <v>5.1999999999999993</v>
      </c>
      <c r="O193" s="898"/>
      <c r="P193" s="897">
        <f t="shared" si="31"/>
        <v>85.55</v>
      </c>
      <c r="Q193" s="445">
        <f t="shared" si="29"/>
        <v>86</v>
      </c>
      <c r="R193" s="458"/>
      <c r="S193" s="446">
        <f t="shared" si="32"/>
        <v>86</v>
      </c>
      <c r="T193" s="446">
        <v>71.900000000000006</v>
      </c>
      <c r="U193" s="453">
        <f t="shared" si="30"/>
        <v>14.099999999999994</v>
      </c>
      <c r="V193" s="718"/>
      <c r="W193" s="718"/>
      <c r="X193" s="455"/>
    </row>
    <row r="194" spans="1:24" s="454" customFormat="1" ht="38.4" x14ac:dyDescent="0.7">
      <c r="A194" s="456"/>
      <c r="B194" s="443" t="s">
        <v>618</v>
      </c>
      <c r="C194" s="443"/>
      <c r="D194" s="444" t="str">
        <f>'Перелік ціни'!C164</f>
        <v>Доплерографія селезінкових судин</v>
      </c>
      <c r="E194" s="897">
        <f>'Перелік ціни'!D164</f>
        <v>24.9</v>
      </c>
      <c r="F194" s="897">
        <f>'Перелік ціни'!E164</f>
        <v>5.48</v>
      </c>
      <c r="G194" s="897">
        <f>'Перелік ціни'!F164</f>
        <v>12.45</v>
      </c>
      <c r="H194" s="897">
        <f>'Перелік ціни'!G164</f>
        <v>20.55</v>
      </c>
      <c r="I194" s="898">
        <f t="shared" si="33"/>
        <v>63.379999999999995</v>
      </c>
      <c r="J194" s="897">
        <f>'Перелік ціни'!I164</f>
        <v>3.45</v>
      </c>
      <c r="K194" s="897">
        <f>'Перелік ціни'!J164</f>
        <v>0</v>
      </c>
      <c r="L194" s="897">
        <f>'Перелік ціни'!K164</f>
        <v>0</v>
      </c>
      <c r="M194" s="897">
        <f>'Перелік ціни'!L164</f>
        <v>0.44999999999999996</v>
      </c>
      <c r="N194" s="898">
        <f t="shared" si="34"/>
        <v>3.9000000000000004</v>
      </c>
      <c r="O194" s="898"/>
      <c r="P194" s="897">
        <f t="shared" si="31"/>
        <v>67.28</v>
      </c>
      <c r="Q194" s="445">
        <f t="shared" si="29"/>
        <v>67</v>
      </c>
      <c r="R194" s="458"/>
      <c r="S194" s="446">
        <f t="shared" si="32"/>
        <v>67</v>
      </c>
      <c r="T194" s="446">
        <v>57</v>
      </c>
      <c r="U194" s="453">
        <f t="shared" si="30"/>
        <v>10</v>
      </c>
      <c r="V194" s="718"/>
      <c r="W194" s="718"/>
      <c r="X194" s="455"/>
    </row>
    <row r="195" spans="1:24" s="454" customFormat="1" ht="38.4" x14ac:dyDescent="0.7">
      <c r="A195" s="456"/>
      <c r="B195" s="443" t="s">
        <v>620</v>
      </c>
      <c r="C195" s="443"/>
      <c r="D195" s="444" t="str">
        <f>'Перелік ціни'!C165</f>
        <v>Доплерографія артерій верхніх кінцівок</v>
      </c>
      <c r="E195" s="897">
        <f>'Перелік ціни'!D165</f>
        <v>49.8</v>
      </c>
      <c r="F195" s="897">
        <f>'Перелік ціни'!E165</f>
        <v>10.96</v>
      </c>
      <c r="G195" s="897">
        <f>'Перелік ціни'!F165</f>
        <v>12.45</v>
      </c>
      <c r="H195" s="897">
        <f>'Перелік ціни'!G165</f>
        <v>41.1</v>
      </c>
      <c r="I195" s="898">
        <f t="shared" si="33"/>
        <v>114.31</v>
      </c>
      <c r="J195" s="897">
        <f>'Перелік ціни'!I165</f>
        <v>6.9</v>
      </c>
      <c r="K195" s="897">
        <f>'Перелік ціни'!J165</f>
        <v>0</v>
      </c>
      <c r="L195" s="897">
        <f>'Перелік ціни'!K165</f>
        <v>0</v>
      </c>
      <c r="M195" s="897">
        <f>'Перелік ціни'!L165</f>
        <v>0.89999999999999991</v>
      </c>
      <c r="N195" s="898">
        <f t="shared" si="34"/>
        <v>7.8000000000000007</v>
      </c>
      <c r="O195" s="898"/>
      <c r="P195" s="897">
        <f t="shared" si="31"/>
        <v>122.11</v>
      </c>
      <c r="Q195" s="445">
        <f t="shared" si="29"/>
        <v>122</v>
      </c>
      <c r="R195" s="458"/>
      <c r="S195" s="446">
        <f t="shared" si="32"/>
        <v>122</v>
      </c>
      <c r="T195" s="446">
        <v>101.7</v>
      </c>
      <c r="U195" s="453">
        <f t="shared" si="30"/>
        <v>20.299999999999997</v>
      </c>
      <c r="V195" s="718"/>
      <c r="W195" s="718"/>
      <c r="X195" s="455"/>
    </row>
    <row r="196" spans="1:24" s="454" customFormat="1" ht="38.4" x14ac:dyDescent="0.7">
      <c r="A196" s="456"/>
      <c r="B196" s="443" t="s">
        <v>622</v>
      </c>
      <c r="C196" s="443"/>
      <c r="D196" s="444" t="str">
        <f>'Перелік ціни'!C166</f>
        <v>Доплерографія артерій нижніх кінцівок</v>
      </c>
      <c r="E196" s="897">
        <f>'Перелік ціни'!D166</f>
        <v>49.8</v>
      </c>
      <c r="F196" s="897">
        <f>'Перелік ціни'!E166</f>
        <v>10.96</v>
      </c>
      <c r="G196" s="897">
        <f>'Перелік ціни'!F166</f>
        <v>12.45</v>
      </c>
      <c r="H196" s="897">
        <f>'Перелік ціни'!G166</f>
        <v>41.1</v>
      </c>
      <c r="I196" s="898">
        <f t="shared" si="33"/>
        <v>114.31</v>
      </c>
      <c r="J196" s="897">
        <f>'Перелік ціни'!I166</f>
        <v>6.9</v>
      </c>
      <c r="K196" s="897">
        <f>'Перелік ціни'!J166</f>
        <v>0</v>
      </c>
      <c r="L196" s="897">
        <f>'Перелік ціни'!K166</f>
        <v>0</v>
      </c>
      <c r="M196" s="897">
        <f>'Перелік ціни'!L166</f>
        <v>0.89999999999999991</v>
      </c>
      <c r="N196" s="898">
        <f t="shared" si="34"/>
        <v>7.8000000000000007</v>
      </c>
      <c r="O196" s="898"/>
      <c r="P196" s="897">
        <f t="shared" si="31"/>
        <v>122.11</v>
      </c>
      <c r="Q196" s="445">
        <f t="shared" si="29"/>
        <v>122</v>
      </c>
      <c r="R196" s="458"/>
      <c r="S196" s="446">
        <f t="shared" si="32"/>
        <v>122</v>
      </c>
      <c r="T196" s="446">
        <v>101.7</v>
      </c>
      <c r="U196" s="453">
        <f t="shared" si="30"/>
        <v>20.299999999999997</v>
      </c>
      <c r="V196" s="718"/>
      <c r="W196" s="718"/>
      <c r="X196" s="455"/>
    </row>
    <row r="197" spans="1:24" s="422" customFormat="1" ht="34.200000000000003" x14ac:dyDescent="0.6">
      <c r="A197" s="886"/>
      <c r="B197" s="425"/>
      <c r="C197" s="425"/>
      <c r="D197" s="426"/>
      <c r="E197" s="900"/>
      <c r="F197" s="900"/>
      <c r="G197" s="900"/>
      <c r="H197" s="900"/>
      <c r="I197" s="901"/>
      <c r="J197" s="900"/>
      <c r="K197" s="900"/>
      <c r="L197" s="900"/>
      <c r="M197" s="900"/>
      <c r="N197" s="901"/>
      <c r="O197" s="901"/>
      <c r="P197" s="900"/>
      <c r="Q197" s="427"/>
      <c r="R197" s="429"/>
      <c r="S197" s="428"/>
      <c r="T197" s="428"/>
      <c r="U197" s="428"/>
      <c r="V197" s="718"/>
      <c r="W197" s="718"/>
      <c r="X197" s="423"/>
    </row>
    <row r="198" spans="1:24" s="422" customFormat="1" ht="34.200000000000003" x14ac:dyDescent="0.6">
      <c r="A198" s="886"/>
      <c r="B198" s="425"/>
      <c r="C198" s="425"/>
      <c r="D198" s="426"/>
      <c r="E198" s="900"/>
      <c r="F198" s="900"/>
      <c r="G198" s="900"/>
      <c r="H198" s="900"/>
      <c r="I198" s="901"/>
      <c r="J198" s="900"/>
      <c r="K198" s="900"/>
      <c r="L198" s="900"/>
      <c r="M198" s="900"/>
      <c r="N198" s="901"/>
      <c r="O198" s="901"/>
      <c r="P198" s="900"/>
      <c r="Q198" s="427"/>
      <c r="R198" s="427"/>
      <c r="S198" s="428"/>
      <c r="T198" s="428"/>
      <c r="U198" s="428"/>
      <c r="V198" s="718"/>
      <c r="W198" s="718"/>
      <c r="X198" s="423"/>
    </row>
    <row r="199" spans="1:24" s="436" customFormat="1" ht="40.200000000000003" x14ac:dyDescent="0.7">
      <c r="A199" s="437"/>
      <c r="B199" s="681"/>
      <c r="C199" s="435"/>
      <c r="D199" s="435"/>
      <c r="E199" s="890"/>
      <c r="F199" s="890"/>
      <c r="G199" s="890"/>
      <c r="H199" s="890"/>
      <c r="I199" s="890"/>
      <c r="J199" s="890"/>
      <c r="K199" s="890"/>
      <c r="L199" s="890"/>
      <c r="M199" s="890"/>
      <c r="N199" s="890"/>
      <c r="O199" s="890"/>
      <c r="P199" s="890"/>
      <c r="Q199" s="1021" t="s">
        <v>155</v>
      </c>
      <c r="R199" s="1021"/>
      <c r="S199" s="1021"/>
      <c r="T199" s="709"/>
      <c r="U199" s="709"/>
      <c r="V199" s="713"/>
      <c r="W199" s="713"/>
      <c r="X199" s="437"/>
    </row>
    <row r="200" spans="1:24" s="436" customFormat="1" ht="40.200000000000003" x14ac:dyDescent="0.7">
      <c r="A200" s="437"/>
      <c r="B200" s="682"/>
      <c r="E200" s="890"/>
      <c r="F200" s="890"/>
      <c r="G200" s="890"/>
      <c r="H200" s="890"/>
      <c r="I200" s="890"/>
      <c r="J200" s="890"/>
      <c r="K200" s="890"/>
      <c r="L200" s="890"/>
      <c r="M200" s="890"/>
      <c r="N200" s="890"/>
      <c r="O200" s="890"/>
      <c r="P200" s="890"/>
      <c r="Q200" s="1021" t="s">
        <v>156</v>
      </c>
      <c r="R200" s="1021"/>
      <c r="S200" s="1021"/>
      <c r="T200" s="709"/>
      <c r="U200" s="709"/>
      <c r="V200" s="713"/>
      <c r="W200" s="713"/>
      <c r="X200" s="438"/>
    </row>
    <row r="201" spans="1:24" s="436" customFormat="1" ht="40.200000000000003" x14ac:dyDescent="0.7">
      <c r="A201" s="437"/>
      <c r="B201" s="682"/>
      <c r="E201" s="890"/>
      <c r="F201" s="890"/>
      <c r="G201" s="890"/>
      <c r="H201" s="890"/>
      <c r="I201" s="890"/>
      <c r="J201" s="890"/>
      <c r="K201" s="890"/>
      <c r="L201" s="890"/>
      <c r="M201" s="890"/>
      <c r="N201" s="890"/>
      <c r="O201" s="890"/>
      <c r="P201" s="890"/>
      <c r="Q201" s="1021" t="str">
        <f>Q149</f>
        <v>______ грудня 2021 року</v>
      </c>
      <c r="R201" s="1021"/>
      <c r="S201" s="1021"/>
      <c r="T201" s="709"/>
      <c r="U201" s="709"/>
      <c r="V201" s="713"/>
      <c r="W201" s="713"/>
      <c r="X201" s="438"/>
    </row>
    <row r="202" spans="1:24" s="438" customFormat="1" ht="39.6" x14ac:dyDescent="0.65">
      <c r="A202" s="437"/>
      <c r="B202" s="1023"/>
      <c r="C202" s="1023"/>
      <c r="D202" s="1023"/>
      <c r="E202" s="1023"/>
      <c r="F202" s="1023"/>
      <c r="G202" s="1023"/>
      <c r="H202" s="1023"/>
      <c r="I202" s="1023"/>
      <c r="J202" s="1023"/>
      <c r="K202" s="1023"/>
      <c r="L202" s="1023"/>
      <c r="M202" s="1023"/>
      <c r="N202" s="1023"/>
      <c r="O202" s="1023"/>
      <c r="P202" s="1023"/>
      <c r="Q202" s="1023"/>
      <c r="R202" s="1023"/>
      <c r="S202" s="1023"/>
      <c r="T202" s="711"/>
      <c r="U202" s="711"/>
      <c r="V202" s="714"/>
      <c r="W202" s="714"/>
    </row>
    <row r="203" spans="1:24" s="438" customFormat="1" ht="39.6" x14ac:dyDescent="0.65">
      <c r="A203" s="437"/>
      <c r="B203" s="1022" t="s">
        <v>157</v>
      </c>
      <c r="C203" s="1022"/>
      <c r="D203" s="1022"/>
      <c r="E203" s="1022"/>
      <c r="F203" s="1022"/>
      <c r="G203" s="1022"/>
      <c r="H203" s="1022"/>
      <c r="I203" s="1022"/>
      <c r="J203" s="1022"/>
      <c r="K203" s="1022"/>
      <c r="L203" s="1022"/>
      <c r="M203" s="1022"/>
      <c r="N203" s="1022"/>
      <c r="O203" s="1022"/>
      <c r="P203" s="1022"/>
      <c r="Q203" s="1022"/>
      <c r="R203" s="1022"/>
      <c r="S203" s="1022"/>
      <c r="T203" s="710"/>
      <c r="U203" s="710"/>
      <c r="V203" s="714"/>
      <c r="W203" s="714"/>
    </row>
    <row r="204" spans="1:24" s="438" customFormat="1" ht="39.6" x14ac:dyDescent="0.65">
      <c r="A204" s="437"/>
      <c r="B204" s="1022" t="s">
        <v>158</v>
      </c>
      <c r="C204" s="1022"/>
      <c r="D204" s="1022"/>
      <c r="E204" s="1022"/>
      <c r="F204" s="1022"/>
      <c r="G204" s="1022"/>
      <c r="H204" s="1022"/>
      <c r="I204" s="1022"/>
      <c r="J204" s="1022"/>
      <c r="K204" s="1022"/>
      <c r="L204" s="1022"/>
      <c r="M204" s="1022"/>
      <c r="N204" s="1022"/>
      <c r="O204" s="1022"/>
      <c r="P204" s="1022"/>
      <c r="Q204" s="1022"/>
      <c r="R204" s="1022"/>
      <c r="S204" s="1022"/>
      <c r="T204" s="710"/>
      <c r="U204" s="710"/>
      <c r="V204" s="714"/>
      <c r="W204" s="714"/>
    </row>
    <row r="205" spans="1:24" s="438" customFormat="1" ht="39.6" x14ac:dyDescent="0.65">
      <c r="A205" s="437"/>
      <c r="B205" s="1022"/>
      <c r="C205" s="1022"/>
      <c r="D205" s="1022"/>
      <c r="E205" s="1022"/>
      <c r="F205" s="1022"/>
      <c r="G205" s="1022"/>
      <c r="H205" s="1022"/>
      <c r="I205" s="1022"/>
      <c r="J205" s="1022"/>
      <c r="K205" s="1022"/>
      <c r="L205" s="1022"/>
      <c r="M205" s="1022"/>
      <c r="N205" s="1022"/>
      <c r="O205" s="1022"/>
      <c r="P205" s="1022"/>
      <c r="Q205" s="1022"/>
      <c r="R205" s="1022"/>
      <c r="S205" s="1022"/>
      <c r="T205" s="710"/>
      <c r="U205" s="710"/>
      <c r="V205" s="714"/>
      <c r="W205" s="714"/>
    </row>
    <row r="206" spans="1:24" s="459" customFormat="1" ht="38.4" x14ac:dyDescent="0.7">
      <c r="A206" s="461"/>
      <c r="B206" s="439" t="s">
        <v>1185</v>
      </c>
      <c r="C206" s="439"/>
      <c r="D206" s="440" t="s">
        <v>1186</v>
      </c>
      <c r="E206" s="891"/>
      <c r="F206" s="891"/>
      <c r="G206" s="891"/>
      <c r="H206" s="891"/>
      <c r="I206" s="891"/>
      <c r="J206" s="891"/>
      <c r="K206" s="891"/>
      <c r="L206" s="891"/>
      <c r="M206" s="891"/>
      <c r="N206" s="891"/>
      <c r="O206" s="891"/>
      <c r="P206" s="891"/>
      <c r="Q206" s="441"/>
      <c r="R206" s="441"/>
      <c r="S206" s="442" t="s">
        <v>1187</v>
      </c>
      <c r="T206" s="442"/>
      <c r="U206" s="442"/>
      <c r="V206" s="721"/>
      <c r="W206" s="721"/>
      <c r="X206" s="460"/>
    </row>
    <row r="207" spans="1:24" s="461" customFormat="1" ht="38.4" x14ac:dyDescent="0.7">
      <c r="B207" s="442">
        <v>4</v>
      </c>
      <c r="C207" s="442"/>
      <c r="D207" s="464" t="s">
        <v>161</v>
      </c>
      <c r="E207" s="895" t="s">
        <v>1118</v>
      </c>
      <c r="F207" s="896">
        <v>0.22</v>
      </c>
      <c r="G207" s="895" t="s">
        <v>1119</v>
      </c>
      <c r="H207" s="895" t="s">
        <v>1125</v>
      </c>
      <c r="I207" s="895" t="s">
        <v>1120</v>
      </c>
      <c r="J207" s="895" t="s">
        <v>1121</v>
      </c>
      <c r="K207" s="895" t="s">
        <v>1122</v>
      </c>
      <c r="L207" s="895" t="s">
        <v>1126</v>
      </c>
      <c r="M207" s="895" t="s">
        <v>1123</v>
      </c>
      <c r="N207" s="895" t="s">
        <v>1127</v>
      </c>
      <c r="O207" s="895"/>
      <c r="P207" s="895" t="s">
        <v>988</v>
      </c>
      <c r="Q207" s="442" t="s">
        <v>988</v>
      </c>
      <c r="R207" s="442" t="s">
        <v>1181</v>
      </c>
      <c r="S207" s="442" t="s">
        <v>1183</v>
      </c>
      <c r="T207" s="712" t="s">
        <v>494</v>
      </c>
      <c r="U207" s="448"/>
      <c r="V207" s="722"/>
      <c r="W207" s="722"/>
      <c r="X207" s="460"/>
    </row>
    <row r="208" spans="1:24" s="459" customFormat="1" ht="38.4" x14ac:dyDescent="0.7">
      <c r="A208" s="461"/>
      <c r="B208" s="443" t="s">
        <v>660</v>
      </c>
      <c r="C208" s="443"/>
      <c r="D208" s="444" t="str">
        <f>'Перелік ціни'!C289</f>
        <v>Електроенцефалографія (ЕЕГ головного мозку)</v>
      </c>
      <c r="E208" s="897">
        <f>'Перелік ціни'!D289</f>
        <v>68.400000000000006</v>
      </c>
      <c r="F208" s="897">
        <f>'Перелік ціни'!E289</f>
        <v>15.05</v>
      </c>
      <c r="G208" s="897">
        <f>'Перелік ціни'!F289</f>
        <v>4.2799999999999994</v>
      </c>
      <c r="H208" s="897">
        <f>'Перелік ціни'!G289</f>
        <v>0</v>
      </c>
      <c r="I208" s="897">
        <f>'Перелік ціни'!H289</f>
        <v>87.73</v>
      </c>
      <c r="J208" s="897">
        <f>'Перелік ціни'!I289</f>
        <v>8.8000000000000007</v>
      </c>
      <c r="K208" s="897">
        <f>'Перелік ціни'!J289</f>
        <v>0</v>
      </c>
      <c r="L208" s="897">
        <f>'Перелік ціни'!K289</f>
        <v>0</v>
      </c>
      <c r="M208" s="897">
        <f>'Перелік ціни'!L289</f>
        <v>0.8</v>
      </c>
      <c r="N208" s="897">
        <f>'Перелік ціни'!M289</f>
        <v>9.6000000000000014</v>
      </c>
      <c r="O208" s="898"/>
      <c r="P208" s="897">
        <f>I208+N208</f>
        <v>97.330000000000013</v>
      </c>
      <c r="Q208" s="445">
        <f>ROUND(P208,0)</f>
        <v>97</v>
      </c>
      <c r="R208" s="457"/>
      <c r="S208" s="446">
        <f t="shared" ref="S208:S214" si="35">ROUND(Q208,2)</f>
        <v>97</v>
      </c>
      <c r="T208" s="453">
        <v>91.1</v>
      </c>
      <c r="U208" s="453">
        <f>S208-T208</f>
        <v>5.9000000000000057</v>
      </c>
      <c r="V208" s="721"/>
      <c r="W208" s="721"/>
      <c r="X208" s="460"/>
    </row>
    <row r="209" spans="1:24" s="459" customFormat="1" ht="38.4" x14ac:dyDescent="0.7">
      <c r="A209" s="461"/>
      <c r="B209" s="443" t="s">
        <v>662</v>
      </c>
      <c r="C209" s="443"/>
      <c r="D209" s="444" t="str">
        <f>'Перелік ціни'!C290</f>
        <v>Спірографія легень</v>
      </c>
      <c r="E209" s="897">
        <f>'Перелік ціни'!D290</f>
        <v>51.3</v>
      </c>
      <c r="F209" s="897">
        <f>'Перелік ціни'!E290</f>
        <v>11.29</v>
      </c>
      <c r="G209" s="897">
        <f>'Перелік ціни'!F290</f>
        <v>9.08</v>
      </c>
      <c r="H209" s="897">
        <f>'Перелік ціни'!G290</f>
        <v>0</v>
      </c>
      <c r="I209" s="897">
        <f>'Перелік ціни'!H290</f>
        <v>71.67</v>
      </c>
      <c r="J209" s="897">
        <f>'Перелік ціни'!I290</f>
        <v>10.8</v>
      </c>
      <c r="K209" s="897">
        <f>'Перелік ціни'!J290</f>
        <v>7.8</v>
      </c>
      <c r="L209" s="897">
        <f>'Перелік ціни'!K290</f>
        <v>9</v>
      </c>
      <c r="M209" s="897">
        <f>'Перелік ціни'!L290</f>
        <v>3.3</v>
      </c>
      <c r="N209" s="897">
        <f>'Перелік ціни'!M290</f>
        <v>30.900000000000002</v>
      </c>
      <c r="O209" s="898"/>
      <c r="P209" s="897">
        <f t="shared" ref="P209:P214" si="36">I209+N209</f>
        <v>102.57000000000001</v>
      </c>
      <c r="Q209" s="445">
        <f t="shared" ref="Q209:Q214" si="37">ROUND(P209,0)</f>
        <v>103</v>
      </c>
      <c r="R209" s="457"/>
      <c r="S209" s="446">
        <f t="shared" si="35"/>
        <v>103</v>
      </c>
      <c r="T209" s="453">
        <v>97.4</v>
      </c>
      <c r="U209" s="453">
        <f t="shared" ref="U209:U214" si="38">S209-T209</f>
        <v>5.5999999999999943</v>
      </c>
      <c r="V209" s="721"/>
      <c r="W209" s="721"/>
      <c r="X209" s="460"/>
    </row>
    <row r="210" spans="1:24" s="459" customFormat="1" ht="38.4" x14ac:dyDescent="0.7">
      <c r="A210" s="461"/>
      <c r="B210" s="443" t="s">
        <v>664</v>
      </c>
      <c r="C210" s="443"/>
      <c r="D210" s="444" t="str">
        <f>'Перелік ціни'!C291</f>
        <v>Електрокардіографі́я серця (ЕКГ)</v>
      </c>
      <c r="E210" s="897">
        <f>'Перелік ціни'!D291</f>
        <v>10.199999999999999</v>
      </c>
      <c r="F210" s="897">
        <f>'Перелік ціни'!E291</f>
        <v>2.2400000000000002</v>
      </c>
      <c r="G210" s="897">
        <f>'Перелік ціни'!F291</f>
        <v>3.2</v>
      </c>
      <c r="H210" s="897">
        <f>'Перелік ціни'!G291</f>
        <v>0</v>
      </c>
      <c r="I210" s="897">
        <f>'Перелік ціни'!H291</f>
        <v>15.64</v>
      </c>
      <c r="J210" s="897">
        <f>'Перелік ціни'!I291</f>
        <v>1.32</v>
      </c>
      <c r="K210" s="897">
        <f>'Перелік ціни'!J291</f>
        <v>0</v>
      </c>
      <c r="L210" s="897">
        <f>'Перелік ціни'!K291</f>
        <v>0</v>
      </c>
      <c r="M210" s="897">
        <f>'Перелік ціни'!L291</f>
        <v>0.12</v>
      </c>
      <c r="N210" s="897">
        <f>'Перелік ціни'!M291</f>
        <v>1.44</v>
      </c>
      <c r="O210" s="898"/>
      <c r="P210" s="897">
        <f t="shared" si="36"/>
        <v>17.080000000000002</v>
      </c>
      <c r="Q210" s="445">
        <f t="shared" si="37"/>
        <v>17</v>
      </c>
      <c r="R210" s="458"/>
      <c r="S210" s="446">
        <f t="shared" si="35"/>
        <v>17</v>
      </c>
      <c r="T210" s="453">
        <v>16.2</v>
      </c>
      <c r="U210" s="453">
        <f t="shared" si="38"/>
        <v>0.80000000000000071</v>
      </c>
      <c r="V210" s="721"/>
      <c r="W210" s="721"/>
      <c r="X210" s="460"/>
    </row>
    <row r="211" spans="1:24" s="459" customFormat="1" ht="38.4" x14ac:dyDescent="0.7">
      <c r="A211" s="461"/>
      <c r="B211" s="443" t="s">
        <v>666</v>
      </c>
      <c r="C211" s="443"/>
      <c r="D211" s="444" t="str">
        <f>'Перелік ціни'!C292</f>
        <v>Ендоскопічне видалення стороннього тіла з езофагогастродуоденальної зони</v>
      </c>
      <c r="E211" s="897">
        <f>'Перелік ціни'!D292</f>
        <v>52.5</v>
      </c>
      <c r="F211" s="897">
        <f>'Перелік ціни'!E292</f>
        <v>11.55</v>
      </c>
      <c r="G211" s="897">
        <f>'Перелік ціни'!F292</f>
        <v>25.320000000000004</v>
      </c>
      <c r="H211" s="897">
        <f>'Перелік ціни'!G292</f>
        <v>0.3</v>
      </c>
      <c r="I211" s="897">
        <f>'Перелік ціни'!H292</f>
        <v>89.67</v>
      </c>
      <c r="J211" s="897">
        <f>'Перелік ціни'!I292</f>
        <v>6.9</v>
      </c>
      <c r="K211" s="897">
        <f>'Перелік ціни'!J292</f>
        <v>0</v>
      </c>
      <c r="L211" s="897">
        <f>'Перелік ціни'!K292</f>
        <v>0</v>
      </c>
      <c r="M211" s="897">
        <f>'Перелік ціни'!L292</f>
        <v>0.89999999999999991</v>
      </c>
      <c r="N211" s="897">
        <f>'Перелік ціни'!M292</f>
        <v>7.8000000000000007</v>
      </c>
      <c r="O211" s="897"/>
      <c r="P211" s="897">
        <f t="shared" si="36"/>
        <v>97.47</v>
      </c>
      <c r="Q211" s="445">
        <f t="shared" si="37"/>
        <v>97</v>
      </c>
      <c r="R211" s="462"/>
      <c r="S211" s="446">
        <f t="shared" si="35"/>
        <v>97</v>
      </c>
      <c r="T211" s="453">
        <v>95.9</v>
      </c>
      <c r="U211" s="453">
        <f t="shared" si="38"/>
        <v>1.0999999999999943</v>
      </c>
      <c r="V211" s="721"/>
      <c r="W211" s="721"/>
      <c r="X211" s="460"/>
    </row>
    <row r="212" spans="1:24" s="459" customFormat="1" ht="38.4" x14ac:dyDescent="0.7">
      <c r="A212" s="461"/>
      <c r="B212" s="443" t="s">
        <v>668</v>
      </c>
      <c r="C212" s="443"/>
      <c r="D212" s="444" t="str">
        <f>'Перелік ціни'!C293</f>
        <v>Ендоскопічна зупинка кровотечі при езофагогастродуоденоскопії (ін'єкцією засобів, що коагулюють)</v>
      </c>
      <c r="E212" s="897">
        <f>'Перелік ціни'!D293</f>
        <v>70</v>
      </c>
      <c r="F212" s="897">
        <f>'Перелік ціни'!E293</f>
        <v>15.4</v>
      </c>
      <c r="G212" s="897">
        <f>'Перелік ціни'!F293</f>
        <v>25.320000000000004</v>
      </c>
      <c r="H212" s="897">
        <f>'Перелік ціни'!G293</f>
        <v>0.4</v>
      </c>
      <c r="I212" s="897">
        <f>'Перелік ціни'!H293</f>
        <v>111.12000000000002</v>
      </c>
      <c r="J212" s="897">
        <f>'Перелік ціни'!I293</f>
        <v>9.1999999999999993</v>
      </c>
      <c r="K212" s="897">
        <f>'Перелік ціни'!J293</f>
        <v>0</v>
      </c>
      <c r="L212" s="897">
        <f>'Перелік ціни'!K293</f>
        <v>0</v>
      </c>
      <c r="M212" s="897">
        <f>'Перелік ціни'!L293</f>
        <v>1.2000000000000002</v>
      </c>
      <c r="N212" s="897">
        <f>'Перелік ціни'!M293</f>
        <v>10.399999999999999</v>
      </c>
      <c r="O212" s="897"/>
      <c r="P212" s="897">
        <f t="shared" si="36"/>
        <v>121.52000000000001</v>
      </c>
      <c r="Q212" s="445">
        <f t="shared" si="37"/>
        <v>122</v>
      </c>
      <c r="R212" s="462"/>
      <c r="S212" s="446">
        <f t="shared" si="35"/>
        <v>122</v>
      </c>
      <c r="T212" s="453">
        <v>119.4</v>
      </c>
      <c r="U212" s="453">
        <f t="shared" si="38"/>
        <v>2.5999999999999943</v>
      </c>
      <c r="V212" s="721"/>
      <c r="W212" s="721"/>
      <c r="X212" s="460"/>
    </row>
    <row r="213" spans="1:24" s="459" customFormat="1" ht="38.4" x14ac:dyDescent="0.7">
      <c r="A213" s="461"/>
      <c r="B213" s="443" t="s">
        <v>670</v>
      </c>
      <c r="C213" s="443"/>
      <c r="D213" s="444" t="str">
        <f>'Перелік ціни'!C294</f>
        <v>Введення з допомогою ендоскопа зонда для ентерального харчування</v>
      </c>
      <c r="E213" s="897">
        <f>'Перелік ціни'!D294</f>
        <v>70</v>
      </c>
      <c r="F213" s="897">
        <f>'Перелік ціни'!E294</f>
        <v>15.4</v>
      </c>
      <c r="G213" s="897">
        <f>'Перелік ціни'!F294</f>
        <v>25.320000000000004</v>
      </c>
      <c r="H213" s="897">
        <f>'Перелік ціни'!G294</f>
        <v>0.4</v>
      </c>
      <c r="I213" s="897">
        <f>'Перелік ціни'!H294</f>
        <v>111.12000000000002</v>
      </c>
      <c r="J213" s="897">
        <f>'Перелік ціни'!I294</f>
        <v>9.1999999999999993</v>
      </c>
      <c r="K213" s="897">
        <f>'Перелік ціни'!J294</f>
        <v>0</v>
      </c>
      <c r="L213" s="897">
        <f>'Перелік ціни'!K294</f>
        <v>0</v>
      </c>
      <c r="M213" s="897">
        <f>'Перелік ціни'!L294</f>
        <v>1.2000000000000002</v>
      </c>
      <c r="N213" s="897">
        <f>'Перелік ціни'!M294</f>
        <v>10.399999999999999</v>
      </c>
      <c r="O213" s="897"/>
      <c r="P213" s="897">
        <f t="shared" si="36"/>
        <v>121.52000000000001</v>
      </c>
      <c r="Q213" s="445">
        <f t="shared" si="37"/>
        <v>122</v>
      </c>
      <c r="R213" s="462"/>
      <c r="S213" s="446">
        <f t="shared" si="35"/>
        <v>122</v>
      </c>
      <c r="T213" s="453">
        <v>119.4</v>
      </c>
      <c r="U213" s="453">
        <f t="shared" si="38"/>
        <v>2.5999999999999943</v>
      </c>
      <c r="V213" s="721"/>
      <c r="W213" s="721"/>
      <c r="X213" s="460"/>
    </row>
    <row r="214" spans="1:24" s="459" customFormat="1" ht="38.4" x14ac:dyDescent="0.7">
      <c r="A214" s="461"/>
      <c r="B214" s="443" t="s">
        <v>672</v>
      </c>
      <c r="C214" s="443"/>
      <c r="D214" s="444" t="str">
        <f>'Перелік ціни'!C295</f>
        <v>Фіброезофагогастродуеденоскопія</v>
      </c>
      <c r="E214" s="897">
        <f>'Перелік ціни'!D295</f>
        <v>70</v>
      </c>
      <c r="F214" s="897">
        <f>'Перелік ціни'!E295</f>
        <v>15.4</v>
      </c>
      <c r="G214" s="897">
        <f>'Перелік ціни'!F295</f>
        <v>25.320000000000004</v>
      </c>
      <c r="H214" s="897">
        <f>'Перелік ціни'!G295</f>
        <v>0.4</v>
      </c>
      <c r="I214" s="897">
        <f>'Перелік ціни'!H295</f>
        <v>111.12000000000002</v>
      </c>
      <c r="J214" s="897">
        <f>'Перелік ціни'!I295</f>
        <v>9.1999999999999993</v>
      </c>
      <c r="K214" s="897">
        <f>'Перелік ціни'!J295</f>
        <v>0</v>
      </c>
      <c r="L214" s="897">
        <f>'Перелік ціни'!K295</f>
        <v>0</v>
      </c>
      <c r="M214" s="897">
        <f>'Перелік ціни'!L295</f>
        <v>1.2000000000000002</v>
      </c>
      <c r="N214" s="897">
        <f>'Перелік ціни'!M295</f>
        <v>10.399999999999999</v>
      </c>
      <c r="O214" s="897"/>
      <c r="P214" s="897">
        <f t="shared" si="36"/>
        <v>121.52000000000001</v>
      </c>
      <c r="Q214" s="445">
        <f t="shared" si="37"/>
        <v>122</v>
      </c>
      <c r="R214" s="462"/>
      <c r="S214" s="446">
        <f t="shared" si="35"/>
        <v>122</v>
      </c>
      <c r="T214" s="453">
        <v>119.4</v>
      </c>
      <c r="U214" s="453">
        <f t="shared" si="38"/>
        <v>2.5999999999999943</v>
      </c>
      <c r="V214" s="721"/>
      <c r="W214" s="721"/>
      <c r="X214" s="460"/>
    </row>
    <row r="215" spans="1:24" s="422" customFormat="1" x14ac:dyDescent="0.65">
      <c r="A215" s="886"/>
      <c r="B215" s="425"/>
      <c r="C215" s="425"/>
      <c r="D215" s="426"/>
      <c r="E215" s="900"/>
      <c r="F215" s="900"/>
      <c r="G215" s="900"/>
      <c r="H215" s="900"/>
      <c r="I215" s="900"/>
      <c r="J215" s="900"/>
      <c r="K215" s="900"/>
      <c r="L215" s="900"/>
      <c r="M215" s="900"/>
      <c r="N215" s="900"/>
      <c r="O215" s="900"/>
      <c r="P215" s="900"/>
      <c r="Q215" s="427"/>
      <c r="R215" s="430"/>
      <c r="S215" s="428"/>
      <c r="T215" s="428"/>
      <c r="U215" s="428"/>
      <c r="V215" s="718"/>
      <c r="W215" s="718"/>
      <c r="X215" s="423"/>
    </row>
    <row r="216" spans="1:24" s="422" customFormat="1" x14ac:dyDescent="0.65">
      <c r="A216" s="886"/>
      <c r="B216" s="425"/>
      <c r="C216" s="425"/>
      <c r="D216" s="426"/>
      <c r="E216" s="900"/>
      <c r="F216" s="900"/>
      <c r="G216" s="900"/>
      <c r="H216" s="900"/>
      <c r="I216" s="900"/>
      <c r="J216" s="900"/>
      <c r="K216" s="900"/>
      <c r="L216" s="900"/>
      <c r="M216" s="900"/>
      <c r="N216" s="900"/>
      <c r="O216" s="900"/>
      <c r="P216" s="900"/>
      <c r="Q216" s="427"/>
      <c r="R216" s="430"/>
      <c r="S216" s="428"/>
      <c r="T216" s="428"/>
      <c r="U216" s="428"/>
      <c r="V216" s="718"/>
      <c r="W216" s="718"/>
      <c r="X216" s="423"/>
    </row>
    <row r="217" spans="1:24" s="436" customFormat="1" ht="40.200000000000003" x14ac:dyDescent="0.7">
      <c r="A217" s="437"/>
      <c r="B217" s="681"/>
      <c r="C217" s="435"/>
      <c r="D217" s="435"/>
      <c r="E217" s="890"/>
      <c r="F217" s="890"/>
      <c r="G217" s="890"/>
      <c r="H217" s="890"/>
      <c r="I217" s="890"/>
      <c r="J217" s="890"/>
      <c r="K217" s="890"/>
      <c r="L217" s="890"/>
      <c r="M217" s="890"/>
      <c r="N217" s="890"/>
      <c r="O217" s="890"/>
      <c r="P217" s="890"/>
      <c r="Q217" s="1021" t="s">
        <v>155</v>
      </c>
      <c r="R217" s="1021"/>
      <c r="S217" s="1021"/>
      <c r="T217" s="709"/>
      <c r="U217" s="709"/>
      <c r="V217" s="713"/>
      <c r="W217" s="713"/>
      <c r="X217" s="437"/>
    </row>
    <row r="218" spans="1:24" s="436" customFormat="1" ht="40.200000000000003" x14ac:dyDescent="0.7">
      <c r="A218" s="437"/>
      <c r="B218" s="682"/>
      <c r="E218" s="890"/>
      <c r="F218" s="890"/>
      <c r="G218" s="890"/>
      <c r="H218" s="890"/>
      <c r="I218" s="890"/>
      <c r="J218" s="890"/>
      <c r="K218" s="890"/>
      <c r="L218" s="890"/>
      <c r="M218" s="890"/>
      <c r="N218" s="890"/>
      <c r="O218" s="890"/>
      <c r="P218" s="890"/>
      <c r="Q218" s="1021" t="s">
        <v>156</v>
      </c>
      <c r="R218" s="1021"/>
      <c r="S218" s="1021"/>
      <c r="T218" s="709"/>
      <c r="U218" s="709"/>
      <c r="V218" s="713"/>
      <c r="W218" s="713"/>
      <c r="X218" s="438"/>
    </row>
    <row r="219" spans="1:24" s="436" customFormat="1" ht="40.200000000000003" x14ac:dyDescent="0.7">
      <c r="A219" s="437"/>
      <c r="B219" s="682"/>
      <c r="E219" s="890"/>
      <c r="F219" s="890"/>
      <c r="G219" s="890"/>
      <c r="H219" s="890"/>
      <c r="I219" s="890"/>
      <c r="J219" s="890"/>
      <c r="K219" s="890"/>
      <c r="L219" s="890"/>
      <c r="M219" s="890"/>
      <c r="N219" s="890"/>
      <c r="O219" s="890"/>
      <c r="P219" s="890"/>
      <c r="Q219" s="1021" t="str">
        <f>Q201</f>
        <v>______ грудня 2021 року</v>
      </c>
      <c r="R219" s="1021"/>
      <c r="S219" s="1021"/>
      <c r="T219" s="709"/>
      <c r="U219" s="709"/>
      <c r="V219" s="713"/>
      <c r="W219" s="713"/>
      <c r="X219" s="438"/>
    </row>
    <row r="220" spans="1:24" s="438" customFormat="1" ht="39.6" x14ac:dyDescent="0.65">
      <c r="A220" s="437"/>
      <c r="B220" s="1023"/>
      <c r="C220" s="1023"/>
      <c r="D220" s="1023"/>
      <c r="E220" s="1023"/>
      <c r="F220" s="1023"/>
      <c r="G220" s="1023"/>
      <c r="H220" s="1023"/>
      <c r="I220" s="1023"/>
      <c r="J220" s="1023"/>
      <c r="K220" s="1023"/>
      <c r="L220" s="1023"/>
      <c r="M220" s="1023"/>
      <c r="N220" s="1023"/>
      <c r="O220" s="1023"/>
      <c r="P220" s="1023"/>
      <c r="Q220" s="1023"/>
      <c r="R220" s="1023"/>
      <c r="S220" s="1023"/>
      <c r="T220" s="711"/>
      <c r="U220" s="711"/>
      <c r="V220" s="714"/>
      <c r="W220" s="714"/>
    </row>
    <row r="221" spans="1:24" s="438" customFormat="1" ht="39.6" x14ac:dyDescent="0.65">
      <c r="A221" s="437"/>
      <c r="B221" s="1022" t="s">
        <v>157</v>
      </c>
      <c r="C221" s="1022"/>
      <c r="D221" s="1022"/>
      <c r="E221" s="1022"/>
      <c r="F221" s="1022"/>
      <c r="G221" s="1022"/>
      <c r="H221" s="1022"/>
      <c r="I221" s="1022"/>
      <c r="J221" s="1022"/>
      <c r="K221" s="1022"/>
      <c r="L221" s="1022"/>
      <c r="M221" s="1022"/>
      <c r="N221" s="1022"/>
      <c r="O221" s="1022"/>
      <c r="P221" s="1022"/>
      <c r="Q221" s="1022"/>
      <c r="R221" s="1022"/>
      <c r="S221" s="1022"/>
      <c r="T221" s="710"/>
      <c r="U221" s="710"/>
      <c r="V221" s="714"/>
      <c r="W221" s="714"/>
    </row>
    <row r="222" spans="1:24" s="438" customFormat="1" ht="39.6" x14ac:dyDescent="0.65">
      <c r="A222" s="437"/>
      <c r="B222" s="1022" t="s">
        <v>158</v>
      </c>
      <c r="C222" s="1022"/>
      <c r="D222" s="1022"/>
      <c r="E222" s="1022"/>
      <c r="F222" s="1022"/>
      <c r="G222" s="1022"/>
      <c r="H222" s="1022"/>
      <c r="I222" s="1022"/>
      <c r="J222" s="1022"/>
      <c r="K222" s="1022"/>
      <c r="L222" s="1022"/>
      <c r="M222" s="1022"/>
      <c r="N222" s="1022"/>
      <c r="O222" s="1022"/>
      <c r="P222" s="1022"/>
      <c r="Q222" s="1022"/>
      <c r="R222" s="1022"/>
      <c r="S222" s="1022"/>
      <c r="T222" s="710"/>
      <c r="U222" s="710"/>
      <c r="V222" s="714"/>
      <c r="W222" s="714"/>
    </row>
    <row r="223" spans="1:24" s="438" customFormat="1" ht="39.6" x14ac:dyDescent="0.65">
      <c r="A223" s="437"/>
      <c r="B223" s="1022"/>
      <c r="C223" s="1022"/>
      <c r="D223" s="1022"/>
      <c r="E223" s="1022"/>
      <c r="F223" s="1022"/>
      <c r="G223" s="1022"/>
      <c r="H223" s="1022"/>
      <c r="I223" s="1022"/>
      <c r="J223" s="1022"/>
      <c r="K223" s="1022"/>
      <c r="L223" s="1022"/>
      <c r="M223" s="1022"/>
      <c r="N223" s="1022"/>
      <c r="O223" s="1022"/>
      <c r="P223" s="1022"/>
      <c r="Q223" s="1022"/>
      <c r="R223" s="1022"/>
      <c r="S223" s="1022"/>
      <c r="T223" s="710"/>
      <c r="U223" s="710"/>
      <c r="V223" s="714"/>
      <c r="W223" s="714"/>
    </row>
    <row r="224" spans="1:24" s="422" customFormat="1" ht="38.4" x14ac:dyDescent="0.7">
      <c r="A224" s="886"/>
      <c r="B224" s="439" t="s">
        <v>1185</v>
      </c>
      <c r="C224" s="439"/>
      <c r="D224" s="440" t="s">
        <v>1186</v>
      </c>
      <c r="E224" s="891"/>
      <c r="F224" s="891"/>
      <c r="G224" s="891"/>
      <c r="H224" s="891"/>
      <c r="I224" s="891"/>
      <c r="J224" s="891"/>
      <c r="K224" s="891"/>
      <c r="L224" s="891"/>
      <c r="M224" s="891"/>
      <c r="N224" s="891"/>
      <c r="O224" s="891"/>
      <c r="P224" s="891"/>
      <c r="Q224" s="441"/>
      <c r="R224" s="441"/>
      <c r="S224" s="442" t="s">
        <v>1187</v>
      </c>
      <c r="T224" s="442"/>
      <c r="U224" s="442"/>
      <c r="V224" s="718"/>
      <c r="W224" s="718"/>
      <c r="X224" s="423"/>
    </row>
    <row r="225" spans="1:24" s="424" customFormat="1" ht="37.200000000000003" x14ac:dyDescent="0.6">
      <c r="A225" s="887"/>
      <c r="B225" s="442">
        <v>4</v>
      </c>
      <c r="C225" s="442"/>
      <c r="D225" s="464" t="s">
        <v>161</v>
      </c>
      <c r="E225" s="895" t="s">
        <v>1118</v>
      </c>
      <c r="F225" s="896">
        <v>0.22</v>
      </c>
      <c r="G225" s="895" t="s">
        <v>1119</v>
      </c>
      <c r="H225" s="895" t="s">
        <v>1125</v>
      </c>
      <c r="I225" s="895" t="s">
        <v>1120</v>
      </c>
      <c r="J225" s="895" t="s">
        <v>1121</v>
      </c>
      <c r="K225" s="895" t="s">
        <v>1122</v>
      </c>
      <c r="L225" s="895" t="s">
        <v>1126</v>
      </c>
      <c r="M225" s="895" t="s">
        <v>1123</v>
      </c>
      <c r="N225" s="895" t="s">
        <v>1127</v>
      </c>
      <c r="O225" s="895"/>
      <c r="P225" s="895" t="s">
        <v>988</v>
      </c>
      <c r="Q225" s="442" t="s">
        <v>988</v>
      </c>
      <c r="R225" s="442" t="s">
        <v>1181</v>
      </c>
      <c r="S225" s="442" t="s">
        <v>1183</v>
      </c>
      <c r="T225" s="712" t="s">
        <v>494</v>
      </c>
      <c r="U225" s="448"/>
      <c r="V225" s="719"/>
      <c r="W225" s="719"/>
      <c r="X225" s="423"/>
    </row>
    <row r="226" spans="1:24" s="422" customFormat="1" ht="37.799999999999997" x14ac:dyDescent="0.65">
      <c r="A226" s="886"/>
      <c r="B226" s="443" t="s">
        <v>624</v>
      </c>
      <c r="C226" s="443"/>
      <c r="D226" s="463" t="s">
        <v>669</v>
      </c>
      <c r="E226" s="897"/>
      <c r="F226" s="897"/>
      <c r="G226" s="897"/>
      <c r="H226" s="897"/>
      <c r="I226" s="898"/>
      <c r="J226" s="897"/>
      <c r="K226" s="897"/>
      <c r="L226" s="897"/>
      <c r="M226" s="897"/>
      <c r="N226" s="898"/>
      <c r="O226" s="898"/>
      <c r="P226" s="897"/>
      <c r="Q226" s="445"/>
      <c r="R226" s="458"/>
      <c r="S226" s="446"/>
      <c r="T226" s="453"/>
      <c r="U226" s="453"/>
      <c r="V226" s="718"/>
      <c r="W226" s="718"/>
      <c r="X226" s="423"/>
    </row>
    <row r="227" spans="1:24" s="422" customFormat="1" ht="37.799999999999997" x14ac:dyDescent="0.65">
      <c r="A227" s="886"/>
      <c r="B227" s="443"/>
      <c r="C227" s="443"/>
      <c r="D227" s="463" t="s">
        <v>510</v>
      </c>
      <c r="E227" s="897">
        <f>'Перелік ціни'!D170</f>
        <v>26.05</v>
      </c>
      <c r="F227" s="897">
        <f>'Перелік ціни'!E170</f>
        <v>5.73</v>
      </c>
      <c r="G227" s="897">
        <f>'Перелік ціни'!F170</f>
        <v>18.11</v>
      </c>
      <c r="H227" s="897">
        <f>'Перелік ціни'!G170</f>
        <v>0</v>
      </c>
      <c r="I227" s="898">
        <f>SUM(E227:H227)</f>
        <v>49.89</v>
      </c>
      <c r="J227" s="897">
        <f>'Перелік ціни'!I170</f>
        <v>3.05</v>
      </c>
      <c r="K227" s="897">
        <f>'Перелік ціни'!J170</f>
        <v>0</v>
      </c>
      <c r="L227" s="897">
        <f>'Перелік ціни'!K170</f>
        <v>0</v>
      </c>
      <c r="M227" s="897">
        <f>'Перелік ціни'!L170</f>
        <v>0.4</v>
      </c>
      <c r="N227" s="898">
        <f>SUM(J227:M227)</f>
        <v>3.4499999999999997</v>
      </c>
      <c r="O227" s="898"/>
      <c r="P227" s="897">
        <f>I227+N227</f>
        <v>53.34</v>
      </c>
      <c r="Q227" s="445">
        <f>ROUND(P227,0)</f>
        <v>53</v>
      </c>
      <c r="R227" s="458"/>
      <c r="S227" s="446">
        <f>ROUND(Q227,2)</f>
        <v>53</v>
      </c>
      <c r="T227" s="453">
        <v>66</v>
      </c>
      <c r="U227" s="453">
        <f t="shared" ref="U227:U274" si="39">S227-T227</f>
        <v>-13</v>
      </c>
      <c r="V227" s="718"/>
      <c r="W227" s="718"/>
      <c r="X227" s="423"/>
    </row>
    <row r="228" spans="1:24" s="422" customFormat="1" ht="37.799999999999997" x14ac:dyDescent="0.65">
      <c r="A228" s="886"/>
      <c r="B228" s="443"/>
      <c r="C228" s="443"/>
      <c r="D228" s="463" t="s">
        <v>1128</v>
      </c>
      <c r="E228" s="897">
        <f>'Перелік ціни'!D171</f>
        <v>26.05</v>
      </c>
      <c r="F228" s="897">
        <f>'Перелік ціни'!E171</f>
        <v>5.73</v>
      </c>
      <c r="G228" s="897">
        <f>'Перелік ціни'!F171</f>
        <v>5.91</v>
      </c>
      <c r="H228" s="897">
        <f>'Перелік ціни'!G171</f>
        <v>0</v>
      </c>
      <c r="I228" s="898">
        <f>SUM(E228:H228)</f>
        <v>37.69</v>
      </c>
      <c r="J228" s="897">
        <f>'Перелік ціни'!I171</f>
        <v>3.05</v>
      </c>
      <c r="K228" s="897">
        <f>'Перелік ціни'!J171</f>
        <v>0</v>
      </c>
      <c r="L228" s="897">
        <f>'Перелік ціни'!K171</f>
        <v>0</v>
      </c>
      <c r="M228" s="897">
        <f>'Перелік ціни'!L171</f>
        <v>0.4</v>
      </c>
      <c r="N228" s="898">
        <f>SUM(J228:M228)</f>
        <v>3.4499999999999997</v>
      </c>
      <c r="O228" s="898"/>
      <c r="P228" s="897">
        <f>I228+N228</f>
        <v>41.14</v>
      </c>
      <c r="Q228" s="445">
        <f>ROUND(P228,0)</f>
        <v>41</v>
      </c>
      <c r="R228" s="458"/>
      <c r="S228" s="446">
        <f>ROUND(Q228,2)</f>
        <v>41</v>
      </c>
      <c r="T228" s="453">
        <v>39</v>
      </c>
      <c r="U228" s="453">
        <f t="shared" si="39"/>
        <v>2</v>
      </c>
      <c r="V228" s="718"/>
      <c r="W228" s="718"/>
      <c r="X228" s="423"/>
    </row>
    <row r="229" spans="1:24" s="422" customFormat="1" ht="37.799999999999997" x14ac:dyDescent="0.65">
      <c r="A229" s="886"/>
      <c r="B229" s="443" t="s">
        <v>626</v>
      </c>
      <c r="C229" s="443"/>
      <c r="D229" s="463" t="s">
        <v>671</v>
      </c>
      <c r="E229" s="897"/>
      <c r="F229" s="897"/>
      <c r="G229" s="897"/>
      <c r="H229" s="897"/>
      <c r="I229" s="898"/>
      <c r="J229" s="897"/>
      <c r="K229" s="897"/>
      <c r="L229" s="897"/>
      <c r="M229" s="897"/>
      <c r="N229" s="898"/>
      <c r="O229" s="898"/>
      <c r="P229" s="897"/>
      <c r="Q229" s="445"/>
      <c r="R229" s="458"/>
      <c r="S229" s="446"/>
      <c r="T229" s="453"/>
      <c r="U229" s="453">
        <f t="shared" si="39"/>
        <v>0</v>
      </c>
      <c r="V229" s="718"/>
      <c r="W229" s="718"/>
      <c r="X229" s="423"/>
    </row>
    <row r="230" spans="1:24" s="422" customFormat="1" ht="37.799999999999997" x14ac:dyDescent="0.65">
      <c r="A230" s="886"/>
      <c r="B230" s="443"/>
      <c r="C230" s="443"/>
      <c r="D230" s="463" t="s">
        <v>510</v>
      </c>
      <c r="E230" s="897">
        <f>'Перелік ціни'!D173</f>
        <v>26.05</v>
      </c>
      <c r="F230" s="897">
        <f>'Перелік ціни'!E173</f>
        <v>5.73</v>
      </c>
      <c r="G230" s="897">
        <f>'Перелік ціни'!F173</f>
        <v>30.31</v>
      </c>
      <c r="H230" s="897">
        <f>'Перелік ціни'!G173</f>
        <v>0</v>
      </c>
      <c r="I230" s="898">
        <f t="shared" ref="I230:I277" si="40">SUM(E230:H230)</f>
        <v>62.09</v>
      </c>
      <c r="J230" s="897">
        <f>'Перелік ціни'!I173</f>
        <v>3.05</v>
      </c>
      <c r="K230" s="897">
        <f>'Перелік ціни'!J173</f>
        <v>0</v>
      </c>
      <c r="L230" s="897">
        <f>'Перелік ціни'!K173</f>
        <v>0</v>
      </c>
      <c r="M230" s="897">
        <f>'Перелік ціни'!L173</f>
        <v>0.4</v>
      </c>
      <c r="N230" s="898">
        <f>SUM(J230:M230)</f>
        <v>3.4499999999999997</v>
      </c>
      <c r="O230" s="898"/>
      <c r="P230" s="897">
        <f>I230+N230</f>
        <v>65.540000000000006</v>
      </c>
      <c r="Q230" s="445">
        <f>ROUND(P230,0)</f>
        <v>66</v>
      </c>
      <c r="R230" s="458"/>
      <c r="S230" s="446">
        <f>ROUND(Q230,2)</f>
        <v>66</v>
      </c>
      <c r="T230" s="453">
        <v>93</v>
      </c>
      <c r="U230" s="453">
        <f t="shared" si="39"/>
        <v>-27</v>
      </c>
      <c r="V230" s="718"/>
      <c r="W230" s="718"/>
      <c r="X230" s="423"/>
    </row>
    <row r="231" spans="1:24" s="422" customFormat="1" ht="37.799999999999997" x14ac:dyDescent="0.65">
      <c r="A231" s="886"/>
      <c r="B231" s="443"/>
      <c r="C231" s="443"/>
      <c r="D231" s="463" t="s">
        <v>1128</v>
      </c>
      <c r="E231" s="897">
        <f>'Перелік ціни'!D174</f>
        <v>26.05</v>
      </c>
      <c r="F231" s="897">
        <f>'Перелік ціни'!E174</f>
        <v>5.73</v>
      </c>
      <c r="G231" s="897">
        <f>'Перелік ціни'!F174</f>
        <v>5.91</v>
      </c>
      <c r="H231" s="897">
        <f>'Перелік ціни'!G174</f>
        <v>0</v>
      </c>
      <c r="I231" s="898">
        <f t="shared" si="40"/>
        <v>37.69</v>
      </c>
      <c r="J231" s="897">
        <f>'Перелік ціни'!I174</f>
        <v>3.05</v>
      </c>
      <c r="K231" s="897">
        <f>'Перелік ціни'!J174</f>
        <v>0</v>
      </c>
      <c r="L231" s="897">
        <f>'Перелік ціни'!K174</f>
        <v>0</v>
      </c>
      <c r="M231" s="897">
        <f>'Перелік ціни'!L174</f>
        <v>0.4</v>
      </c>
      <c r="N231" s="898">
        <f>SUM(J231:M231)</f>
        <v>3.4499999999999997</v>
      </c>
      <c r="O231" s="898"/>
      <c r="P231" s="897">
        <f>I231+N231</f>
        <v>41.14</v>
      </c>
      <c r="Q231" s="445">
        <f t="shared" ref="Q231:Q286" si="41">ROUND(P231,0)</f>
        <v>41</v>
      </c>
      <c r="R231" s="458"/>
      <c r="S231" s="446">
        <f>ROUND(Q231,2)</f>
        <v>41</v>
      </c>
      <c r="T231" s="453">
        <v>39</v>
      </c>
      <c r="U231" s="453">
        <f t="shared" si="39"/>
        <v>2</v>
      </c>
      <c r="V231" s="718"/>
      <c r="W231" s="718"/>
      <c r="X231" s="423"/>
    </row>
    <row r="232" spans="1:24" s="422" customFormat="1" ht="37.799999999999997" x14ac:dyDescent="0.65">
      <c r="A232" s="886"/>
      <c r="B232" s="443" t="s">
        <v>628</v>
      </c>
      <c r="C232" s="443"/>
      <c r="D232" s="463" t="s">
        <v>673</v>
      </c>
      <c r="E232" s="897"/>
      <c r="F232" s="897"/>
      <c r="G232" s="897"/>
      <c r="H232" s="897"/>
      <c r="I232" s="898"/>
      <c r="J232" s="897"/>
      <c r="K232" s="897"/>
      <c r="L232" s="897"/>
      <c r="M232" s="897"/>
      <c r="N232" s="898"/>
      <c r="O232" s="898"/>
      <c r="P232" s="897"/>
      <c r="Q232" s="445"/>
      <c r="R232" s="458"/>
      <c r="S232" s="446"/>
      <c r="T232" s="453"/>
      <c r="U232" s="453">
        <f t="shared" si="39"/>
        <v>0</v>
      </c>
      <c r="V232" s="718"/>
      <c r="W232" s="718"/>
      <c r="X232" s="423"/>
    </row>
    <row r="233" spans="1:24" s="422" customFormat="1" ht="37.799999999999997" x14ac:dyDescent="0.65">
      <c r="A233" s="886"/>
      <c r="B233" s="443"/>
      <c r="C233" s="443"/>
      <c r="D233" s="463" t="s">
        <v>510</v>
      </c>
      <c r="E233" s="897">
        <f>'Перелік ціни'!D176</f>
        <v>26.05</v>
      </c>
      <c r="F233" s="897">
        <f>'Перелік ціни'!E176</f>
        <v>5.73</v>
      </c>
      <c r="G233" s="897">
        <f>'Перелік ціни'!F176</f>
        <v>18.11</v>
      </c>
      <c r="H233" s="897">
        <f>'Перелік ціни'!G176</f>
        <v>0</v>
      </c>
      <c r="I233" s="898">
        <f t="shared" si="40"/>
        <v>49.89</v>
      </c>
      <c r="J233" s="897">
        <f>'Перелік ціни'!I176</f>
        <v>3.05</v>
      </c>
      <c r="K233" s="897">
        <f>'Перелік ціни'!J176</f>
        <v>0</v>
      </c>
      <c r="L233" s="897">
        <f>'Перелік ціни'!K176</f>
        <v>0</v>
      </c>
      <c r="M233" s="897">
        <f>'Перелік ціни'!L176</f>
        <v>0.4</v>
      </c>
      <c r="N233" s="898">
        <f>SUM(J233:M233)</f>
        <v>3.4499999999999997</v>
      </c>
      <c r="O233" s="898"/>
      <c r="P233" s="897">
        <f>I233+N233</f>
        <v>53.34</v>
      </c>
      <c r="Q233" s="445">
        <f t="shared" si="41"/>
        <v>53</v>
      </c>
      <c r="R233" s="458"/>
      <c r="S233" s="446">
        <f>ROUND(Q233,2)</f>
        <v>53</v>
      </c>
      <c r="T233" s="453">
        <v>79</v>
      </c>
      <c r="U233" s="453">
        <f t="shared" si="39"/>
        <v>-26</v>
      </c>
      <c r="V233" s="718"/>
      <c r="W233" s="718"/>
      <c r="X233" s="423"/>
    </row>
    <row r="234" spans="1:24" s="422" customFormat="1" ht="37.799999999999997" x14ac:dyDescent="0.65">
      <c r="A234" s="886"/>
      <c r="B234" s="443"/>
      <c r="C234" s="443"/>
      <c r="D234" s="463" t="s">
        <v>1128</v>
      </c>
      <c r="E234" s="897">
        <f>'Перелік ціни'!D177</f>
        <v>26.05</v>
      </c>
      <c r="F234" s="897">
        <f>'Перелік ціни'!E177</f>
        <v>5.73</v>
      </c>
      <c r="G234" s="897">
        <f>'Перелік ціни'!F177</f>
        <v>5.91</v>
      </c>
      <c r="H234" s="897">
        <f>'Перелік ціни'!G177</f>
        <v>0</v>
      </c>
      <c r="I234" s="898">
        <f t="shared" si="40"/>
        <v>37.69</v>
      </c>
      <c r="J234" s="897">
        <f>'Перелік ціни'!I177</f>
        <v>3.05</v>
      </c>
      <c r="K234" s="897">
        <f>'Перелік ціни'!J177</f>
        <v>0</v>
      </c>
      <c r="L234" s="897">
        <f>'Перелік ціни'!K177</f>
        <v>0</v>
      </c>
      <c r="M234" s="897">
        <f>'Перелік ціни'!L177</f>
        <v>0.4</v>
      </c>
      <c r="N234" s="898">
        <f>SUM(J234:M234)</f>
        <v>3.4499999999999997</v>
      </c>
      <c r="O234" s="898"/>
      <c r="P234" s="897">
        <f>I234+N234</f>
        <v>41.14</v>
      </c>
      <c r="Q234" s="445">
        <f t="shared" si="41"/>
        <v>41</v>
      </c>
      <c r="R234" s="458"/>
      <c r="S234" s="446">
        <f>ROUND(Q234,2)</f>
        <v>41</v>
      </c>
      <c r="T234" s="453">
        <v>39</v>
      </c>
      <c r="U234" s="453">
        <f t="shared" si="39"/>
        <v>2</v>
      </c>
      <c r="V234" s="718"/>
      <c r="W234" s="718"/>
      <c r="X234" s="423"/>
    </row>
    <row r="235" spans="1:24" s="422" customFormat="1" ht="37.799999999999997" x14ac:dyDescent="0.65">
      <c r="A235" s="886"/>
      <c r="B235" s="443" t="s">
        <v>630</v>
      </c>
      <c r="C235" s="443"/>
      <c r="D235" s="463" t="s">
        <v>675</v>
      </c>
      <c r="E235" s="897"/>
      <c r="F235" s="897"/>
      <c r="G235" s="897"/>
      <c r="H235" s="897"/>
      <c r="I235" s="898"/>
      <c r="J235" s="897"/>
      <c r="K235" s="897"/>
      <c r="L235" s="897"/>
      <c r="M235" s="897"/>
      <c r="N235" s="898"/>
      <c r="O235" s="898"/>
      <c r="P235" s="897"/>
      <c r="Q235" s="445"/>
      <c r="R235" s="458"/>
      <c r="S235" s="446"/>
      <c r="T235" s="453"/>
      <c r="U235" s="453">
        <f t="shared" si="39"/>
        <v>0</v>
      </c>
      <c r="V235" s="718"/>
      <c r="W235" s="718"/>
      <c r="X235" s="423"/>
    </row>
    <row r="236" spans="1:24" s="422" customFormat="1" ht="37.799999999999997" x14ac:dyDescent="0.65">
      <c r="A236" s="886"/>
      <c r="B236" s="443"/>
      <c r="C236" s="443"/>
      <c r="D236" s="463" t="s">
        <v>510</v>
      </c>
      <c r="E236" s="897">
        <f>'Перелік ціни'!D179</f>
        <v>26.05</v>
      </c>
      <c r="F236" s="897">
        <f>'Перелік ціни'!E179</f>
        <v>5.73</v>
      </c>
      <c r="G236" s="897">
        <f>'Перелік ціни'!F179</f>
        <v>30.31</v>
      </c>
      <c r="H236" s="897">
        <f>'Перелік ціни'!G179</f>
        <v>0</v>
      </c>
      <c r="I236" s="898">
        <f t="shared" si="40"/>
        <v>62.09</v>
      </c>
      <c r="J236" s="897">
        <f>'Перелік ціни'!I179</f>
        <v>3.05</v>
      </c>
      <c r="K236" s="897">
        <f>'Перелік ціни'!J179</f>
        <v>0</v>
      </c>
      <c r="L236" s="897">
        <f>'Перелік ціни'!K179</f>
        <v>0</v>
      </c>
      <c r="M236" s="897">
        <f>'Перелік ціни'!L179</f>
        <v>0.4</v>
      </c>
      <c r="N236" s="898">
        <f>SUM(J236:M236)</f>
        <v>3.4499999999999997</v>
      </c>
      <c r="O236" s="898"/>
      <c r="P236" s="897">
        <f>I236+N236</f>
        <v>65.540000000000006</v>
      </c>
      <c r="Q236" s="445">
        <f t="shared" si="41"/>
        <v>66</v>
      </c>
      <c r="R236" s="458"/>
      <c r="S236" s="446">
        <f>ROUND(Q236,2)</f>
        <v>66</v>
      </c>
      <c r="T236" s="453">
        <v>119</v>
      </c>
      <c r="U236" s="453">
        <f t="shared" si="39"/>
        <v>-53</v>
      </c>
      <c r="V236" s="718"/>
      <c r="W236" s="718"/>
      <c r="X236" s="423"/>
    </row>
    <row r="237" spans="1:24" s="422" customFormat="1" ht="37.799999999999997" x14ac:dyDescent="0.65">
      <c r="A237" s="886"/>
      <c r="B237" s="443"/>
      <c r="C237" s="443"/>
      <c r="D237" s="463" t="s">
        <v>1128</v>
      </c>
      <c r="E237" s="897">
        <f>'Перелік ціни'!D180</f>
        <v>26.05</v>
      </c>
      <c r="F237" s="897">
        <f>'Перелік ціни'!E180</f>
        <v>5.73</v>
      </c>
      <c r="G237" s="897">
        <f>'Перелік ціни'!F180</f>
        <v>5.91</v>
      </c>
      <c r="H237" s="897">
        <f>'Перелік ціни'!G180</f>
        <v>0</v>
      </c>
      <c r="I237" s="898">
        <f t="shared" si="40"/>
        <v>37.69</v>
      </c>
      <c r="J237" s="897">
        <f>'Перелік ціни'!I180</f>
        <v>3.05</v>
      </c>
      <c r="K237" s="897">
        <f>'Перелік ціни'!J180</f>
        <v>0</v>
      </c>
      <c r="L237" s="897">
        <f>'Перелік ціни'!K180</f>
        <v>0</v>
      </c>
      <c r="M237" s="897">
        <f>'Перелік ціни'!L180</f>
        <v>0.4</v>
      </c>
      <c r="N237" s="898">
        <f>SUM(J237:M237)</f>
        <v>3.4499999999999997</v>
      </c>
      <c r="O237" s="898"/>
      <c r="P237" s="897">
        <f>I237+N237</f>
        <v>41.14</v>
      </c>
      <c r="Q237" s="445">
        <f t="shared" si="41"/>
        <v>41</v>
      </c>
      <c r="R237" s="458"/>
      <c r="S237" s="446">
        <f>ROUND(Q237,2)</f>
        <v>41</v>
      </c>
      <c r="T237" s="453">
        <v>39</v>
      </c>
      <c r="U237" s="453">
        <f t="shared" si="39"/>
        <v>2</v>
      </c>
      <c r="V237" s="718"/>
      <c r="W237" s="718"/>
      <c r="X237" s="423"/>
    </row>
    <row r="238" spans="1:24" s="422" customFormat="1" ht="37.799999999999997" x14ac:dyDescent="0.65">
      <c r="A238" s="886"/>
      <c r="B238" s="443" t="s">
        <v>632</v>
      </c>
      <c r="C238" s="443"/>
      <c r="D238" s="463" t="s">
        <v>677</v>
      </c>
      <c r="E238" s="897"/>
      <c r="F238" s="897"/>
      <c r="G238" s="897"/>
      <c r="H238" s="897"/>
      <c r="I238" s="898"/>
      <c r="J238" s="897"/>
      <c r="K238" s="897"/>
      <c r="L238" s="897"/>
      <c r="M238" s="897"/>
      <c r="N238" s="898"/>
      <c r="O238" s="898"/>
      <c r="P238" s="897"/>
      <c r="Q238" s="445"/>
      <c r="R238" s="458"/>
      <c r="S238" s="446"/>
      <c r="T238" s="453"/>
      <c r="U238" s="453">
        <f t="shared" si="39"/>
        <v>0</v>
      </c>
      <c r="V238" s="718"/>
      <c r="W238" s="718"/>
      <c r="X238" s="423"/>
    </row>
    <row r="239" spans="1:24" s="422" customFormat="1" ht="37.799999999999997" x14ac:dyDescent="0.65">
      <c r="A239" s="886"/>
      <c r="B239" s="443"/>
      <c r="C239" s="443"/>
      <c r="D239" s="463" t="s">
        <v>509</v>
      </c>
      <c r="E239" s="897">
        <f>'Перелік ціни'!D182</f>
        <v>26.05</v>
      </c>
      <c r="F239" s="897">
        <f>'Перелік ціни'!E182</f>
        <v>5.73</v>
      </c>
      <c r="G239" s="897">
        <f>'Перелік ціни'!F182</f>
        <v>13.509999999999998</v>
      </c>
      <c r="H239" s="897">
        <f>'Перелік ціни'!G182</f>
        <v>0</v>
      </c>
      <c r="I239" s="898">
        <f t="shared" si="40"/>
        <v>45.29</v>
      </c>
      <c r="J239" s="897">
        <f>'Перелік ціни'!I182</f>
        <v>3.05</v>
      </c>
      <c r="K239" s="897">
        <f>'Перелік ціни'!J182</f>
        <v>0</v>
      </c>
      <c r="L239" s="897">
        <f>'Перелік ціни'!K182</f>
        <v>0</v>
      </c>
      <c r="M239" s="897">
        <f>'Перелік ціни'!L182</f>
        <v>0.4</v>
      </c>
      <c r="N239" s="898">
        <f>SUM(J239:M239)</f>
        <v>3.4499999999999997</v>
      </c>
      <c r="O239" s="898"/>
      <c r="P239" s="897">
        <f>I239+N239</f>
        <v>48.74</v>
      </c>
      <c r="Q239" s="445">
        <f t="shared" si="41"/>
        <v>49</v>
      </c>
      <c r="R239" s="458"/>
      <c r="S239" s="446">
        <f>ROUND(Q239,2)</f>
        <v>49</v>
      </c>
      <c r="T239" s="453">
        <v>79</v>
      </c>
      <c r="U239" s="453">
        <f t="shared" si="39"/>
        <v>-30</v>
      </c>
      <c r="V239" s="718"/>
      <c r="W239" s="718"/>
      <c r="X239" s="423"/>
    </row>
    <row r="240" spans="1:24" s="422" customFormat="1" ht="37.799999999999997" x14ac:dyDescent="0.65">
      <c r="A240" s="886"/>
      <c r="B240" s="443"/>
      <c r="C240" s="443"/>
      <c r="D240" s="463" t="s">
        <v>1128</v>
      </c>
      <c r="E240" s="897">
        <f>'Перелік ціни'!D183</f>
        <v>26.05</v>
      </c>
      <c r="F240" s="897">
        <f>'Перелік ціни'!E183</f>
        <v>5.73</v>
      </c>
      <c r="G240" s="897">
        <f>'Перелік ціни'!F183</f>
        <v>5.91</v>
      </c>
      <c r="H240" s="897">
        <f>'Перелік ціни'!G183</f>
        <v>0</v>
      </c>
      <c r="I240" s="898">
        <f t="shared" si="40"/>
        <v>37.69</v>
      </c>
      <c r="J240" s="897">
        <f>'Перелік ціни'!I183</f>
        <v>3.05</v>
      </c>
      <c r="K240" s="897">
        <f>'Перелік ціни'!J183</f>
        <v>0</v>
      </c>
      <c r="L240" s="897">
        <f>'Перелік ціни'!K183</f>
        <v>0</v>
      </c>
      <c r="M240" s="897">
        <f>'Перелік ціни'!L183</f>
        <v>0.4</v>
      </c>
      <c r="N240" s="898">
        <f>SUM(J240:M240)</f>
        <v>3.4499999999999997</v>
      </c>
      <c r="O240" s="898"/>
      <c r="P240" s="897">
        <f>I240+N240</f>
        <v>41.14</v>
      </c>
      <c r="Q240" s="445">
        <f t="shared" si="41"/>
        <v>41</v>
      </c>
      <c r="R240" s="458"/>
      <c r="S240" s="446">
        <f>ROUND(Q240,2)</f>
        <v>41</v>
      </c>
      <c r="T240" s="453">
        <v>39</v>
      </c>
      <c r="U240" s="453">
        <f t="shared" si="39"/>
        <v>2</v>
      </c>
      <c r="V240" s="718"/>
      <c r="W240" s="718"/>
      <c r="X240" s="423"/>
    </row>
    <row r="241" spans="1:24" s="422" customFormat="1" ht="37.799999999999997" x14ac:dyDescent="0.65">
      <c r="A241" s="886"/>
      <c r="B241" s="443" t="s">
        <v>634</v>
      </c>
      <c r="C241" s="443"/>
      <c r="D241" s="463" t="s">
        <v>679</v>
      </c>
      <c r="E241" s="897"/>
      <c r="F241" s="897"/>
      <c r="G241" s="897"/>
      <c r="H241" s="897"/>
      <c r="I241" s="898"/>
      <c r="J241" s="897"/>
      <c r="K241" s="897"/>
      <c r="L241" s="897"/>
      <c r="M241" s="897"/>
      <c r="N241" s="898"/>
      <c r="O241" s="898"/>
      <c r="P241" s="897"/>
      <c r="Q241" s="445"/>
      <c r="R241" s="458"/>
      <c r="S241" s="446"/>
      <c r="T241" s="453"/>
      <c r="U241" s="453">
        <f t="shared" si="39"/>
        <v>0</v>
      </c>
      <c r="V241" s="718"/>
      <c r="W241" s="718"/>
      <c r="X241" s="423"/>
    </row>
    <row r="242" spans="1:24" s="422" customFormat="1" ht="37.799999999999997" x14ac:dyDescent="0.65">
      <c r="A242" s="886"/>
      <c r="B242" s="443"/>
      <c r="C242" s="443"/>
      <c r="D242" s="463" t="s">
        <v>509</v>
      </c>
      <c r="E242" s="897">
        <f>'Перелік ціни'!D185</f>
        <v>26.05</v>
      </c>
      <c r="F242" s="897">
        <f>'Перелік ціни'!E185</f>
        <v>5.73</v>
      </c>
      <c r="G242" s="897">
        <f>'Перелік ціни'!F185</f>
        <v>21.110000000000003</v>
      </c>
      <c r="H242" s="897">
        <f>'Перелік ціни'!G185</f>
        <v>0</v>
      </c>
      <c r="I242" s="898">
        <f t="shared" si="40"/>
        <v>52.89</v>
      </c>
      <c r="J242" s="897">
        <f>'Перелік ціни'!I185</f>
        <v>3.05</v>
      </c>
      <c r="K242" s="897">
        <f>'Перелік ціни'!J185</f>
        <v>0</v>
      </c>
      <c r="L242" s="897">
        <f>'Перелік ціни'!K185</f>
        <v>0</v>
      </c>
      <c r="M242" s="897">
        <f>'Перелік ціни'!L185</f>
        <v>0.4</v>
      </c>
      <c r="N242" s="898">
        <f>SUM(J242:M242)</f>
        <v>3.4499999999999997</v>
      </c>
      <c r="O242" s="898"/>
      <c r="P242" s="897">
        <f>I242+N242</f>
        <v>56.34</v>
      </c>
      <c r="Q242" s="445">
        <f t="shared" si="41"/>
        <v>56</v>
      </c>
      <c r="R242" s="458"/>
      <c r="S242" s="446">
        <f>ROUND(Q242,2)</f>
        <v>56</v>
      </c>
      <c r="T242" s="453">
        <v>119</v>
      </c>
      <c r="U242" s="453">
        <f t="shared" si="39"/>
        <v>-63</v>
      </c>
      <c r="V242" s="718"/>
      <c r="W242" s="718"/>
      <c r="X242" s="423"/>
    </row>
    <row r="243" spans="1:24" s="422" customFormat="1" ht="37.799999999999997" x14ac:dyDescent="0.65">
      <c r="A243" s="886"/>
      <c r="B243" s="443"/>
      <c r="C243" s="443"/>
      <c r="D243" s="463" t="s">
        <v>1128</v>
      </c>
      <c r="E243" s="897">
        <f>'Перелік ціни'!D186</f>
        <v>26.05</v>
      </c>
      <c r="F243" s="897">
        <f>'Перелік ціни'!E186</f>
        <v>5.73</v>
      </c>
      <c r="G243" s="897">
        <f>'Перелік ціни'!F186</f>
        <v>5.91</v>
      </c>
      <c r="H243" s="897">
        <f>'Перелік ціни'!G186</f>
        <v>0</v>
      </c>
      <c r="I243" s="898">
        <f t="shared" si="40"/>
        <v>37.69</v>
      </c>
      <c r="J243" s="897">
        <f>'Перелік ціни'!I186</f>
        <v>3.05</v>
      </c>
      <c r="K243" s="897">
        <f>'Перелік ціни'!J186</f>
        <v>0</v>
      </c>
      <c r="L243" s="897">
        <f>'Перелік ціни'!K186</f>
        <v>0</v>
      </c>
      <c r="M243" s="897">
        <f>'Перелік ціни'!L186</f>
        <v>0.4</v>
      </c>
      <c r="N243" s="898">
        <f>SUM(J243:M243)</f>
        <v>3.4499999999999997</v>
      </c>
      <c r="O243" s="898"/>
      <c r="P243" s="897">
        <f>I243+N243</f>
        <v>41.14</v>
      </c>
      <c r="Q243" s="445">
        <f t="shared" si="41"/>
        <v>41</v>
      </c>
      <c r="R243" s="458"/>
      <c r="S243" s="446">
        <f>ROUND(Q243,2)</f>
        <v>41</v>
      </c>
      <c r="T243" s="453">
        <v>39</v>
      </c>
      <c r="U243" s="453">
        <f t="shared" si="39"/>
        <v>2</v>
      </c>
      <c r="V243" s="718"/>
      <c r="W243" s="718"/>
      <c r="X243" s="423"/>
    </row>
    <row r="244" spans="1:24" s="422" customFormat="1" ht="37.799999999999997" x14ac:dyDescent="0.65">
      <c r="A244" s="886"/>
      <c r="B244" s="443" t="s">
        <v>636</v>
      </c>
      <c r="C244" s="443"/>
      <c r="D244" s="463" t="s">
        <v>681</v>
      </c>
      <c r="E244" s="897"/>
      <c r="F244" s="897"/>
      <c r="G244" s="897"/>
      <c r="H244" s="897"/>
      <c r="I244" s="898"/>
      <c r="J244" s="897"/>
      <c r="K244" s="897"/>
      <c r="L244" s="897"/>
      <c r="M244" s="897"/>
      <c r="N244" s="898"/>
      <c r="O244" s="898"/>
      <c r="P244" s="897"/>
      <c r="Q244" s="445"/>
      <c r="R244" s="458"/>
      <c r="S244" s="446"/>
      <c r="T244" s="453"/>
      <c r="U244" s="453">
        <f t="shared" si="39"/>
        <v>0</v>
      </c>
      <c r="V244" s="718"/>
      <c r="W244" s="718"/>
      <c r="X244" s="423"/>
    </row>
    <row r="245" spans="1:24" s="422" customFormat="1" ht="37.799999999999997" x14ac:dyDescent="0.65">
      <c r="A245" s="886"/>
      <c r="B245" s="443"/>
      <c r="C245" s="443"/>
      <c r="D245" s="463" t="s">
        <v>217</v>
      </c>
      <c r="E245" s="897">
        <f>'Перелік ціни'!D188</f>
        <v>26.05</v>
      </c>
      <c r="F245" s="897">
        <f>'Перелік ціни'!E188</f>
        <v>5.73</v>
      </c>
      <c r="G245" s="897">
        <f>'Перелік ціни'!F188</f>
        <v>9.8099999999999987</v>
      </c>
      <c r="H245" s="897">
        <f>'Перелік ціни'!G188</f>
        <v>0</v>
      </c>
      <c r="I245" s="898">
        <f t="shared" si="40"/>
        <v>41.59</v>
      </c>
      <c r="J245" s="897">
        <f>'Перелік ціни'!I188</f>
        <v>3.05</v>
      </c>
      <c r="K245" s="897">
        <f>'Перелік ціни'!J188</f>
        <v>0</v>
      </c>
      <c r="L245" s="897">
        <f>'Перелік ціни'!K188</f>
        <v>0</v>
      </c>
      <c r="M245" s="897">
        <f>'Перелік ціни'!L188</f>
        <v>0.4</v>
      </c>
      <c r="N245" s="898">
        <f>SUM(J245:M245)</f>
        <v>3.4499999999999997</v>
      </c>
      <c r="O245" s="898"/>
      <c r="P245" s="897">
        <f>I245+N245</f>
        <v>45.040000000000006</v>
      </c>
      <c r="Q245" s="445">
        <f t="shared" si="41"/>
        <v>45</v>
      </c>
      <c r="R245" s="457"/>
      <c r="S245" s="446">
        <f>ROUND(Q245,2)</f>
        <v>45</v>
      </c>
      <c r="T245" s="453">
        <v>93</v>
      </c>
      <c r="U245" s="453">
        <f t="shared" si="39"/>
        <v>-48</v>
      </c>
      <c r="V245" s="718"/>
      <c r="W245" s="718"/>
      <c r="X245" s="423"/>
    </row>
    <row r="246" spans="1:24" s="422" customFormat="1" ht="37.799999999999997" x14ac:dyDescent="0.65">
      <c r="A246" s="886"/>
      <c r="B246" s="443"/>
      <c r="C246" s="443"/>
      <c r="D246" s="463" t="s">
        <v>1128</v>
      </c>
      <c r="E246" s="897">
        <f>'Перелік ціни'!D189</f>
        <v>26.05</v>
      </c>
      <c r="F246" s="897">
        <f>'Перелік ціни'!E189</f>
        <v>5.73</v>
      </c>
      <c r="G246" s="897">
        <f>'Перелік ціни'!F189</f>
        <v>5.91</v>
      </c>
      <c r="H246" s="897">
        <f>'Перелік ціни'!G189</f>
        <v>0</v>
      </c>
      <c r="I246" s="898">
        <f t="shared" si="40"/>
        <v>37.69</v>
      </c>
      <c r="J246" s="897">
        <f>'Перелік ціни'!I189</f>
        <v>3.05</v>
      </c>
      <c r="K246" s="897">
        <f>'Перелік ціни'!J189</f>
        <v>0</v>
      </c>
      <c r="L246" s="897">
        <f>'Перелік ціни'!K189</f>
        <v>0</v>
      </c>
      <c r="M246" s="897">
        <f>'Перелік ціни'!L189</f>
        <v>0.4</v>
      </c>
      <c r="N246" s="898">
        <f>SUM(J246:M246)</f>
        <v>3.4499999999999997</v>
      </c>
      <c r="O246" s="898"/>
      <c r="P246" s="897">
        <f>I246+N246</f>
        <v>41.14</v>
      </c>
      <c r="Q246" s="445">
        <f t="shared" si="41"/>
        <v>41</v>
      </c>
      <c r="R246" s="457"/>
      <c r="S246" s="446">
        <f>ROUND(Q246,2)</f>
        <v>41</v>
      </c>
      <c r="T246" s="453">
        <v>39</v>
      </c>
      <c r="U246" s="453">
        <f t="shared" si="39"/>
        <v>2</v>
      </c>
      <c r="V246" s="718"/>
      <c r="W246" s="718"/>
      <c r="X246" s="423"/>
    </row>
    <row r="247" spans="1:24" s="422" customFormat="1" ht="37.799999999999997" x14ac:dyDescent="0.65">
      <c r="A247" s="886"/>
      <c r="B247" s="443" t="s">
        <v>638</v>
      </c>
      <c r="C247" s="443"/>
      <c r="D247" s="463" t="s">
        <v>683</v>
      </c>
      <c r="E247" s="897"/>
      <c r="F247" s="897"/>
      <c r="G247" s="897"/>
      <c r="H247" s="897"/>
      <c r="I247" s="898"/>
      <c r="J247" s="897"/>
      <c r="K247" s="897"/>
      <c r="L247" s="897"/>
      <c r="M247" s="897"/>
      <c r="N247" s="898"/>
      <c r="O247" s="898"/>
      <c r="P247" s="897"/>
      <c r="Q247" s="445"/>
      <c r="R247" s="457"/>
      <c r="S247" s="446"/>
      <c r="T247" s="453"/>
      <c r="U247" s="453">
        <f t="shared" si="39"/>
        <v>0</v>
      </c>
      <c r="V247" s="718"/>
      <c r="W247" s="718"/>
      <c r="X247" s="423"/>
    </row>
    <row r="248" spans="1:24" s="422" customFormat="1" ht="37.799999999999997" x14ac:dyDescent="0.65">
      <c r="A248" s="886"/>
      <c r="B248" s="443"/>
      <c r="C248" s="443"/>
      <c r="D248" s="463" t="s">
        <v>217</v>
      </c>
      <c r="E248" s="897">
        <f>'Перелік ціни'!D191</f>
        <v>26.05</v>
      </c>
      <c r="F248" s="897">
        <f>'Перелік ціни'!E191</f>
        <v>5.73</v>
      </c>
      <c r="G248" s="897">
        <f>'Перелік ціни'!F191</f>
        <v>9.8099999999999987</v>
      </c>
      <c r="H248" s="897">
        <f>'Перелік ціни'!G191</f>
        <v>0</v>
      </c>
      <c r="I248" s="898">
        <f t="shared" si="40"/>
        <v>41.59</v>
      </c>
      <c r="J248" s="897">
        <f>'Перелік ціни'!I191</f>
        <v>3.05</v>
      </c>
      <c r="K248" s="897">
        <f>'Перелік ціни'!J191</f>
        <v>0</v>
      </c>
      <c r="L248" s="897">
        <f>'Перелік ціни'!K191</f>
        <v>0</v>
      </c>
      <c r="M248" s="897">
        <f>'Перелік ціни'!L191</f>
        <v>0.4</v>
      </c>
      <c r="N248" s="898">
        <f>SUM(J248:M248)</f>
        <v>3.4499999999999997</v>
      </c>
      <c r="O248" s="898"/>
      <c r="P248" s="897">
        <f>I248+N248</f>
        <v>45.040000000000006</v>
      </c>
      <c r="Q248" s="445">
        <f t="shared" si="41"/>
        <v>45</v>
      </c>
      <c r="R248" s="457"/>
      <c r="S248" s="446">
        <f>ROUND(Q248,2)</f>
        <v>45</v>
      </c>
      <c r="T248" s="453">
        <v>93</v>
      </c>
      <c r="U248" s="453">
        <f t="shared" si="39"/>
        <v>-48</v>
      </c>
      <c r="V248" s="718"/>
      <c r="W248" s="718"/>
      <c r="X248" s="423"/>
    </row>
    <row r="249" spans="1:24" s="422" customFormat="1" ht="37.799999999999997" x14ac:dyDescent="0.65">
      <c r="A249" s="886"/>
      <c r="B249" s="443"/>
      <c r="C249" s="443"/>
      <c r="D249" s="463" t="s">
        <v>1128</v>
      </c>
      <c r="E249" s="897">
        <f>'Перелік ціни'!D192</f>
        <v>26.05</v>
      </c>
      <c r="F249" s="897">
        <f>'Перелік ціни'!E192</f>
        <v>5.73</v>
      </c>
      <c r="G249" s="897">
        <f>'Перелік ціни'!F192</f>
        <v>5.91</v>
      </c>
      <c r="H249" s="897">
        <f>'Перелік ціни'!G192</f>
        <v>0</v>
      </c>
      <c r="I249" s="898">
        <f t="shared" si="40"/>
        <v>37.69</v>
      </c>
      <c r="J249" s="897">
        <f>'Перелік ціни'!I192</f>
        <v>3.05</v>
      </c>
      <c r="K249" s="897">
        <f>'Перелік ціни'!J192</f>
        <v>0</v>
      </c>
      <c r="L249" s="897">
        <f>'Перелік ціни'!K192</f>
        <v>0</v>
      </c>
      <c r="M249" s="897">
        <f>'Перелік ціни'!L192</f>
        <v>0.4</v>
      </c>
      <c r="N249" s="898">
        <f>SUM(J249:M249)</f>
        <v>3.4499999999999997</v>
      </c>
      <c r="O249" s="898"/>
      <c r="P249" s="897">
        <f>I249+N249</f>
        <v>41.14</v>
      </c>
      <c r="Q249" s="445">
        <f t="shared" si="41"/>
        <v>41</v>
      </c>
      <c r="R249" s="457"/>
      <c r="S249" s="446">
        <f>ROUND(Q249,2)</f>
        <v>41</v>
      </c>
      <c r="T249" s="453">
        <v>39</v>
      </c>
      <c r="U249" s="453">
        <f t="shared" si="39"/>
        <v>2</v>
      </c>
      <c r="V249" s="718"/>
      <c r="W249" s="718"/>
      <c r="X249" s="423"/>
    </row>
    <row r="250" spans="1:24" s="422" customFormat="1" ht="37.799999999999997" x14ac:dyDescent="0.65">
      <c r="A250" s="886"/>
      <c r="B250" s="443"/>
      <c r="C250" s="443"/>
      <c r="D250" s="463"/>
      <c r="E250" s="897"/>
      <c r="F250" s="897"/>
      <c r="G250" s="897"/>
      <c r="H250" s="897"/>
      <c r="I250" s="898"/>
      <c r="J250" s="897"/>
      <c r="K250" s="897"/>
      <c r="L250" s="897"/>
      <c r="M250" s="897"/>
      <c r="N250" s="898"/>
      <c r="O250" s="898"/>
      <c r="P250" s="897"/>
      <c r="Q250" s="445"/>
      <c r="R250" s="457"/>
      <c r="S250" s="446"/>
      <c r="T250" s="453"/>
      <c r="U250" s="453">
        <f t="shared" si="39"/>
        <v>0</v>
      </c>
      <c r="V250" s="718"/>
      <c r="W250" s="718"/>
      <c r="X250" s="423"/>
    </row>
    <row r="251" spans="1:24" s="422" customFormat="1" ht="37.799999999999997" x14ac:dyDescent="0.65">
      <c r="A251" s="886"/>
      <c r="B251" s="443" t="s">
        <v>640</v>
      </c>
      <c r="C251" s="443"/>
      <c r="D251" s="463" t="s">
        <v>685</v>
      </c>
      <c r="E251" s="897">
        <f>'Перелік ціни'!D194</f>
        <v>20.6</v>
      </c>
      <c r="F251" s="897">
        <f>'Перелік ціни'!E194</f>
        <v>4.53</v>
      </c>
      <c r="G251" s="897">
        <f>'Перелік ціни'!F194</f>
        <v>5.91</v>
      </c>
      <c r="H251" s="897">
        <f>'Перелік ціни'!G194</f>
        <v>0</v>
      </c>
      <c r="I251" s="898">
        <f t="shared" si="40"/>
        <v>31.040000000000003</v>
      </c>
      <c r="J251" s="897">
        <f>'Перелік ціни'!I194</f>
        <v>2.4000000000000004</v>
      </c>
      <c r="K251" s="897">
        <f>'Перелік ціни'!J194</f>
        <v>0</v>
      </c>
      <c r="L251" s="897">
        <f>'Перелік ціни'!K194</f>
        <v>0</v>
      </c>
      <c r="M251" s="897">
        <f>'Перелік ціни'!L194</f>
        <v>0.30000000000000004</v>
      </c>
      <c r="N251" s="898">
        <f>SUM(J251:M251)</f>
        <v>2.7</v>
      </c>
      <c r="O251" s="898"/>
      <c r="P251" s="897">
        <f>I251+N251</f>
        <v>33.74</v>
      </c>
      <c r="Q251" s="445">
        <f t="shared" si="41"/>
        <v>34</v>
      </c>
      <c r="R251" s="457"/>
      <c r="S251" s="446">
        <f>ROUND(Q251,2)</f>
        <v>34</v>
      </c>
      <c r="T251" s="453">
        <v>32</v>
      </c>
      <c r="U251" s="453">
        <f t="shared" si="39"/>
        <v>2</v>
      </c>
      <c r="V251" s="718"/>
      <c r="W251" s="718"/>
      <c r="X251" s="423"/>
    </row>
    <row r="252" spans="1:24" s="422" customFormat="1" ht="37.799999999999997" x14ac:dyDescent="0.65">
      <c r="A252" s="886"/>
      <c r="B252" s="443" t="s">
        <v>642</v>
      </c>
      <c r="C252" s="443"/>
      <c r="D252" s="463" t="s">
        <v>687</v>
      </c>
      <c r="E252" s="897"/>
      <c r="F252" s="897"/>
      <c r="G252" s="897"/>
      <c r="H252" s="897"/>
      <c r="I252" s="898"/>
      <c r="J252" s="897"/>
      <c r="K252" s="897"/>
      <c r="L252" s="897"/>
      <c r="M252" s="897"/>
      <c r="N252" s="898"/>
      <c r="O252" s="898"/>
      <c r="P252" s="897"/>
      <c r="Q252" s="445"/>
      <c r="R252" s="457"/>
      <c r="S252" s="446"/>
      <c r="T252" s="453"/>
      <c r="U252" s="453">
        <f t="shared" si="39"/>
        <v>0</v>
      </c>
      <c r="V252" s="718"/>
      <c r="W252" s="718"/>
      <c r="X252" s="423"/>
    </row>
    <row r="253" spans="1:24" s="422" customFormat="1" ht="37.799999999999997" x14ac:dyDescent="0.65">
      <c r="A253" s="886"/>
      <c r="B253" s="443"/>
      <c r="C253" s="443"/>
      <c r="D253" s="463" t="s">
        <v>511</v>
      </c>
      <c r="E253" s="897">
        <f>'Перелік ціни'!D196</f>
        <v>26.05</v>
      </c>
      <c r="F253" s="897">
        <f>'Перелік ціни'!E196</f>
        <v>5.73</v>
      </c>
      <c r="G253" s="897">
        <f>'Перелік ціни'!F196</f>
        <v>25.81</v>
      </c>
      <c r="H253" s="897">
        <f>'Перелік ціни'!G196</f>
        <v>0</v>
      </c>
      <c r="I253" s="898">
        <f t="shared" si="40"/>
        <v>57.59</v>
      </c>
      <c r="J253" s="897">
        <f>'Перелік ціни'!I196</f>
        <v>3.05</v>
      </c>
      <c r="K253" s="897">
        <f>'Перелік ціни'!J196</f>
        <v>0</v>
      </c>
      <c r="L253" s="897">
        <f>'Перелік ціни'!K196</f>
        <v>0</v>
      </c>
      <c r="M253" s="897">
        <f>'Перелік ціни'!L196</f>
        <v>0.4</v>
      </c>
      <c r="N253" s="898">
        <f>SUM(J253:M253)</f>
        <v>3.4499999999999997</v>
      </c>
      <c r="O253" s="898"/>
      <c r="P253" s="897">
        <f>I253+N253</f>
        <v>61.040000000000006</v>
      </c>
      <c r="Q253" s="445">
        <f t="shared" si="41"/>
        <v>61</v>
      </c>
      <c r="R253" s="457"/>
      <c r="S253" s="446">
        <f>ROUND(Q253,2)</f>
        <v>61</v>
      </c>
      <c r="T253" s="453">
        <v>79</v>
      </c>
      <c r="U253" s="453">
        <f t="shared" si="39"/>
        <v>-18</v>
      </c>
      <c r="V253" s="718"/>
      <c r="W253" s="718"/>
      <c r="X253" s="423"/>
    </row>
    <row r="254" spans="1:24" s="422" customFormat="1" ht="37.799999999999997" x14ac:dyDescent="0.65">
      <c r="A254" s="886"/>
      <c r="B254" s="443"/>
      <c r="C254" s="443"/>
      <c r="D254" s="463" t="s">
        <v>1128</v>
      </c>
      <c r="E254" s="897">
        <f>'Перелік ціни'!D197</f>
        <v>26.05</v>
      </c>
      <c r="F254" s="897">
        <f>'Перелік ціни'!E197</f>
        <v>5.73</v>
      </c>
      <c r="G254" s="897">
        <f>'Перелік ціни'!F197</f>
        <v>5.91</v>
      </c>
      <c r="H254" s="897">
        <f>'Перелік ціни'!G197</f>
        <v>0</v>
      </c>
      <c r="I254" s="898">
        <f t="shared" si="40"/>
        <v>37.69</v>
      </c>
      <c r="J254" s="897">
        <f>'Перелік ціни'!I197</f>
        <v>3.05</v>
      </c>
      <c r="K254" s="897">
        <f>'Перелік ціни'!J197</f>
        <v>0</v>
      </c>
      <c r="L254" s="897">
        <f>'Перелік ціни'!K197</f>
        <v>0</v>
      </c>
      <c r="M254" s="897">
        <f>'Перелік ціни'!L197</f>
        <v>0.4</v>
      </c>
      <c r="N254" s="898">
        <f>SUM(J254:M254)</f>
        <v>3.4499999999999997</v>
      </c>
      <c r="O254" s="898"/>
      <c r="P254" s="897">
        <f>I254+N254</f>
        <v>41.14</v>
      </c>
      <c r="Q254" s="445">
        <f t="shared" si="41"/>
        <v>41</v>
      </c>
      <c r="R254" s="457"/>
      <c r="S254" s="446">
        <f>ROUND(Q254,2)</f>
        <v>41</v>
      </c>
      <c r="T254" s="453">
        <v>39</v>
      </c>
      <c r="U254" s="453">
        <f t="shared" si="39"/>
        <v>2</v>
      </c>
      <c r="V254" s="718"/>
      <c r="W254" s="718"/>
      <c r="X254" s="423"/>
    </row>
    <row r="255" spans="1:24" s="422" customFormat="1" ht="37.799999999999997" x14ac:dyDescent="0.65">
      <c r="A255" s="886"/>
      <c r="B255" s="443" t="s">
        <v>644</v>
      </c>
      <c r="C255" s="443"/>
      <c r="D255" s="463" t="s">
        <v>689</v>
      </c>
      <c r="E255" s="897"/>
      <c r="F255" s="897"/>
      <c r="G255" s="897"/>
      <c r="H255" s="897"/>
      <c r="I255" s="898"/>
      <c r="J255" s="897"/>
      <c r="K255" s="897"/>
      <c r="L255" s="897"/>
      <c r="M255" s="897"/>
      <c r="N255" s="898"/>
      <c r="O255" s="898"/>
      <c r="P255" s="897"/>
      <c r="Q255" s="445"/>
      <c r="R255" s="457"/>
      <c r="S255" s="446"/>
      <c r="T255" s="453"/>
      <c r="U255" s="453">
        <f t="shared" si="39"/>
        <v>0</v>
      </c>
      <c r="V255" s="718"/>
      <c r="W255" s="718"/>
      <c r="X255" s="423"/>
    </row>
    <row r="256" spans="1:24" s="422" customFormat="1" ht="37.799999999999997" x14ac:dyDescent="0.65">
      <c r="A256" s="886"/>
      <c r="B256" s="443"/>
      <c r="C256" s="443"/>
      <c r="D256" s="463" t="s">
        <v>511</v>
      </c>
      <c r="E256" s="897">
        <f>'Перелік ціни'!D199</f>
        <v>26.05</v>
      </c>
      <c r="F256" s="897">
        <f>'Перелік ціни'!E199</f>
        <v>5.73</v>
      </c>
      <c r="G256" s="897">
        <f>'Перелік ціни'!F199</f>
        <v>45.71</v>
      </c>
      <c r="H256" s="897">
        <f>'Перелік ціни'!G199</f>
        <v>0</v>
      </c>
      <c r="I256" s="898">
        <f t="shared" si="40"/>
        <v>77.490000000000009</v>
      </c>
      <c r="J256" s="897">
        <f>'Перелік ціни'!I199</f>
        <v>3.05</v>
      </c>
      <c r="K256" s="897">
        <f>'Перелік ціни'!J199</f>
        <v>0</v>
      </c>
      <c r="L256" s="897">
        <f>'Перелік ціни'!K199</f>
        <v>0</v>
      </c>
      <c r="M256" s="897">
        <f>'Перелік ціни'!L199</f>
        <v>0.4</v>
      </c>
      <c r="N256" s="898">
        <f>SUM(J256:M256)</f>
        <v>3.4499999999999997</v>
      </c>
      <c r="O256" s="898"/>
      <c r="P256" s="897">
        <f>I256+N256</f>
        <v>80.940000000000012</v>
      </c>
      <c r="Q256" s="445">
        <f t="shared" si="41"/>
        <v>81</v>
      </c>
      <c r="R256" s="457"/>
      <c r="S256" s="446">
        <f>ROUND(Q256,2)</f>
        <v>81</v>
      </c>
      <c r="T256" s="453">
        <v>119</v>
      </c>
      <c r="U256" s="453">
        <f t="shared" si="39"/>
        <v>-38</v>
      </c>
      <c r="V256" s="718"/>
      <c r="W256" s="718"/>
      <c r="X256" s="423"/>
    </row>
    <row r="257" spans="1:24" s="422" customFormat="1" ht="37.799999999999997" x14ac:dyDescent="0.65">
      <c r="A257" s="886"/>
      <c r="B257" s="443"/>
      <c r="C257" s="443"/>
      <c r="D257" s="463" t="s">
        <v>1128</v>
      </c>
      <c r="E257" s="897">
        <f>'Перелік ціни'!D200</f>
        <v>26.05</v>
      </c>
      <c r="F257" s="897">
        <f>'Перелік ціни'!E200</f>
        <v>5.73</v>
      </c>
      <c r="G257" s="897">
        <f>'Перелік ціни'!F200</f>
        <v>5.91</v>
      </c>
      <c r="H257" s="897">
        <f>'Перелік ціни'!G200</f>
        <v>0</v>
      </c>
      <c r="I257" s="898">
        <f t="shared" si="40"/>
        <v>37.69</v>
      </c>
      <c r="J257" s="897">
        <f>'Перелік ціни'!I200</f>
        <v>3.05</v>
      </c>
      <c r="K257" s="897">
        <f>'Перелік ціни'!J200</f>
        <v>0</v>
      </c>
      <c r="L257" s="897">
        <f>'Перелік ціни'!K200</f>
        <v>0</v>
      </c>
      <c r="M257" s="897">
        <f>'Перелік ціни'!L200</f>
        <v>0.4</v>
      </c>
      <c r="N257" s="898">
        <f>SUM(J257:M257)</f>
        <v>3.4499999999999997</v>
      </c>
      <c r="O257" s="898"/>
      <c r="P257" s="897">
        <f>I257+N257</f>
        <v>41.14</v>
      </c>
      <c r="Q257" s="445">
        <f t="shared" si="41"/>
        <v>41</v>
      </c>
      <c r="R257" s="457"/>
      <c r="S257" s="446">
        <f>ROUND(Q257,2)</f>
        <v>41</v>
      </c>
      <c r="T257" s="453">
        <v>39</v>
      </c>
      <c r="U257" s="453">
        <f t="shared" si="39"/>
        <v>2</v>
      </c>
      <c r="V257" s="718"/>
      <c r="W257" s="718"/>
      <c r="X257" s="423"/>
    </row>
    <row r="258" spans="1:24" s="422" customFormat="1" ht="37.799999999999997" x14ac:dyDescent="0.65">
      <c r="A258" s="886"/>
      <c r="B258" s="443" t="s">
        <v>646</v>
      </c>
      <c r="C258" s="443"/>
      <c r="D258" s="463" t="s">
        <v>691</v>
      </c>
      <c r="E258" s="897"/>
      <c r="F258" s="897"/>
      <c r="G258" s="897"/>
      <c r="H258" s="897"/>
      <c r="I258" s="898"/>
      <c r="J258" s="897"/>
      <c r="K258" s="897"/>
      <c r="L258" s="897"/>
      <c r="M258" s="897"/>
      <c r="N258" s="898"/>
      <c r="O258" s="898"/>
      <c r="P258" s="897"/>
      <c r="Q258" s="445"/>
      <c r="R258" s="457"/>
      <c r="S258" s="446"/>
      <c r="T258" s="453"/>
      <c r="U258" s="453">
        <f t="shared" si="39"/>
        <v>0</v>
      </c>
      <c r="V258" s="718"/>
      <c r="W258" s="718"/>
      <c r="X258" s="423"/>
    </row>
    <row r="259" spans="1:24" s="422" customFormat="1" ht="37.799999999999997" x14ac:dyDescent="0.65">
      <c r="A259" s="886"/>
      <c r="B259" s="443"/>
      <c r="C259" s="443"/>
      <c r="D259" s="463" t="s">
        <v>511</v>
      </c>
      <c r="E259" s="897">
        <f>'Перелік ціни'!D202</f>
        <v>26.05</v>
      </c>
      <c r="F259" s="897">
        <f>'Перелік ціни'!E202</f>
        <v>5.73</v>
      </c>
      <c r="G259" s="897">
        <f>'Перелік ціни'!F202</f>
        <v>25.81</v>
      </c>
      <c r="H259" s="897">
        <f>'Перелік ціни'!G202</f>
        <v>0</v>
      </c>
      <c r="I259" s="898">
        <f t="shared" si="40"/>
        <v>57.59</v>
      </c>
      <c r="J259" s="897">
        <f>'Перелік ціни'!I202</f>
        <v>3.05</v>
      </c>
      <c r="K259" s="897">
        <f>'Перелік ціни'!J202</f>
        <v>0</v>
      </c>
      <c r="L259" s="897">
        <f>'Перелік ціни'!K202</f>
        <v>0</v>
      </c>
      <c r="M259" s="897">
        <f>'Перелік ціни'!L202</f>
        <v>0.4</v>
      </c>
      <c r="N259" s="898">
        <f>SUM(J259:M259)</f>
        <v>3.4499999999999997</v>
      </c>
      <c r="O259" s="898"/>
      <c r="P259" s="897">
        <f>I259+N259</f>
        <v>61.040000000000006</v>
      </c>
      <c r="Q259" s="445">
        <f t="shared" si="41"/>
        <v>61</v>
      </c>
      <c r="R259" s="457"/>
      <c r="S259" s="446">
        <f>ROUND(Q259,2)</f>
        <v>61</v>
      </c>
      <c r="T259" s="453">
        <v>79</v>
      </c>
      <c r="U259" s="453">
        <f t="shared" si="39"/>
        <v>-18</v>
      </c>
      <c r="V259" s="718"/>
      <c r="W259" s="718"/>
      <c r="X259" s="423"/>
    </row>
    <row r="260" spans="1:24" s="422" customFormat="1" ht="37.799999999999997" x14ac:dyDescent="0.65">
      <c r="A260" s="886"/>
      <c r="B260" s="443"/>
      <c r="C260" s="443"/>
      <c r="D260" s="463" t="s">
        <v>1128</v>
      </c>
      <c r="E260" s="897">
        <f>'Перелік ціни'!D203</f>
        <v>26.05</v>
      </c>
      <c r="F260" s="897">
        <f>'Перелік ціни'!E203</f>
        <v>5.73</v>
      </c>
      <c r="G260" s="897">
        <f>'Перелік ціни'!F203</f>
        <v>5.91</v>
      </c>
      <c r="H260" s="897">
        <f>'Перелік ціни'!G203</f>
        <v>0</v>
      </c>
      <c r="I260" s="898">
        <f t="shared" si="40"/>
        <v>37.69</v>
      </c>
      <c r="J260" s="897">
        <f>'Перелік ціни'!I203</f>
        <v>3.05</v>
      </c>
      <c r="K260" s="897">
        <f>'Перелік ціни'!J203</f>
        <v>0</v>
      </c>
      <c r="L260" s="897">
        <f>'Перелік ціни'!K203</f>
        <v>0</v>
      </c>
      <c r="M260" s="897">
        <f>'Перелік ціни'!L203</f>
        <v>0.4</v>
      </c>
      <c r="N260" s="898">
        <f>SUM(J260:M260)</f>
        <v>3.4499999999999997</v>
      </c>
      <c r="O260" s="898"/>
      <c r="P260" s="897">
        <f>I260+N260</f>
        <v>41.14</v>
      </c>
      <c r="Q260" s="445">
        <f t="shared" si="41"/>
        <v>41</v>
      </c>
      <c r="R260" s="457"/>
      <c r="S260" s="446">
        <f>ROUND(Q260,2)</f>
        <v>41</v>
      </c>
      <c r="T260" s="453">
        <v>39</v>
      </c>
      <c r="U260" s="453">
        <f t="shared" si="39"/>
        <v>2</v>
      </c>
      <c r="V260" s="718"/>
      <c r="W260" s="718"/>
      <c r="X260" s="423"/>
    </row>
    <row r="261" spans="1:24" s="422" customFormat="1" ht="37.799999999999997" x14ac:dyDescent="0.65">
      <c r="A261" s="886"/>
      <c r="B261" s="443" t="s">
        <v>648</v>
      </c>
      <c r="C261" s="443"/>
      <c r="D261" s="463" t="s">
        <v>693</v>
      </c>
      <c r="E261" s="897"/>
      <c r="F261" s="897"/>
      <c r="G261" s="897"/>
      <c r="H261" s="897"/>
      <c r="I261" s="898"/>
      <c r="J261" s="897"/>
      <c r="K261" s="897"/>
      <c r="L261" s="897"/>
      <c r="M261" s="897"/>
      <c r="N261" s="898"/>
      <c r="O261" s="898"/>
      <c r="P261" s="897"/>
      <c r="Q261" s="445"/>
      <c r="R261" s="457"/>
      <c r="S261" s="446"/>
      <c r="T261" s="453"/>
      <c r="U261" s="453">
        <f t="shared" si="39"/>
        <v>0</v>
      </c>
      <c r="V261" s="718"/>
      <c r="W261" s="718"/>
      <c r="X261" s="423"/>
    </row>
    <row r="262" spans="1:24" s="422" customFormat="1" ht="37.799999999999997" x14ac:dyDescent="0.65">
      <c r="A262" s="886"/>
      <c r="B262" s="443"/>
      <c r="C262" s="443"/>
      <c r="D262" s="463" t="s">
        <v>511</v>
      </c>
      <c r="E262" s="897">
        <f>'Перелік ціни'!D205</f>
        <v>26.05</v>
      </c>
      <c r="F262" s="897">
        <f>'Перелік ціни'!E205</f>
        <v>5.73</v>
      </c>
      <c r="G262" s="897">
        <f>'Перелік ціни'!F205</f>
        <v>45.71</v>
      </c>
      <c r="H262" s="897">
        <f>'Перелік ціни'!G205</f>
        <v>0</v>
      </c>
      <c r="I262" s="898">
        <f t="shared" si="40"/>
        <v>77.490000000000009</v>
      </c>
      <c r="J262" s="897">
        <f>'Перелік ціни'!I205</f>
        <v>3.05</v>
      </c>
      <c r="K262" s="897">
        <f>'Перелік ціни'!J205</f>
        <v>0</v>
      </c>
      <c r="L262" s="897">
        <f>'Перелік ціни'!K205</f>
        <v>0</v>
      </c>
      <c r="M262" s="897">
        <f>'Перелік ціни'!L205</f>
        <v>0.4</v>
      </c>
      <c r="N262" s="898">
        <f>SUM(J262:M262)</f>
        <v>3.4499999999999997</v>
      </c>
      <c r="O262" s="898"/>
      <c r="P262" s="897">
        <f>I262+N262</f>
        <v>80.940000000000012</v>
      </c>
      <c r="Q262" s="445">
        <f t="shared" si="41"/>
        <v>81</v>
      </c>
      <c r="R262" s="457"/>
      <c r="S262" s="446">
        <f>ROUND(Q262,2)</f>
        <v>81</v>
      </c>
      <c r="T262" s="453">
        <v>119</v>
      </c>
      <c r="U262" s="453">
        <f t="shared" si="39"/>
        <v>-38</v>
      </c>
      <c r="V262" s="718"/>
      <c r="W262" s="718"/>
      <c r="X262" s="423"/>
    </row>
    <row r="263" spans="1:24" s="422" customFormat="1" ht="37.799999999999997" x14ac:dyDescent="0.65">
      <c r="A263" s="886"/>
      <c r="B263" s="443"/>
      <c r="C263" s="443"/>
      <c r="D263" s="463" t="s">
        <v>1128</v>
      </c>
      <c r="E263" s="897">
        <f>'Перелік ціни'!D206</f>
        <v>26.05</v>
      </c>
      <c r="F263" s="897">
        <f>'Перелік ціни'!E206</f>
        <v>5.73</v>
      </c>
      <c r="G263" s="897">
        <f>'Перелік ціни'!F206</f>
        <v>5.91</v>
      </c>
      <c r="H263" s="897">
        <f>'Перелік ціни'!G206</f>
        <v>0</v>
      </c>
      <c r="I263" s="898">
        <f t="shared" si="40"/>
        <v>37.69</v>
      </c>
      <c r="J263" s="897">
        <f>'Перелік ціни'!I206</f>
        <v>3.05</v>
      </c>
      <c r="K263" s="897">
        <f>'Перелік ціни'!J206</f>
        <v>0</v>
      </c>
      <c r="L263" s="897">
        <f>'Перелік ціни'!K206</f>
        <v>0</v>
      </c>
      <c r="M263" s="897">
        <f>'Перелік ціни'!L206</f>
        <v>0.4</v>
      </c>
      <c r="N263" s="898">
        <f>SUM(J263:M263)</f>
        <v>3.4499999999999997</v>
      </c>
      <c r="O263" s="898"/>
      <c r="P263" s="897">
        <f>I263+N263</f>
        <v>41.14</v>
      </c>
      <c r="Q263" s="445">
        <f t="shared" si="41"/>
        <v>41</v>
      </c>
      <c r="R263" s="457"/>
      <c r="S263" s="446">
        <f>ROUND(Q263,2)</f>
        <v>41</v>
      </c>
      <c r="T263" s="453">
        <v>39</v>
      </c>
      <c r="U263" s="453">
        <f t="shared" si="39"/>
        <v>2</v>
      </c>
      <c r="V263" s="718"/>
      <c r="W263" s="718"/>
      <c r="X263" s="423"/>
    </row>
    <row r="264" spans="1:24" s="422" customFormat="1" ht="37.799999999999997" x14ac:dyDescent="0.65">
      <c r="A264" s="886"/>
      <c r="B264" s="443" t="s">
        <v>650</v>
      </c>
      <c r="C264" s="443"/>
      <c r="D264" s="447" t="s">
        <v>695</v>
      </c>
      <c r="E264" s="897"/>
      <c r="F264" s="897"/>
      <c r="G264" s="897"/>
      <c r="H264" s="897"/>
      <c r="I264" s="898"/>
      <c r="J264" s="897"/>
      <c r="K264" s="897"/>
      <c r="L264" s="897"/>
      <c r="M264" s="897"/>
      <c r="N264" s="898"/>
      <c r="O264" s="898"/>
      <c r="P264" s="897"/>
      <c r="Q264" s="445"/>
      <c r="R264" s="457"/>
      <c r="S264" s="446"/>
      <c r="T264" s="453"/>
      <c r="U264" s="453">
        <f t="shared" si="39"/>
        <v>0</v>
      </c>
      <c r="V264" s="718"/>
      <c r="W264" s="718"/>
      <c r="X264" s="423"/>
    </row>
    <row r="265" spans="1:24" s="422" customFormat="1" ht="37.799999999999997" x14ac:dyDescent="0.65">
      <c r="A265" s="886"/>
      <c r="B265" s="443"/>
      <c r="C265" s="443"/>
      <c r="D265" s="463" t="s">
        <v>511</v>
      </c>
      <c r="E265" s="897">
        <f>'Перелік ціни'!D208</f>
        <v>26.05</v>
      </c>
      <c r="F265" s="897">
        <f>'Перелік ціни'!E208</f>
        <v>5.73</v>
      </c>
      <c r="G265" s="897">
        <f>'Перелік ціни'!F208</f>
        <v>85.509999999999991</v>
      </c>
      <c r="H265" s="897">
        <f>'Перелік ціни'!G208</f>
        <v>0</v>
      </c>
      <c r="I265" s="898">
        <f t="shared" si="40"/>
        <v>117.28999999999999</v>
      </c>
      <c r="J265" s="897">
        <f>'Перелік ціни'!I208</f>
        <v>3.05</v>
      </c>
      <c r="K265" s="897">
        <f>'Перелік ціни'!J208</f>
        <v>0</v>
      </c>
      <c r="L265" s="897">
        <f>'Перелік ціни'!K208</f>
        <v>0</v>
      </c>
      <c r="M265" s="897">
        <f>'Перелік ціни'!L208</f>
        <v>0.4</v>
      </c>
      <c r="N265" s="898">
        <f>SUM(J265:M265)</f>
        <v>3.4499999999999997</v>
      </c>
      <c r="O265" s="898"/>
      <c r="P265" s="897">
        <f>I265+N265</f>
        <v>120.74</v>
      </c>
      <c r="Q265" s="445">
        <f t="shared" si="41"/>
        <v>121</v>
      </c>
      <c r="R265" s="457"/>
      <c r="S265" s="446">
        <f>ROUND(Q265,2)</f>
        <v>121</v>
      </c>
      <c r="T265" s="453">
        <v>199</v>
      </c>
      <c r="U265" s="453">
        <f t="shared" si="39"/>
        <v>-78</v>
      </c>
      <c r="V265" s="718"/>
      <c r="W265" s="718"/>
      <c r="X265" s="423"/>
    </row>
    <row r="266" spans="1:24" s="422" customFormat="1" ht="37.799999999999997" x14ac:dyDescent="0.65">
      <c r="A266" s="886"/>
      <c r="B266" s="443"/>
      <c r="C266" s="443"/>
      <c r="D266" s="463" t="s">
        <v>1128</v>
      </c>
      <c r="E266" s="897">
        <f>'Перелік ціни'!D209</f>
        <v>26.05</v>
      </c>
      <c r="F266" s="897">
        <f>'Перелік ціни'!E209</f>
        <v>5.73</v>
      </c>
      <c r="G266" s="897">
        <f>'Перелік ціни'!F209</f>
        <v>5.91</v>
      </c>
      <c r="H266" s="897">
        <f>'Перелік ціни'!G209</f>
        <v>0</v>
      </c>
      <c r="I266" s="898">
        <f t="shared" si="40"/>
        <v>37.69</v>
      </c>
      <c r="J266" s="897">
        <f>'Перелік ціни'!I209</f>
        <v>3.05</v>
      </c>
      <c r="K266" s="897">
        <f>'Перелік ціни'!J209</f>
        <v>0</v>
      </c>
      <c r="L266" s="897">
        <f>'Перелік ціни'!K209</f>
        <v>0</v>
      </c>
      <c r="M266" s="897">
        <f>'Перелік ціни'!L209</f>
        <v>0.4</v>
      </c>
      <c r="N266" s="898">
        <f>SUM(J266:M266)</f>
        <v>3.4499999999999997</v>
      </c>
      <c r="O266" s="898"/>
      <c r="P266" s="897">
        <f>I266+N266</f>
        <v>41.14</v>
      </c>
      <c r="Q266" s="445">
        <f t="shared" si="41"/>
        <v>41</v>
      </c>
      <c r="R266" s="457"/>
      <c r="S266" s="446">
        <f>ROUND(Q266,2)</f>
        <v>41</v>
      </c>
      <c r="T266" s="453">
        <v>39</v>
      </c>
      <c r="U266" s="453">
        <f t="shared" si="39"/>
        <v>2</v>
      </c>
      <c r="V266" s="718"/>
      <c r="W266" s="718"/>
      <c r="X266" s="423"/>
    </row>
    <row r="267" spans="1:24" s="422" customFormat="1" ht="37.799999999999997" x14ac:dyDescent="0.65">
      <c r="A267" s="886"/>
      <c r="B267" s="443" t="s">
        <v>652</v>
      </c>
      <c r="C267" s="443"/>
      <c r="D267" s="447" t="s">
        <v>697</v>
      </c>
      <c r="E267" s="897"/>
      <c r="F267" s="897"/>
      <c r="G267" s="897"/>
      <c r="H267" s="897"/>
      <c r="I267" s="898"/>
      <c r="J267" s="897"/>
      <c r="K267" s="897"/>
      <c r="L267" s="897"/>
      <c r="M267" s="897"/>
      <c r="N267" s="898"/>
      <c r="O267" s="898"/>
      <c r="P267" s="897"/>
      <c r="Q267" s="445"/>
      <c r="R267" s="457"/>
      <c r="S267" s="446"/>
      <c r="T267" s="453"/>
      <c r="U267" s="453">
        <f t="shared" si="39"/>
        <v>0</v>
      </c>
      <c r="V267" s="718"/>
      <c r="W267" s="718"/>
      <c r="X267" s="423"/>
    </row>
    <row r="268" spans="1:24" s="422" customFormat="1" ht="37.799999999999997" x14ac:dyDescent="0.65">
      <c r="A268" s="886"/>
      <c r="B268" s="443"/>
      <c r="C268" s="443"/>
      <c r="D268" s="463" t="s">
        <v>511</v>
      </c>
      <c r="E268" s="897">
        <f>'Перелік ціни'!D211</f>
        <v>26.05</v>
      </c>
      <c r="F268" s="897">
        <f>'Перелік ціни'!E211</f>
        <v>5.73</v>
      </c>
      <c r="G268" s="897">
        <f>'Перелік ціни'!F211</f>
        <v>65.61</v>
      </c>
      <c r="H268" s="897">
        <f>'Перелік ціни'!G211</f>
        <v>0</v>
      </c>
      <c r="I268" s="898">
        <f t="shared" si="40"/>
        <v>97.39</v>
      </c>
      <c r="J268" s="897">
        <f>'Перелік ціни'!I211</f>
        <v>3.05</v>
      </c>
      <c r="K268" s="897">
        <f>'Перелік ціни'!J211</f>
        <v>0</v>
      </c>
      <c r="L268" s="897">
        <f>'Перелік ціни'!K211</f>
        <v>0</v>
      </c>
      <c r="M268" s="897">
        <f>'Перелік ціни'!L211</f>
        <v>0.4</v>
      </c>
      <c r="N268" s="898">
        <f>SUM(J268:M268)</f>
        <v>3.4499999999999997</v>
      </c>
      <c r="O268" s="898"/>
      <c r="P268" s="897">
        <f>I268+N268</f>
        <v>100.84</v>
      </c>
      <c r="Q268" s="445">
        <f t="shared" si="41"/>
        <v>101</v>
      </c>
      <c r="R268" s="457"/>
      <c r="S268" s="446">
        <f>ROUND(Q268,2)</f>
        <v>101</v>
      </c>
      <c r="T268" s="453">
        <v>159</v>
      </c>
      <c r="U268" s="453">
        <f t="shared" si="39"/>
        <v>-58</v>
      </c>
      <c r="V268" s="718"/>
      <c r="W268" s="718"/>
      <c r="X268" s="423"/>
    </row>
    <row r="269" spans="1:24" s="422" customFormat="1" ht="37.799999999999997" x14ac:dyDescent="0.65">
      <c r="A269" s="886"/>
      <c r="B269" s="443"/>
      <c r="C269" s="443"/>
      <c r="D269" s="463" t="s">
        <v>1128</v>
      </c>
      <c r="E269" s="897">
        <f>'Перелік ціни'!D212</f>
        <v>26.05</v>
      </c>
      <c r="F269" s="897">
        <f>'Перелік ціни'!E212</f>
        <v>5.73</v>
      </c>
      <c r="G269" s="897">
        <f>'Перелік ціни'!F212</f>
        <v>5.91</v>
      </c>
      <c r="H269" s="897">
        <f>'Перелік ціни'!G212</f>
        <v>0</v>
      </c>
      <c r="I269" s="898">
        <f t="shared" si="40"/>
        <v>37.69</v>
      </c>
      <c r="J269" s="897">
        <f>'Перелік ціни'!I212</f>
        <v>3.05</v>
      </c>
      <c r="K269" s="897">
        <f>'Перелік ціни'!J212</f>
        <v>0</v>
      </c>
      <c r="L269" s="897">
        <f>'Перелік ціни'!K212</f>
        <v>0</v>
      </c>
      <c r="M269" s="897">
        <f>'Перелік ціни'!L212</f>
        <v>0.4</v>
      </c>
      <c r="N269" s="898">
        <f>SUM(J269:M269)</f>
        <v>3.4499999999999997</v>
      </c>
      <c r="O269" s="898"/>
      <c r="P269" s="897">
        <f>I269+N269</f>
        <v>41.14</v>
      </c>
      <c r="Q269" s="445">
        <f t="shared" si="41"/>
        <v>41</v>
      </c>
      <c r="R269" s="457"/>
      <c r="S269" s="446">
        <f>ROUND(Q269,2)</f>
        <v>41</v>
      </c>
      <c r="T269" s="453">
        <v>39</v>
      </c>
      <c r="U269" s="453">
        <f t="shared" si="39"/>
        <v>2</v>
      </c>
      <c r="V269" s="718"/>
      <c r="W269" s="718"/>
      <c r="X269" s="423"/>
    </row>
    <row r="270" spans="1:24" s="422" customFormat="1" ht="37.799999999999997" x14ac:dyDescent="0.65">
      <c r="A270" s="886"/>
      <c r="B270" s="443" t="s">
        <v>654</v>
      </c>
      <c r="C270" s="443"/>
      <c r="D270" s="463" t="s">
        <v>699</v>
      </c>
      <c r="E270" s="897"/>
      <c r="F270" s="897"/>
      <c r="G270" s="897"/>
      <c r="H270" s="897"/>
      <c r="I270" s="898"/>
      <c r="J270" s="897"/>
      <c r="K270" s="897"/>
      <c r="L270" s="897"/>
      <c r="M270" s="897"/>
      <c r="N270" s="898"/>
      <c r="O270" s="898"/>
      <c r="P270" s="897"/>
      <c r="Q270" s="445"/>
      <c r="R270" s="457"/>
      <c r="S270" s="446"/>
      <c r="T270" s="453"/>
      <c r="U270" s="453">
        <f t="shared" si="39"/>
        <v>0</v>
      </c>
      <c r="V270" s="718"/>
      <c r="W270" s="718"/>
      <c r="X270" s="423"/>
    </row>
    <row r="271" spans="1:24" s="422" customFormat="1" ht="37.799999999999997" x14ac:dyDescent="0.65">
      <c r="A271" s="886"/>
      <c r="B271" s="443"/>
      <c r="C271" s="443"/>
      <c r="D271" s="463" t="s">
        <v>511</v>
      </c>
      <c r="E271" s="897">
        <f>'Перелік ціни'!D214</f>
        <v>26.05</v>
      </c>
      <c r="F271" s="897">
        <f>'Перелік ціни'!E214</f>
        <v>5.73</v>
      </c>
      <c r="G271" s="897">
        <f>'Перелік ціни'!F214</f>
        <v>25.81</v>
      </c>
      <c r="H271" s="897">
        <f>'Перелік ціни'!G214</f>
        <v>0</v>
      </c>
      <c r="I271" s="898">
        <f t="shared" si="40"/>
        <v>57.59</v>
      </c>
      <c r="J271" s="897">
        <f>'Перелік ціни'!I214</f>
        <v>3.05</v>
      </c>
      <c r="K271" s="897">
        <f>'Перелік ціни'!J214</f>
        <v>0</v>
      </c>
      <c r="L271" s="897">
        <f>'Перелік ціни'!K214</f>
        <v>0</v>
      </c>
      <c r="M271" s="897">
        <f>'Перелік ціни'!L214</f>
        <v>0.4</v>
      </c>
      <c r="N271" s="898">
        <f>SUM(J271:M271)</f>
        <v>3.4499999999999997</v>
      </c>
      <c r="O271" s="898"/>
      <c r="P271" s="897">
        <f>I271+N271</f>
        <v>61.040000000000006</v>
      </c>
      <c r="Q271" s="445">
        <f t="shared" si="41"/>
        <v>61</v>
      </c>
      <c r="R271" s="457"/>
      <c r="S271" s="446">
        <f>ROUND(Q271,2)</f>
        <v>61</v>
      </c>
      <c r="T271" s="453">
        <v>79</v>
      </c>
      <c r="U271" s="453">
        <f t="shared" si="39"/>
        <v>-18</v>
      </c>
      <c r="V271" s="718"/>
      <c r="W271" s="718"/>
      <c r="X271" s="423"/>
    </row>
    <row r="272" spans="1:24" s="422" customFormat="1" ht="37.799999999999997" x14ac:dyDescent="0.65">
      <c r="A272" s="886"/>
      <c r="B272" s="443"/>
      <c r="C272" s="443"/>
      <c r="D272" s="463" t="s">
        <v>1128</v>
      </c>
      <c r="E272" s="897">
        <f>'Перелік ціни'!D215</f>
        <v>26.05</v>
      </c>
      <c r="F272" s="897">
        <f>'Перелік ціни'!E215</f>
        <v>5.73</v>
      </c>
      <c r="G272" s="897">
        <f>'Перелік ціни'!F215</f>
        <v>5.91</v>
      </c>
      <c r="H272" s="897">
        <f>'Перелік ціни'!G215</f>
        <v>0</v>
      </c>
      <c r="I272" s="898">
        <f t="shared" si="40"/>
        <v>37.69</v>
      </c>
      <c r="J272" s="897">
        <f>'Перелік ціни'!I215</f>
        <v>3.05</v>
      </c>
      <c r="K272" s="897">
        <f>'Перелік ціни'!J215</f>
        <v>0</v>
      </c>
      <c r="L272" s="897">
        <f>'Перелік ціни'!K215</f>
        <v>0</v>
      </c>
      <c r="M272" s="897">
        <f>'Перелік ціни'!L215</f>
        <v>0.4</v>
      </c>
      <c r="N272" s="898">
        <f>SUM(J272:M272)</f>
        <v>3.4499999999999997</v>
      </c>
      <c r="O272" s="898"/>
      <c r="P272" s="897">
        <f>I272+N272</f>
        <v>41.14</v>
      </c>
      <c r="Q272" s="445">
        <f t="shared" si="41"/>
        <v>41</v>
      </c>
      <c r="R272" s="457"/>
      <c r="S272" s="446">
        <f>ROUND(Q272,2)</f>
        <v>41</v>
      </c>
      <c r="T272" s="453">
        <v>39</v>
      </c>
      <c r="U272" s="453">
        <f t="shared" si="39"/>
        <v>2</v>
      </c>
      <c r="V272" s="718"/>
      <c r="W272" s="718"/>
      <c r="X272" s="423"/>
    </row>
    <row r="273" spans="1:24" s="422" customFormat="1" ht="37.799999999999997" x14ac:dyDescent="0.65">
      <c r="A273" s="886"/>
      <c r="B273" s="443" t="s">
        <v>656</v>
      </c>
      <c r="C273" s="443"/>
      <c r="D273" s="463" t="s">
        <v>700</v>
      </c>
      <c r="E273" s="897"/>
      <c r="F273" s="897"/>
      <c r="G273" s="897"/>
      <c r="H273" s="897"/>
      <c r="I273" s="898"/>
      <c r="J273" s="897"/>
      <c r="K273" s="897"/>
      <c r="L273" s="897"/>
      <c r="M273" s="897"/>
      <c r="N273" s="898"/>
      <c r="O273" s="898"/>
      <c r="P273" s="897"/>
      <c r="Q273" s="445"/>
      <c r="R273" s="457"/>
      <c r="S273" s="446"/>
      <c r="T273" s="453"/>
      <c r="U273" s="453">
        <f t="shared" si="39"/>
        <v>0</v>
      </c>
      <c r="V273" s="718"/>
      <c r="W273" s="718"/>
      <c r="X273" s="423"/>
    </row>
    <row r="274" spans="1:24" s="422" customFormat="1" ht="37.799999999999997" x14ac:dyDescent="0.65">
      <c r="A274" s="886"/>
      <c r="B274" s="443"/>
      <c r="C274" s="443"/>
      <c r="D274" s="463" t="s">
        <v>511</v>
      </c>
      <c r="E274" s="897">
        <f>'Перелік ціни'!D217</f>
        <v>26.05</v>
      </c>
      <c r="F274" s="897">
        <f>'Перелік ціни'!E217</f>
        <v>5.73</v>
      </c>
      <c r="G274" s="897">
        <f>'Перелік ціни'!F217</f>
        <v>65.61</v>
      </c>
      <c r="H274" s="897">
        <f>'Перелік ціни'!G217</f>
        <v>0</v>
      </c>
      <c r="I274" s="898">
        <f t="shared" si="40"/>
        <v>97.39</v>
      </c>
      <c r="J274" s="897">
        <f>'Перелік ціни'!I217</f>
        <v>3.05</v>
      </c>
      <c r="K274" s="897">
        <f>'Перелік ціни'!J217</f>
        <v>0</v>
      </c>
      <c r="L274" s="897">
        <f>'Перелік ціни'!K217</f>
        <v>0</v>
      </c>
      <c r="M274" s="897">
        <f>'Перелік ціни'!L217</f>
        <v>0.4</v>
      </c>
      <c r="N274" s="898">
        <f>SUM(J274:M274)</f>
        <v>3.4499999999999997</v>
      </c>
      <c r="O274" s="898"/>
      <c r="P274" s="897">
        <f>I274+N274</f>
        <v>100.84</v>
      </c>
      <c r="Q274" s="445">
        <f t="shared" si="41"/>
        <v>101</v>
      </c>
      <c r="R274" s="457"/>
      <c r="S274" s="446">
        <f>ROUND(Q274,2)</f>
        <v>101</v>
      </c>
      <c r="T274" s="453">
        <v>159</v>
      </c>
      <c r="U274" s="453">
        <f t="shared" si="39"/>
        <v>-58</v>
      </c>
      <c r="V274" s="718"/>
      <c r="W274" s="718"/>
      <c r="X274" s="423"/>
    </row>
    <row r="275" spans="1:24" s="422" customFormat="1" ht="37.799999999999997" x14ac:dyDescent="0.65">
      <c r="A275" s="886"/>
      <c r="B275" s="443"/>
      <c r="C275" s="443"/>
      <c r="D275" s="463" t="s">
        <v>1128</v>
      </c>
      <c r="E275" s="897">
        <f>'Перелік ціни'!D218</f>
        <v>26.05</v>
      </c>
      <c r="F275" s="897">
        <f>'Перелік ціни'!E218</f>
        <v>5.73</v>
      </c>
      <c r="G275" s="897">
        <f>'Перелік ціни'!F218</f>
        <v>5.91</v>
      </c>
      <c r="H275" s="897">
        <f>'Перелік ціни'!G218</f>
        <v>0</v>
      </c>
      <c r="I275" s="898">
        <f t="shared" si="40"/>
        <v>37.69</v>
      </c>
      <c r="J275" s="897">
        <f>'Перелік ціни'!I218</f>
        <v>3.05</v>
      </c>
      <c r="K275" s="897">
        <f>'Перелік ціни'!J218</f>
        <v>0</v>
      </c>
      <c r="L275" s="897">
        <f>'Перелік ціни'!K218</f>
        <v>0</v>
      </c>
      <c r="M275" s="897">
        <f>'Перелік ціни'!L218</f>
        <v>0.4</v>
      </c>
      <c r="N275" s="898">
        <f>SUM(J275:M275)</f>
        <v>3.4499999999999997</v>
      </c>
      <c r="O275" s="898"/>
      <c r="P275" s="897">
        <f>I275+N275</f>
        <v>41.14</v>
      </c>
      <c r="Q275" s="445">
        <f t="shared" si="41"/>
        <v>41</v>
      </c>
      <c r="R275" s="457"/>
      <c r="S275" s="446">
        <f>ROUND(Q275,2)</f>
        <v>41</v>
      </c>
      <c r="T275" s="453">
        <v>39</v>
      </c>
      <c r="U275" s="453">
        <f>S275-T275</f>
        <v>2</v>
      </c>
      <c r="V275" s="718"/>
      <c r="W275" s="718"/>
      <c r="X275" s="423"/>
    </row>
    <row r="276" spans="1:24" s="422" customFormat="1" ht="37.799999999999997" x14ac:dyDescent="0.65">
      <c r="A276" s="886"/>
      <c r="B276" s="443"/>
      <c r="C276" s="443"/>
      <c r="D276" s="463"/>
      <c r="E276" s="897"/>
      <c r="F276" s="897"/>
      <c r="G276" s="897"/>
      <c r="H276" s="897"/>
      <c r="I276" s="898"/>
      <c r="J276" s="897"/>
      <c r="K276" s="897"/>
      <c r="L276" s="897"/>
      <c r="M276" s="897"/>
      <c r="N276" s="898"/>
      <c r="O276" s="898"/>
      <c r="P276" s="897"/>
      <c r="Q276" s="445"/>
      <c r="R276" s="457"/>
      <c r="S276" s="446"/>
      <c r="T276" s="453"/>
      <c r="U276" s="453"/>
      <c r="V276" s="718"/>
      <c r="W276" s="718"/>
      <c r="X276" s="423"/>
    </row>
    <row r="277" spans="1:24" s="431" customFormat="1" ht="37.799999999999997" x14ac:dyDescent="0.65">
      <c r="A277" s="888"/>
      <c r="B277" s="443" t="s">
        <v>658</v>
      </c>
      <c r="C277" s="443"/>
      <c r="D277" s="463" t="s">
        <v>218</v>
      </c>
      <c r="E277" s="897">
        <f>'Перелік ціни'!D219</f>
        <v>15.9</v>
      </c>
      <c r="F277" s="897">
        <f>'Перелік ціни'!E219</f>
        <v>3.5</v>
      </c>
      <c r="G277" s="897">
        <f>'Перелік ціни'!F219</f>
        <v>10.709999999999999</v>
      </c>
      <c r="H277" s="897">
        <f>'Перелік ціни'!G219</f>
        <v>0</v>
      </c>
      <c r="I277" s="898">
        <f t="shared" si="40"/>
        <v>30.11</v>
      </c>
      <c r="J277" s="897">
        <f>'Перелік ціни'!I219</f>
        <v>1.95</v>
      </c>
      <c r="K277" s="897">
        <f>'Перелік ціни'!J219</f>
        <v>0</v>
      </c>
      <c r="L277" s="897">
        <f>'Перелік ціни'!K219</f>
        <v>0</v>
      </c>
      <c r="M277" s="897">
        <f>'Перелік ціни'!L219</f>
        <v>0.3</v>
      </c>
      <c r="N277" s="898">
        <f>SUM(J277:M277)</f>
        <v>2.25</v>
      </c>
      <c r="O277" s="897"/>
      <c r="P277" s="897">
        <f>I277+N277</f>
        <v>32.36</v>
      </c>
      <c r="Q277" s="445">
        <f t="shared" si="41"/>
        <v>32</v>
      </c>
      <c r="R277" s="457"/>
      <c r="S277" s="446">
        <f>ROUND(Q277,2)</f>
        <v>32</v>
      </c>
      <c r="T277" s="453">
        <v>31</v>
      </c>
      <c r="U277" s="453">
        <f>S277-T277</f>
        <v>1</v>
      </c>
      <c r="V277" s="723"/>
      <c r="W277" s="723"/>
      <c r="X277" s="432"/>
    </row>
    <row r="278" spans="1:24" s="431" customFormat="1" ht="37.799999999999997" x14ac:dyDescent="0.65">
      <c r="A278" s="888"/>
      <c r="B278" s="443"/>
      <c r="C278" s="443"/>
      <c r="D278" s="463"/>
      <c r="E278" s="897"/>
      <c r="F278" s="897"/>
      <c r="G278" s="897"/>
      <c r="H278" s="897"/>
      <c r="I278" s="898"/>
      <c r="J278" s="897"/>
      <c r="K278" s="897"/>
      <c r="L278" s="897"/>
      <c r="M278" s="897"/>
      <c r="N278" s="898"/>
      <c r="O278" s="897"/>
      <c r="P278" s="897"/>
      <c r="Q278" s="445"/>
      <c r="R278" s="457"/>
      <c r="S278" s="446"/>
      <c r="T278" s="453"/>
      <c r="U278" s="453">
        <f t="shared" ref="U278:U287" si="42">S278-T278</f>
        <v>0</v>
      </c>
      <c r="V278" s="723"/>
      <c r="W278" s="723"/>
      <c r="X278" s="432"/>
    </row>
    <row r="279" spans="1:24" s="431" customFormat="1" ht="37.799999999999997" x14ac:dyDescent="0.65">
      <c r="A279" s="888"/>
      <c r="B279" s="443" t="s">
        <v>501</v>
      </c>
      <c r="C279" s="443"/>
      <c r="D279" s="463" t="str">
        <f>'Перелік ціни'!C221</f>
        <v>Рентгенографія кісток</v>
      </c>
      <c r="E279" s="897"/>
      <c r="F279" s="897"/>
      <c r="G279" s="897"/>
      <c r="H279" s="897"/>
      <c r="I279" s="898"/>
      <c r="J279" s="897"/>
      <c r="K279" s="897"/>
      <c r="L279" s="897"/>
      <c r="M279" s="897"/>
      <c r="N279" s="898"/>
      <c r="O279" s="897"/>
      <c r="P279" s="897"/>
      <c r="Q279" s="445"/>
      <c r="R279" s="457"/>
      <c r="S279" s="446"/>
      <c r="T279" s="453"/>
      <c r="U279" s="453">
        <f t="shared" si="42"/>
        <v>0</v>
      </c>
      <c r="V279" s="723"/>
      <c r="W279" s="723"/>
      <c r="X279" s="432"/>
    </row>
    <row r="280" spans="1:24" s="431" customFormat="1" ht="37.799999999999997" x14ac:dyDescent="0.65">
      <c r="A280" s="888"/>
      <c r="B280" s="443"/>
      <c r="C280" s="443"/>
      <c r="D280" s="463" t="str">
        <f>'Перелік ціни'!C222</f>
        <v>плівка 24*30</v>
      </c>
      <c r="E280" s="897">
        <f>'Перелік ціни'!D222</f>
        <v>26.05</v>
      </c>
      <c r="F280" s="897">
        <f>'Перелік ціни'!E222</f>
        <v>5.73</v>
      </c>
      <c r="G280" s="897">
        <f>'Перелік ціни'!F222</f>
        <v>18.11</v>
      </c>
      <c r="H280" s="897">
        <f>'Перелік ціни'!G222</f>
        <v>0</v>
      </c>
      <c r="I280" s="898">
        <f t="shared" ref="I280:I286" si="43">SUM(E280:H280)</f>
        <v>49.89</v>
      </c>
      <c r="J280" s="897">
        <f>'Перелік ціни'!I222</f>
        <v>3.05</v>
      </c>
      <c r="K280" s="897">
        <f>'Перелік ціни'!J222</f>
        <v>0</v>
      </c>
      <c r="L280" s="897">
        <f>'Перелік ціни'!K222</f>
        <v>0</v>
      </c>
      <c r="M280" s="897">
        <f>'Перелік ціни'!L222</f>
        <v>0.4</v>
      </c>
      <c r="N280" s="898">
        <f t="shared" ref="N280:N286" si="44">SUM(J280:M280)</f>
        <v>3.4499999999999997</v>
      </c>
      <c r="O280" s="897"/>
      <c r="P280" s="897">
        <f t="shared" ref="P280:P286" si="45">I280+N280</f>
        <v>53.34</v>
      </c>
      <c r="Q280" s="445">
        <f t="shared" si="41"/>
        <v>53</v>
      </c>
      <c r="R280" s="457"/>
      <c r="S280" s="446">
        <f t="shared" ref="S280:S286" si="46">ROUND(Q280,2)</f>
        <v>53</v>
      </c>
      <c r="T280" s="453">
        <v>0</v>
      </c>
      <c r="U280" s="453">
        <f t="shared" si="42"/>
        <v>53</v>
      </c>
      <c r="V280" s="723"/>
      <c r="W280" s="723"/>
      <c r="X280" s="432"/>
    </row>
    <row r="281" spans="1:24" s="431" customFormat="1" ht="37.799999999999997" x14ac:dyDescent="0.65">
      <c r="A281" s="888"/>
      <c r="B281" s="443" t="s">
        <v>505</v>
      </c>
      <c r="C281" s="443"/>
      <c r="D281" s="463" t="str">
        <f>'Перелік ціни'!C223</f>
        <v>Рентгенографія кісток</v>
      </c>
      <c r="E281" s="897"/>
      <c r="F281" s="897"/>
      <c r="G281" s="897"/>
      <c r="H281" s="897"/>
      <c r="I281" s="898"/>
      <c r="J281" s="897"/>
      <c r="K281" s="897"/>
      <c r="L281" s="897"/>
      <c r="M281" s="897"/>
      <c r="N281" s="898"/>
      <c r="O281" s="897"/>
      <c r="P281" s="897"/>
      <c r="Q281" s="445"/>
      <c r="R281" s="457"/>
      <c r="S281" s="446"/>
      <c r="T281" s="453"/>
      <c r="U281" s="453">
        <f t="shared" si="42"/>
        <v>0</v>
      </c>
      <c r="V281" s="723"/>
      <c r="W281" s="723"/>
      <c r="X281" s="432"/>
    </row>
    <row r="282" spans="1:24" s="431" customFormat="1" ht="37.799999999999997" x14ac:dyDescent="0.65">
      <c r="A282" s="888"/>
      <c r="B282" s="443"/>
      <c r="C282" s="443"/>
      <c r="D282" s="463" t="str">
        <f>'Перелік ціни'!C224</f>
        <v>плівка 30*40</v>
      </c>
      <c r="E282" s="897">
        <f>'Перелік ціни'!D224</f>
        <v>26.05</v>
      </c>
      <c r="F282" s="897">
        <f>'Перелік ціни'!E224</f>
        <v>5.73</v>
      </c>
      <c r="G282" s="897">
        <f>'Перелік ціни'!F224</f>
        <v>25.81</v>
      </c>
      <c r="H282" s="897">
        <f>'Перелік ціни'!G224</f>
        <v>0</v>
      </c>
      <c r="I282" s="898">
        <f t="shared" si="43"/>
        <v>57.59</v>
      </c>
      <c r="J282" s="897">
        <f>'Перелік ціни'!I224</f>
        <v>3.05</v>
      </c>
      <c r="K282" s="897">
        <f>'Перелік ціни'!J224</f>
        <v>0</v>
      </c>
      <c r="L282" s="897">
        <f>'Перелік ціни'!K224</f>
        <v>0</v>
      </c>
      <c r="M282" s="897">
        <f>'Перелік ціни'!L224</f>
        <v>0.4</v>
      </c>
      <c r="N282" s="898">
        <f t="shared" si="44"/>
        <v>3.4499999999999997</v>
      </c>
      <c r="O282" s="897"/>
      <c r="P282" s="897">
        <f t="shared" si="45"/>
        <v>61.040000000000006</v>
      </c>
      <c r="Q282" s="445">
        <f t="shared" si="41"/>
        <v>61</v>
      </c>
      <c r="R282" s="457"/>
      <c r="S282" s="446">
        <f t="shared" si="46"/>
        <v>61</v>
      </c>
      <c r="T282" s="453">
        <v>0</v>
      </c>
      <c r="U282" s="453">
        <f t="shared" si="42"/>
        <v>61</v>
      </c>
      <c r="V282" s="723"/>
      <c r="W282" s="723"/>
      <c r="X282" s="432"/>
    </row>
    <row r="283" spans="1:24" s="431" customFormat="1" ht="37.799999999999997" x14ac:dyDescent="0.65">
      <c r="A283" s="888"/>
      <c r="B283" s="443" t="s">
        <v>507</v>
      </c>
      <c r="C283" s="443"/>
      <c r="D283" s="463" t="str">
        <f>'Перелік ціни'!C225</f>
        <v>Рентгенографія кісток в двох проекціях</v>
      </c>
      <c r="E283" s="897"/>
      <c r="F283" s="897"/>
      <c r="G283" s="897"/>
      <c r="H283" s="897"/>
      <c r="I283" s="898"/>
      <c r="J283" s="897"/>
      <c r="K283" s="897"/>
      <c r="L283" s="897"/>
      <c r="M283" s="897"/>
      <c r="N283" s="898"/>
      <c r="O283" s="897"/>
      <c r="P283" s="897"/>
      <c r="Q283" s="445"/>
      <c r="R283" s="457"/>
      <c r="S283" s="446"/>
      <c r="T283" s="453"/>
      <c r="U283" s="453">
        <f t="shared" si="42"/>
        <v>0</v>
      </c>
      <c r="V283" s="723"/>
      <c r="W283" s="723"/>
      <c r="X283" s="432"/>
    </row>
    <row r="284" spans="1:24" s="431" customFormat="1" ht="37.799999999999997" x14ac:dyDescent="0.65">
      <c r="A284" s="888"/>
      <c r="B284" s="443"/>
      <c r="C284" s="443"/>
      <c r="D284" s="463" t="str">
        <f>'Перелік ціни'!C226</f>
        <v>плівка 24*30</v>
      </c>
      <c r="E284" s="897">
        <f>'Перелік ціни'!D226</f>
        <v>26.05</v>
      </c>
      <c r="F284" s="897">
        <f>'Перелік ціни'!E226</f>
        <v>5.73</v>
      </c>
      <c r="G284" s="897">
        <f>'Перелік ціни'!F226</f>
        <v>30.31</v>
      </c>
      <c r="H284" s="897">
        <f>'Перелік ціни'!G226</f>
        <v>0</v>
      </c>
      <c r="I284" s="898">
        <f t="shared" si="43"/>
        <v>62.09</v>
      </c>
      <c r="J284" s="897">
        <f>'Перелік ціни'!I226</f>
        <v>3.05</v>
      </c>
      <c r="K284" s="897">
        <f>'Перелік ціни'!J226</f>
        <v>0</v>
      </c>
      <c r="L284" s="897">
        <f>'Перелік ціни'!K226</f>
        <v>0</v>
      </c>
      <c r="M284" s="897">
        <f>'Перелік ціни'!L226</f>
        <v>0.4</v>
      </c>
      <c r="N284" s="898">
        <f t="shared" si="44"/>
        <v>3.4499999999999997</v>
      </c>
      <c r="O284" s="897"/>
      <c r="P284" s="897">
        <f t="shared" si="45"/>
        <v>65.540000000000006</v>
      </c>
      <c r="Q284" s="445">
        <f t="shared" si="41"/>
        <v>66</v>
      </c>
      <c r="R284" s="457"/>
      <c r="S284" s="446">
        <f t="shared" si="46"/>
        <v>66</v>
      </c>
      <c r="T284" s="453">
        <v>0</v>
      </c>
      <c r="U284" s="453">
        <f t="shared" si="42"/>
        <v>66</v>
      </c>
      <c r="V284" s="723"/>
      <c r="W284" s="723"/>
      <c r="X284" s="432"/>
    </row>
    <row r="285" spans="1:24" s="431" customFormat="1" ht="37.799999999999997" x14ac:dyDescent="0.65">
      <c r="A285" s="888"/>
      <c r="B285" s="443" t="s">
        <v>512</v>
      </c>
      <c r="C285" s="443"/>
      <c r="D285" s="463" t="str">
        <f>'Перелік ціни'!C227</f>
        <v>Рентгенографія кісток в двох проекціях</v>
      </c>
      <c r="E285" s="897"/>
      <c r="F285" s="897"/>
      <c r="G285" s="897"/>
      <c r="H285" s="897"/>
      <c r="I285" s="898"/>
      <c r="J285" s="897"/>
      <c r="K285" s="897"/>
      <c r="L285" s="897"/>
      <c r="M285" s="897"/>
      <c r="N285" s="898"/>
      <c r="O285" s="897"/>
      <c r="P285" s="897"/>
      <c r="Q285" s="445"/>
      <c r="R285" s="457"/>
      <c r="S285" s="446"/>
      <c r="T285" s="453"/>
      <c r="U285" s="453">
        <f t="shared" si="42"/>
        <v>0</v>
      </c>
      <c r="V285" s="723"/>
      <c r="W285" s="723"/>
      <c r="X285" s="432"/>
    </row>
    <row r="286" spans="1:24" s="431" customFormat="1" ht="37.799999999999997" x14ac:dyDescent="0.65">
      <c r="A286" s="888"/>
      <c r="B286" s="443"/>
      <c r="C286" s="443"/>
      <c r="D286" s="463" t="str">
        <f>'Перелік ціни'!C228</f>
        <v>плівка 30*40</v>
      </c>
      <c r="E286" s="897">
        <f>'Перелік ціни'!D228</f>
        <v>26.05</v>
      </c>
      <c r="F286" s="897">
        <f>'Перелік ціни'!E228</f>
        <v>5.73</v>
      </c>
      <c r="G286" s="897">
        <f>'Перелік ціни'!F228</f>
        <v>45.71</v>
      </c>
      <c r="H286" s="897">
        <f>'Перелік ціни'!G228</f>
        <v>0</v>
      </c>
      <c r="I286" s="898">
        <f t="shared" si="43"/>
        <v>77.490000000000009</v>
      </c>
      <c r="J286" s="897">
        <f>'Перелік ціни'!I228</f>
        <v>3.05</v>
      </c>
      <c r="K286" s="897">
        <f>'Перелік ціни'!J228</f>
        <v>0</v>
      </c>
      <c r="L286" s="897">
        <f>'Перелік ціни'!K228</f>
        <v>0</v>
      </c>
      <c r="M286" s="897">
        <f>'Перелік ціни'!L228</f>
        <v>0.4</v>
      </c>
      <c r="N286" s="898">
        <f t="shared" si="44"/>
        <v>3.4499999999999997</v>
      </c>
      <c r="O286" s="897"/>
      <c r="P286" s="897">
        <f t="shared" si="45"/>
        <v>80.940000000000012</v>
      </c>
      <c r="Q286" s="445">
        <f t="shared" si="41"/>
        <v>81</v>
      </c>
      <c r="R286" s="457"/>
      <c r="S286" s="446">
        <f t="shared" si="46"/>
        <v>81</v>
      </c>
      <c r="T286" s="453">
        <v>0</v>
      </c>
      <c r="U286" s="453">
        <f t="shared" si="42"/>
        <v>81</v>
      </c>
      <c r="V286" s="723"/>
      <c r="W286" s="723"/>
      <c r="X286" s="432"/>
    </row>
    <row r="287" spans="1:24" s="431" customFormat="1" ht="37.799999999999997" x14ac:dyDescent="0.65">
      <c r="A287" s="888"/>
      <c r="B287" s="443"/>
      <c r="C287" s="443"/>
      <c r="D287" s="463"/>
      <c r="E287" s="897"/>
      <c r="F287" s="897"/>
      <c r="G287" s="897"/>
      <c r="H287" s="897"/>
      <c r="I287" s="898"/>
      <c r="J287" s="897"/>
      <c r="K287" s="897"/>
      <c r="L287" s="897"/>
      <c r="M287" s="897"/>
      <c r="N287" s="898"/>
      <c r="O287" s="897"/>
      <c r="P287" s="897"/>
      <c r="Q287" s="445"/>
      <c r="R287" s="457"/>
      <c r="S287" s="446"/>
      <c r="T287" s="453"/>
      <c r="U287" s="453">
        <f t="shared" si="42"/>
        <v>0</v>
      </c>
      <c r="V287" s="723"/>
      <c r="W287" s="723"/>
      <c r="X287" s="432"/>
    </row>
    <row r="288" spans="1:24" s="431" customFormat="1" ht="37.799999999999997" x14ac:dyDescent="0.65">
      <c r="A288" s="888"/>
      <c r="B288" s="742"/>
      <c r="C288" s="742"/>
      <c r="D288" s="743"/>
      <c r="E288" s="900"/>
      <c r="F288" s="900"/>
      <c r="G288" s="900"/>
      <c r="H288" s="900"/>
      <c r="I288" s="901"/>
      <c r="J288" s="900"/>
      <c r="K288" s="900"/>
      <c r="L288" s="900"/>
      <c r="M288" s="900"/>
      <c r="N288" s="901"/>
      <c r="O288" s="900"/>
      <c r="P288" s="900"/>
      <c r="Q288" s="744"/>
      <c r="R288" s="745"/>
      <c r="S288" s="746"/>
      <c r="T288" s="747"/>
      <c r="U288" s="747"/>
      <c r="V288" s="723"/>
      <c r="W288" s="723"/>
      <c r="X288" s="432"/>
    </row>
    <row r="289" spans="1:24" s="422" customFormat="1" x14ac:dyDescent="0.65">
      <c r="A289" s="886"/>
      <c r="B289" s="425"/>
      <c r="C289" s="425"/>
      <c r="D289" s="426"/>
      <c r="E289" s="900"/>
      <c r="F289" s="900"/>
      <c r="G289" s="900"/>
      <c r="H289" s="900"/>
      <c r="I289" s="900"/>
      <c r="J289" s="900"/>
      <c r="K289" s="900"/>
      <c r="L289" s="900"/>
      <c r="M289" s="900"/>
      <c r="N289" s="900"/>
      <c r="O289" s="900"/>
      <c r="P289" s="900"/>
      <c r="Q289" s="427"/>
      <c r="R289" s="430"/>
      <c r="S289" s="428"/>
      <c r="T289" s="428"/>
      <c r="U289" s="428"/>
      <c r="V289" s="718"/>
      <c r="W289" s="718"/>
      <c r="X289" s="423"/>
    </row>
    <row r="290" spans="1:24" s="436" customFormat="1" ht="40.200000000000003" x14ac:dyDescent="0.7">
      <c r="A290" s="437"/>
      <c r="B290" s="681"/>
      <c r="C290" s="435"/>
      <c r="D290" s="435"/>
      <c r="E290" s="890"/>
      <c r="F290" s="890"/>
      <c r="G290" s="890"/>
      <c r="H290" s="890"/>
      <c r="I290" s="890"/>
      <c r="J290" s="890"/>
      <c r="K290" s="890"/>
      <c r="L290" s="890"/>
      <c r="M290" s="890"/>
      <c r="N290" s="890"/>
      <c r="O290" s="890"/>
      <c r="P290" s="890"/>
      <c r="Q290" s="1021" t="s">
        <v>155</v>
      </c>
      <c r="R290" s="1021"/>
      <c r="S290" s="1021"/>
      <c r="T290" s="709"/>
      <c r="U290" s="709"/>
      <c r="V290" s="713"/>
      <c r="W290" s="713"/>
      <c r="X290" s="437"/>
    </row>
    <row r="291" spans="1:24" s="436" customFormat="1" ht="40.200000000000003" x14ac:dyDescent="0.7">
      <c r="A291" s="437"/>
      <c r="B291" s="682"/>
      <c r="E291" s="890"/>
      <c r="F291" s="890"/>
      <c r="G291" s="890"/>
      <c r="H291" s="890"/>
      <c r="I291" s="890"/>
      <c r="J291" s="890"/>
      <c r="K291" s="890"/>
      <c r="L291" s="890"/>
      <c r="M291" s="890"/>
      <c r="N291" s="890"/>
      <c r="O291" s="890"/>
      <c r="P291" s="890"/>
      <c r="Q291" s="1021" t="s">
        <v>156</v>
      </c>
      <c r="R291" s="1021"/>
      <c r="S291" s="1021"/>
      <c r="T291" s="709"/>
      <c r="U291" s="709"/>
      <c r="V291" s="713"/>
      <c r="W291" s="713"/>
      <c r="X291" s="438"/>
    </row>
    <row r="292" spans="1:24" s="436" customFormat="1" ht="40.200000000000003" x14ac:dyDescent="0.7">
      <c r="A292" s="437"/>
      <c r="B292" s="682"/>
      <c r="E292" s="890"/>
      <c r="F292" s="890"/>
      <c r="G292" s="890"/>
      <c r="H292" s="890"/>
      <c r="I292" s="890"/>
      <c r="J292" s="890"/>
      <c r="K292" s="890"/>
      <c r="L292" s="890"/>
      <c r="M292" s="890"/>
      <c r="N292" s="890"/>
      <c r="O292" s="890"/>
      <c r="P292" s="890"/>
      <c r="Q292" s="1021" t="str">
        <f>Q219</f>
        <v>______ грудня 2021 року</v>
      </c>
      <c r="R292" s="1021"/>
      <c r="S292" s="1021"/>
      <c r="T292" s="709"/>
      <c r="U292" s="709"/>
      <c r="V292" s="713"/>
      <c r="W292" s="713"/>
      <c r="X292" s="438"/>
    </row>
    <row r="293" spans="1:24" s="438" customFormat="1" ht="39.6" x14ac:dyDescent="0.65">
      <c r="A293" s="437"/>
      <c r="B293" s="1023"/>
      <c r="C293" s="1023"/>
      <c r="D293" s="1023"/>
      <c r="E293" s="1023"/>
      <c r="F293" s="1023"/>
      <c r="G293" s="1023"/>
      <c r="H293" s="1023"/>
      <c r="I293" s="1023"/>
      <c r="J293" s="1023"/>
      <c r="K293" s="1023"/>
      <c r="L293" s="1023"/>
      <c r="M293" s="1023"/>
      <c r="N293" s="1023"/>
      <c r="O293" s="1023"/>
      <c r="P293" s="1023"/>
      <c r="Q293" s="1023"/>
      <c r="R293" s="1023"/>
      <c r="S293" s="1023"/>
      <c r="T293" s="711"/>
      <c r="U293" s="711"/>
      <c r="V293" s="714"/>
      <c r="W293" s="714"/>
    </row>
    <row r="294" spans="1:24" s="438" customFormat="1" ht="39.6" x14ac:dyDescent="0.65">
      <c r="A294" s="437"/>
      <c r="B294" s="1022" t="s">
        <v>157</v>
      </c>
      <c r="C294" s="1022"/>
      <c r="D294" s="1022"/>
      <c r="E294" s="1022"/>
      <c r="F294" s="1022"/>
      <c r="G294" s="1022"/>
      <c r="H294" s="1022"/>
      <c r="I294" s="1022"/>
      <c r="J294" s="1022"/>
      <c r="K294" s="1022"/>
      <c r="L294" s="1022"/>
      <c r="M294" s="1022"/>
      <c r="N294" s="1022"/>
      <c r="O294" s="1022"/>
      <c r="P294" s="1022"/>
      <c r="Q294" s="1022"/>
      <c r="R294" s="1022"/>
      <c r="S294" s="1022"/>
      <c r="T294" s="710"/>
      <c r="U294" s="710"/>
      <c r="V294" s="714"/>
      <c r="W294" s="714"/>
    </row>
    <row r="295" spans="1:24" s="438" customFormat="1" ht="39.6" x14ac:dyDescent="0.65">
      <c r="A295" s="437"/>
      <c r="B295" s="1022" t="s">
        <v>158</v>
      </c>
      <c r="C295" s="1022"/>
      <c r="D295" s="1022"/>
      <c r="E295" s="1022"/>
      <c r="F295" s="1022"/>
      <c r="G295" s="1022"/>
      <c r="H295" s="1022"/>
      <c r="I295" s="1022"/>
      <c r="J295" s="1022"/>
      <c r="K295" s="1022"/>
      <c r="L295" s="1022"/>
      <c r="M295" s="1022"/>
      <c r="N295" s="1022"/>
      <c r="O295" s="1022"/>
      <c r="P295" s="1022"/>
      <c r="Q295" s="1022"/>
      <c r="R295" s="1022"/>
      <c r="S295" s="1022"/>
      <c r="T295" s="710"/>
      <c r="U295" s="710"/>
      <c r="V295" s="714"/>
      <c r="W295" s="714"/>
    </row>
    <row r="296" spans="1:24" s="438" customFormat="1" ht="39.6" x14ac:dyDescent="0.65">
      <c r="A296" s="437"/>
      <c r="B296" s="1022" t="s">
        <v>109</v>
      </c>
      <c r="C296" s="1022"/>
      <c r="D296" s="1022"/>
      <c r="E296" s="1022"/>
      <c r="F296" s="1022"/>
      <c r="G296" s="1022"/>
      <c r="H296" s="1022"/>
      <c r="I296" s="1022"/>
      <c r="J296" s="1022"/>
      <c r="K296" s="1022"/>
      <c r="L296" s="1022"/>
      <c r="M296" s="1022"/>
      <c r="N296" s="1022"/>
      <c r="O296" s="1022"/>
      <c r="P296" s="1022"/>
      <c r="Q296" s="1022"/>
      <c r="R296" s="1022"/>
      <c r="S296" s="1022"/>
      <c r="T296" s="710"/>
      <c r="U296" s="710"/>
      <c r="V296" s="714"/>
      <c r="W296" s="714"/>
    </row>
    <row r="297" spans="1:24" s="422" customFormat="1" ht="38.4" x14ac:dyDescent="0.7">
      <c r="A297" s="886"/>
      <c r="B297" s="439" t="s">
        <v>1185</v>
      </c>
      <c r="C297" s="439"/>
      <c r="D297" s="440" t="s">
        <v>1186</v>
      </c>
      <c r="E297" s="891"/>
      <c r="F297" s="891"/>
      <c r="G297" s="891"/>
      <c r="H297" s="891"/>
      <c r="I297" s="891"/>
      <c r="J297" s="891"/>
      <c r="K297" s="891"/>
      <c r="L297" s="891"/>
      <c r="M297" s="891"/>
      <c r="N297" s="891"/>
      <c r="O297" s="891"/>
      <c r="P297" s="891"/>
      <c r="Q297" s="441"/>
      <c r="R297" s="441"/>
      <c r="S297" s="442" t="s">
        <v>1187</v>
      </c>
      <c r="T297" s="442"/>
      <c r="U297" s="442"/>
      <c r="V297" s="718"/>
      <c r="W297" s="718"/>
      <c r="X297" s="423"/>
    </row>
    <row r="298" spans="1:24" s="424" customFormat="1" ht="37.200000000000003" x14ac:dyDescent="0.6">
      <c r="A298" s="887"/>
      <c r="B298" s="442">
        <v>11</v>
      </c>
      <c r="C298" s="442"/>
      <c r="D298" s="464" t="s">
        <v>161</v>
      </c>
      <c r="E298" s="895" t="s">
        <v>1118</v>
      </c>
      <c r="F298" s="896">
        <v>0.22</v>
      </c>
      <c r="G298" s="895" t="s">
        <v>1119</v>
      </c>
      <c r="H298" s="895" t="s">
        <v>1125</v>
      </c>
      <c r="I298" s="895" t="s">
        <v>1120</v>
      </c>
      <c r="J298" s="895" t="s">
        <v>1121</v>
      </c>
      <c r="K298" s="895" t="s">
        <v>1122</v>
      </c>
      <c r="L298" s="895" t="s">
        <v>1126</v>
      </c>
      <c r="M298" s="895" t="s">
        <v>1123</v>
      </c>
      <c r="N298" s="895" t="s">
        <v>1127</v>
      </c>
      <c r="O298" s="895"/>
      <c r="P298" s="895" t="s">
        <v>988</v>
      </c>
      <c r="Q298" s="442" t="s">
        <v>988</v>
      </c>
      <c r="R298" s="442" t="s">
        <v>1181</v>
      </c>
      <c r="S298" s="442" t="s">
        <v>1183</v>
      </c>
      <c r="T298" s="712" t="s">
        <v>494</v>
      </c>
      <c r="U298" s="448"/>
      <c r="V298" s="719"/>
      <c r="W298" s="719"/>
      <c r="X298" s="423"/>
    </row>
    <row r="299" spans="1:24" s="881" customFormat="1" ht="37.200000000000003" x14ac:dyDescent="0.6">
      <c r="B299" s="875"/>
      <c r="C299" s="875"/>
      <c r="D299" s="883" t="str">
        <f>'Перелік ціни'!C231</f>
        <v>Рентгенографія черепа</v>
      </c>
      <c r="E299" s="902"/>
      <c r="F299" s="902"/>
      <c r="G299" s="902"/>
      <c r="H299" s="902"/>
      <c r="I299" s="902"/>
      <c r="J299" s="902"/>
      <c r="K299" s="902"/>
      <c r="L299" s="902"/>
      <c r="M299" s="902"/>
      <c r="N299" s="902"/>
      <c r="O299" s="902"/>
      <c r="P299" s="902"/>
      <c r="Q299" s="850"/>
      <c r="R299" s="876"/>
      <c r="S299" s="877"/>
      <c r="T299" s="878"/>
      <c r="U299" s="878"/>
      <c r="V299" s="879"/>
      <c r="W299" s="879"/>
      <c r="X299" s="880"/>
    </row>
    <row r="300" spans="1:24" s="873" customFormat="1" ht="37.799999999999997" x14ac:dyDescent="0.65">
      <c r="A300" s="853"/>
      <c r="B300" s="837" t="s">
        <v>240</v>
      </c>
      <c r="C300" s="837"/>
      <c r="D300" s="848" t="str">
        <f>'Перелік ціни'!C232</f>
        <v>А4</v>
      </c>
      <c r="E300" s="903">
        <f>'Перелік ціни'!D232</f>
        <v>26.05</v>
      </c>
      <c r="F300" s="903">
        <f>'Перелік ціни'!E232</f>
        <v>5.73</v>
      </c>
      <c r="G300" s="903">
        <f>'Перелік ціни'!F232</f>
        <v>3.1799999999999997</v>
      </c>
      <c r="H300" s="903">
        <f>'Перелік ціни'!G232</f>
        <v>48.15</v>
      </c>
      <c r="I300" s="903">
        <f>'Перелік ціни'!H232</f>
        <v>83.11</v>
      </c>
      <c r="J300" s="903">
        <f>'Перелік ціни'!I232</f>
        <v>3.05</v>
      </c>
      <c r="K300" s="903">
        <f>'Перелік ціни'!J232</f>
        <v>0</v>
      </c>
      <c r="L300" s="903">
        <f>'Перелік ціни'!K232</f>
        <v>0</v>
      </c>
      <c r="M300" s="903">
        <f>'Перелік ціни'!L232</f>
        <v>0.4</v>
      </c>
      <c r="N300" s="903">
        <f>'Перелік ціни'!M232</f>
        <v>3.4499999999999997</v>
      </c>
      <c r="O300" s="903">
        <f>'Перелік ціни'!N232</f>
        <v>86.56</v>
      </c>
      <c r="P300" s="903">
        <f>'Перелік ціни'!O232</f>
        <v>0</v>
      </c>
      <c r="Q300" s="843">
        <f>'Перелік ціни'!P232</f>
        <v>87</v>
      </c>
      <c r="R300" s="841"/>
      <c r="S300" s="839">
        <f>ROUND(Q300,2)</f>
        <v>87</v>
      </c>
      <c r="T300" s="834"/>
      <c r="U300" s="834">
        <f t="shared" ref="U300:U354" si="47">S300-T300</f>
        <v>87</v>
      </c>
      <c r="V300" s="842"/>
      <c r="W300" s="842"/>
      <c r="X300" s="872"/>
    </row>
    <row r="301" spans="1:24" s="873" customFormat="1" ht="37.799999999999997" x14ac:dyDescent="0.65">
      <c r="A301" s="853"/>
      <c r="B301" s="837" t="s">
        <v>241</v>
      </c>
      <c r="C301" s="837"/>
      <c r="D301" s="848" t="str">
        <f>'Перелік ціни'!C233</f>
        <v>плівка 20*25</v>
      </c>
      <c r="E301" s="903">
        <f>'Перелік ціни'!D233</f>
        <v>26.05</v>
      </c>
      <c r="F301" s="903">
        <f>'Перелік ціни'!E233</f>
        <v>5.73</v>
      </c>
      <c r="G301" s="903">
        <f>'Перелік ціни'!F233</f>
        <v>31.1</v>
      </c>
      <c r="H301" s="903">
        <f>'Перелік ціни'!G233</f>
        <v>48.15</v>
      </c>
      <c r="I301" s="903">
        <f>'Перелік ціни'!H233</f>
        <v>111.03</v>
      </c>
      <c r="J301" s="903">
        <f>'Перелік ціни'!I233</f>
        <v>3.05</v>
      </c>
      <c r="K301" s="903">
        <f>'Перелік ціни'!J233</f>
        <v>0</v>
      </c>
      <c r="L301" s="903">
        <f>'Перелік ціни'!K233</f>
        <v>0</v>
      </c>
      <c r="M301" s="903">
        <f>'Перелік ціни'!L233</f>
        <v>0.4</v>
      </c>
      <c r="N301" s="903">
        <f>'Перелік ціни'!M233</f>
        <v>3.4499999999999997</v>
      </c>
      <c r="O301" s="903">
        <f>'Перелік ціни'!N233</f>
        <v>114.48</v>
      </c>
      <c r="P301" s="903">
        <f>'Перелік ціни'!O233</f>
        <v>0</v>
      </c>
      <c r="Q301" s="843">
        <f>'Перелік ціни'!P233</f>
        <v>114</v>
      </c>
      <c r="R301" s="841"/>
      <c r="S301" s="839">
        <f t="shared" ref="S301:S354" si="48">ROUND(Q301,2)</f>
        <v>114</v>
      </c>
      <c r="T301" s="834"/>
      <c r="U301" s="834">
        <f t="shared" si="47"/>
        <v>114</v>
      </c>
      <c r="V301" s="842"/>
      <c r="W301" s="842"/>
      <c r="X301" s="872"/>
    </row>
    <row r="302" spans="1:24" s="873" customFormat="1" ht="37.799999999999997" x14ac:dyDescent="0.65">
      <c r="A302" s="853"/>
      <c r="B302" s="837" t="s">
        <v>242</v>
      </c>
      <c r="C302" s="837"/>
      <c r="D302" s="848" t="str">
        <f>'Перелік ціни'!C234</f>
        <v>плівка 35*43 - 1 шт</v>
      </c>
      <c r="E302" s="903">
        <f>'Перелік ціни'!D234</f>
        <v>26.05</v>
      </c>
      <c r="F302" s="903">
        <f>'Перелік ціни'!E234</f>
        <v>5.73</v>
      </c>
      <c r="G302" s="903">
        <f>'Перелік ціни'!F234</f>
        <v>18.720000000000002</v>
      </c>
      <c r="H302" s="903">
        <f>'Перелік ціни'!G234</f>
        <v>48.15</v>
      </c>
      <c r="I302" s="903">
        <f>'Перелік ціни'!H234</f>
        <v>98.65</v>
      </c>
      <c r="J302" s="903">
        <f>'Перелік ціни'!I234</f>
        <v>3.05</v>
      </c>
      <c r="K302" s="903">
        <f>'Перелік ціни'!J234</f>
        <v>0</v>
      </c>
      <c r="L302" s="903">
        <f>'Перелік ціни'!K234</f>
        <v>0</v>
      </c>
      <c r="M302" s="903">
        <f>'Перелік ціни'!L234</f>
        <v>0.4</v>
      </c>
      <c r="N302" s="903">
        <f>'Перелік ціни'!M234</f>
        <v>3.4499999999999997</v>
      </c>
      <c r="O302" s="903">
        <f>'Перелік ціни'!N234</f>
        <v>102.10000000000001</v>
      </c>
      <c r="P302" s="903">
        <f>'Перелік ціни'!O234</f>
        <v>0</v>
      </c>
      <c r="Q302" s="843">
        <f>'Перелік ціни'!P234</f>
        <v>102</v>
      </c>
      <c r="R302" s="838"/>
      <c r="S302" s="839">
        <f t="shared" si="48"/>
        <v>102</v>
      </c>
      <c r="T302" s="834"/>
      <c r="U302" s="834">
        <f t="shared" si="47"/>
        <v>102</v>
      </c>
      <c r="V302" s="842"/>
      <c r="W302" s="842"/>
      <c r="X302" s="872"/>
    </row>
    <row r="303" spans="1:24" s="873" customFormat="1" ht="37.799999999999997" x14ac:dyDescent="0.65">
      <c r="A303" s="853"/>
      <c r="B303" s="837" t="s">
        <v>243</v>
      </c>
      <c r="C303" s="837"/>
      <c r="D303" s="848" t="str">
        <f>'Перелік ціни'!C235</f>
        <v>плівка 35*43 - 2 шт</v>
      </c>
      <c r="E303" s="903">
        <f>'Перелік ціни'!D235</f>
        <v>26.05</v>
      </c>
      <c r="F303" s="903">
        <f>'Перелік ціни'!E235</f>
        <v>5.73</v>
      </c>
      <c r="G303" s="903">
        <f>'Перелік ціни'!F235</f>
        <v>34.56</v>
      </c>
      <c r="H303" s="903">
        <f>'Перелік ціни'!G235</f>
        <v>48.15</v>
      </c>
      <c r="I303" s="903">
        <f>'Перелік ціни'!H235</f>
        <v>114.49000000000001</v>
      </c>
      <c r="J303" s="903">
        <f>'Перелік ціни'!I235</f>
        <v>3.05</v>
      </c>
      <c r="K303" s="903">
        <f>'Перелік ціни'!J235</f>
        <v>0</v>
      </c>
      <c r="L303" s="903">
        <f>'Перелік ціни'!K235</f>
        <v>0</v>
      </c>
      <c r="M303" s="903">
        <f>'Перелік ціни'!L235</f>
        <v>0.4</v>
      </c>
      <c r="N303" s="903">
        <f>'Перелік ціни'!M235</f>
        <v>3.4499999999999997</v>
      </c>
      <c r="O303" s="903">
        <f>'Перелік ціни'!N235</f>
        <v>117.94000000000001</v>
      </c>
      <c r="P303" s="903">
        <f>'Перелік ціни'!O235</f>
        <v>0</v>
      </c>
      <c r="Q303" s="843">
        <f>'Перелік ціни'!P235</f>
        <v>118</v>
      </c>
      <c r="R303" s="838"/>
      <c r="S303" s="839">
        <f t="shared" si="48"/>
        <v>118</v>
      </c>
      <c r="T303" s="834"/>
      <c r="U303" s="834">
        <f t="shared" si="47"/>
        <v>118</v>
      </c>
      <c r="V303" s="842"/>
      <c r="W303" s="842"/>
      <c r="X303" s="872"/>
    </row>
    <row r="304" spans="1:24" s="873" customFormat="1" ht="37.799999999999997" x14ac:dyDescent="0.65">
      <c r="A304" s="853"/>
      <c r="B304" s="837" t="s">
        <v>244</v>
      </c>
      <c r="C304" s="837"/>
      <c r="D304" s="848" t="str">
        <f>'Перелік ціни'!C236</f>
        <v>без плівки</v>
      </c>
      <c r="E304" s="903">
        <f>'Перелік ціни'!D236</f>
        <v>26.05</v>
      </c>
      <c r="F304" s="903">
        <f>'Перелік ціни'!E236</f>
        <v>5.73</v>
      </c>
      <c r="G304" s="903">
        <f>'Перелік ціни'!F236</f>
        <v>2.88</v>
      </c>
      <c r="H304" s="903">
        <f>'Перелік ціни'!G236</f>
        <v>48.15</v>
      </c>
      <c r="I304" s="903">
        <f>'Перелік ціни'!H236</f>
        <v>82.81</v>
      </c>
      <c r="J304" s="903">
        <f>'Перелік ціни'!I236</f>
        <v>3.05</v>
      </c>
      <c r="K304" s="903">
        <f>'Перелік ціни'!J236</f>
        <v>0</v>
      </c>
      <c r="L304" s="903">
        <f>'Перелік ціни'!K236</f>
        <v>0</v>
      </c>
      <c r="M304" s="903">
        <f>'Перелік ціни'!L236</f>
        <v>0.4</v>
      </c>
      <c r="N304" s="903">
        <f>'Перелік ціни'!M236</f>
        <v>3.4499999999999997</v>
      </c>
      <c r="O304" s="903">
        <f>'Перелік ціни'!N236</f>
        <v>86.26</v>
      </c>
      <c r="P304" s="903">
        <f>'Перелік ціни'!O236</f>
        <v>0</v>
      </c>
      <c r="Q304" s="843">
        <f>'Перелік ціни'!P236</f>
        <v>86</v>
      </c>
      <c r="R304" s="838"/>
      <c r="S304" s="839">
        <f t="shared" si="48"/>
        <v>86</v>
      </c>
      <c r="T304" s="834"/>
      <c r="U304" s="834">
        <f t="shared" si="47"/>
        <v>86</v>
      </c>
      <c r="V304" s="842"/>
      <c r="W304" s="842"/>
      <c r="X304" s="872"/>
    </row>
    <row r="305" spans="1:24" s="881" customFormat="1" ht="37.799999999999997" x14ac:dyDescent="0.65">
      <c r="B305" s="882"/>
      <c r="C305" s="875"/>
      <c r="D305" s="883" t="str">
        <f>'Перелік ціни'!C237</f>
        <v>Рентгенографія хребта</v>
      </c>
      <c r="E305" s="903">
        <f>'Перелік ціни'!D237</f>
        <v>0</v>
      </c>
      <c r="F305" s="903">
        <f>'Перелік ціни'!E237</f>
        <v>0</v>
      </c>
      <c r="G305" s="903">
        <f>'Перелік ціни'!F237</f>
        <v>0</v>
      </c>
      <c r="H305" s="903">
        <f>'Перелік ціни'!G237</f>
        <v>0</v>
      </c>
      <c r="I305" s="903">
        <f>'Перелік ціни'!H237</f>
        <v>0</v>
      </c>
      <c r="J305" s="903">
        <f>'Перелік ціни'!I237</f>
        <v>0</v>
      </c>
      <c r="K305" s="903">
        <f>'Перелік ціни'!J237</f>
        <v>0</v>
      </c>
      <c r="L305" s="903">
        <f>'Перелік ціни'!K237</f>
        <v>0</v>
      </c>
      <c r="M305" s="903">
        <f>'Перелік ціни'!L237</f>
        <v>0</v>
      </c>
      <c r="N305" s="903">
        <f>'Перелік ціни'!M237</f>
        <v>0</v>
      </c>
      <c r="O305" s="903">
        <f>'Перелік ціни'!N237</f>
        <v>0</v>
      </c>
      <c r="P305" s="903">
        <f>'Перелік ціни'!O237</f>
        <v>0</v>
      </c>
      <c r="Q305" s="843"/>
      <c r="R305" s="877"/>
      <c r="S305" s="839"/>
      <c r="T305" s="878"/>
      <c r="U305" s="834">
        <f t="shared" si="47"/>
        <v>0</v>
      </c>
      <c r="V305" s="879"/>
      <c r="W305" s="879"/>
      <c r="X305" s="880"/>
    </row>
    <row r="306" spans="1:24" s="873" customFormat="1" ht="37.799999999999997" x14ac:dyDescent="0.65">
      <c r="A306" s="853"/>
      <c r="B306" s="837" t="s">
        <v>245</v>
      </c>
      <c r="C306" s="837"/>
      <c r="D306" s="848" t="str">
        <f>'Перелік ціни'!C238</f>
        <v>А4</v>
      </c>
      <c r="E306" s="903">
        <f>'Перелік ціни'!D238</f>
        <v>26.05</v>
      </c>
      <c r="F306" s="903">
        <f>'Перелік ціни'!E238</f>
        <v>5.73</v>
      </c>
      <c r="G306" s="903">
        <f>'Перелік ціни'!F238</f>
        <v>3.1799999999999997</v>
      </c>
      <c r="H306" s="903">
        <f>'Перелік ціни'!G238</f>
        <v>48.15</v>
      </c>
      <c r="I306" s="903">
        <f>'Перелік ціни'!H238</f>
        <v>83.11</v>
      </c>
      <c r="J306" s="903">
        <f>'Перелік ціни'!I238</f>
        <v>3.05</v>
      </c>
      <c r="K306" s="903">
        <f>'Перелік ціни'!J238</f>
        <v>0</v>
      </c>
      <c r="L306" s="903">
        <f>'Перелік ціни'!K238</f>
        <v>0</v>
      </c>
      <c r="M306" s="903">
        <f>'Перелік ціни'!L238</f>
        <v>0.4</v>
      </c>
      <c r="N306" s="903">
        <f>'Перелік ціни'!M238</f>
        <v>3.4499999999999997</v>
      </c>
      <c r="O306" s="903">
        <f>'Перелік ціни'!N238</f>
        <v>86.56</v>
      </c>
      <c r="P306" s="903">
        <f>'Перелік ціни'!O238</f>
        <v>0</v>
      </c>
      <c r="Q306" s="843">
        <f>'Перелік ціни'!P238</f>
        <v>87</v>
      </c>
      <c r="R306" s="838"/>
      <c r="S306" s="839">
        <f t="shared" si="48"/>
        <v>87</v>
      </c>
      <c r="T306" s="834"/>
      <c r="U306" s="834">
        <f t="shared" si="47"/>
        <v>87</v>
      </c>
      <c r="V306" s="842"/>
      <c r="W306" s="842"/>
      <c r="X306" s="872"/>
    </row>
    <row r="307" spans="1:24" s="873" customFormat="1" ht="37.799999999999997" x14ac:dyDescent="0.65">
      <c r="A307" s="853"/>
      <c r="B307" s="837" t="s">
        <v>251</v>
      </c>
      <c r="C307" s="837"/>
      <c r="D307" s="848" t="str">
        <f>'Перелік ціни'!C239</f>
        <v>плівка 35*43 - 1 шт</v>
      </c>
      <c r="E307" s="903">
        <f>'Перелік ціни'!D239</f>
        <v>26.05</v>
      </c>
      <c r="F307" s="903">
        <f>'Перелік ціни'!E239</f>
        <v>5.73</v>
      </c>
      <c r="G307" s="903">
        <f>'Перелік ціни'!F239</f>
        <v>18.720000000000002</v>
      </c>
      <c r="H307" s="903">
        <f>'Перелік ціни'!G239</f>
        <v>48.15</v>
      </c>
      <c r="I307" s="903">
        <f>'Перелік ціни'!H239</f>
        <v>98.65</v>
      </c>
      <c r="J307" s="903">
        <f>'Перелік ціни'!I239</f>
        <v>3.05</v>
      </c>
      <c r="K307" s="903">
        <f>'Перелік ціни'!J239</f>
        <v>0</v>
      </c>
      <c r="L307" s="903">
        <f>'Перелік ціни'!K239</f>
        <v>0</v>
      </c>
      <c r="M307" s="903">
        <f>'Перелік ціни'!L239</f>
        <v>0.4</v>
      </c>
      <c r="N307" s="903">
        <f>'Перелік ціни'!M239</f>
        <v>3.4499999999999997</v>
      </c>
      <c r="O307" s="903">
        <f>'Перелік ціни'!N239</f>
        <v>102.10000000000001</v>
      </c>
      <c r="P307" s="903">
        <f>'Перелік ціни'!O239</f>
        <v>0</v>
      </c>
      <c r="Q307" s="843">
        <f>'Перелік ціни'!P239</f>
        <v>102</v>
      </c>
      <c r="R307" s="841"/>
      <c r="S307" s="839">
        <f t="shared" si="48"/>
        <v>102</v>
      </c>
      <c r="T307" s="834"/>
      <c r="U307" s="834">
        <f t="shared" si="47"/>
        <v>102</v>
      </c>
      <c r="V307" s="842"/>
      <c r="W307" s="842"/>
      <c r="X307" s="872"/>
    </row>
    <row r="308" spans="1:24" s="873" customFormat="1" ht="37.799999999999997" x14ac:dyDescent="0.65">
      <c r="A308" s="853"/>
      <c r="B308" s="837" t="s">
        <v>289</v>
      </c>
      <c r="C308" s="837"/>
      <c r="D308" s="848" t="str">
        <f>'Перелік ціни'!C240</f>
        <v>плівка 35*43 - 2 шт</v>
      </c>
      <c r="E308" s="903">
        <f>'Перелік ціни'!D240</f>
        <v>26.05</v>
      </c>
      <c r="F308" s="903">
        <f>'Перелік ціни'!E240</f>
        <v>5.73</v>
      </c>
      <c r="G308" s="903">
        <f>'Перелік ціни'!F240</f>
        <v>34.56</v>
      </c>
      <c r="H308" s="903">
        <f>'Перелік ціни'!G240</f>
        <v>48.15</v>
      </c>
      <c r="I308" s="903">
        <f>'Перелік ціни'!H240</f>
        <v>114.49000000000001</v>
      </c>
      <c r="J308" s="903">
        <f>'Перелік ціни'!I240</f>
        <v>3.05</v>
      </c>
      <c r="K308" s="903">
        <f>'Перелік ціни'!J240</f>
        <v>0</v>
      </c>
      <c r="L308" s="903">
        <f>'Перелік ціни'!K240</f>
        <v>0</v>
      </c>
      <c r="M308" s="903">
        <f>'Перелік ціни'!L240</f>
        <v>0.4</v>
      </c>
      <c r="N308" s="903">
        <f>'Перелік ціни'!M240</f>
        <v>3.4499999999999997</v>
      </c>
      <c r="O308" s="903">
        <f>'Перелік ціни'!N240</f>
        <v>117.94000000000001</v>
      </c>
      <c r="P308" s="903">
        <f>'Перелік ціни'!O240</f>
        <v>0</v>
      </c>
      <c r="Q308" s="843">
        <f>'Перелік ціни'!P240</f>
        <v>118</v>
      </c>
      <c r="R308" s="841"/>
      <c r="S308" s="839">
        <f t="shared" si="48"/>
        <v>118</v>
      </c>
      <c r="T308" s="834"/>
      <c r="U308" s="834">
        <f t="shared" si="47"/>
        <v>118</v>
      </c>
      <c r="V308" s="842"/>
      <c r="W308" s="842"/>
      <c r="X308" s="872"/>
    </row>
    <row r="309" spans="1:24" s="873" customFormat="1" ht="37.799999999999997" x14ac:dyDescent="0.65">
      <c r="A309" s="853"/>
      <c r="B309" s="837" t="s">
        <v>252</v>
      </c>
      <c r="C309" s="837"/>
      <c r="D309" s="848" t="str">
        <f>'Перелік ціни'!C241</f>
        <v>без плівки</v>
      </c>
      <c r="E309" s="903">
        <f>'Перелік ціни'!D241</f>
        <v>26.05</v>
      </c>
      <c r="F309" s="903">
        <f>'Перелік ціни'!E241</f>
        <v>5.73</v>
      </c>
      <c r="G309" s="903">
        <f>'Перелік ціни'!F241</f>
        <v>2.88</v>
      </c>
      <c r="H309" s="903">
        <f>'Перелік ціни'!G241</f>
        <v>48.15</v>
      </c>
      <c r="I309" s="903">
        <f>'Перелік ціни'!H241</f>
        <v>82.81</v>
      </c>
      <c r="J309" s="903">
        <f>'Перелік ціни'!I241</f>
        <v>3.05</v>
      </c>
      <c r="K309" s="903">
        <f>'Перелік ціни'!J241</f>
        <v>0</v>
      </c>
      <c r="L309" s="903">
        <f>'Перелік ціни'!K241</f>
        <v>0</v>
      </c>
      <c r="M309" s="903">
        <f>'Перелік ціни'!L241</f>
        <v>0.4</v>
      </c>
      <c r="N309" s="903">
        <f>'Перелік ціни'!M241</f>
        <v>3.4499999999999997</v>
      </c>
      <c r="O309" s="903">
        <f>'Перелік ціни'!N241</f>
        <v>86.26</v>
      </c>
      <c r="P309" s="903">
        <f>'Перелік ціни'!O241</f>
        <v>0</v>
      </c>
      <c r="Q309" s="843">
        <f>'Перелік ціни'!P241</f>
        <v>86</v>
      </c>
      <c r="R309" s="841"/>
      <c r="S309" s="839">
        <f t="shared" si="48"/>
        <v>86</v>
      </c>
      <c r="T309" s="834"/>
      <c r="U309" s="834">
        <f t="shared" si="47"/>
        <v>86</v>
      </c>
      <c r="V309" s="842"/>
      <c r="W309" s="842"/>
      <c r="X309" s="872"/>
    </row>
    <row r="310" spans="1:24" s="881" customFormat="1" ht="37.799999999999997" x14ac:dyDescent="0.65">
      <c r="B310" s="882"/>
      <c r="C310" s="875"/>
      <c r="D310" s="883" t="str">
        <f>'Перелік ціни'!C242</f>
        <v>Рентгенографія кісток</v>
      </c>
      <c r="E310" s="903">
        <f>'Перелік ціни'!D242</f>
        <v>0</v>
      </c>
      <c r="F310" s="903">
        <f>'Перелік ціни'!E242</f>
        <v>0</v>
      </c>
      <c r="G310" s="903">
        <f>'Перелік ціни'!F242</f>
        <v>0</v>
      </c>
      <c r="H310" s="903">
        <f>'Перелік ціни'!G242</f>
        <v>0</v>
      </c>
      <c r="I310" s="903">
        <f>'Перелік ціни'!H242</f>
        <v>0</v>
      </c>
      <c r="J310" s="903">
        <f>'Перелік ціни'!I242</f>
        <v>0</v>
      </c>
      <c r="K310" s="903">
        <f>'Перелік ціни'!J242</f>
        <v>0</v>
      </c>
      <c r="L310" s="903">
        <f>'Перелік ціни'!K242</f>
        <v>0</v>
      </c>
      <c r="M310" s="903">
        <f>'Перелік ціни'!L242</f>
        <v>0</v>
      </c>
      <c r="N310" s="903">
        <f>'Перелік ціни'!M242</f>
        <v>0</v>
      </c>
      <c r="O310" s="903">
        <f>'Перелік ціни'!N242</f>
        <v>0</v>
      </c>
      <c r="P310" s="903">
        <f>'Перелік ціни'!O242</f>
        <v>0</v>
      </c>
      <c r="Q310" s="843"/>
      <c r="R310" s="876"/>
      <c r="S310" s="839"/>
      <c r="T310" s="878"/>
      <c r="U310" s="834">
        <f t="shared" si="47"/>
        <v>0</v>
      </c>
      <c r="V310" s="879"/>
      <c r="W310" s="879"/>
      <c r="X310" s="880"/>
    </row>
    <row r="311" spans="1:24" s="873" customFormat="1" ht="37.799999999999997" x14ac:dyDescent="0.65">
      <c r="A311" s="853"/>
      <c r="B311" s="837" t="s">
        <v>246</v>
      </c>
      <c r="C311" s="837"/>
      <c r="D311" s="848" t="str">
        <f>'Перелік ціни'!C243</f>
        <v>А4</v>
      </c>
      <c r="E311" s="903">
        <f>'Перелік ціни'!D243</f>
        <v>26.05</v>
      </c>
      <c r="F311" s="903">
        <f>'Перелік ціни'!E243</f>
        <v>5.73</v>
      </c>
      <c r="G311" s="903">
        <f>'Перелік ціни'!F243</f>
        <v>3.1799999999999997</v>
      </c>
      <c r="H311" s="903">
        <f>'Перелік ціни'!G243</f>
        <v>48.15</v>
      </c>
      <c r="I311" s="903">
        <f>'Перелік ціни'!H243</f>
        <v>83.11</v>
      </c>
      <c r="J311" s="903">
        <f>'Перелік ціни'!I243</f>
        <v>3.05</v>
      </c>
      <c r="K311" s="903">
        <f>'Перелік ціни'!J243</f>
        <v>0</v>
      </c>
      <c r="L311" s="903">
        <f>'Перелік ціни'!K243</f>
        <v>0</v>
      </c>
      <c r="M311" s="903">
        <f>'Перелік ціни'!L243</f>
        <v>0.4</v>
      </c>
      <c r="N311" s="903">
        <f>'Перелік ціни'!M243</f>
        <v>3.4499999999999997</v>
      </c>
      <c r="O311" s="903">
        <f>'Перелік ціни'!N243</f>
        <v>86.56</v>
      </c>
      <c r="P311" s="903">
        <f>'Перелік ціни'!O243</f>
        <v>0</v>
      </c>
      <c r="Q311" s="843">
        <f>'Перелік ціни'!P243</f>
        <v>87</v>
      </c>
      <c r="R311" s="841"/>
      <c r="S311" s="839">
        <f t="shared" si="48"/>
        <v>87</v>
      </c>
      <c r="T311" s="834"/>
      <c r="U311" s="834">
        <f t="shared" si="47"/>
        <v>87</v>
      </c>
      <c r="V311" s="842"/>
      <c r="W311" s="842"/>
      <c r="X311" s="872"/>
    </row>
    <row r="312" spans="1:24" s="873" customFormat="1" ht="37.799999999999997" x14ac:dyDescent="0.65">
      <c r="A312" s="853"/>
      <c r="B312" s="837" t="s">
        <v>253</v>
      </c>
      <c r="C312" s="837"/>
      <c r="D312" s="848" t="str">
        <f>'Перелік ціни'!C244</f>
        <v>плівка 20*25 - 1 шт</v>
      </c>
      <c r="E312" s="903">
        <f>'Перелік ціни'!D244</f>
        <v>26.05</v>
      </c>
      <c r="F312" s="903">
        <f>'Перелік ціни'!E244</f>
        <v>5.73</v>
      </c>
      <c r="G312" s="903">
        <f>'Перелік ціни'!F244</f>
        <v>31.1</v>
      </c>
      <c r="H312" s="903">
        <f>'Перелік ціни'!G244</f>
        <v>48.15</v>
      </c>
      <c r="I312" s="903">
        <f>'Перелік ціни'!H244</f>
        <v>111.03</v>
      </c>
      <c r="J312" s="903">
        <f>'Перелік ціни'!I244</f>
        <v>3.05</v>
      </c>
      <c r="K312" s="903">
        <f>'Перелік ціни'!J244</f>
        <v>0</v>
      </c>
      <c r="L312" s="903">
        <f>'Перелік ціни'!K244</f>
        <v>0</v>
      </c>
      <c r="M312" s="903">
        <f>'Перелік ціни'!L244</f>
        <v>0.4</v>
      </c>
      <c r="N312" s="903">
        <f>'Перелік ціни'!M244</f>
        <v>3.4499999999999997</v>
      </c>
      <c r="O312" s="903">
        <f>'Перелік ціни'!N244</f>
        <v>114.48</v>
      </c>
      <c r="P312" s="903">
        <f>'Перелік ціни'!O244</f>
        <v>0</v>
      </c>
      <c r="Q312" s="843">
        <f>'Перелік ціни'!P244</f>
        <v>114</v>
      </c>
      <c r="R312" s="841"/>
      <c r="S312" s="839">
        <f t="shared" si="48"/>
        <v>114</v>
      </c>
      <c r="T312" s="834"/>
      <c r="U312" s="834">
        <f t="shared" si="47"/>
        <v>114</v>
      </c>
      <c r="V312" s="842"/>
      <c r="W312" s="842"/>
      <c r="X312" s="872"/>
    </row>
    <row r="313" spans="1:24" s="873" customFormat="1" ht="37.799999999999997" x14ac:dyDescent="0.65">
      <c r="A313" s="853"/>
      <c r="B313" s="837" t="s">
        <v>254</v>
      </c>
      <c r="C313" s="837"/>
      <c r="D313" s="848" t="str">
        <f>'Перелік ціни'!C245</f>
        <v>плівка 35*43 - 1 шт</v>
      </c>
      <c r="E313" s="903">
        <f>'Перелік ціни'!D245</f>
        <v>26.05</v>
      </c>
      <c r="F313" s="903">
        <f>'Перелік ціни'!E245</f>
        <v>5.73</v>
      </c>
      <c r="G313" s="903">
        <f>'Перелік ціни'!F245</f>
        <v>18.720000000000002</v>
      </c>
      <c r="H313" s="903">
        <f>'Перелік ціни'!G245</f>
        <v>48.15</v>
      </c>
      <c r="I313" s="903">
        <f>'Перелік ціни'!H245</f>
        <v>98.65</v>
      </c>
      <c r="J313" s="903">
        <f>'Перелік ціни'!I245</f>
        <v>3.05</v>
      </c>
      <c r="K313" s="903">
        <f>'Перелік ціни'!J245</f>
        <v>0</v>
      </c>
      <c r="L313" s="903">
        <f>'Перелік ціни'!K245</f>
        <v>0</v>
      </c>
      <c r="M313" s="903">
        <f>'Перелік ціни'!L245</f>
        <v>0.4</v>
      </c>
      <c r="N313" s="903">
        <f>'Перелік ціни'!M245</f>
        <v>3.4499999999999997</v>
      </c>
      <c r="O313" s="903">
        <f>'Перелік ціни'!N245</f>
        <v>102.10000000000001</v>
      </c>
      <c r="P313" s="903">
        <f>'Перелік ціни'!O245</f>
        <v>0</v>
      </c>
      <c r="Q313" s="843">
        <f>'Перелік ціни'!P245</f>
        <v>102</v>
      </c>
      <c r="R313" s="841"/>
      <c r="S313" s="839">
        <f t="shared" si="48"/>
        <v>102</v>
      </c>
      <c r="T313" s="834"/>
      <c r="U313" s="834">
        <f t="shared" si="47"/>
        <v>102</v>
      </c>
      <c r="V313" s="842"/>
      <c r="W313" s="842"/>
      <c r="X313" s="872"/>
    </row>
    <row r="314" spans="1:24" s="873" customFormat="1" ht="37.799999999999997" x14ac:dyDescent="0.65">
      <c r="A314" s="853"/>
      <c r="B314" s="837" t="s">
        <v>255</v>
      </c>
      <c r="C314" s="837"/>
      <c r="D314" s="848" t="str">
        <f>'Перелік ціни'!C246</f>
        <v>плівка 35*43 - 2 шт</v>
      </c>
      <c r="E314" s="903">
        <f>'Перелік ціни'!D246</f>
        <v>26.05</v>
      </c>
      <c r="F314" s="903">
        <f>'Перелік ціни'!E246</f>
        <v>5.73</v>
      </c>
      <c r="G314" s="903">
        <f>'Перелік ціни'!F246</f>
        <v>34.56</v>
      </c>
      <c r="H314" s="903">
        <f>'Перелік ціни'!G246</f>
        <v>48.15</v>
      </c>
      <c r="I314" s="903">
        <f>'Перелік ціни'!H246</f>
        <v>114.49000000000001</v>
      </c>
      <c r="J314" s="903">
        <f>'Перелік ціни'!I246</f>
        <v>3.05</v>
      </c>
      <c r="K314" s="903">
        <f>'Перелік ціни'!J246</f>
        <v>0</v>
      </c>
      <c r="L314" s="903">
        <f>'Перелік ціни'!K246</f>
        <v>0</v>
      </c>
      <c r="M314" s="903">
        <f>'Перелік ціни'!L246</f>
        <v>0.4</v>
      </c>
      <c r="N314" s="903">
        <f>'Перелік ціни'!M246</f>
        <v>3.4499999999999997</v>
      </c>
      <c r="O314" s="903">
        <f>'Перелік ціни'!N246</f>
        <v>117.94000000000001</v>
      </c>
      <c r="P314" s="903">
        <f>'Перелік ціни'!O246</f>
        <v>0</v>
      </c>
      <c r="Q314" s="843">
        <f>'Перелік ціни'!P246</f>
        <v>118</v>
      </c>
      <c r="R314" s="841"/>
      <c r="S314" s="839">
        <f t="shared" si="48"/>
        <v>118</v>
      </c>
      <c r="T314" s="834"/>
      <c r="U314" s="834">
        <f t="shared" si="47"/>
        <v>118</v>
      </c>
      <c r="V314" s="842"/>
      <c r="W314" s="842"/>
      <c r="X314" s="872"/>
    </row>
    <row r="315" spans="1:24" s="873" customFormat="1" ht="37.799999999999997" x14ac:dyDescent="0.65">
      <c r="A315" s="853"/>
      <c r="B315" s="837" t="s">
        <v>256</v>
      </c>
      <c r="C315" s="837"/>
      <c r="D315" s="848" t="str">
        <f>'Перелік ціни'!C247</f>
        <v>плівка 35*43 - 3 шт</v>
      </c>
      <c r="E315" s="903">
        <f>'Перелік ціни'!D247</f>
        <v>26.05</v>
      </c>
      <c r="F315" s="903">
        <f>'Перелік ціни'!E247</f>
        <v>5.73</v>
      </c>
      <c r="G315" s="903">
        <f>'Перелік ціни'!F247</f>
        <v>50.400000000000006</v>
      </c>
      <c r="H315" s="903">
        <f>'Перелік ціни'!G247</f>
        <v>48.15</v>
      </c>
      <c r="I315" s="903">
        <f>'Перелік ціни'!H247</f>
        <v>130.33000000000001</v>
      </c>
      <c r="J315" s="903">
        <f>'Перелік ціни'!I247</f>
        <v>3.05</v>
      </c>
      <c r="K315" s="903">
        <f>'Перелік ціни'!J247</f>
        <v>0</v>
      </c>
      <c r="L315" s="903">
        <f>'Перелік ціни'!K247</f>
        <v>0</v>
      </c>
      <c r="M315" s="903">
        <f>'Перелік ціни'!L247</f>
        <v>0.4</v>
      </c>
      <c r="N315" s="903">
        <f>'Перелік ціни'!M247</f>
        <v>3.4499999999999997</v>
      </c>
      <c r="O315" s="903">
        <f>'Перелік ціни'!N247</f>
        <v>133.78</v>
      </c>
      <c r="P315" s="903">
        <f>'Перелік ціни'!O247</f>
        <v>0</v>
      </c>
      <c r="Q315" s="843">
        <f>'Перелік ціни'!P247</f>
        <v>134</v>
      </c>
      <c r="R315" s="841"/>
      <c r="S315" s="839">
        <f t="shared" si="48"/>
        <v>134</v>
      </c>
      <c r="T315" s="834"/>
      <c r="U315" s="834">
        <f t="shared" si="47"/>
        <v>134</v>
      </c>
      <c r="V315" s="842"/>
      <c r="W315" s="842"/>
      <c r="X315" s="872"/>
    </row>
    <row r="316" spans="1:24" s="873" customFormat="1" ht="37.799999999999997" x14ac:dyDescent="0.65">
      <c r="A316" s="853"/>
      <c r="B316" s="837" t="s">
        <v>257</v>
      </c>
      <c r="C316" s="837"/>
      <c r="D316" s="848" t="str">
        <f>'Перелік ціни'!C248</f>
        <v>плівка 35*43 - 4 шт</v>
      </c>
      <c r="E316" s="903">
        <f>'Перелік ціни'!D248</f>
        <v>26.05</v>
      </c>
      <c r="F316" s="903">
        <f>'Перелік ціни'!E248</f>
        <v>5.73</v>
      </c>
      <c r="G316" s="903">
        <f>'Перелік ціни'!F248</f>
        <v>66.239999999999995</v>
      </c>
      <c r="H316" s="903">
        <f>'Перелік ціни'!G248</f>
        <v>48.15</v>
      </c>
      <c r="I316" s="903">
        <f>'Перелік ціни'!H248</f>
        <v>146.16999999999999</v>
      </c>
      <c r="J316" s="903">
        <f>'Перелік ціни'!I248</f>
        <v>3.05</v>
      </c>
      <c r="K316" s="903">
        <f>'Перелік ціни'!J248</f>
        <v>0</v>
      </c>
      <c r="L316" s="903">
        <f>'Перелік ціни'!K248</f>
        <v>0</v>
      </c>
      <c r="M316" s="903">
        <f>'Перелік ціни'!L248</f>
        <v>0.4</v>
      </c>
      <c r="N316" s="903">
        <f>'Перелік ціни'!M248</f>
        <v>3.4499999999999997</v>
      </c>
      <c r="O316" s="903">
        <f>'Перелік ціни'!N248</f>
        <v>149.61999999999998</v>
      </c>
      <c r="P316" s="903">
        <f>'Перелік ціни'!O248</f>
        <v>0</v>
      </c>
      <c r="Q316" s="843">
        <f>'Перелік ціни'!P248</f>
        <v>150</v>
      </c>
      <c r="R316" s="841"/>
      <c r="S316" s="839">
        <f t="shared" si="48"/>
        <v>150</v>
      </c>
      <c r="T316" s="834"/>
      <c r="U316" s="834">
        <f t="shared" si="47"/>
        <v>150</v>
      </c>
      <c r="V316" s="842"/>
      <c r="W316" s="842"/>
      <c r="X316" s="872"/>
    </row>
    <row r="317" spans="1:24" s="873" customFormat="1" ht="37.799999999999997" x14ac:dyDescent="0.65">
      <c r="A317" s="853"/>
      <c r="B317" s="837" t="s">
        <v>258</v>
      </c>
      <c r="C317" s="837"/>
      <c r="D317" s="848" t="str">
        <f>'Перелік ціни'!C249</f>
        <v>без плівки</v>
      </c>
      <c r="E317" s="903">
        <f>'Перелік ціни'!D249</f>
        <v>26.05</v>
      </c>
      <c r="F317" s="903">
        <f>'Перелік ціни'!E249</f>
        <v>5.73</v>
      </c>
      <c r="G317" s="903">
        <f>'Перелік ціни'!F249</f>
        <v>2.88</v>
      </c>
      <c r="H317" s="903">
        <f>'Перелік ціни'!G249</f>
        <v>48.15</v>
      </c>
      <c r="I317" s="903">
        <f>'Перелік ціни'!H249</f>
        <v>82.81</v>
      </c>
      <c r="J317" s="903">
        <f>'Перелік ціни'!I249</f>
        <v>3.05</v>
      </c>
      <c r="K317" s="903">
        <f>'Перелік ціни'!J249</f>
        <v>0</v>
      </c>
      <c r="L317" s="903">
        <f>'Перелік ціни'!K249</f>
        <v>0</v>
      </c>
      <c r="M317" s="903">
        <f>'Перелік ціни'!L249</f>
        <v>0.4</v>
      </c>
      <c r="N317" s="903">
        <f>'Перелік ціни'!M249</f>
        <v>3.4499999999999997</v>
      </c>
      <c r="O317" s="903">
        <f>'Перелік ціни'!N249</f>
        <v>86.26</v>
      </c>
      <c r="P317" s="903">
        <f>'Перелік ціни'!O249</f>
        <v>0</v>
      </c>
      <c r="Q317" s="843">
        <f>'Перелік ціни'!P249</f>
        <v>86</v>
      </c>
      <c r="R317" s="841"/>
      <c r="S317" s="839">
        <f t="shared" si="48"/>
        <v>86</v>
      </c>
      <c r="T317" s="834"/>
      <c r="U317" s="834">
        <f t="shared" si="47"/>
        <v>86</v>
      </c>
      <c r="V317" s="842"/>
      <c r="W317" s="842"/>
      <c r="X317" s="872"/>
    </row>
    <row r="318" spans="1:24" s="881" customFormat="1" ht="37.799999999999997" x14ac:dyDescent="0.65">
      <c r="B318" s="882"/>
      <c r="C318" s="875"/>
      <c r="D318" s="883" t="str">
        <f>'Перелік ціни'!C250</f>
        <v>Рентгенографія приносових пазух</v>
      </c>
      <c r="E318" s="903">
        <f>'Перелік ціни'!D250</f>
        <v>0</v>
      </c>
      <c r="F318" s="903">
        <f>'Перелік ціни'!E250</f>
        <v>0</v>
      </c>
      <c r="G318" s="903">
        <f>'Перелік ціни'!F250</f>
        <v>0</v>
      </c>
      <c r="H318" s="903">
        <f>'Перелік ціни'!G250</f>
        <v>0</v>
      </c>
      <c r="I318" s="903">
        <f>'Перелік ціни'!H250</f>
        <v>0</v>
      </c>
      <c r="J318" s="903">
        <f>'Перелік ціни'!I250</f>
        <v>0</v>
      </c>
      <c r="K318" s="903">
        <f>'Перелік ціни'!J250</f>
        <v>0</v>
      </c>
      <c r="L318" s="903">
        <f>'Перелік ціни'!K250</f>
        <v>0</v>
      </c>
      <c r="M318" s="903">
        <f>'Перелік ціни'!L250</f>
        <v>0</v>
      </c>
      <c r="N318" s="903">
        <f>'Перелік ціни'!M250</f>
        <v>0</v>
      </c>
      <c r="O318" s="903">
        <f>'Перелік ціни'!N250</f>
        <v>0</v>
      </c>
      <c r="P318" s="903">
        <f>'Перелік ціни'!O250</f>
        <v>0</v>
      </c>
      <c r="Q318" s="843"/>
      <c r="R318" s="876"/>
      <c r="S318" s="839"/>
      <c r="T318" s="878"/>
      <c r="U318" s="834">
        <f t="shared" si="47"/>
        <v>0</v>
      </c>
      <c r="V318" s="879"/>
      <c r="W318" s="879"/>
      <c r="X318" s="880"/>
    </row>
    <row r="319" spans="1:24" s="873" customFormat="1" ht="37.799999999999997" x14ac:dyDescent="0.65">
      <c r="A319" s="853"/>
      <c r="B319" s="837" t="s">
        <v>247</v>
      </c>
      <c r="C319" s="837"/>
      <c r="D319" s="848" t="str">
        <f>'Перелік ціни'!C251</f>
        <v>А4</v>
      </c>
      <c r="E319" s="903">
        <f>'Перелік ціни'!D251</f>
        <v>26.05</v>
      </c>
      <c r="F319" s="903">
        <f>'Перелік ціни'!E251</f>
        <v>5.73</v>
      </c>
      <c r="G319" s="903">
        <f>'Перелік ціни'!F251</f>
        <v>3.1799999999999997</v>
      </c>
      <c r="H319" s="903">
        <f>'Перелік ціни'!G251</f>
        <v>48.15</v>
      </c>
      <c r="I319" s="903">
        <f>'Перелік ціни'!H251</f>
        <v>83.11</v>
      </c>
      <c r="J319" s="903">
        <f>'Перелік ціни'!I251</f>
        <v>3.05</v>
      </c>
      <c r="K319" s="903">
        <f>'Перелік ціни'!J251</f>
        <v>0</v>
      </c>
      <c r="L319" s="903">
        <f>'Перелік ціни'!K251</f>
        <v>0</v>
      </c>
      <c r="M319" s="903">
        <f>'Перелік ціни'!L251</f>
        <v>0.4</v>
      </c>
      <c r="N319" s="903">
        <f>'Перелік ціни'!M251</f>
        <v>3.4499999999999997</v>
      </c>
      <c r="O319" s="903">
        <f>'Перелік ціни'!N251</f>
        <v>86.56</v>
      </c>
      <c r="P319" s="903">
        <f>'Перелік ціни'!O251</f>
        <v>0</v>
      </c>
      <c r="Q319" s="843">
        <f>'Перелік ціни'!P251</f>
        <v>87</v>
      </c>
      <c r="R319" s="841"/>
      <c r="S319" s="839">
        <f t="shared" si="48"/>
        <v>87</v>
      </c>
      <c r="T319" s="834"/>
      <c r="U319" s="834">
        <f t="shared" si="47"/>
        <v>87</v>
      </c>
      <c r="V319" s="842"/>
      <c r="W319" s="842"/>
      <c r="X319" s="872"/>
    </row>
    <row r="320" spans="1:24" s="873" customFormat="1" ht="37.799999999999997" x14ac:dyDescent="0.65">
      <c r="A320" s="853"/>
      <c r="B320" s="837" t="s">
        <v>259</v>
      </c>
      <c r="C320" s="837"/>
      <c r="D320" s="848" t="str">
        <f>'Перелік ціни'!C252</f>
        <v>плівка 20*25 - 1 шт</v>
      </c>
      <c r="E320" s="903">
        <f>'Перелік ціни'!D252</f>
        <v>26.05</v>
      </c>
      <c r="F320" s="903">
        <f>'Перелік ціни'!E252</f>
        <v>5.73</v>
      </c>
      <c r="G320" s="903">
        <f>'Перелік ціни'!F252</f>
        <v>31.1</v>
      </c>
      <c r="H320" s="903">
        <f>'Перелік ціни'!G252</f>
        <v>48.15</v>
      </c>
      <c r="I320" s="903">
        <f>'Перелік ціни'!H252</f>
        <v>111.03</v>
      </c>
      <c r="J320" s="903">
        <f>'Перелік ціни'!I252</f>
        <v>3.05</v>
      </c>
      <c r="K320" s="903">
        <f>'Перелік ціни'!J252</f>
        <v>0</v>
      </c>
      <c r="L320" s="903">
        <f>'Перелік ціни'!K252</f>
        <v>0</v>
      </c>
      <c r="M320" s="903">
        <f>'Перелік ціни'!L252</f>
        <v>0.4</v>
      </c>
      <c r="N320" s="903">
        <f>'Перелік ціни'!M252</f>
        <v>3.4499999999999997</v>
      </c>
      <c r="O320" s="903">
        <f>'Перелік ціни'!N252</f>
        <v>114.48</v>
      </c>
      <c r="P320" s="903">
        <f>'Перелік ціни'!O252</f>
        <v>0</v>
      </c>
      <c r="Q320" s="843">
        <f>'Перелік ціни'!P252</f>
        <v>114</v>
      </c>
      <c r="R320" s="841"/>
      <c r="S320" s="839">
        <f t="shared" si="48"/>
        <v>114</v>
      </c>
      <c r="T320" s="834"/>
      <c r="U320" s="834">
        <f t="shared" si="47"/>
        <v>114</v>
      </c>
      <c r="V320" s="842"/>
      <c r="W320" s="842"/>
      <c r="X320" s="872"/>
    </row>
    <row r="321" spans="1:24" s="873" customFormat="1" ht="37.799999999999997" x14ac:dyDescent="0.65">
      <c r="A321" s="853"/>
      <c r="B321" s="837" t="s">
        <v>260</v>
      </c>
      <c r="C321" s="837"/>
      <c r="D321" s="848" t="str">
        <f>'Перелік ціни'!C253</f>
        <v>плівка 35*43 - 1 шт</v>
      </c>
      <c r="E321" s="903">
        <f>'Перелік ціни'!D253</f>
        <v>26.05</v>
      </c>
      <c r="F321" s="903">
        <f>'Перелік ціни'!E253</f>
        <v>5.73</v>
      </c>
      <c r="G321" s="903">
        <f>'Перелік ціни'!F253</f>
        <v>18.720000000000002</v>
      </c>
      <c r="H321" s="903">
        <f>'Перелік ціни'!G253</f>
        <v>48.15</v>
      </c>
      <c r="I321" s="903">
        <f>'Перелік ціни'!H253</f>
        <v>98.65</v>
      </c>
      <c r="J321" s="903">
        <f>'Перелік ціни'!I253</f>
        <v>3.05</v>
      </c>
      <c r="K321" s="903">
        <f>'Перелік ціни'!J253</f>
        <v>0</v>
      </c>
      <c r="L321" s="903">
        <f>'Перелік ціни'!K253</f>
        <v>0</v>
      </c>
      <c r="M321" s="903">
        <f>'Перелік ціни'!L253</f>
        <v>0.4</v>
      </c>
      <c r="N321" s="903">
        <f>'Перелік ціни'!M253</f>
        <v>3.4499999999999997</v>
      </c>
      <c r="O321" s="903">
        <f>'Перелік ціни'!N253</f>
        <v>102.10000000000001</v>
      </c>
      <c r="P321" s="903">
        <f>'Перелік ціни'!O253</f>
        <v>0</v>
      </c>
      <c r="Q321" s="843">
        <f>'Перелік ціни'!P253</f>
        <v>102</v>
      </c>
      <c r="R321" s="841"/>
      <c r="S321" s="839">
        <f t="shared" si="48"/>
        <v>102</v>
      </c>
      <c r="T321" s="834"/>
      <c r="U321" s="834">
        <f t="shared" si="47"/>
        <v>102</v>
      </c>
      <c r="V321" s="842"/>
      <c r="W321" s="842"/>
      <c r="X321" s="872"/>
    </row>
    <row r="322" spans="1:24" s="873" customFormat="1" ht="37.799999999999997" x14ac:dyDescent="0.65">
      <c r="A322" s="853"/>
      <c r="B322" s="837" t="s">
        <v>261</v>
      </c>
      <c r="C322" s="837"/>
      <c r="D322" s="848" t="str">
        <f>'Перелік ціни'!C254</f>
        <v>без плівки</v>
      </c>
      <c r="E322" s="903">
        <f>'Перелік ціни'!D254</f>
        <v>26.05</v>
      </c>
      <c r="F322" s="903">
        <f>'Перелік ціни'!E254</f>
        <v>5.73</v>
      </c>
      <c r="G322" s="903">
        <f>'Перелік ціни'!F254</f>
        <v>2.88</v>
      </c>
      <c r="H322" s="903">
        <f>'Перелік ціни'!G254</f>
        <v>48.15</v>
      </c>
      <c r="I322" s="903">
        <f>'Перелік ціни'!H254</f>
        <v>82.81</v>
      </c>
      <c r="J322" s="903">
        <f>'Перелік ціни'!I254</f>
        <v>3.05</v>
      </c>
      <c r="K322" s="903">
        <f>'Перелік ціни'!J254</f>
        <v>0</v>
      </c>
      <c r="L322" s="903">
        <f>'Перелік ціни'!K254</f>
        <v>0</v>
      </c>
      <c r="M322" s="903">
        <f>'Перелік ціни'!L254</f>
        <v>0.4</v>
      </c>
      <c r="N322" s="903">
        <f>'Перелік ціни'!M254</f>
        <v>3.4499999999999997</v>
      </c>
      <c r="O322" s="903">
        <f>'Перелік ціни'!N254</f>
        <v>86.26</v>
      </c>
      <c r="P322" s="903">
        <f>'Перелік ціни'!O254</f>
        <v>0</v>
      </c>
      <c r="Q322" s="843">
        <f>'Перелік ціни'!P254</f>
        <v>86</v>
      </c>
      <c r="R322" s="841"/>
      <c r="S322" s="839">
        <f t="shared" si="48"/>
        <v>86</v>
      </c>
      <c r="T322" s="834"/>
      <c r="U322" s="834">
        <f t="shared" si="47"/>
        <v>86</v>
      </c>
      <c r="V322" s="842"/>
      <c r="W322" s="842"/>
      <c r="X322" s="872"/>
    </row>
    <row r="323" spans="1:24" s="881" customFormat="1" ht="37.799999999999997" x14ac:dyDescent="0.65">
      <c r="B323" s="882"/>
      <c r="C323" s="875"/>
      <c r="D323" s="883" t="str">
        <f>'Перелік ціни'!C255</f>
        <v>Рентгенографія щелепи</v>
      </c>
      <c r="E323" s="903">
        <f>'Перелік ціни'!D255</f>
        <v>0</v>
      </c>
      <c r="F323" s="903">
        <f>'Перелік ціни'!E255</f>
        <v>0</v>
      </c>
      <c r="G323" s="903">
        <f>'Перелік ціни'!F255</f>
        <v>0</v>
      </c>
      <c r="H323" s="903">
        <f>'Перелік ціни'!G255</f>
        <v>0</v>
      </c>
      <c r="I323" s="903">
        <f>'Перелік ціни'!H255</f>
        <v>0</v>
      </c>
      <c r="J323" s="903">
        <f>'Перелік ціни'!I255</f>
        <v>0</v>
      </c>
      <c r="K323" s="903">
        <f>'Перелік ціни'!J255</f>
        <v>0</v>
      </c>
      <c r="L323" s="903">
        <f>'Перелік ціни'!K255</f>
        <v>0</v>
      </c>
      <c r="M323" s="903">
        <f>'Перелік ціни'!L255</f>
        <v>0</v>
      </c>
      <c r="N323" s="903">
        <f>'Перелік ціни'!M255</f>
        <v>0</v>
      </c>
      <c r="O323" s="903">
        <f>'Перелік ціни'!N255</f>
        <v>0</v>
      </c>
      <c r="P323" s="903">
        <f>'Перелік ціни'!O255</f>
        <v>0</v>
      </c>
      <c r="Q323" s="843"/>
      <c r="R323" s="876"/>
      <c r="S323" s="839"/>
      <c r="T323" s="878"/>
      <c r="U323" s="834">
        <f t="shared" si="47"/>
        <v>0</v>
      </c>
      <c r="V323" s="879"/>
      <c r="W323" s="879"/>
      <c r="X323" s="880"/>
    </row>
    <row r="324" spans="1:24" s="873" customFormat="1" ht="37.799999999999997" x14ac:dyDescent="0.65">
      <c r="A324" s="853"/>
      <c r="B324" s="837" t="s">
        <v>248</v>
      </c>
      <c r="C324" s="837"/>
      <c r="D324" s="848" t="str">
        <f>'Перелік ціни'!C256</f>
        <v>А4</v>
      </c>
      <c r="E324" s="903">
        <f>'Перелік ціни'!D256</f>
        <v>26.05</v>
      </c>
      <c r="F324" s="903">
        <f>'Перелік ціни'!E256</f>
        <v>5.73</v>
      </c>
      <c r="G324" s="903">
        <f>'Перелік ціни'!F256</f>
        <v>3.1799999999999997</v>
      </c>
      <c r="H324" s="903">
        <f>'Перелік ціни'!G256</f>
        <v>48.15</v>
      </c>
      <c r="I324" s="903">
        <f>'Перелік ціни'!H256</f>
        <v>83.11</v>
      </c>
      <c r="J324" s="903">
        <f>'Перелік ціни'!I256</f>
        <v>3.05</v>
      </c>
      <c r="K324" s="903">
        <f>'Перелік ціни'!J256</f>
        <v>0</v>
      </c>
      <c r="L324" s="903">
        <f>'Перелік ціни'!K256</f>
        <v>0</v>
      </c>
      <c r="M324" s="903">
        <f>'Перелік ціни'!L256</f>
        <v>0.4</v>
      </c>
      <c r="N324" s="903">
        <f>'Перелік ціни'!M256</f>
        <v>3.4499999999999997</v>
      </c>
      <c r="O324" s="903">
        <f>'Перелік ціни'!N256</f>
        <v>86.56</v>
      </c>
      <c r="P324" s="903">
        <f>'Перелік ціни'!O256</f>
        <v>0</v>
      </c>
      <c r="Q324" s="843">
        <f>'Перелік ціни'!P256</f>
        <v>87</v>
      </c>
      <c r="R324" s="841"/>
      <c r="S324" s="839">
        <f t="shared" si="48"/>
        <v>87</v>
      </c>
      <c r="T324" s="834"/>
      <c r="U324" s="834">
        <f t="shared" si="47"/>
        <v>87</v>
      </c>
      <c r="V324" s="842"/>
      <c r="W324" s="842"/>
      <c r="X324" s="872"/>
    </row>
    <row r="325" spans="1:24" s="873" customFormat="1" ht="37.799999999999997" x14ac:dyDescent="0.65">
      <c r="A325" s="853"/>
      <c r="B325" s="837" t="s">
        <v>262</v>
      </c>
      <c r="C325" s="837"/>
      <c r="D325" s="848" t="str">
        <f>'Перелік ціни'!C257</f>
        <v>плівка 20*25 - 1 шт</v>
      </c>
      <c r="E325" s="903">
        <f>'Перелік ціни'!D257</f>
        <v>26.05</v>
      </c>
      <c r="F325" s="903">
        <f>'Перелік ціни'!E257</f>
        <v>5.73</v>
      </c>
      <c r="G325" s="903">
        <f>'Перелік ціни'!F257</f>
        <v>31.1</v>
      </c>
      <c r="H325" s="903">
        <f>'Перелік ціни'!G257</f>
        <v>48.15</v>
      </c>
      <c r="I325" s="903">
        <f>'Перелік ціни'!H257</f>
        <v>111.03</v>
      </c>
      <c r="J325" s="903">
        <f>'Перелік ціни'!I257</f>
        <v>3.05</v>
      </c>
      <c r="K325" s="903">
        <f>'Перелік ціни'!J257</f>
        <v>0</v>
      </c>
      <c r="L325" s="903">
        <f>'Перелік ціни'!K257</f>
        <v>0</v>
      </c>
      <c r="M325" s="903">
        <f>'Перелік ціни'!L257</f>
        <v>0.4</v>
      </c>
      <c r="N325" s="903">
        <f>'Перелік ціни'!M257</f>
        <v>3.4499999999999997</v>
      </c>
      <c r="O325" s="903">
        <f>'Перелік ціни'!N257</f>
        <v>114.48</v>
      </c>
      <c r="P325" s="903">
        <f>'Перелік ціни'!O257</f>
        <v>0</v>
      </c>
      <c r="Q325" s="843">
        <f>'Перелік ціни'!P257</f>
        <v>114</v>
      </c>
      <c r="R325" s="841"/>
      <c r="S325" s="839">
        <f t="shared" si="48"/>
        <v>114</v>
      </c>
      <c r="T325" s="834"/>
      <c r="U325" s="834">
        <f t="shared" si="47"/>
        <v>114</v>
      </c>
      <c r="V325" s="842"/>
      <c r="W325" s="842"/>
      <c r="X325" s="872"/>
    </row>
    <row r="326" spans="1:24" s="873" customFormat="1" ht="37.799999999999997" x14ac:dyDescent="0.65">
      <c r="A326" s="853"/>
      <c r="B326" s="837" t="s">
        <v>264</v>
      </c>
      <c r="C326" s="837"/>
      <c r="D326" s="848" t="str">
        <f>'Перелік ціни'!C258</f>
        <v>плівка 35*43 - 2 шт</v>
      </c>
      <c r="E326" s="903">
        <f>'Перелік ціни'!D258</f>
        <v>26.05</v>
      </c>
      <c r="F326" s="903">
        <f>'Перелік ціни'!E258</f>
        <v>5.73</v>
      </c>
      <c r="G326" s="903">
        <f>'Перелік ціни'!F258</f>
        <v>34.56</v>
      </c>
      <c r="H326" s="903">
        <f>'Перелік ціни'!G258</f>
        <v>48.15</v>
      </c>
      <c r="I326" s="903">
        <f>'Перелік ціни'!H258</f>
        <v>114.49000000000001</v>
      </c>
      <c r="J326" s="903">
        <f>'Перелік ціни'!I258</f>
        <v>3.05</v>
      </c>
      <c r="K326" s="903">
        <f>'Перелік ціни'!J258</f>
        <v>0</v>
      </c>
      <c r="L326" s="903">
        <f>'Перелік ціни'!K258</f>
        <v>0</v>
      </c>
      <c r="M326" s="903">
        <f>'Перелік ціни'!L258</f>
        <v>0.4</v>
      </c>
      <c r="N326" s="903">
        <f>'Перелік ціни'!M258</f>
        <v>3.4499999999999997</v>
      </c>
      <c r="O326" s="903">
        <f>'Перелік ціни'!N258</f>
        <v>117.94000000000001</v>
      </c>
      <c r="P326" s="903">
        <f>'Перелік ціни'!O258</f>
        <v>0</v>
      </c>
      <c r="Q326" s="843">
        <f>'Перелік ціни'!P258</f>
        <v>118</v>
      </c>
      <c r="R326" s="841"/>
      <c r="S326" s="839">
        <f t="shared" si="48"/>
        <v>118</v>
      </c>
      <c r="T326" s="834"/>
      <c r="U326" s="834">
        <f t="shared" si="47"/>
        <v>118</v>
      </c>
      <c r="V326" s="842"/>
      <c r="W326" s="842"/>
      <c r="X326" s="872"/>
    </row>
    <row r="327" spans="1:24" s="873" customFormat="1" ht="37.799999999999997" x14ac:dyDescent="0.65">
      <c r="A327" s="853"/>
      <c r="B327" s="837" t="s">
        <v>266</v>
      </c>
      <c r="C327" s="837"/>
      <c r="D327" s="848" t="str">
        <f>'Перелік ціни'!C259</f>
        <v>без плівки</v>
      </c>
      <c r="E327" s="903">
        <f>'Перелік ціни'!D259</f>
        <v>26.05</v>
      </c>
      <c r="F327" s="903">
        <f>'Перелік ціни'!E259</f>
        <v>5.73</v>
      </c>
      <c r="G327" s="903">
        <f>'Перелік ціни'!F259</f>
        <v>2.88</v>
      </c>
      <c r="H327" s="903">
        <f>'Перелік ціни'!G259</f>
        <v>48.15</v>
      </c>
      <c r="I327" s="903">
        <f>'Перелік ціни'!H259</f>
        <v>82.81</v>
      </c>
      <c r="J327" s="903">
        <f>'Перелік ціни'!I259</f>
        <v>3.05</v>
      </c>
      <c r="K327" s="903">
        <f>'Перелік ціни'!J259</f>
        <v>0</v>
      </c>
      <c r="L327" s="903">
        <f>'Перелік ціни'!K259</f>
        <v>0</v>
      </c>
      <c r="M327" s="903">
        <f>'Перелік ціни'!L259</f>
        <v>0.4</v>
      </c>
      <c r="N327" s="903">
        <f>'Перелік ціни'!M259</f>
        <v>3.4499999999999997</v>
      </c>
      <c r="O327" s="903">
        <f>'Перелік ціни'!N259</f>
        <v>86.26</v>
      </c>
      <c r="P327" s="903">
        <f>'Перелік ціни'!O259</f>
        <v>0</v>
      </c>
      <c r="Q327" s="843">
        <f>'Перелік ціни'!P259</f>
        <v>86</v>
      </c>
      <c r="R327" s="841"/>
      <c r="S327" s="839">
        <f t="shared" si="48"/>
        <v>86</v>
      </c>
      <c r="T327" s="834"/>
      <c r="U327" s="834">
        <f t="shared" si="47"/>
        <v>86</v>
      </c>
      <c r="V327" s="842"/>
      <c r="W327" s="842"/>
      <c r="X327" s="872"/>
    </row>
    <row r="328" spans="1:24" s="881" customFormat="1" ht="37.799999999999997" x14ac:dyDescent="0.65">
      <c r="B328" s="882"/>
      <c r="C328" s="875"/>
      <c r="D328" s="883" t="str">
        <f>'Перелік ціни'!C260</f>
        <v>Рентгенографія органів грудної клітки</v>
      </c>
      <c r="E328" s="903">
        <f>'Перелік ціни'!D260</f>
        <v>0</v>
      </c>
      <c r="F328" s="903">
        <f>'Перелік ціни'!E260</f>
        <v>0</v>
      </c>
      <c r="G328" s="903">
        <f>'Перелік ціни'!F260</f>
        <v>0</v>
      </c>
      <c r="H328" s="903">
        <f>'Перелік ціни'!G260</f>
        <v>0</v>
      </c>
      <c r="I328" s="903">
        <f>'Перелік ціни'!H260</f>
        <v>0</v>
      </c>
      <c r="J328" s="903">
        <f>'Перелік ціни'!I260</f>
        <v>0</v>
      </c>
      <c r="K328" s="903">
        <f>'Перелік ціни'!J260</f>
        <v>0</v>
      </c>
      <c r="L328" s="903">
        <f>'Перелік ціни'!K260</f>
        <v>0</v>
      </c>
      <c r="M328" s="903">
        <f>'Перелік ціни'!L260</f>
        <v>0</v>
      </c>
      <c r="N328" s="903">
        <f>'Перелік ціни'!M260</f>
        <v>0</v>
      </c>
      <c r="O328" s="903">
        <f>'Перелік ціни'!N260</f>
        <v>0</v>
      </c>
      <c r="P328" s="903">
        <f>'Перелік ціни'!O260</f>
        <v>0</v>
      </c>
      <c r="Q328" s="843"/>
      <c r="R328" s="876"/>
      <c r="S328" s="839"/>
      <c r="T328" s="878"/>
      <c r="U328" s="834">
        <f t="shared" si="47"/>
        <v>0</v>
      </c>
      <c r="V328" s="879"/>
      <c r="W328" s="879"/>
      <c r="X328" s="880"/>
    </row>
    <row r="329" spans="1:24" s="873" customFormat="1" ht="37.799999999999997" x14ac:dyDescent="0.65">
      <c r="A329" s="853"/>
      <c r="B329" s="837" t="s">
        <v>249</v>
      </c>
      <c r="C329" s="837"/>
      <c r="D329" s="848" t="str">
        <f>'Перелік ціни'!C261</f>
        <v>А4</v>
      </c>
      <c r="E329" s="903">
        <f>'Перелік ціни'!D261</f>
        <v>26.05</v>
      </c>
      <c r="F329" s="903">
        <f>'Перелік ціни'!E261</f>
        <v>5.73</v>
      </c>
      <c r="G329" s="903">
        <f>'Перелік ціни'!F261</f>
        <v>3.1799999999999997</v>
      </c>
      <c r="H329" s="903">
        <f>'Перелік ціни'!G261</f>
        <v>48.15</v>
      </c>
      <c r="I329" s="903">
        <f>'Перелік ціни'!H261</f>
        <v>83.11</v>
      </c>
      <c r="J329" s="903">
        <f>'Перелік ціни'!I261</f>
        <v>3.05</v>
      </c>
      <c r="K329" s="903">
        <f>'Перелік ціни'!J261</f>
        <v>0</v>
      </c>
      <c r="L329" s="903">
        <f>'Перелік ціни'!K261</f>
        <v>0</v>
      </c>
      <c r="M329" s="903">
        <f>'Перелік ціни'!L261</f>
        <v>0.4</v>
      </c>
      <c r="N329" s="903">
        <f>'Перелік ціни'!M261</f>
        <v>3.4499999999999997</v>
      </c>
      <c r="O329" s="903">
        <f>'Перелік ціни'!N261</f>
        <v>86.56</v>
      </c>
      <c r="P329" s="903">
        <f>'Перелік ціни'!O261</f>
        <v>0</v>
      </c>
      <c r="Q329" s="843">
        <f>'Перелік ціни'!P261</f>
        <v>87</v>
      </c>
      <c r="R329" s="841"/>
      <c r="S329" s="839">
        <f t="shared" si="48"/>
        <v>87</v>
      </c>
      <c r="T329" s="834"/>
      <c r="U329" s="834">
        <f t="shared" si="47"/>
        <v>87</v>
      </c>
      <c r="V329" s="842"/>
      <c r="W329" s="842"/>
      <c r="X329" s="872"/>
    </row>
    <row r="330" spans="1:24" s="873" customFormat="1" ht="37.799999999999997" x14ac:dyDescent="0.65">
      <c r="A330" s="853"/>
      <c r="B330" s="837" t="s">
        <v>267</v>
      </c>
      <c r="C330" s="837"/>
      <c r="D330" s="848" t="str">
        <f>'Перелік ціни'!C262</f>
        <v>плівка 20*25 - 1 шт</v>
      </c>
      <c r="E330" s="903">
        <f>'Перелік ціни'!D262</f>
        <v>26.05</v>
      </c>
      <c r="F330" s="903">
        <f>'Перелік ціни'!E262</f>
        <v>5.73</v>
      </c>
      <c r="G330" s="903">
        <f>'Перелік ціни'!F262</f>
        <v>31.1</v>
      </c>
      <c r="H330" s="903">
        <f>'Перелік ціни'!G262</f>
        <v>48.15</v>
      </c>
      <c r="I330" s="903">
        <f>'Перелік ціни'!H262</f>
        <v>111.03</v>
      </c>
      <c r="J330" s="903">
        <f>'Перелік ціни'!I262</f>
        <v>3.05</v>
      </c>
      <c r="K330" s="903">
        <f>'Перелік ціни'!J262</f>
        <v>0</v>
      </c>
      <c r="L330" s="903">
        <f>'Перелік ціни'!K262</f>
        <v>0</v>
      </c>
      <c r="M330" s="903">
        <f>'Перелік ціни'!L262</f>
        <v>0.4</v>
      </c>
      <c r="N330" s="903">
        <f>'Перелік ціни'!M262</f>
        <v>3.4499999999999997</v>
      </c>
      <c r="O330" s="903">
        <f>'Перелік ціни'!N262</f>
        <v>114.48</v>
      </c>
      <c r="P330" s="903">
        <f>'Перелік ціни'!O262</f>
        <v>0</v>
      </c>
      <c r="Q330" s="843">
        <f>'Перелік ціни'!P262</f>
        <v>114</v>
      </c>
      <c r="R330" s="841"/>
      <c r="S330" s="839">
        <f t="shared" si="48"/>
        <v>114</v>
      </c>
      <c r="T330" s="834"/>
      <c r="U330" s="834">
        <f t="shared" si="47"/>
        <v>114</v>
      </c>
      <c r="V330" s="842"/>
      <c r="W330" s="842"/>
      <c r="X330" s="872"/>
    </row>
    <row r="331" spans="1:24" s="873" customFormat="1" ht="37.799999999999997" x14ac:dyDescent="0.65">
      <c r="A331" s="853"/>
      <c r="B331" s="837" t="s">
        <v>268</v>
      </c>
      <c r="C331" s="837"/>
      <c r="D331" s="848" t="str">
        <f>'Перелік ціни'!C263</f>
        <v>плівка 35*43 - 1 шт</v>
      </c>
      <c r="E331" s="903">
        <f>'Перелік ціни'!D263</f>
        <v>26.05</v>
      </c>
      <c r="F331" s="903">
        <f>'Перелік ціни'!E263</f>
        <v>5.73</v>
      </c>
      <c r="G331" s="903">
        <f>'Перелік ціни'!F263</f>
        <v>18.720000000000002</v>
      </c>
      <c r="H331" s="903">
        <f>'Перелік ціни'!G263</f>
        <v>48.15</v>
      </c>
      <c r="I331" s="903">
        <f>'Перелік ціни'!H263</f>
        <v>98.65</v>
      </c>
      <c r="J331" s="903">
        <f>'Перелік ціни'!I263</f>
        <v>3.05</v>
      </c>
      <c r="K331" s="903">
        <f>'Перелік ціни'!J263</f>
        <v>0</v>
      </c>
      <c r="L331" s="903">
        <f>'Перелік ціни'!K263</f>
        <v>0</v>
      </c>
      <c r="M331" s="903">
        <f>'Перелік ціни'!L263</f>
        <v>0.4</v>
      </c>
      <c r="N331" s="903">
        <f>'Перелік ціни'!M263</f>
        <v>3.4499999999999997</v>
      </c>
      <c r="O331" s="903">
        <f>'Перелік ціни'!N263</f>
        <v>102.10000000000001</v>
      </c>
      <c r="P331" s="903">
        <f>'Перелік ціни'!O263</f>
        <v>0</v>
      </c>
      <c r="Q331" s="843">
        <f>'Перелік ціни'!P263</f>
        <v>102</v>
      </c>
      <c r="R331" s="841"/>
      <c r="S331" s="839">
        <f t="shared" si="48"/>
        <v>102</v>
      </c>
      <c r="T331" s="834"/>
      <c r="U331" s="834">
        <f t="shared" si="47"/>
        <v>102</v>
      </c>
      <c r="V331" s="842"/>
      <c r="W331" s="842"/>
      <c r="X331" s="872"/>
    </row>
    <row r="332" spans="1:24" s="873" customFormat="1" ht="37.799999999999997" x14ac:dyDescent="0.65">
      <c r="A332" s="853"/>
      <c r="B332" s="837" t="s">
        <v>269</v>
      </c>
      <c r="C332" s="837"/>
      <c r="D332" s="848" t="str">
        <f>'Перелік ціни'!C264</f>
        <v>плівка 35*43 - 2 шт</v>
      </c>
      <c r="E332" s="903">
        <f>'Перелік ціни'!D264</f>
        <v>26.05</v>
      </c>
      <c r="F332" s="903">
        <f>'Перелік ціни'!E264</f>
        <v>5.73</v>
      </c>
      <c r="G332" s="903">
        <f>'Перелік ціни'!F264</f>
        <v>34.56</v>
      </c>
      <c r="H332" s="903">
        <f>'Перелік ціни'!G264</f>
        <v>48.15</v>
      </c>
      <c r="I332" s="903">
        <f>'Перелік ціни'!H264</f>
        <v>114.49000000000001</v>
      </c>
      <c r="J332" s="903">
        <f>'Перелік ціни'!I264</f>
        <v>3.05</v>
      </c>
      <c r="K332" s="903">
        <f>'Перелік ціни'!J264</f>
        <v>0</v>
      </c>
      <c r="L332" s="903">
        <f>'Перелік ціни'!K264</f>
        <v>0</v>
      </c>
      <c r="M332" s="903">
        <f>'Перелік ціни'!L264</f>
        <v>0.4</v>
      </c>
      <c r="N332" s="903">
        <f>'Перелік ціни'!M264</f>
        <v>3.4499999999999997</v>
      </c>
      <c r="O332" s="903">
        <f>'Перелік ціни'!N264</f>
        <v>117.94000000000001</v>
      </c>
      <c r="P332" s="903">
        <f>'Перелік ціни'!O264</f>
        <v>0</v>
      </c>
      <c r="Q332" s="843">
        <f>'Перелік ціни'!P264</f>
        <v>118</v>
      </c>
      <c r="R332" s="841"/>
      <c r="S332" s="839">
        <f t="shared" si="48"/>
        <v>118</v>
      </c>
      <c r="T332" s="834"/>
      <c r="U332" s="834">
        <f t="shared" si="47"/>
        <v>118</v>
      </c>
      <c r="V332" s="842"/>
      <c r="W332" s="842"/>
      <c r="X332" s="872"/>
    </row>
    <row r="333" spans="1:24" s="873" customFormat="1" ht="37.799999999999997" x14ac:dyDescent="0.65">
      <c r="A333" s="853"/>
      <c r="B333" s="837" t="s">
        <v>271</v>
      </c>
      <c r="C333" s="837"/>
      <c r="D333" s="848" t="str">
        <f>'Перелік ціни'!C265</f>
        <v>без плівки</v>
      </c>
      <c r="E333" s="903">
        <f>'Перелік ціни'!D265</f>
        <v>26.05</v>
      </c>
      <c r="F333" s="903">
        <f>'Перелік ціни'!E265</f>
        <v>5.73</v>
      </c>
      <c r="G333" s="903">
        <f>'Перелік ціни'!F265</f>
        <v>2.88</v>
      </c>
      <c r="H333" s="903">
        <f>'Перелік ціни'!G265</f>
        <v>48.15</v>
      </c>
      <c r="I333" s="903">
        <f>'Перелік ціни'!H265</f>
        <v>82.81</v>
      </c>
      <c r="J333" s="903">
        <f>'Перелік ціни'!I265</f>
        <v>3.05</v>
      </c>
      <c r="K333" s="903">
        <f>'Перелік ціни'!J265</f>
        <v>0</v>
      </c>
      <c r="L333" s="903">
        <f>'Перелік ціни'!K265</f>
        <v>0</v>
      </c>
      <c r="M333" s="903">
        <f>'Перелік ціни'!L265</f>
        <v>0.4</v>
      </c>
      <c r="N333" s="903">
        <f>'Перелік ціни'!M265</f>
        <v>3.4499999999999997</v>
      </c>
      <c r="O333" s="903">
        <f>'Перелік ціни'!N265</f>
        <v>86.26</v>
      </c>
      <c r="P333" s="903">
        <f>'Перелік ціни'!O265</f>
        <v>0</v>
      </c>
      <c r="Q333" s="843">
        <f>'Перелік ціни'!P265</f>
        <v>86</v>
      </c>
      <c r="R333" s="841"/>
      <c r="S333" s="839">
        <f t="shared" si="48"/>
        <v>86</v>
      </c>
      <c r="T333" s="834"/>
      <c r="U333" s="834">
        <f t="shared" si="47"/>
        <v>86</v>
      </c>
      <c r="V333" s="842"/>
      <c r="W333" s="842"/>
      <c r="X333" s="872"/>
    </row>
    <row r="334" spans="1:24" s="881" customFormat="1" ht="37.799999999999997" x14ac:dyDescent="0.65">
      <c r="B334" s="882"/>
      <c r="C334" s="875"/>
      <c r="D334" s="883" t="str">
        <f>'Перелік ціни'!C266</f>
        <v>Рентгенографія органів черевної порожнини</v>
      </c>
      <c r="E334" s="903">
        <f>'Перелік ціни'!D266</f>
        <v>0</v>
      </c>
      <c r="F334" s="903">
        <f>'Перелік ціни'!E266</f>
        <v>0</v>
      </c>
      <c r="G334" s="903">
        <f>'Перелік ціни'!F266</f>
        <v>0</v>
      </c>
      <c r="H334" s="903">
        <f>'Перелік ціни'!G266</f>
        <v>0</v>
      </c>
      <c r="I334" s="903">
        <f>'Перелік ціни'!H266</f>
        <v>0</v>
      </c>
      <c r="J334" s="903">
        <f>'Перелік ціни'!I266</f>
        <v>0</v>
      </c>
      <c r="K334" s="903">
        <f>'Перелік ціни'!J266</f>
        <v>0</v>
      </c>
      <c r="L334" s="903">
        <f>'Перелік ціни'!K266</f>
        <v>0</v>
      </c>
      <c r="M334" s="903">
        <f>'Перелік ціни'!L266</f>
        <v>0</v>
      </c>
      <c r="N334" s="903">
        <f>'Перелік ціни'!M266</f>
        <v>0</v>
      </c>
      <c r="O334" s="903">
        <f>'Перелік ціни'!N266</f>
        <v>0</v>
      </c>
      <c r="P334" s="903">
        <f>'Перелік ціни'!O266</f>
        <v>0</v>
      </c>
      <c r="Q334" s="843"/>
      <c r="R334" s="876"/>
      <c r="S334" s="839"/>
      <c r="T334" s="878"/>
      <c r="U334" s="834">
        <f t="shared" si="47"/>
        <v>0</v>
      </c>
      <c r="V334" s="879"/>
      <c r="W334" s="879"/>
      <c r="X334" s="880"/>
    </row>
    <row r="335" spans="1:24" s="873" customFormat="1" ht="37.799999999999997" x14ac:dyDescent="0.65">
      <c r="A335" s="853"/>
      <c r="B335" s="837" t="s">
        <v>250</v>
      </c>
      <c r="C335" s="837"/>
      <c r="D335" s="848" t="str">
        <f>'Перелік ціни'!C267</f>
        <v>А4</v>
      </c>
      <c r="E335" s="903">
        <f>'Перелік ціни'!D267</f>
        <v>26.05</v>
      </c>
      <c r="F335" s="903">
        <f>'Перелік ціни'!E267</f>
        <v>5.73</v>
      </c>
      <c r="G335" s="903">
        <f>'Перелік ціни'!F267</f>
        <v>3.1799999999999997</v>
      </c>
      <c r="H335" s="903">
        <f>'Перелік ціни'!G267</f>
        <v>48.15</v>
      </c>
      <c r="I335" s="903">
        <f>'Перелік ціни'!H267</f>
        <v>83.11</v>
      </c>
      <c r="J335" s="903">
        <f>'Перелік ціни'!I267</f>
        <v>3.05</v>
      </c>
      <c r="K335" s="903">
        <f>'Перелік ціни'!J267</f>
        <v>0</v>
      </c>
      <c r="L335" s="903">
        <f>'Перелік ціни'!K267</f>
        <v>0</v>
      </c>
      <c r="M335" s="903">
        <f>'Перелік ціни'!L267</f>
        <v>0.4</v>
      </c>
      <c r="N335" s="903">
        <f>'Перелік ціни'!M267</f>
        <v>3.4499999999999997</v>
      </c>
      <c r="O335" s="903">
        <f>'Перелік ціни'!N267</f>
        <v>86.56</v>
      </c>
      <c r="P335" s="903">
        <f>'Перелік ціни'!O267</f>
        <v>0</v>
      </c>
      <c r="Q335" s="843">
        <f>'Перелік ціни'!P267</f>
        <v>87</v>
      </c>
      <c r="R335" s="841"/>
      <c r="S335" s="839">
        <f t="shared" si="48"/>
        <v>87</v>
      </c>
      <c r="T335" s="834"/>
      <c r="U335" s="834">
        <f t="shared" si="47"/>
        <v>87</v>
      </c>
      <c r="V335" s="842"/>
      <c r="W335" s="842"/>
      <c r="X335" s="872"/>
    </row>
    <row r="336" spans="1:24" s="873" customFormat="1" ht="37.799999999999997" x14ac:dyDescent="0.65">
      <c r="A336" s="853"/>
      <c r="B336" s="837" t="s">
        <v>272</v>
      </c>
      <c r="C336" s="837"/>
      <c r="D336" s="848" t="str">
        <f>'Перелік ціни'!C268</f>
        <v>плівка 20*25 - 1 шт</v>
      </c>
      <c r="E336" s="903">
        <f>'Перелік ціни'!D268</f>
        <v>26.05</v>
      </c>
      <c r="F336" s="903">
        <f>'Перелік ціни'!E268</f>
        <v>5.73</v>
      </c>
      <c r="G336" s="903">
        <f>'Перелік ціни'!F268</f>
        <v>31.1</v>
      </c>
      <c r="H336" s="903">
        <f>'Перелік ціни'!G268</f>
        <v>48.15</v>
      </c>
      <c r="I336" s="903">
        <f>'Перелік ціни'!H268</f>
        <v>111.03</v>
      </c>
      <c r="J336" s="903">
        <f>'Перелік ціни'!I268</f>
        <v>3.05</v>
      </c>
      <c r="K336" s="903">
        <f>'Перелік ціни'!J268</f>
        <v>0</v>
      </c>
      <c r="L336" s="903">
        <f>'Перелік ціни'!K268</f>
        <v>0</v>
      </c>
      <c r="M336" s="903">
        <f>'Перелік ціни'!L268</f>
        <v>0.4</v>
      </c>
      <c r="N336" s="903">
        <f>'Перелік ціни'!M268</f>
        <v>3.4499999999999997</v>
      </c>
      <c r="O336" s="903">
        <f>'Перелік ціни'!N268</f>
        <v>114.48</v>
      </c>
      <c r="P336" s="903">
        <f>'Перелік ціни'!O268</f>
        <v>0</v>
      </c>
      <c r="Q336" s="843">
        <f>'Перелік ціни'!P268</f>
        <v>114</v>
      </c>
      <c r="R336" s="841"/>
      <c r="S336" s="839">
        <f t="shared" si="48"/>
        <v>114</v>
      </c>
      <c r="T336" s="834"/>
      <c r="U336" s="834">
        <f t="shared" si="47"/>
        <v>114</v>
      </c>
      <c r="V336" s="842"/>
      <c r="W336" s="842"/>
      <c r="X336" s="872"/>
    </row>
    <row r="337" spans="1:24" s="873" customFormat="1" ht="37.799999999999997" x14ac:dyDescent="0.65">
      <c r="A337" s="853"/>
      <c r="B337" s="837" t="s">
        <v>273</v>
      </c>
      <c r="C337" s="837"/>
      <c r="D337" s="848" t="str">
        <f>'Перелік ціни'!C269</f>
        <v>плівка 35*43 - 1 шт</v>
      </c>
      <c r="E337" s="903">
        <f>'Перелік ціни'!D269</f>
        <v>26.05</v>
      </c>
      <c r="F337" s="903">
        <f>'Перелік ціни'!E269</f>
        <v>5.73</v>
      </c>
      <c r="G337" s="903">
        <f>'Перелік ціни'!F269</f>
        <v>18.720000000000002</v>
      </c>
      <c r="H337" s="903">
        <f>'Перелік ціни'!G269</f>
        <v>48.15</v>
      </c>
      <c r="I337" s="903">
        <f>'Перелік ціни'!H269</f>
        <v>98.65</v>
      </c>
      <c r="J337" s="903">
        <f>'Перелік ціни'!I269</f>
        <v>3.05</v>
      </c>
      <c r="K337" s="903">
        <f>'Перелік ціни'!J269</f>
        <v>0</v>
      </c>
      <c r="L337" s="903">
        <f>'Перелік ціни'!K269</f>
        <v>0</v>
      </c>
      <c r="M337" s="903">
        <f>'Перелік ціни'!L269</f>
        <v>0.4</v>
      </c>
      <c r="N337" s="903">
        <f>'Перелік ціни'!M269</f>
        <v>3.4499999999999997</v>
      </c>
      <c r="O337" s="903">
        <f>'Перелік ціни'!N269</f>
        <v>102.10000000000001</v>
      </c>
      <c r="P337" s="903">
        <f>'Перелік ціни'!O269</f>
        <v>0</v>
      </c>
      <c r="Q337" s="843">
        <f>'Перелік ціни'!P269</f>
        <v>102</v>
      </c>
      <c r="R337" s="841"/>
      <c r="S337" s="839">
        <f t="shared" si="48"/>
        <v>102</v>
      </c>
      <c r="T337" s="834"/>
      <c r="U337" s="834">
        <f t="shared" si="47"/>
        <v>102</v>
      </c>
      <c r="V337" s="842"/>
      <c r="W337" s="842"/>
      <c r="X337" s="872"/>
    </row>
    <row r="338" spans="1:24" s="873" customFormat="1" ht="37.799999999999997" x14ac:dyDescent="0.65">
      <c r="A338" s="853"/>
      <c r="B338" s="837" t="s">
        <v>274</v>
      </c>
      <c r="C338" s="837"/>
      <c r="D338" s="848" t="str">
        <f>'Перелік ціни'!C270</f>
        <v>без плівки</v>
      </c>
      <c r="E338" s="903">
        <f>'Перелік ціни'!D270</f>
        <v>26.05</v>
      </c>
      <c r="F338" s="903">
        <f>'Перелік ціни'!E270</f>
        <v>5.73</v>
      </c>
      <c r="G338" s="903">
        <f>'Перелік ціни'!F270</f>
        <v>2.88</v>
      </c>
      <c r="H338" s="903">
        <f>'Перелік ціни'!G270</f>
        <v>48.15</v>
      </c>
      <c r="I338" s="903">
        <f>'Перелік ціни'!H270</f>
        <v>82.81</v>
      </c>
      <c r="J338" s="903">
        <f>'Перелік ціни'!I270</f>
        <v>3.05</v>
      </c>
      <c r="K338" s="903">
        <f>'Перелік ціни'!J270</f>
        <v>0</v>
      </c>
      <c r="L338" s="903">
        <f>'Перелік ціни'!K270</f>
        <v>0</v>
      </c>
      <c r="M338" s="903">
        <f>'Перелік ціни'!L270</f>
        <v>0.4</v>
      </c>
      <c r="N338" s="903">
        <f>'Перелік ціни'!M270</f>
        <v>3.4499999999999997</v>
      </c>
      <c r="O338" s="903">
        <f>'Перелік ціни'!N270</f>
        <v>86.26</v>
      </c>
      <c r="P338" s="903">
        <f>'Перелік ціни'!O270</f>
        <v>0</v>
      </c>
      <c r="Q338" s="843">
        <f>'Перелік ціни'!P270</f>
        <v>86</v>
      </c>
      <c r="R338" s="841"/>
      <c r="S338" s="839">
        <f t="shared" si="48"/>
        <v>86</v>
      </c>
      <c r="T338" s="834"/>
      <c r="U338" s="834">
        <f t="shared" si="47"/>
        <v>86</v>
      </c>
      <c r="V338" s="842"/>
      <c r="W338" s="842"/>
      <c r="X338" s="872"/>
    </row>
    <row r="339" spans="1:24" s="881" customFormat="1" ht="37.799999999999997" x14ac:dyDescent="0.65">
      <c r="B339" s="882"/>
      <c r="C339" s="875"/>
      <c r="D339" s="883" t="str">
        <f>'Перелік ціни'!C271</f>
        <v>Ренгенографія шлунку з контрастом</v>
      </c>
      <c r="E339" s="903">
        <f>'Перелік ціни'!D271</f>
        <v>0</v>
      </c>
      <c r="F339" s="903">
        <f>'Перелік ціни'!E271</f>
        <v>0</v>
      </c>
      <c r="G339" s="903">
        <f>'Перелік ціни'!F271</f>
        <v>0</v>
      </c>
      <c r="H339" s="903">
        <f>'Перелік ціни'!G271</f>
        <v>0</v>
      </c>
      <c r="I339" s="903">
        <f>'Перелік ціни'!H271</f>
        <v>0</v>
      </c>
      <c r="J339" s="903">
        <f>'Перелік ціни'!I271</f>
        <v>0</v>
      </c>
      <c r="K339" s="903">
        <f>'Перелік ціни'!J271</f>
        <v>0</v>
      </c>
      <c r="L339" s="903">
        <f>'Перелік ціни'!K271</f>
        <v>0</v>
      </c>
      <c r="M339" s="903">
        <f>'Перелік ціни'!L271</f>
        <v>0</v>
      </c>
      <c r="N339" s="903">
        <f>'Перелік ціни'!M271</f>
        <v>0</v>
      </c>
      <c r="O339" s="903">
        <f>'Перелік ціни'!N271</f>
        <v>0</v>
      </c>
      <c r="P339" s="903">
        <f>'Перелік ціни'!O271</f>
        <v>0</v>
      </c>
      <c r="Q339" s="843"/>
      <c r="R339" s="876"/>
      <c r="S339" s="839"/>
      <c r="T339" s="878"/>
      <c r="U339" s="834">
        <f t="shared" si="47"/>
        <v>0</v>
      </c>
      <c r="V339" s="879"/>
      <c r="W339" s="879"/>
      <c r="X339" s="880"/>
    </row>
    <row r="340" spans="1:24" s="873" customFormat="1" ht="37.799999999999997" x14ac:dyDescent="0.65">
      <c r="A340" s="853"/>
      <c r="B340" s="837" t="s">
        <v>275</v>
      </c>
      <c r="C340" s="837"/>
      <c r="D340" s="848" t="str">
        <f>'Перелік ціни'!C272</f>
        <v>А4</v>
      </c>
      <c r="E340" s="903">
        <f>'Перелік ціни'!D272</f>
        <v>26.05</v>
      </c>
      <c r="F340" s="903">
        <f>'Перелік ціни'!E272</f>
        <v>5.73</v>
      </c>
      <c r="G340" s="903">
        <f>'Перелік ціни'!F272</f>
        <v>3.1799999999999997</v>
      </c>
      <c r="H340" s="903">
        <f>'Перелік ціни'!G272</f>
        <v>48.15</v>
      </c>
      <c r="I340" s="903">
        <f>'Перелік ціни'!H272</f>
        <v>83.11</v>
      </c>
      <c r="J340" s="903">
        <f>'Перелік ціни'!I272</f>
        <v>3.05</v>
      </c>
      <c r="K340" s="903">
        <f>'Перелік ціни'!J272</f>
        <v>0</v>
      </c>
      <c r="L340" s="903">
        <f>'Перелік ціни'!K272</f>
        <v>0</v>
      </c>
      <c r="M340" s="903">
        <f>'Перелік ціни'!L272</f>
        <v>0.4</v>
      </c>
      <c r="N340" s="903">
        <f>'Перелік ціни'!M272</f>
        <v>3.4499999999999997</v>
      </c>
      <c r="O340" s="903">
        <f>'Перелік ціни'!N272</f>
        <v>86.56</v>
      </c>
      <c r="P340" s="903">
        <f>'Перелік ціни'!O272</f>
        <v>0</v>
      </c>
      <c r="Q340" s="843">
        <f>'Перелік ціни'!P272</f>
        <v>87</v>
      </c>
      <c r="R340" s="841"/>
      <c r="S340" s="839">
        <f t="shared" si="48"/>
        <v>87</v>
      </c>
      <c r="T340" s="834"/>
      <c r="U340" s="834">
        <f t="shared" si="47"/>
        <v>87</v>
      </c>
      <c r="V340" s="842"/>
      <c r="W340" s="842"/>
      <c r="X340" s="872"/>
    </row>
    <row r="341" spans="1:24" s="873" customFormat="1" ht="37.799999999999997" x14ac:dyDescent="0.65">
      <c r="A341" s="853"/>
      <c r="B341" s="837" t="s">
        <v>276</v>
      </c>
      <c r="C341" s="837"/>
      <c r="D341" s="848" t="str">
        <f>'Перелік ціни'!C273</f>
        <v>плівка 20*25 - 1 шт</v>
      </c>
      <c r="E341" s="903">
        <f>'Перелік ціни'!D273</f>
        <v>26.05</v>
      </c>
      <c r="F341" s="903">
        <f>'Перелік ціни'!E273</f>
        <v>5.73</v>
      </c>
      <c r="G341" s="903">
        <f>'Перелік ціни'!F273</f>
        <v>31.1</v>
      </c>
      <c r="H341" s="903">
        <f>'Перелік ціни'!G273</f>
        <v>48.15</v>
      </c>
      <c r="I341" s="903">
        <f>'Перелік ціни'!H273</f>
        <v>111.03</v>
      </c>
      <c r="J341" s="903">
        <f>'Перелік ціни'!I273</f>
        <v>3.05</v>
      </c>
      <c r="K341" s="903">
        <f>'Перелік ціни'!J273</f>
        <v>0</v>
      </c>
      <c r="L341" s="903">
        <f>'Перелік ціни'!K273</f>
        <v>0</v>
      </c>
      <c r="M341" s="903">
        <f>'Перелік ціни'!L273</f>
        <v>0.4</v>
      </c>
      <c r="N341" s="903">
        <f>'Перелік ціни'!M273</f>
        <v>3.4499999999999997</v>
      </c>
      <c r="O341" s="903">
        <f>'Перелік ціни'!N273</f>
        <v>114.48</v>
      </c>
      <c r="P341" s="903">
        <f>'Перелік ціни'!O273</f>
        <v>0</v>
      </c>
      <c r="Q341" s="843">
        <f>'Перелік ціни'!P273</f>
        <v>114</v>
      </c>
      <c r="R341" s="841"/>
      <c r="S341" s="839">
        <f t="shared" si="48"/>
        <v>114</v>
      </c>
      <c r="T341" s="834"/>
      <c r="U341" s="834">
        <f t="shared" si="47"/>
        <v>114</v>
      </c>
      <c r="V341" s="842"/>
      <c r="W341" s="842"/>
      <c r="X341" s="872"/>
    </row>
    <row r="342" spans="1:24" s="873" customFormat="1" ht="37.799999999999997" x14ac:dyDescent="0.65">
      <c r="A342" s="853"/>
      <c r="B342" s="837" t="s">
        <v>277</v>
      </c>
      <c r="C342" s="837"/>
      <c r="D342" s="848" t="str">
        <f>'Перелік ціни'!C274</f>
        <v>без плівки</v>
      </c>
      <c r="E342" s="903">
        <f>'Перелік ціни'!D274</f>
        <v>26.05</v>
      </c>
      <c r="F342" s="903">
        <f>'Перелік ціни'!E274</f>
        <v>5.73</v>
      </c>
      <c r="G342" s="903">
        <f>'Перелік ціни'!F274</f>
        <v>2.88</v>
      </c>
      <c r="H342" s="903">
        <f>'Перелік ціни'!G274</f>
        <v>48.15</v>
      </c>
      <c r="I342" s="903">
        <f>'Перелік ціни'!H274</f>
        <v>82.81</v>
      </c>
      <c r="J342" s="903">
        <f>'Перелік ціни'!I274</f>
        <v>3.05</v>
      </c>
      <c r="K342" s="903">
        <f>'Перелік ціни'!J274</f>
        <v>0</v>
      </c>
      <c r="L342" s="903">
        <f>'Перелік ціни'!K274</f>
        <v>0</v>
      </c>
      <c r="M342" s="903">
        <f>'Перелік ціни'!L274</f>
        <v>0.4</v>
      </c>
      <c r="N342" s="903">
        <f>'Перелік ціни'!M274</f>
        <v>3.4499999999999997</v>
      </c>
      <c r="O342" s="903">
        <f>'Перелік ціни'!N274</f>
        <v>86.26</v>
      </c>
      <c r="P342" s="903">
        <f>'Перелік ціни'!O274</f>
        <v>0</v>
      </c>
      <c r="Q342" s="843">
        <f>'Перелік ціни'!P274</f>
        <v>86</v>
      </c>
      <c r="R342" s="841"/>
      <c r="S342" s="839">
        <f t="shared" si="48"/>
        <v>86</v>
      </c>
      <c r="T342" s="834"/>
      <c r="U342" s="834">
        <f t="shared" si="47"/>
        <v>86</v>
      </c>
      <c r="V342" s="842"/>
      <c r="W342" s="842"/>
      <c r="X342" s="872"/>
    </row>
    <row r="343" spans="1:24" s="881" customFormat="1" ht="37.799999999999997" x14ac:dyDescent="0.65">
      <c r="B343" s="882"/>
      <c r="C343" s="875"/>
      <c r="D343" s="883" t="str">
        <f>'Перелік ціни'!C275</f>
        <v>Холецистографія</v>
      </c>
      <c r="E343" s="903">
        <f>'Перелік ціни'!D275</f>
        <v>0</v>
      </c>
      <c r="F343" s="903">
        <f>'Перелік ціни'!E275</f>
        <v>0</v>
      </c>
      <c r="G343" s="903">
        <f>'Перелік ціни'!F275</f>
        <v>0</v>
      </c>
      <c r="H343" s="903">
        <f>'Перелік ціни'!G275</f>
        <v>0</v>
      </c>
      <c r="I343" s="903">
        <f>'Перелік ціни'!H275</f>
        <v>0</v>
      </c>
      <c r="J343" s="903">
        <f>'Перелік ціни'!I275</f>
        <v>0</v>
      </c>
      <c r="K343" s="903">
        <f>'Перелік ціни'!J275</f>
        <v>0</v>
      </c>
      <c r="L343" s="903">
        <f>'Перелік ціни'!K275</f>
        <v>0</v>
      </c>
      <c r="M343" s="903">
        <f>'Перелік ціни'!L275</f>
        <v>0</v>
      </c>
      <c r="N343" s="903">
        <f>'Перелік ціни'!M275</f>
        <v>0</v>
      </c>
      <c r="O343" s="903">
        <f>'Перелік ціни'!N275</f>
        <v>0</v>
      </c>
      <c r="P343" s="903">
        <f>'Перелік ціни'!O275</f>
        <v>0</v>
      </c>
      <c r="Q343" s="843"/>
      <c r="R343" s="876"/>
      <c r="S343" s="839"/>
      <c r="T343" s="878"/>
      <c r="U343" s="834">
        <f t="shared" si="47"/>
        <v>0</v>
      </c>
      <c r="V343" s="879"/>
      <c r="W343" s="879"/>
      <c r="X343" s="880"/>
    </row>
    <row r="344" spans="1:24" s="873" customFormat="1" ht="37.799999999999997" x14ac:dyDescent="0.65">
      <c r="A344" s="853"/>
      <c r="B344" s="837" t="s">
        <v>278</v>
      </c>
      <c r="C344" s="837"/>
      <c r="D344" s="848" t="str">
        <f>'Перелік ціни'!C276</f>
        <v>А4</v>
      </c>
      <c r="E344" s="903">
        <f>'Перелік ціни'!D276</f>
        <v>26.05</v>
      </c>
      <c r="F344" s="903">
        <f>'Перелік ціни'!E276</f>
        <v>5.73</v>
      </c>
      <c r="G344" s="903">
        <f>'Перелік ціни'!F276</f>
        <v>3.1799999999999997</v>
      </c>
      <c r="H344" s="903">
        <f>'Перелік ціни'!G276</f>
        <v>48.15</v>
      </c>
      <c r="I344" s="903">
        <f>'Перелік ціни'!H276</f>
        <v>83.11</v>
      </c>
      <c r="J344" s="903">
        <f>'Перелік ціни'!I276</f>
        <v>3.05</v>
      </c>
      <c r="K344" s="903">
        <f>'Перелік ціни'!J276</f>
        <v>0</v>
      </c>
      <c r="L344" s="903">
        <f>'Перелік ціни'!K276</f>
        <v>0</v>
      </c>
      <c r="M344" s="903">
        <f>'Перелік ціни'!L276</f>
        <v>0.4</v>
      </c>
      <c r="N344" s="903">
        <f>'Перелік ціни'!M276</f>
        <v>3.4499999999999997</v>
      </c>
      <c r="O344" s="903">
        <f>'Перелік ціни'!N276</f>
        <v>86.56</v>
      </c>
      <c r="P344" s="903">
        <f>'Перелік ціни'!O276</f>
        <v>0</v>
      </c>
      <c r="Q344" s="843">
        <f>'Перелік ціни'!P276</f>
        <v>87</v>
      </c>
      <c r="R344" s="841"/>
      <c r="S344" s="839">
        <f t="shared" si="48"/>
        <v>87</v>
      </c>
      <c r="T344" s="834"/>
      <c r="U344" s="834">
        <f t="shared" si="47"/>
        <v>87</v>
      </c>
      <c r="V344" s="842"/>
      <c r="W344" s="842"/>
      <c r="X344" s="872"/>
    </row>
    <row r="345" spans="1:24" s="873" customFormat="1" ht="37.799999999999997" x14ac:dyDescent="0.65">
      <c r="A345" s="853"/>
      <c r="B345" s="837" t="s">
        <v>279</v>
      </c>
      <c r="C345" s="837"/>
      <c r="D345" s="848" t="str">
        <f>'Перелік ціни'!C277</f>
        <v>плівка 20*25 - 1 шт</v>
      </c>
      <c r="E345" s="903">
        <f>'Перелік ціни'!D277</f>
        <v>26.05</v>
      </c>
      <c r="F345" s="903">
        <f>'Перелік ціни'!E277</f>
        <v>5.73</v>
      </c>
      <c r="G345" s="903">
        <f>'Перелік ціни'!F277</f>
        <v>31.1</v>
      </c>
      <c r="H345" s="903">
        <f>'Перелік ціни'!G277</f>
        <v>48.15</v>
      </c>
      <c r="I345" s="903">
        <f>'Перелік ціни'!H277</f>
        <v>111.03</v>
      </c>
      <c r="J345" s="903">
        <f>'Перелік ціни'!I277</f>
        <v>3.05</v>
      </c>
      <c r="K345" s="903">
        <f>'Перелік ціни'!J277</f>
        <v>0</v>
      </c>
      <c r="L345" s="903">
        <f>'Перелік ціни'!K277</f>
        <v>0</v>
      </c>
      <c r="M345" s="903">
        <f>'Перелік ціни'!L277</f>
        <v>0.4</v>
      </c>
      <c r="N345" s="903">
        <f>'Перелік ціни'!M277</f>
        <v>3.4499999999999997</v>
      </c>
      <c r="O345" s="903">
        <f>'Перелік ціни'!N277</f>
        <v>114.48</v>
      </c>
      <c r="P345" s="903">
        <f>'Перелік ціни'!O277</f>
        <v>0</v>
      </c>
      <c r="Q345" s="843">
        <f>'Перелік ціни'!P277</f>
        <v>114</v>
      </c>
      <c r="R345" s="841"/>
      <c r="S345" s="839">
        <f t="shared" si="48"/>
        <v>114</v>
      </c>
      <c r="T345" s="834"/>
      <c r="U345" s="834">
        <f t="shared" si="47"/>
        <v>114</v>
      </c>
      <c r="V345" s="842"/>
      <c r="W345" s="842"/>
      <c r="X345" s="872"/>
    </row>
    <row r="346" spans="1:24" s="873" customFormat="1" ht="37.799999999999997" x14ac:dyDescent="0.65">
      <c r="A346" s="853"/>
      <c r="B346" s="837" t="s">
        <v>281</v>
      </c>
      <c r="C346" s="837"/>
      <c r="D346" s="848" t="str">
        <f>'Перелік ціни'!C278</f>
        <v>без плівки</v>
      </c>
      <c r="E346" s="903">
        <f>'Перелік ціни'!D278</f>
        <v>26.05</v>
      </c>
      <c r="F346" s="903">
        <f>'Перелік ціни'!E278</f>
        <v>5.73</v>
      </c>
      <c r="G346" s="903">
        <f>'Перелік ціни'!F278</f>
        <v>2.88</v>
      </c>
      <c r="H346" s="903">
        <f>'Перелік ціни'!G278</f>
        <v>48.15</v>
      </c>
      <c r="I346" s="903">
        <f>'Перелік ціни'!H278</f>
        <v>82.81</v>
      </c>
      <c r="J346" s="903">
        <f>'Перелік ціни'!I278</f>
        <v>3.05</v>
      </c>
      <c r="K346" s="903">
        <f>'Перелік ціни'!J278</f>
        <v>0</v>
      </c>
      <c r="L346" s="903">
        <f>'Перелік ціни'!K278</f>
        <v>0</v>
      </c>
      <c r="M346" s="903">
        <f>'Перелік ціни'!L278</f>
        <v>0.4</v>
      </c>
      <c r="N346" s="903">
        <f>'Перелік ціни'!M278</f>
        <v>3.4499999999999997</v>
      </c>
      <c r="O346" s="903">
        <f>'Перелік ціни'!N278</f>
        <v>86.26</v>
      </c>
      <c r="P346" s="903">
        <f>'Перелік ціни'!O278</f>
        <v>0</v>
      </c>
      <c r="Q346" s="843">
        <f>'Перелік ціни'!P278</f>
        <v>86</v>
      </c>
      <c r="R346" s="841"/>
      <c r="S346" s="839">
        <f t="shared" si="48"/>
        <v>86</v>
      </c>
      <c r="T346" s="834"/>
      <c r="U346" s="834">
        <f t="shared" si="47"/>
        <v>86</v>
      </c>
      <c r="V346" s="842"/>
      <c r="W346" s="842"/>
      <c r="X346" s="872"/>
    </row>
    <row r="347" spans="1:24" s="853" customFormat="1" ht="37.799999999999997" x14ac:dyDescent="0.65">
      <c r="B347" s="837"/>
      <c r="C347" s="849"/>
      <c r="D347" s="883" t="str">
        <f>'Перелік ціни'!C279</f>
        <v>Оглядова урографія</v>
      </c>
      <c r="E347" s="903">
        <f>'Перелік ціни'!D279</f>
        <v>0</v>
      </c>
      <c r="F347" s="903">
        <f>'Перелік ціни'!E279</f>
        <v>0</v>
      </c>
      <c r="G347" s="903">
        <f>'Перелік ціни'!F279</f>
        <v>0</v>
      </c>
      <c r="H347" s="903">
        <f>'Перелік ціни'!G279</f>
        <v>0</v>
      </c>
      <c r="I347" s="903">
        <f>'Перелік ціни'!H279</f>
        <v>0</v>
      </c>
      <c r="J347" s="903">
        <f>'Перелік ціни'!I279</f>
        <v>0</v>
      </c>
      <c r="K347" s="903">
        <f>'Перелік ціни'!J279</f>
        <v>0</v>
      </c>
      <c r="L347" s="903">
        <f>'Перелік ціни'!K279</f>
        <v>0</v>
      </c>
      <c r="M347" s="903">
        <f>'Перелік ціни'!L279</f>
        <v>0</v>
      </c>
      <c r="N347" s="903">
        <f>'Перелік ціни'!M279</f>
        <v>0</v>
      </c>
      <c r="O347" s="903">
        <f>'Перелік ціни'!N279</f>
        <v>0</v>
      </c>
      <c r="P347" s="903">
        <f>'Перелік ціни'!O279</f>
        <v>0</v>
      </c>
      <c r="Q347" s="843"/>
      <c r="R347" s="851"/>
      <c r="S347" s="839"/>
      <c r="T347" s="835"/>
      <c r="U347" s="834">
        <f t="shared" si="47"/>
        <v>0</v>
      </c>
      <c r="V347" s="852"/>
      <c r="W347" s="852"/>
      <c r="X347" s="840"/>
    </row>
    <row r="348" spans="1:24" s="873" customFormat="1" ht="37.799999999999997" x14ac:dyDescent="0.65">
      <c r="A348" s="853"/>
      <c r="B348" s="837" t="s">
        <v>282</v>
      </c>
      <c r="C348" s="837"/>
      <c r="D348" s="848" t="str">
        <f>'Перелік ціни'!C280</f>
        <v>А4</v>
      </c>
      <c r="E348" s="903">
        <f>'Перелік ціни'!D280</f>
        <v>26.05</v>
      </c>
      <c r="F348" s="903">
        <f>'Перелік ціни'!E280</f>
        <v>5.73</v>
      </c>
      <c r="G348" s="903">
        <f>'Перелік ціни'!F280</f>
        <v>3.1799999999999997</v>
      </c>
      <c r="H348" s="903">
        <f>'Перелік ціни'!G280</f>
        <v>48.15</v>
      </c>
      <c r="I348" s="903">
        <f>'Перелік ціни'!H280</f>
        <v>83.11</v>
      </c>
      <c r="J348" s="903">
        <f>'Перелік ціни'!I280</f>
        <v>3.05</v>
      </c>
      <c r="K348" s="903">
        <f>'Перелік ціни'!J280</f>
        <v>0</v>
      </c>
      <c r="L348" s="903">
        <f>'Перелік ціни'!K280</f>
        <v>0</v>
      </c>
      <c r="M348" s="903">
        <f>'Перелік ціни'!L280</f>
        <v>0.4</v>
      </c>
      <c r="N348" s="903">
        <f>'Перелік ціни'!M280</f>
        <v>3.4499999999999997</v>
      </c>
      <c r="O348" s="903">
        <f>'Перелік ціни'!N280</f>
        <v>86.56</v>
      </c>
      <c r="P348" s="903">
        <f>'Перелік ціни'!O280</f>
        <v>0</v>
      </c>
      <c r="Q348" s="843">
        <f>'Перелік ціни'!P280</f>
        <v>87</v>
      </c>
      <c r="R348" s="841"/>
      <c r="S348" s="839">
        <f t="shared" si="48"/>
        <v>87</v>
      </c>
      <c r="T348" s="834"/>
      <c r="U348" s="834">
        <f t="shared" si="47"/>
        <v>87</v>
      </c>
      <c r="V348" s="842"/>
      <c r="W348" s="842"/>
      <c r="X348" s="872"/>
    </row>
    <row r="349" spans="1:24" s="873" customFormat="1" ht="37.799999999999997" x14ac:dyDescent="0.65">
      <c r="A349" s="853"/>
      <c r="B349" s="837" t="s">
        <v>283</v>
      </c>
      <c r="C349" s="837"/>
      <c r="D349" s="848" t="str">
        <f>'Перелік ціни'!C281</f>
        <v>плівка 35*43 - 4 шт</v>
      </c>
      <c r="E349" s="903">
        <f>'Перелік ціни'!D281</f>
        <v>26.05</v>
      </c>
      <c r="F349" s="903">
        <f>'Перелік ціни'!E281</f>
        <v>5.73</v>
      </c>
      <c r="G349" s="903">
        <f>'Перелік ціни'!F281</f>
        <v>66.239999999999995</v>
      </c>
      <c r="H349" s="903">
        <f>'Перелік ціни'!G281</f>
        <v>48.15</v>
      </c>
      <c r="I349" s="903">
        <f>'Перелік ціни'!H281</f>
        <v>146.16999999999999</v>
      </c>
      <c r="J349" s="903">
        <f>'Перелік ціни'!I281</f>
        <v>3.05</v>
      </c>
      <c r="K349" s="903">
        <f>'Перелік ціни'!J281</f>
        <v>0</v>
      </c>
      <c r="L349" s="903">
        <f>'Перелік ціни'!K281</f>
        <v>0</v>
      </c>
      <c r="M349" s="903">
        <f>'Перелік ціни'!L281</f>
        <v>0.4</v>
      </c>
      <c r="N349" s="903">
        <f>'Перелік ціни'!M281</f>
        <v>3.4499999999999997</v>
      </c>
      <c r="O349" s="903">
        <f>'Перелік ціни'!N281</f>
        <v>149.61999999999998</v>
      </c>
      <c r="P349" s="903">
        <f>'Перелік ціни'!O281</f>
        <v>0</v>
      </c>
      <c r="Q349" s="843">
        <f>'Перелік ціни'!P281</f>
        <v>150</v>
      </c>
      <c r="R349" s="841"/>
      <c r="S349" s="839">
        <f t="shared" si="48"/>
        <v>150</v>
      </c>
      <c r="T349" s="834"/>
      <c r="U349" s="834">
        <f t="shared" si="47"/>
        <v>150</v>
      </c>
      <c r="V349" s="842"/>
      <c r="W349" s="842"/>
      <c r="X349" s="872"/>
    </row>
    <row r="350" spans="1:24" s="873" customFormat="1" ht="37.799999999999997" x14ac:dyDescent="0.65">
      <c r="A350" s="853"/>
      <c r="B350" s="837" t="s">
        <v>285</v>
      </c>
      <c r="C350" s="837"/>
      <c r="D350" s="848" t="str">
        <f>'Перелік ціни'!C282</f>
        <v>без плівки</v>
      </c>
      <c r="E350" s="903">
        <f>'Перелік ціни'!D282</f>
        <v>26.05</v>
      </c>
      <c r="F350" s="903">
        <f>'Перелік ціни'!E282</f>
        <v>5.73</v>
      </c>
      <c r="G350" s="903">
        <f>'Перелік ціни'!F282</f>
        <v>2.88</v>
      </c>
      <c r="H350" s="903">
        <f>'Перелік ціни'!G282</f>
        <v>48.15</v>
      </c>
      <c r="I350" s="903">
        <f>'Перелік ціни'!H282</f>
        <v>82.81</v>
      </c>
      <c r="J350" s="903">
        <f>'Перелік ціни'!I282</f>
        <v>3.05</v>
      </c>
      <c r="K350" s="903">
        <f>'Перелік ціни'!J282</f>
        <v>0</v>
      </c>
      <c r="L350" s="903">
        <f>'Перелік ціни'!K282</f>
        <v>0</v>
      </c>
      <c r="M350" s="903">
        <f>'Перелік ціни'!L282</f>
        <v>0.4</v>
      </c>
      <c r="N350" s="903">
        <f>'Перелік ціни'!M282</f>
        <v>3.4499999999999997</v>
      </c>
      <c r="O350" s="903">
        <f>'Перелік ціни'!N282</f>
        <v>86.26</v>
      </c>
      <c r="P350" s="903">
        <f>'Перелік ціни'!O282</f>
        <v>0</v>
      </c>
      <c r="Q350" s="843">
        <f>'Перелік ціни'!P282</f>
        <v>86</v>
      </c>
      <c r="R350" s="841"/>
      <c r="S350" s="839">
        <f t="shared" si="48"/>
        <v>86</v>
      </c>
      <c r="T350" s="834"/>
      <c r="U350" s="834">
        <f t="shared" si="47"/>
        <v>86</v>
      </c>
      <c r="V350" s="842"/>
      <c r="W350" s="842"/>
      <c r="X350" s="872"/>
    </row>
    <row r="351" spans="1:24" s="853" customFormat="1" ht="37.799999999999997" x14ac:dyDescent="0.65">
      <c r="B351" s="837"/>
      <c r="C351" s="849"/>
      <c r="D351" s="883" t="str">
        <f>'Перелік ціни'!C283</f>
        <v>Екстреторна внутрішньовенна урографія</v>
      </c>
      <c r="E351" s="903">
        <f>'Перелік ціни'!D283</f>
        <v>0</v>
      </c>
      <c r="F351" s="903">
        <f>'Перелік ціни'!E283</f>
        <v>0</v>
      </c>
      <c r="G351" s="903">
        <f>'Перелік ціни'!F283</f>
        <v>0</v>
      </c>
      <c r="H351" s="903">
        <f>'Перелік ціни'!G283</f>
        <v>0</v>
      </c>
      <c r="I351" s="903">
        <f>'Перелік ціни'!H283</f>
        <v>0</v>
      </c>
      <c r="J351" s="903">
        <f>'Перелік ціни'!I283</f>
        <v>0</v>
      </c>
      <c r="K351" s="903">
        <f>'Перелік ціни'!J283</f>
        <v>0</v>
      </c>
      <c r="L351" s="903">
        <f>'Перелік ціни'!K283</f>
        <v>0</v>
      </c>
      <c r="M351" s="903">
        <f>'Перелік ціни'!L283</f>
        <v>0</v>
      </c>
      <c r="N351" s="903">
        <f>'Перелік ціни'!M283</f>
        <v>0</v>
      </c>
      <c r="O351" s="903">
        <f>'Перелік ціни'!N283</f>
        <v>0</v>
      </c>
      <c r="P351" s="903">
        <f>'Перелік ціни'!O283</f>
        <v>0</v>
      </c>
      <c r="Q351" s="843"/>
      <c r="R351" s="851"/>
      <c r="S351" s="839"/>
      <c r="T351" s="835"/>
      <c r="U351" s="834">
        <f t="shared" si="47"/>
        <v>0</v>
      </c>
      <c r="V351" s="852"/>
      <c r="W351" s="852"/>
      <c r="X351" s="840"/>
    </row>
    <row r="352" spans="1:24" s="873" customFormat="1" ht="37.799999999999997" x14ac:dyDescent="0.65">
      <c r="A352" s="853"/>
      <c r="B352" s="837" t="s">
        <v>286</v>
      </c>
      <c r="C352" s="837"/>
      <c r="D352" s="848" t="str">
        <f>'Перелік ціни'!C284</f>
        <v>А4</v>
      </c>
      <c r="E352" s="903">
        <f>'Перелік ціни'!D284</f>
        <v>26.05</v>
      </c>
      <c r="F352" s="903">
        <f>'Перелік ціни'!E284</f>
        <v>5.73</v>
      </c>
      <c r="G352" s="903">
        <f>'Перелік ціни'!F284</f>
        <v>3.1799999999999997</v>
      </c>
      <c r="H352" s="903">
        <f>'Перелік ціни'!G284</f>
        <v>48.15</v>
      </c>
      <c r="I352" s="903">
        <f>'Перелік ціни'!H284</f>
        <v>83.11</v>
      </c>
      <c r="J352" s="903">
        <f>'Перелік ціни'!I284</f>
        <v>3.05</v>
      </c>
      <c r="K352" s="903">
        <f>'Перелік ціни'!J284</f>
        <v>0</v>
      </c>
      <c r="L352" s="903">
        <f>'Перелік ціни'!K284</f>
        <v>0</v>
      </c>
      <c r="M352" s="903">
        <f>'Перелік ціни'!L284</f>
        <v>0.4</v>
      </c>
      <c r="N352" s="903">
        <f>'Перелік ціни'!M284</f>
        <v>3.4499999999999997</v>
      </c>
      <c r="O352" s="903">
        <f>'Перелік ціни'!N284</f>
        <v>86.56</v>
      </c>
      <c r="P352" s="903">
        <f>'Перелік ціни'!O284</f>
        <v>0</v>
      </c>
      <c r="Q352" s="843">
        <f>'Перелік ціни'!P284</f>
        <v>87</v>
      </c>
      <c r="R352" s="841"/>
      <c r="S352" s="839">
        <f t="shared" si="48"/>
        <v>87</v>
      </c>
      <c r="T352" s="834"/>
      <c r="U352" s="834">
        <f t="shared" si="47"/>
        <v>87</v>
      </c>
      <c r="V352" s="842"/>
      <c r="W352" s="842"/>
      <c r="X352" s="872"/>
    </row>
    <row r="353" spans="1:24" s="873" customFormat="1" ht="37.799999999999997" x14ac:dyDescent="0.65">
      <c r="A353" s="853"/>
      <c r="B353" s="837" t="s">
        <v>287</v>
      </c>
      <c r="C353" s="837"/>
      <c r="D353" s="848" t="str">
        <f>'Перелік ціни'!C285</f>
        <v>плівка 35*43 - 4 шт</v>
      </c>
      <c r="E353" s="903">
        <f>'Перелік ціни'!D285</f>
        <v>26.05</v>
      </c>
      <c r="F353" s="903">
        <f>'Перелік ціни'!E285</f>
        <v>5.73</v>
      </c>
      <c r="G353" s="903">
        <f>'Перелік ціни'!F285</f>
        <v>66.239999999999995</v>
      </c>
      <c r="H353" s="903">
        <f>'Перелік ціни'!G285</f>
        <v>48.15</v>
      </c>
      <c r="I353" s="903">
        <f>'Перелік ціни'!H285</f>
        <v>146.16999999999999</v>
      </c>
      <c r="J353" s="903">
        <f>'Перелік ціни'!I285</f>
        <v>3.05</v>
      </c>
      <c r="K353" s="903">
        <f>'Перелік ціни'!J285</f>
        <v>0</v>
      </c>
      <c r="L353" s="903">
        <f>'Перелік ціни'!K285</f>
        <v>0</v>
      </c>
      <c r="M353" s="903">
        <f>'Перелік ціни'!L285</f>
        <v>0.4</v>
      </c>
      <c r="N353" s="903">
        <f>'Перелік ціни'!M285</f>
        <v>3.4499999999999997</v>
      </c>
      <c r="O353" s="903">
        <f>'Перелік ціни'!N285</f>
        <v>149.61999999999998</v>
      </c>
      <c r="P353" s="903">
        <f>'Перелік ціни'!O285</f>
        <v>0</v>
      </c>
      <c r="Q353" s="843">
        <f>'Перелік ціни'!P285</f>
        <v>150</v>
      </c>
      <c r="R353" s="841"/>
      <c r="S353" s="839">
        <f t="shared" si="48"/>
        <v>150</v>
      </c>
      <c r="T353" s="834"/>
      <c r="U353" s="834">
        <f t="shared" si="47"/>
        <v>150</v>
      </c>
      <c r="V353" s="842"/>
      <c r="W353" s="842"/>
      <c r="X353" s="872"/>
    </row>
    <row r="354" spans="1:24" s="874" customFormat="1" ht="37.799999999999997" x14ac:dyDescent="0.65">
      <c r="A354" s="854"/>
      <c r="B354" s="837" t="s">
        <v>288</v>
      </c>
      <c r="C354" s="837"/>
      <c r="D354" s="848" t="str">
        <f>'Перелік ціни'!C286</f>
        <v>без плівки</v>
      </c>
      <c r="E354" s="903">
        <f>'Перелік ціни'!D286</f>
        <v>26.05</v>
      </c>
      <c r="F354" s="903">
        <f>'Перелік ціни'!E286</f>
        <v>5.73</v>
      </c>
      <c r="G354" s="903">
        <f>'Перелік ціни'!F286</f>
        <v>2.88</v>
      </c>
      <c r="H354" s="903">
        <f>'Перелік ціни'!G286</f>
        <v>48.15</v>
      </c>
      <c r="I354" s="903">
        <f>'Перелік ціни'!H286</f>
        <v>82.81</v>
      </c>
      <c r="J354" s="903">
        <f>'Перелік ціни'!I286</f>
        <v>3.05</v>
      </c>
      <c r="K354" s="903">
        <f>'Перелік ціни'!J286</f>
        <v>0</v>
      </c>
      <c r="L354" s="903">
        <f>'Перелік ціни'!K286</f>
        <v>0</v>
      </c>
      <c r="M354" s="903">
        <f>'Перелік ціни'!L286</f>
        <v>0.4</v>
      </c>
      <c r="N354" s="903">
        <f>'Перелік ціни'!M286</f>
        <v>3.4499999999999997</v>
      </c>
      <c r="O354" s="903">
        <f>'Перелік ціни'!N286</f>
        <v>86.26</v>
      </c>
      <c r="P354" s="903">
        <f>'Перелік ціни'!O286</f>
        <v>0</v>
      </c>
      <c r="Q354" s="843">
        <f>'Перелік ціни'!P286</f>
        <v>86</v>
      </c>
      <c r="R354" s="841"/>
      <c r="S354" s="839">
        <f t="shared" si="48"/>
        <v>86</v>
      </c>
      <c r="T354" s="834"/>
      <c r="U354" s="834">
        <f t="shared" si="47"/>
        <v>86</v>
      </c>
      <c r="V354" s="844"/>
      <c r="W354" s="844"/>
      <c r="X354" s="845"/>
    </row>
    <row r="355" spans="1:24" s="422" customFormat="1" ht="34.200000000000003" x14ac:dyDescent="0.6">
      <c r="A355" s="886"/>
      <c r="B355" s="425"/>
      <c r="C355" s="425"/>
      <c r="D355" s="426"/>
      <c r="E355" s="900"/>
      <c r="F355" s="900"/>
      <c r="G355" s="900"/>
      <c r="H355" s="900"/>
      <c r="I355" s="901"/>
      <c r="J355" s="900"/>
      <c r="K355" s="900"/>
      <c r="L355" s="900"/>
      <c r="M355" s="900"/>
      <c r="N355" s="901"/>
      <c r="O355" s="901"/>
      <c r="P355" s="900"/>
      <c r="Q355" s="427"/>
      <c r="R355" s="427"/>
      <c r="S355" s="428"/>
      <c r="T355" s="428"/>
      <c r="U355" s="428"/>
      <c r="V355" s="718"/>
      <c r="W355" s="718"/>
      <c r="X355" s="423"/>
    </row>
    <row r="356" spans="1:24" s="422" customFormat="1" ht="34.200000000000003" x14ac:dyDescent="0.6">
      <c r="A356" s="886"/>
      <c r="B356" s="425"/>
      <c r="C356" s="425"/>
      <c r="D356" s="426"/>
      <c r="E356" s="900"/>
      <c r="F356" s="900"/>
      <c r="G356" s="900"/>
      <c r="H356" s="900"/>
      <c r="I356" s="901"/>
      <c r="J356" s="900"/>
      <c r="K356" s="900"/>
      <c r="L356" s="900"/>
      <c r="M356" s="900"/>
      <c r="N356" s="901"/>
      <c r="O356" s="901"/>
      <c r="P356" s="900"/>
      <c r="Q356" s="427"/>
      <c r="R356" s="427"/>
      <c r="S356" s="428"/>
      <c r="T356" s="428"/>
      <c r="U356" s="428"/>
      <c r="V356" s="718"/>
      <c r="W356" s="718"/>
      <c r="X356" s="423"/>
    </row>
    <row r="357" spans="1:24" s="436" customFormat="1" ht="40.200000000000003" x14ac:dyDescent="0.7">
      <c r="A357" s="437"/>
      <c r="B357" s="681"/>
      <c r="C357" s="435"/>
      <c r="D357" s="435"/>
      <c r="E357" s="890"/>
      <c r="F357" s="890"/>
      <c r="G357" s="890"/>
      <c r="H357" s="890"/>
      <c r="I357" s="890"/>
      <c r="J357" s="890"/>
      <c r="K357" s="890"/>
      <c r="L357" s="890"/>
      <c r="M357" s="890"/>
      <c r="N357" s="890"/>
      <c r="O357" s="890"/>
      <c r="P357" s="890"/>
      <c r="Q357" s="1021" t="s">
        <v>155</v>
      </c>
      <c r="R357" s="1021"/>
      <c r="S357" s="1021"/>
      <c r="T357" s="709"/>
      <c r="U357" s="709"/>
      <c r="V357" s="713"/>
      <c r="W357" s="713"/>
      <c r="X357" s="437"/>
    </row>
    <row r="358" spans="1:24" s="436" customFormat="1" ht="40.200000000000003" x14ac:dyDescent="0.7">
      <c r="A358" s="437"/>
      <c r="B358" s="682"/>
      <c r="E358" s="890"/>
      <c r="F358" s="890"/>
      <c r="G358" s="890"/>
      <c r="H358" s="890"/>
      <c r="I358" s="890"/>
      <c r="J358" s="890"/>
      <c r="K358" s="890"/>
      <c r="L358" s="890"/>
      <c r="M358" s="890"/>
      <c r="N358" s="890"/>
      <c r="O358" s="890"/>
      <c r="P358" s="890"/>
      <c r="Q358" s="1021" t="s">
        <v>156</v>
      </c>
      <c r="R358" s="1021"/>
      <c r="S358" s="1021"/>
      <c r="T358" s="709"/>
      <c r="U358" s="709"/>
      <c r="V358" s="713"/>
      <c r="W358" s="713"/>
      <c r="X358" s="438"/>
    </row>
    <row r="359" spans="1:24" s="436" customFormat="1" ht="40.200000000000003" x14ac:dyDescent="0.7">
      <c r="A359" s="437"/>
      <c r="B359" s="682"/>
      <c r="E359" s="890"/>
      <c r="F359" s="890"/>
      <c r="G359" s="890"/>
      <c r="H359" s="890"/>
      <c r="I359" s="890"/>
      <c r="J359" s="890"/>
      <c r="K359" s="890"/>
      <c r="L359" s="890"/>
      <c r="M359" s="890"/>
      <c r="N359" s="890"/>
      <c r="O359" s="890"/>
      <c r="P359" s="890"/>
      <c r="Q359" s="1021" t="str">
        <f>Q292</f>
        <v>______ грудня 2021 року</v>
      </c>
      <c r="R359" s="1021"/>
      <c r="S359" s="1021"/>
      <c r="T359" s="709"/>
      <c r="U359" s="709"/>
      <c r="V359" s="713"/>
      <c r="W359" s="713"/>
      <c r="X359" s="438"/>
    </row>
    <row r="360" spans="1:24" s="438" customFormat="1" ht="39.6" x14ac:dyDescent="0.65">
      <c r="A360" s="437"/>
      <c r="B360" s="1023"/>
      <c r="C360" s="1023"/>
      <c r="D360" s="1023"/>
      <c r="E360" s="1023"/>
      <c r="F360" s="1023"/>
      <c r="G360" s="1023"/>
      <c r="H360" s="1023"/>
      <c r="I360" s="1023"/>
      <c r="J360" s="1023"/>
      <c r="K360" s="1023"/>
      <c r="L360" s="1023"/>
      <c r="M360" s="1023"/>
      <c r="N360" s="1023"/>
      <c r="O360" s="1023"/>
      <c r="P360" s="1023"/>
      <c r="Q360" s="1023"/>
      <c r="R360" s="1023"/>
      <c r="S360" s="1023"/>
      <c r="T360" s="711"/>
      <c r="U360" s="711"/>
      <c r="V360" s="714"/>
      <c r="W360" s="714"/>
    </row>
    <row r="361" spans="1:24" s="438" customFormat="1" ht="39.6" x14ac:dyDescent="0.65">
      <c r="A361" s="437"/>
      <c r="B361" s="1022" t="s">
        <v>157</v>
      </c>
      <c r="C361" s="1022"/>
      <c r="D361" s="1022"/>
      <c r="E361" s="1022"/>
      <c r="F361" s="1022"/>
      <c r="G361" s="1022"/>
      <c r="H361" s="1022"/>
      <c r="I361" s="1022"/>
      <c r="J361" s="1022"/>
      <c r="K361" s="1022"/>
      <c r="L361" s="1022"/>
      <c r="M361" s="1022"/>
      <c r="N361" s="1022"/>
      <c r="O361" s="1022"/>
      <c r="P361" s="1022"/>
      <c r="Q361" s="1022"/>
      <c r="R361" s="1022"/>
      <c r="S361" s="1022"/>
      <c r="T361" s="710"/>
      <c r="U361" s="710"/>
      <c r="V361" s="714"/>
      <c r="W361" s="714"/>
    </row>
    <row r="362" spans="1:24" s="438" customFormat="1" ht="39.6" x14ac:dyDescent="0.65">
      <c r="A362" s="437"/>
      <c r="B362" s="1022" t="s">
        <v>158</v>
      </c>
      <c r="C362" s="1022"/>
      <c r="D362" s="1022"/>
      <c r="E362" s="1022"/>
      <c r="F362" s="1022"/>
      <c r="G362" s="1022"/>
      <c r="H362" s="1022"/>
      <c r="I362" s="1022"/>
      <c r="J362" s="1022"/>
      <c r="K362" s="1022"/>
      <c r="L362" s="1022"/>
      <c r="M362" s="1022"/>
      <c r="N362" s="1022"/>
      <c r="O362" s="1022"/>
      <c r="P362" s="1022"/>
      <c r="Q362" s="1022"/>
      <c r="R362" s="1022"/>
      <c r="S362" s="1022"/>
      <c r="T362" s="710"/>
      <c r="U362" s="710"/>
      <c r="V362" s="714"/>
      <c r="W362" s="714"/>
    </row>
    <row r="363" spans="1:24" s="438" customFormat="1" ht="39.6" x14ac:dyDescent="0.65">
      <c r="A363" s="437"/>
      <c r="B363" s="1022"/>
      <c r="C363" s="1022"/>
      <c r="D363" s="1022"/>
      <c r="E363" s="1022"/>
      <c r="F363" s="1022"/>
      <c r="G363" s="1022"/>
      <c r="H363" s="1022"/>
      <c r="I363" s="1022"/>
      <c r="J363" s="1022"/>
      <c r="K363" s="1022"/>
      <c r="L363" s="1022"/>
      <c r="M363" s="1022"/>
      <c r="N363" s="1022"/>
      <c r="O363" s="1022"/>
      <c r="P363" s="1022"/>
      <c r="Q363" s="1022"/>
      <c r="R363" s="1022"/>
      <c r="S363" s="1022"/>
      <c r="T363" s="710"/>
      <c r="U363" s="710"/>
      <c r="V363" s="714"/>
      <c r="W363" s="714"/>
    </row>
    <row r="364" spans="1:24" s="454" customFormat="1" ht="38.4" x14ac:dyDescent="0.7">
      <c r="A364" s="456"/>
      <c r="B364" s="439" t="s">
        <v>1185</v>
      </c>
      <c r="C364" s="439"/>
      <c r="D364" s="440" t="s">
        <v>1186</v>
      </c>
      <c r="E364" s="891"/>
      <c r="F364" s="891"/>
      <c r="G364" s="891"/>
      <c r="H364" s="891"/>
      <c r="I364" s="891"/>
      <c r="J364" s="891"/>
      <c r="K364" s="891"/>
      <c r="L364" s="891"/>
      <c r="M364" s="891"/>
      <c r="N364" s="891"/>
      <c r="O364" s="891"/>
      <c r="P364" s="891"/>
      <c r="Q364" s="441"/>
      <c r="R364" s="441"/>
      <c r="S364" s="442" t="s">
        <v>1187</v>
      </c>
      <c r="T364" s="442"/>
      <c r="U364" s="442"/>
      <c r="V364" s="718"/>
      <c r="W364" s="718"/>
      <c r="X364" s="455"/>
    </row>
    <row r="365" spans="1:24" s="456" customFormat="1" ht="38.4" x14ac:dyDescent="0.7">
      <c r="B365" s="439" t="s">
        <v>701</v>
      </c>
      <c r="C365" s="439"/>
      <c r="D365" s="465" t="s">
        <v>702</v>
      </c>
      <c r="E365" s="895" t="s">
        <v>1118</v>
      </c>
      <c r="F365" s="896">
        <v>0.22</v>
      </c>
      <c r="G365" s="895" t="s">
        <v>1119</v>
      </c>
      <c r="H365" s="895" t="s">
        <v>1125</v>
      </c>
      <c r="I365" s="895" t="s">
        <v>1120</v>
      </c>
      <c r="J365" s="895" t="s">
        <v>1121</v>
      </c>
      <c r="K365" s="895" t="s">
        <v>1122</v>
      </c>
      <c r="L365" s="895" t="s">
        <v>1126</v>
      </c>
      <c r="M365" s="895" t="s">
        <v>1123</v>
      </c>
      <c r="N365" s="895" t="s">
        <v>1127</v>
      </c>
      <c r="O365" s="895"/>
      <c r="P365" s="895" t="s">
        <v>988</v>
      </c>
      <c r="Q365" s="442" t="s">
        <v>988</v>
      </c>
      <c r="R365" s="442" t="s">
        <v>1181</v>
      </c>
      <c r="S365" s="442" t="s">
        <v>1183</v>
      </c>
      <c r="T365" s="712" t="s">
        <v>494</v>
      </c>
      <c r="U365" s="448"/>
      <c r="V365" s="719"/>
      <c r="W365" s="719"/>
      <c r="X365" s="455"/>
    </row>
    <row r="366" spans="1:24" s="454" customFormat="1" ht="38.4" x14ac:dyDescent="0.7">
      <c r="A366" s="456"/>
      <c r="B366" s="443" t="s">
        <v>703</v>
      </c>
      <c r="C366" s="443"/>
      <c r="D366" s="444" t="s">
        <v>704</v>
      </c>
      <c r="E366" s="897">
        <f>'Перелік ціни'!D301</f>
        <v>39.049999999999997</v>
      </c>
      <c r="F366" s="897">
        <f>'Перелік ціни'!E301</f>
        <v>8.59</v>
      </c>
      <c r="G366" s="897">
        <f>'Перелік ціни'!F301</f>
        <v>3.5</v>
      </c>
      <c r="H366" s="897">
        <f>'Перелік ціни'!G301</f>
        <v>0.2</v>
      </c>
      <c r="I366" s="898">
        <f>SUM(E366:H366)</f>
        <v>51.34</v>
      </c>
      <c r="J366" s="897">
        <f>'Перелік ціни'!I301</f>
        <v>4.95</v>
      </c>
      <c r="K366" s="897">
        <f>'Перелік ціни'!J301</f>
        <v>0</v>
      </c>
      <c r="L366" s="897">
        <f>'Перелік ціни'!K301</f>
        <v>0</v>
      </c>
      <c r="M366" s="897">
        <f>'Перелік ціни'!L301</f>
        <v>0.45</v>
      </c>
      <c r="N366" s="898">
        <f>SUM(J366:M366)</f>
        <v>5.4</v>
      </c>
      <c r="O366" s="898"/>
      <c r="P366" s="897">
        <f t="shared" ref="P366:P376" si="49">I366+N366</f>
        <v>56.74</v>
      </c>
      <c r="Q366" s="445">
        <f>ROUND(P366,0)</f>
        <v>57</v>
      </c>
      <c r="R366" s="458"/>
      <c r="S366" s="446">
        <f t="shared" ref="S366:S376" si="50">ROUND(Q366,2)</f>
        <v>57</v>
      </c>
      <c r="T366" s="453">
        <v>53.3</v>
      </c>
      <c r="U366" s="453">
        <f>S366-T366</f>
        <v>3.7000000000000028</v>
      </c>
      <c r="V366" s="718"/>
      <c r="W366" s="718"/>
      <c r="X366" s="455"/>
    </row>
    <row r="367" spans="1:24" s="454" customFormat="1" ht="38.4" x14ac:dyDescent="0.7">
      <c r="A367" s="456"/>
      <c r="B367" s="443" t="s">
        <v>705</v>
      </c>
      <c r="C367" s="443"/>
      <c r="D367" s="444" t="s">
        <v>706</v>
      </c>
      <c r="E367" s="897">
        <f>'Перелік ціни'!D302</f>
        <v>35.15</v>
      </c>
      <c r="F367" s="897">
        <f>'Перелік ціни'!E302</f>
        <v>7.73</v>
      </c>
      <c r="G367" s="897">
        <f>'Перелік ціни'!F302</f>
        <v>3.5</v>
      </c>
      <c r="H367" s="897">
        <f>'Перелік ціни'!G302</f>
        <v>0.2</v>
      </c>
      <c r="I367" s="898">
        <f t="shared" ref="I367:I376" si="51">SUM(E367:H367)</f>
        <v>46.58</v>
      </c>
      <c r="J367" s="897">
        <f>'Перелік ціни'!I302</f>
        <v>4.95</v>
      </c>
      <c r="K367" s="897">
        <f>'Перелік ціни'!J302</f>
        <v>0</v>
      </c>
      <c r="L367" s="897">
        <f>'Перелік ціни'!K302</f>
        <v>0</v>
      </c>
      <c r="M367" s="897">
        <f>'Перелік ціни'!L302</f>
        <v>0.45</v>
      </c>
      <c r="N367" s="898">
        <f t="shared" ref="N367:N376" si="52">SUM(J367:M367)</f>
        <v>5.4</v>
      </c>
      <c r="O367" s="898"/>
      <c r="P367" s="897">
        <f t="shared" si="49"/>
        <v>51.98</v>
      </c>
      <c r="Q367" s="445">
        <f t="shared" ref="Q367:Q376" si="53">ROUND(P367,0)</f>
        <v>52</v>
      </c>
      <c r="R367" s="458"/>
      <c r="S367" s="446">
        <f t="shared" si="50"/>
        <v>52</v>
      </c>
      <c r="T367" s="453">
        <v>50.3</v>
      </c>
      <c r="U367" s="453">
        <f t="shared" ref="U367:U376" si="54">S367-T367</f>
        <v>1.7000000000000028</v>
      </c>
      <c r="V367" s="718"/>
      <c r="W367" s="718"/>
      <c r="X367" s="455"/>
    </row>
    <row r="368" spans="1:24" s="454" customFormat="1" ht="38.4" x14ac:dyDescent="0.7">
      <c r="A368" s="456"/>
      <c r="B368" s="443" t="s">
        <v>707</v>
      </c>
      <c r="C368" s="443"/>
      <c r="D368" s="444" t="s">
        <v>708</v>
      </c>
      <c r="E368" s="897">
        <f>'Перелік ціни'!D303</f>
        <v>49.5</v>
      </c>
      <c r="F368" s="897">
        <f>'Перелік ціни'!E303</f>
        <v>10.89</v>
      </c>
      <c r="G368" s="897">
        <f>'Перелік ціни'!F303</f>
        <v>3.14</v>
      </c>
      <c r="H368" s="897">
        <f>'Перелік ціни'!G303</f>
        <v>0.2</v>
      </c>
      <c r="I368" s="898">
        <f t="shared" si="51"/>
        <v>63.730000000000004</v>
      </c>
      <c r="J368" s="897">
        <f>'Перелік ціни'!I303</f>
        <v>5.2</v>
      </c>
      <c r="K368" s="897">
        <f>'Перелік ціни'!J303</f>
        <v>0</v>
      </c>
      <c r="L368" s="897">
        <f>'Перелік ціни'!K303</f>
        <v>0</v>
      </c>
      <c r="M368" s="897">
        <f>'Перелік ціни'!L303</f>
        <v>0.7</v>
      </c>
      <c r="N368" s="898">
        <f t="shared" si="52"/>
        <v>5.9</v>
      </c>
      <c r="O368" s="898"/>
      <c r="P368" s="897">
        <f t="shared" si="49"/>
        <v>69.63000000000001</v>
      </c>
      <c r="Q368" s="445">
        <f t="shared" si="53"/>
        <v>70</v>
      </c>
      <c r="R368" s="458"/>
      <c r="S368" s="446">
        <f t="shared" si="50"/>
        <v>70</v>
      </c>
      <c r="T368" s="453">
        <v>65.3</v>
      </c>
      <c r="U368" s="453">
        <f t="shared" si="54"/>
        <v>4.7000000000000028</v>
      </c>
      <c r="V368" s="718"/>
      <c r="W368" s="718"/>
      <c r="X368" s="455"/>
    </row>
    <row r="369" spans="1:24" s="454" customFormat="1" ht="38.4" x14ac:dyDescent="0.7">
      <c r="A369" s="456"/>
      <c r="B369" s="443" t="s">
        <v>709</v>
      </c>
      <c r="C369" s="443"/>
      <c r="D369" s="444" t="s">
        <v>710</v>
      </c>
      <c r="E369" s="897">
        <f>'Перелік ціни'!D304</f>
        <v>37.299999999999997</v>
      </c>
      <c r="F369" s="897">
        <f>'Перелік ціни'!E304</f>
        <v>8.2100000000000009</v>
      </c>
      <c r="G369" s="897">
        <f>'Перелік ціни'!F304</f>
        <v>3.32</v>
      </c>
      <c r="H369" s="897">
        <f>'Перелік ціни'!G304</f>
        <v>0.2</v>
      </c>
      <c r="I369" s="898">
        <f t="shared" si="51"/>
        <v>49.03</v>
      </c>
      <c r="J369" s="897">
        <f>'Перелік ціни'!I304</f>
        <v>4.95</v>
      </c>
      <c r="K369" s="897">
        <f>'Перелік ціни'!J304</f>
        <v>0</v>
      </c>
      <c r="L369" s="897">
        <f>'Перелік ціни'!K304</f>
        <v>0</v>
      </c>
      <c r="M369" s="897">
        <f>'Перелік ціни'!L304</f>
        <v>0.45</v>
      </c>
      <c r="N369" s="898">
        <f t="shared" si="52"/>
        <v>5.4</v>
      </c>
      <c r="O369" s="898"/>
      <c r="P369" s="897">
        <f t="shared" si="49"/>
        <v>54.43</v>
      </c>
      <c r="Q369" s="445">
        <f t="shared" si="53"/>
        <v>54</v>
      </c>
      <c r="R369" s="458"/>
      <c r="S369" s="446">
        <f t="shared" si="50"/>
        <v>54</v>
      </c>
      <c r="T369" s="453">
        <v>51.3</v>
      </c>
      <c r="U369" s="453">
        <f t="shared" si="54"/>
        <v>2.7000000000000028</v>
      </c>
      <c r="V369" s="718"/>
      <c r="W369" s="718"/>
      <c r="X369" s="455"/>
    </row>
    <row r="370" spans="1:24" s="454" customFormat="1" ht="38.4" x14ac:dyDescent="0.7">
      <c r="A370" s="456"/>
      <c r="B370" s="443" t="s">
        <v>711</v>
      </c>
      <c r="C370" s="443"/>
      <c r="D370" s="444" t="s">
        <v>1092</v>
      </c>
      <c r="E370" s="897">
        <f>'Перелік ціни'!D305</f>
        <v>42.55</v>
      </c>
      <c r="F370" s="897">
        <f>'Перелік ціни'!E305</f>
        <v>9.36</v>
      </c>
      <c r="G370" s="897">
        <f>'Перелік ціни'!F305</f>
        <v>3.26</v>
      </c>
      <c r="H370" s="897">
        <f>'Перелік ціни'!G305</f>
        <v>0.2</v>
      </c>
      <c r="I370" s="898">
        <f t="shared" si="51"/>
        <v>55.37</v>
      </c>
      <c r="J370" s="897">
        <f>'Перелік ціни'!I305</f>
        <v>4.95</v>
      </c>
      <c r="K370" s="897">
        <f>'Перелік ціни'!J305</f>
        <v>0</v>
      </c>
      <c r="L370" s="897">
        <f>'Перелік ціни'!K305</f>
        <v>0</v>
      </c>
      <c r="M370" s="897">
        <f>'Перелік ціни'!L305</f>
        <v>0.45</v>
      </c>
      <c r="N370" s="898">
        <f t="shared" si="52"/>
        <v>5.4</v>
      </c>
      <c r="O370" s="898"/>
      <c r="P370" s="897">
        <f t="shared" si="49"/>
        <v>60.769999999999996</v>
      </c>
      <c r="Q370" s="445">
        <f t="shared" si="53"/>
        <v>61</v>
      </c>
      <c r="R370" s="458"/>
      <c r="S370" s="446">
        <f t="shared" si="50"/>
        <v>61</v>
      </c>
      <c r="T370" s="453">
        <v>57.3</v>
      </c>
      <c r="U370" s="453">
        <f t="shared" si="54"/>
        <v>3.7000000000000028</v>
      </c>
      <c r="V370" s="718"/>
      <c r="W370" s="718"/>
      <c r="X370" s="455"/>
    </row>
    <row r="371" spans="1:24" s="454" customFormat="1" ht="38.4" x14ac:dyDescent="0.7">
      <c r="A371" s="456"/>
      <c r="B371" s="443" t="s">
        <v>712</v>
      </c>
      <c r="C371" s="443"/>
      <c r="D371" s="444" t="s">
        <v>713</v>
      </c>
      <c r="E371" s="897">
        <f>'Перелік ціни'!D306</f>
        <v>40.549999999999997</v>
      </c>
      <c r="F371" s="897">
        <f>'Перелік ціни'!E306</f>
        <v>8.92</v>
      </c>
      <c r="G371" s="897">
        <f>'Перелік ціни'!F306</f>
        <v>3.6199999999999997</v>
      </c>
      <c r="H371" s="897">
        <f>'Перелік ціни'!G306</f>
        <v>0.2</v>
      </c>
      <c r="I371" s="898">
        <f t="shared" si="51"/>
        <v>53.29</v>
      </c>
      <c r="J371" s="897">
        <f>'Перелік ціни'!I306</f>
        <v>4.95</v>
      </c>
      <c r="K371" s="897">
        <f>'Перелік ціни'!J306</f>
        <v>0</v>
      </c>
      <c r="L371" s="897">
        <f>'Перелік ціни'!K306</f>
        <v>0</v>
      </c>
      <c r="M371" s="897">
        <f>'Перелік ціни'!L306</f>
        <v>0.45</v>
      </c>
      <c r="N371" s="898">
        <f t="shared" si="52"/>
        <v>5.4</v>
      </c>
      <c r="O371" s="898"/>
      <c r="P371" s="897">
        <f t="shared" si="49"/>
        <v>58.69</v>
      </c>
      <c r="Q371" s="445">
        <f t="shared" si="53"/>
        <v>59</v>
      </c>
      <c r="R371" s="458"/>
      <c r="S371" s="446">
        <f t="shared" si="50"/>
        <v>59</v>
      </c>
      <c r="T371" s="453">
        <v>55.2</v>
      </c>
      <c r="U371" s="453">
        <f t="shared" si="54"/>
        <v>3.7999999999999972</v>
      </c>
      <c r="V371" s="718"/>
      <c r="W371" s="718"/>
      <c r="X371" s="455"/>
    </row>
    <row r="372" spans="1:24" s="454" customFormat="1" ht="38.4" x14ac:dyDescent="0.7">
      <c r="A372" s="456"/>
      <c r="B372" s="443" t="s">
        <v>714</v>
      </c>
      <c r="C372" s="443"/>
      <c r="D372" s="444" t="s">
        <v>717</v>
      </c>
      <c r="E372" s="897">
        <f>'Перелік ціни'!D307</f>
        <v>52.05</v>
      </c>
      <c r="F372" s="897">
        <f>'Перелік ціни'!E307</f>
        <v>11.45</v>
      </c>
      <c r="G372" s="897">
        <f>'Перелік ціни'!F307</f>
        <v>3.38</v>
      </c>
      <c r="H372" s="897">
        <f>'Перелік ціни'!G307</f>
        <v>0.2</v>
      </c>
      <c r="I372" s="898">
        <f t="shared" si="51"/>
        <v>67.08</v>
      </c>
      <c r="J372" s="897">
        <f>'Перелік ціни'!I307</f>
        <v>4.95</v>
      </c>
      <c r="K372" s="897">
        <f>'Перелік ціни'!J307</f>
        <v>0</v>
      </c>
      <c r="L372" s="897">
        <f>'Перелік ціни'!K307</f>
        <v>0</v>
      </c>
      <c r="M372" s="897">
        <f>'Перелік ціни'!L307</f>
        <v>0.9</v>
      </c>
      <c r="N372" s="898">
        <f t="shared" si="52"/>
        <v>5.8500000000000005</v>
      </c>
      <c r="O372" s="898"/>
      <c r="P372" s="897">
        <f t="shared" si="49"/>
        <v>72.929999999999993</v>
      </c>
      <c r="Q372" s="445">
        <f t="shared" si="53"/>
        <v>73</v>
      </c>
      <c r="R372" s="458"/>
      <c r="S372" s="446">
        <f t="shared" si="50"/>
        <v>73</v>
      </c>
      <c r="T372" s="453">
        <v>62.2</v>
      </c>
      <c r="U372" s="453">
        <f t="shared" si="54"/>
        <v>10.799999999999997</v>
      </c>
      <c r="V372" s="718"/>
      <c r="W372" s="718"/>
      <c r="X372" s="455"/>
    </row>
    <row r="373" spans="1:24" s="454" customFormat="1" ht="38.4" x14ac:dyDescent="0.7">
      <c r="A373" s="456"/>
      <c r="B373" s="443" t="s">
        <v>716</v>
      </c>
      <c r="C373" s="443"/>
      <c r="D373" s="444" t="s">
        <v>719</v>
      </c>
      <c r="E373" s="897">
        <f>'Перелік ціни'!D308</f>
        <v>42.55</v>
      </c>
      <c r="F373" s="897">
        <f>'Перелік ціни'!E308</f>
        <v>9.36</v>
      </c>
      <c r="G373" s="897">
        <f>'Перелік ціни'!F308</f>
        <v>3.38</v>
      </c>
      <c r="H373" s="897">
        <f>'Перелік ціни'!G308</f>
        <v>0.2</v>
      </c>
      <c r="I373" s="898">
        <f t="shared" si="51"/>
        <v>55.49</v>
      </c>
      <c r="J373" s="897">
        <f>'Перелік ціни'!I308</f>
        <v>4.95</v>
      </c>
      <c r="K373" s="897">
        <f>'Перелік ціни'!J308</f>
        <v>0</v>
      </c>
      <c r="L373" s="897">
        <f>'Перелік ціни'!K308</f>
        <v>0</v>
      </c>
      <c r="M373" s="897">
        <f>'Перелік ціни'!L308</f>
        <v>0.45</v>
      </c>
      <c r="N373" s="898">
        <f t="shared" si="52"/>
        <v>5.4</v>
      </c>
      <c r="O373" s="898"/>
      <c r="P373" s="897">
        <f t="shared" si="49"/>
        <v>60.89</v>
      </c>
      <c r="Q373" s="445">
        <f t="shared" si="53"/>
        <v>61</v>
      </c>
      <c r="R373" s="458"/>
      <c r="S373" s="446">
        <f t="shared" si="50"/>
        <v>61</v>
      </c>
      <c r="T373" s="453">
        <v>55.3</v>
      </c>
      <c r="U373" s="453">
        <f t="shared" si="54"/>
        <v>5.7000000000000028</v>
      </c>
      <c r="V373" s="718"/>
      <c r="W373" s="718"/>
      <c r="X373" s="455"/>
    </row>
    <row r="374" spans="1:24" s="454" customFormat="1" ht="38.4" x14ac:dyDescent="0.7">
      <c r="A374" s="456"/>
      <c r="B374" s="443" t="s">
        <v>718</v>
      </c>
      <c r="C374" s="443"/>
      <c r="D374" s="444" t="s">
        <v>723</v>
      </c>
      <c r="E374" s="897">
        <f>'Перелік ціни'!D309</f>
        <v>33.799999999999997</v>
      </c>
      <c r="F374" s="897">
        <f>'Перелік ціни'!E309</f>
        <v>7.44</v>
      </c>
      <c r="G374" s="897">
        <f>'Перелік ціни'!F309</f>
        <v>3.32</v>
      </c>
      <c r="H374" s="897">
        <f>'Перелік ціни'!G309</f>
        <v>0.2</v>
      </c>
      <c r="I374" s="898">
        <f t="shared" si="51"/>
        <v>44.76</v>
      </c>
      <c r="J374" s="897">
        <f>'Перелік ціни'!I309</f>
        <v>4.95</v>
      </c>
      <c r="K374" s="897">
        <f>'Перелік ціни'!J309</f>
        <v>0</v>
      </c>
      <c r="L374" s="897">
        <f>'Перелік ціни'!K309</f>
        <v>0</v>
      </c>
      <c r="M374" s="897">
        <f>'Перелік ціни'!L309</f>
        <v>0.45</v>
      </c>
      <c r="N374" s="898">
        <f t="shared" si="52"/>
        <v>5.4</v>
      </c>
      <c r="O374" s="898"/>
      <c r="P374" s="897">
        <f t="shared" si="49"/>
        <v>50.16</v>
      </c>
      <c r="Q374" s="445">
        <f t="shared" si="53"/>
        <v>50</v>
      </c>
      <c r="R374" s="458"/>
      <c r="S374" s="446">
        <f t="shared" si="50"/>
        <v>50</v>
      </c>
      <c r="T374" s="453">
        <v>47.3</v>
      </c>
      <c r="U374" s="453">
        <f t="shared" si="54"/>
        <v>2.7000000000000028</v>
      </c>
      <c r="V374" s="718"/>
      <c r="W374" s="718"/>
      <c r="X374" s="455"/>
    </row>
    <row r="375" spans="1:24" s="454" customFormat="1" ht="38.4" x14ac:dyDescent="0.7">
      <c r="A375" s="456"/>
      <c r="B375" s="443" t="s">
        <v>720</v>
      </c>
      <c r="C375" s="443"/>
      <c r="D375" s="444" t="s">
        <v>725</v>
      </c>
      <c r="E375" s="897">
        <f>'Перелік ціни'!D310</f>
        <v>37.299999999999997</v>
      </c>
      <c r="F375" s="897">
        <f>'Перелік ціни'!E310</f>
        <v>8.2100000000000009</v>
      </c>
      <c r="G375" s="897">
        <f>'Перелік ціни'!F310</f>
        <v>3.32</v>
      </c>
      <c r="H375" s="897">
        <f>'Перелік ціни'!G310</f>
        <v>0.2</v>
      </c>
      <c r="I375" s="898">
        <f t="shared" si="51"/>
        <v>49.03</v>
      </c>
      <c r="J375" s="897">
        <f>'Перелік ціни'!I310</f>
        <v>4.95</v>
      </c>
      <c r="K375" s="897">
        <f>'Перелік ціни'!J310</f>
        <v>0</v>
      </c>
      <c r="L375" s="897">
        <f>'Перелік ціни'!K310</f>
        <v>0</v>
      </c>
      <c r="M375" s="897">
        <f>'Перелік ціни'!L310</f>
        <v>0.45</v>
      </c>
      <c r="N375" s="898">
        <f t="shared" si="52"/>
        <v>5.4</v>
      </c>
      <c r="O375" s="898"/>
      <c r="P375" s="897">
        <f t="shared" si="49"/>
        <v>54.43</v>
      </c>
      <c r="Q375" s="445">
        <f t="shared" si="53"/>
        <v>54</v>
      </c>
      <c r="R375" s="458"/>
      <c r="S375" s="446">
        <f t="shared" si="50"/>
        <v>54</v>
      </c>
      <c r="T375" s="453">
        <v>51.3</v>
      </c>
      <c r="U375" s="453">
        <f t="shared" si="54"/>
        <v>2.7000000000000028</v>
      </c>
      <c r="V375" s="718"/>
      <c r="W375" s="718"/>
      <c r="X375" s="455"/>
    </row>
    <row r="376" spans="1:24" s="454" customFormat="1" ht="38.4" x14ac:dyDescent="0.7">
      <c r="A376" s="456"/>
      <c r="B376" s="443" t="s">
        <v>722</v>
      </c>
      <c r="C376" s="443"/>
      <c r="D376" s="444" t="s">
        <v>727</v>
      </c>
      <c r="E376" s="897">
        <f>'Перелік ціни'!D311</f>
        <v>47.75</v>
      </c>
      <c r="F376" s="897">
        <f>'Перелік ціни'!E311</f>
        <v>10.51</v>
      </c>
      <c r="G376" s="897">
        <f>'Перелік ціни'!F311</f>
        <v>3.68</v>
      </c>
      <c r="H376" s="897">
        <f>'Перелік ціни'!G311</f>
        <v>0.2</v>
      </c>
      <c r="I376" s="898">
        <f t="shared" si="51"/>
        <v>62.14</v>
      </c>
      <c r="J376" s="897">
        <f>'Перелік ціни'!I311</f>
        <v>4.95</v>
      </c>
      <c r="K376" s="897">
        <f>'Перелік ціни'!J311</f>
        <v>0</v>
      </c>
      <c r="L376" s="897">
        <f>'Перелік ціни'!K311</f>
        <v>0</v>
      </c>
      <c r="M376" s="897">
        <f>'Перелік ціни'!L311</f>
        <v>0.45</v>
      </c>
      <c r="N376" s="898">
        <f t="shared" si="52"/>
        <v>5.4</v>
      </c>
      <c r="O376" s="898"/>
      <c r="P376" s="897">
        <f t="shared" si="49"/>
        <v>67.540000000000006</v>
      </c>
      <c r="Q376" s="445">
        <f t="shared" si="53"/>
        <v>68</v>
      </c>
      <c r="R376" s="458"/>
      <c r="S376" s="446">
        <f t="shared" si="50"/>
        <v>68</v>
      </c>
      <c r="T376" s="453">
        <v>63.2</v>
      </c>
      <c r="U376" s="453">
        <f t="shared" si="54"/>
        <v>4.7999999999999972</v>
      </c>
      <c r="V376" s="718"/>
      <c r="W376" s="718"/>
      <c r="X376" s="455"/>
    </row>
    <row r="377" spans="1:24" s="422" customFormat="1" ht="34.200000000000003" x14ac:dyDescent="0.6">
      <c r="A377" s="886"/>
      <c r="B377" s="425"/>
      <c r="C377" s="425"/>
      <c r="D377" s="426"/>
      <c r="E377" s="900"/>
      <c r="F377" s="900"/>
      <c r="G377" s="900"/>
      <c r="H377" s="900"/>
      <c r="I377" s="901"/>
      <c r="J377" s="900"/>
      <c r="K377" s="900"/>
      <c r="L377" s="900"/>
      <c r="M377" s="900"/>
      <c r="N377" s="901"/>
      <c r="O377" s="901"/>
      <c r="P377" s="900"/>
      <c r="Q377" s="427"/>
      <c r="R377" s="429"/>
      <c r="S377" s="428"/>
      <c r="T377" s="428"/>
      <c r="U377" s="428"/>
      <c r="V377" s="718"/>
      <c r="W377" s="718"/>
      <c r="X377" s="423"/>
    </row>
    <row r="378" spans="1:24" s="422" customFormat="1" ht="34.200000000000003" x14ac:dyDescent="0.6">
      <c r="A378" s="886"/>
      <c r="B378" s="425"/>
      <c r="C378" s="425"/>
      <c r="D378" s="426"/>
      <c r="E378" s="900"/>
      <c r="F378" s="900"/>
      <c r="G378" s="900"/>
      <c r="H378" s="900"/>
      <c r="I378" s="901"/>
      <c r="J378" s="900"/>
      <c r="K378" s="900"/>
      <c r="L378" s="900"/>
      <c r="M378" s="900"/>
      <c r="N378" s="901"/>
      <c r="O378" s="901"/>
      <c r="P378" s="900"/>
      <c r="Q378" s="427"/>
      <c r="R378" s="427"/>
      <c r="S378" s="428"/>
      <c r="T378" s="428"/>
      <c r="U378" s="428"/>
      <c r="V378" s="718"/>
      <c r="W378" s="718"/>
      <c r="X378" s="423"/>
    </row>
    <row r="379" spans="1:24" s="436" customFormat="1" ht="40.200000000000003" x14ac:dyDescent="0.7">
      <c r="A379" s="437"/>
      <c r="B379" s="681"/>
      <c r="C379" s="435"/>
      <c r="D379" s="435"/>
      <c r="E379" s="890"/>
      <c r="F379" s="890"/>
      <c r="G379" s="890"/>
      <c r="H379" s="890"/>
      <c r="I379" s="890"/>
      <c r="J379" s="890"/>
      <c r="K379" s="890"/>
      <c r="L379" s="890"/>
      <c r="M379" s="890"/>
      <c r="N379" s="890"/>
      <c r="O379" s="890"/>
      <c r="P379" s="890"/>
      <c r="Q379" s="1021" t="s">
        <v>155</v>
      </c>
      <c r="R379" s="1021"/>
      <c r="S379" s="1021"/>
      <c r="T379" s="709"/>
      <c r="U379" s="709"/>
      <c r="V379" s="713"/>
      <c r="W379" s="713"/>
      <c r="X379" s="437"/>
    </row>
    <row r="380" spans="1:24" s="436" customFormat="1" ht="40.200000000000003" x14ac:dyDescent="0.7">
      <c r="A380" s="437"/>
      <c r="B380" s="682"/>
      <c r="E380" s="890"/>
      <c r="F380" s="890"/>
      <c r="G380" s="890"/>
      <c r="H380" s="890"/>
      <c r="I380" s="890"/>
      <c r="J380" s="890"/>
      <c r="K380" s="890"/>
      <c r="L380" s="890"/>
      <c r="M380" s="890"/>
      <c r="N380" s="890"/>
      <c r="O380" s="890"/>
      <c r="P380" s="890"/>
      <c r="Q380" s="1021" t="s">
        <v>156</v>
      </c>
      <c r="R380" s="1021"/>
      <c r="S380" s="1021"/>
      <c r="T380" s="709"/>
      <c r="U380" s="709"/>
      <c r="V380" s="713"/>
      <c r="W380" s="713"/>
      <c r="X380" s="438"/>
    </row>
    <row r="381" spans="1:24" s="436" customFormat="1" ht="40.200000000000003" x14ac:dyDescent="0.7">
      <c r="A381" s="437"/>
      <c r="B381" s="682"/>
      <c r="E381" s="890"/>
      <c r="F381" s="890"/>
      <c r="G381" s="890"/>
      <c r="H381" s="890"/>
      <c r="I381" s="890"/>
      <c r="J381" s="890"/>
      <c r="K381" s="890"/>
      <c r="L381" s="890"/>
      <c r="M381" s="890"/>
      <c r="N381" s="890"/>
      <c r="O381" s="890"/>
      <c r="P381" s="890"/>
      <c r="Q381" s="1021" t="str">
        <f>Q359</f>
        <v>______ грудня 2021 року</v>
      </c>
      <c r="R381" s="1021"/>
      <c r="S381" s="1021"/>
      <c r="T381" s="709"/>
      <c r="U381" s="709"/>
      <c r="V381" s="713"/>
      <c r="W381" s="713"/>
      <c r="X381" s="438"/>
    </row>
    <row r="382" spans="1:24" s="438" customFormat="1" ht="39.6" x14ac:dyDescent="0.65">
      <c r="A382" s="437"/>
      <c r="B382" s="1023"/>
      <c r="C382" s="1023"/>
      <c r="D382" s="1023"/>
      <c r="E382" s="1023"/>
      <c r="F382" s="1023"/>
      <c r="G382" s="1023"/>
      <c r="H382" s="1023"/>
      <c r="I382" s="1023"/>
      <c r="J382" s="1023"/>
      <c r="K382" s="1023"/>
      <c r="L382" s="1023"/>
      <c r="M382" s="1023"/>
      <c r="N382" s="1023"/>
      <c r="O382" s="1023"/>
      <c r="P382" s="1023"/>
      <c r="Q382" s="1023"/>
      <c r="R382" s="1023"/>
      <c r="S382" s="1023"/>
      <c r="T382" s="711"/>
      <c r="U382" s="711"/>
      <c r="V382" s="714"/>
      <c r="W382" s="714"/>
    </row>
    <row r="383" spans="1:24" s="438" customFormat="1" ht="39.6" x14ac:dyDescent="0.65">
      <c r="A383" s="437"/>
      <c r="B383" s="1022" t="s">
        <v>157</v>
      </c>
      <c r="C383" s="1022"/>
      <c r="D383" s="1022"/>
      <c r="E383" s="1022"/>
      <c r="F383" s="1022"/>
      <c r="G383" s="1022"/>
      <c r="H383" s="1022"/>
      <c r="I383" s="1022"/>
      <c r="J383" s="1022"/>
      <c r="K383" s="1022"/>
      <c r="L383" s="1022"/>
      <c r="M383" s="1022"/>
      <c r="N383" s="1022"/>
      <c r="O383" s="1022"/>
      <c r="P383" s="1022"/>
      <c r="Q383" s="1022"/>
      <c r="R383" s="1022"/>
      <c r="S383" s="1022"/>
      <c r="T383" s="710"/>
      <c r="U383" s="710"/>
      <c r="V383" s="714"/>
      <c r="W383" s="714"/>
    </row>
    <row r="384" spans="1:24" s="438" customFormat="1" ht="39.6" x14ac:dyDescent="0.65">
      <c r="A384" s="437"/>
      <c r="B384" s="1022" t="s">
        <v>158</v>
      </c>
      <c r="C384" s="1022"/>
      <c r="D384" s="1022"/>
      <c r="E384" s="1022"/>
      <c r="F384" s="1022"/>
      <c r="G384" s="1022"/>
      <c r="H384" s="1022"/>
      <c r="I384" s="1022"/>
      <c r="J384" s="1022"/>
      <c r="K384" s="1022"/>
      <c r="L384" s="1022"/>
      <c r="M384" s="1022"/>
      <c r="N384" s="1022"/>
      <c r="O384" s="1022"/>
      <c r="P384" s="1022"/>
      <c r="Q384" s="1022"/>
      <c r="R384" s="1022"/>
      <c r="S384" s="1022"/>
      <c r="T384" s="710"/>
      <c r="U384" s="710"/>
      <c r="V384" s="714"/>
      <c r="W384" s="714"/>
    </row>
    <row r="385" spans="1:24" s="438" customFormat="1" ht="39.6" x14ac:dyDescent="0.65">
      <c r="A385" s="437"/>
      <c r="B385" s="1022"/>
      <c r="C385" s="1022"/>
      <c r="D385" s="1022"/>
      <c r="E385" s="1022"/>
      <c r="F385" s="1022"/>
      <c r="G385" s="1022"/>
      <c r="H385" s="1022"/>
      <c r="I385" s="1022"/>
      <c r="J385" s="1022"/>
      <c r="K385" s="1022"/>
      <c r="L385" s="1022"/>
      <c r="M385" s="1022"/>
      <c r="N385" s="1022"/>
      <c r="O385" s="1022"/>
      <c r="P385" s="1022"/>
      <c r="Q385" s="1022"/>
      <c r="R385" s="1022"/>
      <c r="S385" s="1022"/>
      <c r="T385" s="710"/>
      <c r="U385" s="710"/>
      <c r="V385" s="714"/>
      <c r="W385" s="714"/>
    </row>
    <row r="386" spans="1:24" s="454" customFormat="1" ht="38.4" x14ac:dyDescent="0.7">
      <c r="A386" s="456"/>
      <c r="B386" s="439" t="s">
        <v>1185</v>
      </c>
      <c r="C386" s="439"/>
      <c r="D386" s="440" t="s">
        <v>1186</v>
      </c>
      <c r="E386" s="904" t="s">
        <v>1118</v>
      </c>
      <c r="F386" s="905">
        <v>0.22</v>
      </c>
      <c r="G386" s="904" t="s">
        <v>1119</v>
      </c>
      <c r="H386" s="904" t="s">
        <v>1125</v>
      </c>
      <c r="I386" s="895" t="s">
        <v>1120</v>
      </c>
      <c r="J386" s="904" t="s">
        <v>1121</v>
      </c>
      <c r="K386" s="904" t="s">
        <v>1122</v>
      </c>
      <c r="L386" s="904" t="s">
        <v>1126</v>
      </c>
      <c r="M386" s="904" t="s">
        <v>1123</v>
      </c>
      <c r="N386" s="895" t="s">
        <v>1127</v>
      </c>
      <c r="O386" s="895"/>
      <c r="P386" s="904" t="s">
        <v>988</v>
      </c>
      <c r="Q386" s="458" t="s">
        <v>988</v>
      </c>
      <c r="R386" s="458" t="s">
        <v>1181</v>
      </c>
      <c r="S386" s="442" t="s">
        <v>1187</v>
      </c>
      <c r="T386" s="712" t="s">
        <v>494</v>
      </c>
      <c r="U386" s="448"/>
      <c r="V386" s="718"/>
      <c r="W386" s="718"/>
      <c r="X386" s="455"/>
    </row>
    <row r="387" spans="1:24" s="454" customFormat="1" ht="75.599999999999994" x14ac:dyDescent="0.7">
      <c r="A387" s="456"/>
      <c r="B387" s="443" t="s">
        <v>1002</v>
      </c>
      <c r="C387" s="443"/>
      <c r="D387" s="465" t="s">
        <v>162</v>
      </c>
      <c r="E387" s="897">
        <f>'Перелік ціни'!D313</f>
        <v>121.80000000000001</v>
      </c>
      <c r="F387" s="897">
        <f>'Перелік ціни'!E313</f>
        <v>26.8</v>
      </c>
      <c r="G387" s="897">
        <f>'Перелік ціни'!F313</f>
        <v>363.78</v>
      </c>
      <c r="H387" s="897">
        <f>'Перелік ціни'!G313</f>
        <v>0.3</v>
      </c>
      <c r="I387" s="897">
        <f>SUM(E387:H387)</f>
        <v>512.67999999999995</v>
      </c>
      <c r="J387" s="897">
        <f>'Перелік ціни'!I313</f>
        <v>6.6</v>
      </c>
      <c r="K387" s="897">
        <f>'Перелік ціни'!J313</f>
        <v>0</v>
      </c>
      <c r="L387" s="897">
        <f>'Перелік ціни'!K313</f>
        <v>0</v>
      </c>
      <c r="M387" s="897">
        <f>'Перелік ціни'!L313</f>
        <v>0.6</v>
      </c>
      <c r="N387" s="897">
        <f>'Перелік ціни'!M313</f>
        <v>7.1999999999999993</v>
      </c>
      <c r="O387" s="897">
        <f>I387+N387</f>
        <v>519.88</v>
      </c>
      <c r="P387" s="906"/>
      <c r="Q387" s="445">
        <f>ROUND(O387,0)</f>
        <v>520</v>
      </c>
      <c r="R387" s="462"/>
      <c r="S387" s="446">
        <f>ROUND(Q387,2)</f>
        <v>520</v>
      </c>
      <c r="T387" s="453">
        <v>505</v>
      </c>
      <c r="U387" s="453">
        <f>S387-T387</f>
        <v>15</v>
      </c>
      <c r="V387" s="718"/>
      <c r="W387" s="718"/>
      <c r="X387" s="455"/>
    </row>
    <row r="388" spans="1:24" s="422" customFormat="1" x14ac:dyDescent="0.65">
      <c r="A388" s="886"/>
      <c r="B388" s="425"/>
      <c r="C388" s="425"/>
      <c r="D388" s="433"/>
      <c r="E388" s="907"/>
      <c r="F388" s="907"/>
      <c r="G388" s="900"/>
      <c r="H388" s="900"/>
      <c r="I388" s="900"/>
      <c r="J388" s="900"/>
      <c r="K388" s="900"/>
      <c r="L388" s="900"/>
      <c r="M388" s="907"/>
      <c r="N388" s="900"/>
      <c r="O388" s="900"/>
      <c r="P388" s="907"/>
      <c r="Q388" s="427"/>
      <c r="R388" s="430"/>
      <c r="S388" s="428"/>
      <c r="T388" s="428"/>
      <c r="U388" s="428"/>
      <c r="V388" s="718"/>
      <c r="W388" s="718"/>
      <c r="X388" s="423"/>
    </row>
    <row r="389" spans="1:24" s="422" customFormat="1" ht="34.200000000000003" x14ac:dyDescent="0.6">
      <c r="A389" s="886"/>
      <c r="B389" s="425"/>
      <c r="C389" s="425"/>
      <c r="D389" s="426"/>
      <c r="E389" s="900"/>
      <c r="F389" s="900"/>
      <c r="G389" s="900"/>
      <c r="H389" s="900"/>
      <c r="I389" s="901"/>
      <c r="J389" s="900"/>
      <c r="K389" s="900"/>
      <c r="L389" s="900"/>
      <c r="M389" s="900"/>
      <c r="N389" s="901"/>
      <c r="O389" s="901"/>
      <c r="P389" s="900"/>
      <c r="Q389" s="427"/>
      <c r="R389" s="427"/>
      <c r="S389" s="428"/>
      <c r="T389" s="428"/>
      <c r="U389" s="428"/>
      <c r="V389" s="718"/>
      <c r="W389" s="718"/>
      <c r="X389" s="423"/>
    </row>
    <row r="390" spans="1:24" s="436" customFormat="1" ht="40.200000000000003" x14ac:dyDescent="0.7">
      <c r="A390" s="437"/>
      <c r="B390" s="681"/>
      <c r="C390" s="435"/>
      <c r="D390" s="435"/>
      <c r="E390" s="890"/>
      <c r="F390" s="890"/>
      <c r="G390" s="890"/>
      <c r="H390" s="890"/>
      <c r="I390" s="890"/>
      <c r="J390" s="890"/>
      <c r="K390" s="890"/>
      <c r="L390" s="890"/>
      <c r="M390" s="890"/>
      <c r="N390" s="890"/>
      <c r="O390" s="890"/>
      <c r="P390" s="890"/>
      <c r="Q390" s="1021" t="s">
        <v>155</v>
      </c>
      <c r="R390" s="1021"/>
      <c r="S390" s="1021"/>
      <c r="T390" s="709"/>
      <c r="U390" s="709"/>
      <c r="V390" s="713"/>
      <c r="W390" s="713"/>
      <c r="X390" s="437"/>
    </row>
    <row r="391" spans="1:24" s="436" customFormat="1" ht="40.200000000000003" x14ac:dyDescent="0.7">
      <c r="A391" s="437"/>
      <c r="B391" s="682"/>
      <c r="E391" s="890"/>
      <c r="F391" s="890"/>
      <c r="G391" s="890"/>
      <c r="H391" s="890"/>
      <c r="I391" s="890"/>
      <c r="J391" s="890"/>
      <c r="K391" s="890"/>
      <c r="L391" s="890"/>
      <c r="M391" s="890"/>
      <c r="N391" s="890"/>
      <c r="O391" s="890"/>
      <c r="P391" s="890"/>
      <c r="Q391" s="1021" t="s">
        <v>156</v>
      </c>
      <c r="R391" s="1021"/>
      <c r="S391" s="1021"/>
      <c r="T391" s="709"/>
      <c r="U391" s="709"/>
      <c r="V391" s="713"/>
      <c r="W391" s="713"/>
      <c r="X391" s="438"/>
    </row>
    <row r="392" spans="1:24" s="436" customFormat="1" ht="40.200000000000003" x14ac:dyDescent="0.7">
      <c r="A392" s="437"/>
      <c r="B392" s="682"/>
      <c r="E392" s="890"/>
      <c r="F392" s="890"/>
      <c r="G392" s="890"/>
      <c r="H392" s="890"/>
      <c r="I392" s="890"/>
      <c r="J392" s="890"/>
      <c r="K392" s="890"/>
      <c r="L392" s="890"/>
      <c r="M392" s="890"/>
      <c r="N392" s="890"/>
      <c r="O392" s="890"/>
      <c r="P392" s="890"/>
      <c r="Q392" s="1021" t="str">
        <f>Q381</f>
        <v>______ грудня 2021 року</v>
      </c>
      <c r="R392" s="1021"/>
      <c r="S392" s="1021"/>
      <c r="T392" s="709"/>
      <c r="U392" s="709"/>
      <c r="V392" s="713"/>
      <c r="W392" s="713"/>
      <c r="X392" s="438"/>
    </row>
    <row r="393" spans="1:24" s="438" customFormat="1" ht="39.6" x14ac:dyDescent="0.65">
      <c r="A393" s="437"/>
      <c r="B393" s="1023"/>
      <c r="C393" s="1023"/>
      <c r="D393" s="1023"/>
      <c r="E393" s="1023"/>
      <c r="F393" s="1023"/>
      <c r="G393" s="1023"/>
      <c r="H393" s="1023"/>
      <c r="I393" s="1023"/>
      <c r="J393" s="1023"/>
      <c r="K393" s="1023"/>
      <c r="L393" s="1023"/>
      <c r="M393" s="1023"/>
      <c r="N393" s="1023"/>
      <c r="O393" s="1023"/>
      <c r="P393" s="1023"/>
      <c r="Q393" s="1023"/>
      <c r="R393" s="1023"/>
      <c r="S393" s="1023"/>
      <c r="T393" s="711"/>
      <c r="U393" s="711"/>
      <c r="V393" s="714"/>
      <c r="W393" s="714"/>
    </row>
    <row r="394" spans="1:24" s="438" customFormat="1" ht="39.6" x14ac:dyDescent="0.65">
      <c r="A394" s="437"/>
      <c r="B394" s="1022" t="s">
        <v>157</v>
      </c>
      <c r="C394" s="1022"/>
      <c r="D394" s="1022"/>
      <c r="E394" s="1022"/>
      <c r="F394" s="1022"/>
      <c r="G394" s="1022"/>
      <c r="H394" s="1022"/>
      <c r="I394" s="1022"/>
      <c r="J394" s="1022"/>
      <c r="K394" s="1022"/>
      <c r="L394" s="1022"/>
      <c r="M394" s="1022"/>
      <c r="N394" s="1022"/>
      <c r="O394" s="1022"/>
      <c r="P394" s="1022"/>
      <c r="Q394" s="1022"/>
      <c r="R394" s="1022"/>
      <c r="S394" s="1022"/>
      <c r="T394" s="710"/>
      <c r="U394" s="710"/>
      <c r="V394" s="714"/>
      <c r="W394" s="714"/>
    </row>
    <row r="395" spans="1:24" s="438" customFormat="1" ht="39.6" x14ac:dyDescent="0.65">
      <c r="A395" s="437"/>
      <c r="B395" s="1022" t="s">
        <v>158</v>
      </c>
      <c r="C395" s="1022"/>
      <c r="D395" s="1022"/>
      <c r="E395" s="1022"/>
      <c r="F395" s="1022"/>
      <c r="G395" s="1022"/>
      <c r="H395" s="1022"/>
      <c r="I395" s="1022"/>
      <c r="J395" s="1022"/>
      <c r="K395" s="1022"/>
      <c r="L395" s="1022"/>
      <c r="M395" s="1022"/>
      <c r="N395" s="1022"/>
      <c r="O395" s="1022"/>
      <c r="P395" s="1022"/>
      <c r="Q395" s="1022"/>
      <c r="R395" s="1022"/>
      <c r="S395" s="1022"/>
      <c r="T395" s="710"/>
      <c r="U395" s="710"/>
      <c r="V395" s="714"/>
      <c r="W395" s="714"/>
    </row>
    <row r="396" spans="1:24" s="438" customFormat="1" ht="39.6" x14ac:dyDescent="0.65">
      <c r="A396" s="437"/>
      <c r="B396" s="1022"/>
      <c r="C396" s="1022"/>
      <c r="D396" s="1022"/>
      <c r="E396" s="1022"/>
      <c r="F396" s="1022"/>
      <c r="G396" s="1022"/>
      <c r="H396" s="1022"/>
      <c r="I396" s="1022"/>
      <c r="J396" s="1022"/>
      <c r="K396" s="1022"/>
      <c r="L396" s="1022"/>
      <c r="M396" s="1022"/>
      <c r="N396" s="1022"/>
      <c r="O396" s="1022"/>
      <c r="P396" s="1022"/>
      <c r="Q396" s="1022"/>
      <c r="R396" s="1022"/>
      <c r="S396" s="1022"/>
      <c r="T396" s="710"/>
      <c r="U396" s="710"/>
      <c r="V396" s="714"/>
      <c r="W396" s="714"/>
    </row>
    <row r="397" spans="1:24" s="454" customFormat="1" ht="38.4" x14ac:dyDescent="0.7">
      <c r="A397" s="456"/>
      <c r="B397" s="439" t="s">
        <v>1185</v>
      </c>
      <c r="C397" s="439"/>
      <c r="D397" s="440" t="s">
        <v>1186</v>
      </c>
      <c r="E397" s="904" t="s">
        <v>1118</v>
      </c>
      <c r="F397" s="905">
        <v>0.22</v>
      </c>
      <c r="G397" s="904" t="s">
        <v>1119</v>
      </c>
      <c r="H397" s="904" t="s">
        <v>1125</v>
      </c>
      <c r="I397" s="895" t="s">
        <v>1120</v>
      </c>
      <c r="J397" s="904" t="s">
        <v>1121</v>
      </c>
      <c r="K397" s="904" t="s">
        <v>1122</v>
      </c>
      <c r="L397" s="904" t="s">
        <v>1126</v>
      </c>
      <c r="M397" s="904" t="s">
        <v>1123</v>
      </c>
      <c r="N397" s="895" t="s">
        <v>1127</v>
      </c>
      <c r="O397" s="895"/>
      <c r="P397" s="904" t="s">
        <v>988</v>
      </c>
      <c r="Q397" s="458" t="s">
        <v>988</v>
      </c>
      <c r="R397" s="458" t="s">
        <v>1181</v>
      </c>
      <c r="S397" s="442" t="s">
        <v>1187</v>
      </c>
      <c r="T397" s="712" t="s">
        <v>494</v>
      </c>
      <c r="U397" s="448"/>
      <c r="V397" s="718"/>
      <c r="W397" s="718"/>
      <c r="X397" s="455"/>
    </row>
    <row r="398" spans="1:24" s="454" customFormat="1" ht="38.4" x14ac:dyDescent="0.7">
      <c r="A398" s="456"/>
      <c r="B398" s="458">
        <v>7</v>
      </c>
      <c r="C398" s="458"/>
      <c r="D398" s="465" t="s">
        <v>922</v>
      </c>
      <c r="E398" s="897">
        <f>'Перелік ціни'!D316</f>
        <v>52.8</v>
      </c>
      <c r="F398" s="897">
        <f>'Перелік ціни'!E316</f>
        <v>11.62</v>
      </c>
      <c r="G398" s="897">
        <f>'Перелік ціни'!F316</f>
        <v>3.65</v>
      </c>
      <c r="H398" s="897">
        <f>'Перелік ціни'!G316</f>
        <v>0.3</v>
      </c>
      <c r="I398" s="898">
        <f>SUM(E398:H398)</f>
        <v>68.37</v>
      </c>
      <c r="J398" s="897">
        <f>'Перелік ціни'!I316</f>
        <v>6.6</v>
      </c>
      <c r="K398" s="897">
        <f>'Перелік ціни'!J316</f>
        <v>0</v>
      </c>
      <c r="L398" s="897">
        <f>'Перелік ціни'!K316</f>
        <v>0</v>
      </c>
      <c r="M398" s="897">
        <f>'Перелік ціни'!L316</f>
        <v>0.6</v>
      </c>
      <c r="N398" s="898">
        <f>SUM(J398:M398)</f>
        <v>7.1999999999999993</v>
      </c>
      <c r="O398" s="898"/>
      <c r="P398" s="897">
        <f>I398+N398</f>
        <v>75.570000000000007</v>
      </c>
      <c r="Q398" s="446">
        <f>ROUND(P398,0)</f>
        <v>76</v>
      </c>
      <c r="R398" s="458"/>
      <c r="S398" s="446">
        <f>ROUND(Q398,2)</f>
        <v>76</v>
      </c>
      <c r="T398" s="453">
        <v>71</v>
      </c>
      <c r="U398" s="453">
        <f>S398-T398</f>
        <v>5</v>
      </c>
      <c r="V398" s="718"/>
      <c r="W398" s="718"/>
      <c r="X398" s="455"/>
    </row>
    <row r="399" spans="1:24" s="422" customFormat="1" ht="34.200000000000003" x14ac:dyDescent="0.6">
      <c r="A399" s="886"/>
      <c r="B399" s="429"/>
      <c r="C399" s="429"/>
      <c r="D399" s="433"/>
      <c r="E399" s="900"/>
      <c r="F399" s="900"/>
      <c r="G399" s="900"/>
      <c r="H399" s="900"/>
      <c r="I399" s="901"/>
      <c r="J399" s="900"/>
      <c r="K399" s="900"/>
      <c r="L399" s="900"/>
      <c r="M399" s="900"/>
      <c r="N399" s="901"/>
      <c r="O399" s="901"/>
      <c r="P399" s="900"/>
      <c r="Q399" s="428"/>
      <c r="R399" s="429"/>
      <c r="S399" s="428"/>
      <c r="T399" s="428"/>
      <c r="U399" s="428"/>
      <c r="V399" s="718"/>
      <c r="W399" s="718"/>
      <c r="X399" s="423"/>
    </row>
    <row r="400" spans="1:24" s="422" customFormat="1" ht="34.200000000000003" x14ac:dyDescent="0.6">
      <c r="A400" s="886"/>
      <c r="B400" s="425"/>
      <c r="C400" s="425"/>
      <c r="D400" s="426"/>
      <c r="E400" s="900"/>
      <c r="F400" s="900"/>
      <c r="G400" s="900"/>
      <c r="H400" s="900"/>
      <c r="I400" s="901"/>
      <c r="J400" s="900"/>
      <c r="K400" s="900"/>
      <c r="L400" s="900"/>
      <c r="M400" s="900"/>
      <c r="N400" s="901"/>
      <c r="O400" s="901"/>
      <c r="P400" s="900"/>
      <c r="Q400" s="427"/>
      <c r="R400" s="427"/>
      <c r="S400" s="428"/>
      <c r="T400" s="428"/>
      <c r="U400" s="428"/>
      <c r="V400" s="718"/>
      <c r="W400" s="718"/>
      <c r="X400" s="423"/>
    </row>
    <row r="401" spans="1:24" s="436" customFormat="1" ht="40.200000000000003" x14ac:dyDescent="0.7">
      <c r="A401" s="437"/>
      <c r="B401" s="681"/>
      <c r="C401" s="435"/>
      <c r="D401" s="435"/>
      <c r="E401" s="890"/>
      <c r="F401" s="890"/>
      <c r="G401" s="890"/>
      <c r="H401" s="890"/>
      <c r="I401" s="890"/>
      <c r="J401" s="890"/>
      <c r="K401" s="890"/>
      <c r="L401" s="890"/>
      <c r="M401" s="890"/>
      <c r="N401" s="890"/>
      <c r="O401" s="890"/>
      <c r="P401" s="890"/>
      <c r="Q401" s="1021" t="s">
        <v>155</v>
      </c>
      <c r="R401" s="1021"/>
      <c r="S401" s="1021"/>
      <c r="T401" s="709"/>
      <c r="U401" s="709"/>
      <c r="V401" s="713"/>
      <c r="W401" s="713"/>
      <c r="X401" s="437"/>
    </row>
    <row r="402" spans="1:24" s="436" customFormat="1" ht="40.200000000000003" x14ac:dyDescent="0.7">
      <c r="A402" s="437"/>
      <c r="B402" s="682"/>
      <c r="E402" s="890"/>
      <c r="F402" s="890"/>
      <c r="G402" s="890"/>
      <c r="H402" s="890"/>
      <c r="I402" s="890"/>
      <c r="J402" s="890"/>
      <c r="K402" s="890"/>
      <c r="L402" s="890"/>
      <c r="M402" s="890"/>
      <c r="N402" s="890"/>
      <c r="O402" s="890"/>
      <c r="P402" s="890"/>
      <c r="Q402" s="1021" t="s">
        <v>156</v>
      </c>
      <c r="R402" s="1021"/>
      <c r="S402" s="1021"/>
      <c r="T402" s="709"/>
      <c r="U402" s="709"/>
      <c r="V402" s="713"/>
      <c r="W402" s="713"/>
      <c r="X402" s="438"/>
    </row>
    <row r="403" spans="1:24" s="436" customFormat="1" ht="40.200000000000003" x14ac:dyDescent="0.7">
      <c r="A403" s="437"/>
      <c r="B403" s="682"/>
      <c r="E403" s="890"/>
      <c r="F403" s="890"/>
      <c r="G403" s="890"/>
      <c r="H403" s="890"/>
      <c r="I403" s="890"/>
      <c r="J403" s="890"/>
      <c r="K403" s="890"/>
      <c r="L403" s="890"/>
      <c r="M403" s="890"/>
      <c r="N403" s="890"/>
      <c r="O403" s="890"/>
      <c r="P403" s="890"/>
      <c r="Q403" s="1021" t="str">
        <f>Q381</f>
        <v>______ грудня 2021 року</v>
      </c>
      <c r="R403" s="1021"/>
      <c r="S403" s="1021"/>
      <c r="T403" s="709"/>
      <c r="U403" s="709"/>
      <c r="V403" s="713"/>
      <c r="W403" s="713"/>
      <c r="X403" s="438"/>
    </row>
    <row r="404" spans="1:24" s="438" customFormat="1" ht="39.6" x14ac:dyDescent="0.65">
      <c r="A404" s="437"/>
      <c r="B404" s="1023"/>
      <c r="C404" s="1023"/>
      <c r="D404" s="1023"/>
      <c r="E404" s="1023"/>
      <c r="F404" s="1023"/>
      <c r="G404" s="1023"/>
      <c r="H404" s="1023"/>
      <c r="I404" s="1023"/>
      <c r="J404" s="1023"/>
      <c r="K404" s="1023"/>
      <c r="L404" s="1023"/>
      <c r="M404" s="1023"/>
      <c r="N404" s="1023"/>
      <c r="O404" s="1023"/>
      <c r="P404" s="1023"/>
      <c r="Q404" s="1023"/>
      <c r="R404" s="1023"/>
      <c r="S404" s="1023"/>
      <c r="T404" s="711"/>
      <c r="U404" s="711"/>
      <c r="V404" s="714"/>
      <c r="W404" s="714"/>
    </row>
    <row r="405" spans="1:24" s="438" customFormat="1" ht="39.6" x14ac:dyDescent="0.65">
      <c r="A405" s="437"/>
      <c r="B405" s="1022" t="s">
        <v>157</v>
      </c>
      <c r="C405" s="1022"/>
      <c r="D405" s="1022"/>
      <c r="E405" s="1022"/>
      <c r="F405" s="1022"/>
      <c r="G405" s="1022"/>
      <c r="H405" s="1022"/>
      <c r="I405" s="1022"/>
      <c r="J405" s="1022"/>
      <c r="K405" s="1022"/>
      <c r="L405" s="1022"/>
      <c r="M405" s="1022"/>
      <c r="N405" s="1022"/>
      <c r="O405" s="1022"/>
      <c r="P405" s="1022"/>
      <c r="Q405" s="1022"/>
      <c r="R405" s="1022"/>
      <c r="S405" s="1022"/>
      <c r="T405" s="710"/>
      <c r="U405" s="710"/>
      <c r="V405" s="714"/>
      <c r="W405" s="714"/>
    </row>
    <row r="406" spans="1:24" s="438" customFormat="1" ht="39.6" x14ac:dyDescent="0.65">
      <c r="A406" s="437"/>
      <c r="B406" s="1022" t="s">
        <v>158</v>
      </c>
      <c r="C406" s="1022"/>
      <c r="D406" s="1022"/>
      <c r="E406" s="1022"/>
      <c r="F406" s="1022"/>
      <c r="G406" s="1022"/>
      <c r="H406" s="1022"/>
      <c r="I406" s="1022"/>
      <c r="J406" s="1022"/>
      <c r="K406" s="1022"/>
      <c r="L406" s="1022"/>
      <c r="M406" s="1022"/>
      <c r="N406" s="1022"/>
      <c r="O406" s="1022"/>
      <c r="P406" s="1022"/>
      <c r="Q406" s="1022"/>
      <c r="R406" s="1022"/>
      <c r="S406" s="1022"/>
      <c r="T406" s="710"/>
      <c r="U406" s="710"/>
      <c r="V406" s="714"/>
      <c r="W406" s="714"/>
    </row>
    <row r="407" spans="1:24" s="438" customFormat="1" ht="39.6" x14ac:dyDescent="0.65">
      <c r="A407" s="437"/>
      <c r="B407" s="1022"/>
      <c r="C407" s="1022"/>
      <c r="D407" s="1022"/>
      <c r="E407" s="1022"/>
      <c r="F407" s="1022"/>
      <c r="G407" s="1022"/>
      <c r="H407" s="1022"/>
      <c r="I407" s="1022"/>
      <c r="J407" s="1022"/>
      <c r="K407" s="1022"/>
      <c r="L407" s="1022"/>
      <c r="M407" s="1022"/>
      <c r="N407" s="1022"/>
      <c r="O407" s="1022"/>
      <c r="P407" s="1022"/>
      <c r="Q407" s="1022"/>
      <c r="R407" s="1022"/>
      <c r="S407" s="1022"/>
      <c r="T407" s="710"/>
      <c r="U407" s="710"/>
      <c r="V407" s="714"/>
      <c r="W407" s="714"/>
    </row>
    <row r="408" spans="1:24" s="454" customFormat="1" ht="38.4" x14ac:dyDescent="0.7">
      <c r="A408" s="456"/>
      <c r="B408" s="439" t="s">
        <v>1185</v>
      </c>
      <c r="C408" s="439"/>
      <c r="D408" s="440" t="s">
        <v>1186</v>
      </c>
      <c r="E408" s="904" t="s">
        <v>1118</v>
      </c>
      <c r="F408" s="905">
        <v>0.22</v>
      </c>
      <c r="G408" s="904" t="s">
        <v>1119</v>
      </c>
      <c r="H408" s="904" t="s">
        <v>1125</v>
      </c>
      <c r="I408" s="895" t="s">
        <v>1120</v>
      </c>
      <c r="J408" s="904" t="s">
        <v>1121</v>
      </c>
      <c r="K408" s="904" t="s">
        <v>1122</v>
      </c>
      <c r="L408" s="904" t="s">
        <v>1126</v>
      </c>
      <c r="M408" s="904" t="s">
        <v>1123</v>
      </c>
      <c r="N408" s="895" t="s">
        <v>1127</v>
      </c>
      <c r="O408" s="895"/>
      <c r="P408" s="904" t="s">
        <v>988</v>
      </c>
      <c r="Q408" s="458" t="s">
        <v>988</v>
      </c>
      <c r="R408" s="458" t="s">
        <v>1181</v>
      </c>
      <c r="S408" s="442" t="s">
        <v>1187</v>
      </c>
      <c r="T408" s="712" t="s">
        <v>494</v>
      </c>
      <c r="U408" s="448"/>
      <c r="V408" s="718"/>
      <c r="W408" s="718"/>
      <c r="X408" s="455"/>
    </row>
    <row r="409" spans="1:24" s="454" customFormat="1" ht="38.4" x14ac:dyDescent="0.7">
      <c r="A409" s="456"/>
      <c r="B409" s="458">
        <v>8</v>
      </c>
      <c r="C409" s="458"/>
      <c r="D409" s="465" t="s">
        <v>923</v>
      </c>
      <c r="E409" s="897">
        <f>'Перелік ціни'!D318</f>
        <v>29.2</v>
      </c>
      <c r="F409" s="897">
        <f>'Перелік ціни'!E318</f>
        <v>6.42</v>
      </c>
      <c r="G409" s="897">
        <f>'Перелік ціни'!F318</f>
        <v>2.4</v>
      </c>
      <c r="H409" s="897">
        <f>'Перелік ціни'!G318</f>
        <v>0.01</v>
      </c>
      <c r="I409" s="898">
        <f>SUM(E409:H409)</f>
        <v>38.029999999999994</v>
      </c>
      <c r="J409" s="897">
        <f>'Перелік ціни'!I318</f>
        <v>4.4000000000000004</v>
      </c>
      <c r="K409" s="897">
        <f>'Перелік ціни'!J318</f>
        <v>0</v>
      </c>
      <c r="L409" s="897">
        <f>'Перелік ціни'!K318</f>
        <v>0</v>
      </c>
      <c r="M409" s="897">
        <f>'Перелік ціни'!L318</f>
        <v>0</v>
      </c>
      <c r="N409" s="898">
        <f>SUM(J409:M409)</f>
        <v>4.4000000000000004</v>
      </c>
      <c r="O409" s="898"/>
      <c r="P409" s="897">
        <f>I409+N409</f>
        <v>42.429999999999993</v>
      </c>
      <c r="Q409" s="446">
        <f>ROUND(P409,0)</f>
        <v>42</v>
      </c>
      <c r="R409" s="458"/>
      <c r="S409" s="446">
        <f>ROUND(Q409,2)</f>
        <v>42</v>
      </c>
      <c r="T409" s="453">
        <v>40</v>
      </c>
      <c r="U409" s="453">
        <f>S409-T409</f>
        <v>2</v>
      </c>
      <c r="V409" s="718"/>
      <c r="W409" s="718"/>
      <c r="X409" s="455"/>
    </row>
    <row r="410" spans="1:24" s="422" customFormat="1" ht="34.200000000000003" x14ac:dyDescent="0.6">
      <c r="A410" s="886"/>
      <c r="B410" s="429"/>
      <c r="C410" s="429"/>
      <c r="D410" s="433"/>
      <c r="E410" s="900"/>
      <c r="F410" s="900"/>
      <c r="G410" s="900"/>
      <c r="H410" s="900"/>
      <c r="I410" s="901"/>
      <c r="J410" s="900"/>
      <c r="K410" s="900"/>
      <c r="L410" s="900"/>
      <c r="M410" s="900"/>
      <c r="N410" s="901"/>
      <c r="O410" s="901"/>
      <c r="P410" s="900"/>
      <c r="Q410" s="428"/>
      <c r="R410" s="429"/>
      <c r="S410" s="428"/>
      <c r="T410" s="428"/>
      <c r="U410" s="428"/>
      <c r="V410" s="718"/>
      <c r="W410" s="718"/>
      <c r="X410" s="423"/>
    </row>
    <row r="411" spans="1:24" s="422" customFormat="1" ht="34.200000000000003" x14ac:dyDescent="0.6">
      <c r="A411" s="886"/>
      <c r="B411" s="425"/>
      <c r="C411" s="425"/>
      <c r="D411" s="426"/>
      <c r="E411" s="900"/>
      <c r="F411" s="900"/>
      <c r="G411" s="900"/>
      <c r="H411" s="900"/>
      <c r="I411" s="901"/>
      <c r="J411" s="900"/>
      <c r="K411" s="900"/>
      <c r="L411" s="900"/>
      <c r="M411" s="900"/>
      <c r="N411" s="901"/>
      <c r="O411" s="901"/>
      <c r="P411" s="900"/>
      <c r="Q411" s="427"/>
      <c r="R411" s="427"/>
      <c r="S411" s="428"/>
      <c r="T411" s="428"/>
      <c r="U411" s="428"/>
      <c r="V411" s="718"/>
      <c r="W411" s="718"/>
      <c r="X411" s="423"/>
    </row>
    <row r="412" spans="1:24" s="436" customFormat="1" ht="40.200000000000003" x14ac:dyDescent="0.7">
      <c r="A412" s="437"/>
      <c r="B412" s="681"/>
      <c r="C412" s="435"/>
      <c r="D412" s="435"/>
      <c r="E412" s="890"/>
      <c r="F412" s="890"/>
      <c r="G412" s="890"/>
      <c r="H412" s="890"/>
      <c r="I412" s="890"/>
      <c r="J412" s="890"/>
      <c r="K412" s="890"/>
      <c r="L412" s="890"/>
      <c r="M412" s="890"/>
      <c r="N412" s="890"/>
      <c r="O412" s="890"/>
      <c r="P412" s="890"/>
      <c r="Q412" s="1021" t="s">
        <v>155</v>
      </c>
      <c r="R412" s="1021"/>
      <c r="S412" s="1021"/>
      <c r="T412" s="709"/>
      <c r="U412" s="709"/>
      <c r="V412" s="713"/>
      <c r="W412" s="713"/>
      <c r="X412" s="437"/>
    </row>
    <row r="413" spans="1:24" s="436" customFormat="1" ht="40.200000000000003" x14ac:dyDescent="0.7">
      <c r="A413" s="437"/>
      <c r="B413" s="682"/>
      <c r="E413" s="890"/>
      <c r="F413" s="890"/>
      <c r="G413" s="890"/>
      <c r="H413" s="890"/>
      <c r="I413" s="890"/>
      <c r="J413" s="890"/>
      <c r="K413" s="890"/>
      <c r="L413" s="890"/>
      <c r="M413" s="890"/>
      <c r="N413" s="890"/>
      <c r="O413" s="890"/>
      <c r="P413" s="890"/>
      <c r="Q413" s="1021" t="s">
        <v>156</v>
      </c>
      <c r="R413" s="1021"/>
      <c r="S413" s="1021"/>
      <c r="T413" s="709"/>
      <c r="U413" s="709"/>
      <c r="V413" s="713"/>
      <c r="W413" s="713"/>
      <c r="X413" s="438"/>
    </row>
    <row r="414" spans="1:24" s="436" customFormat="1" ht="40.200000000000003" x14ac:dyDescent="0.7">
      <c r="A414" s="437"/>
      <c r="B414" s="682"/>
      <c r="E414" s="890"/>
      <c r="F414" s="890"/>
      <c r="G414" s="890"/>
      <c r="H414" s="890"/>
      <c r="I414" s="890"/>
      <c r="J414" s="890"/>
      <c r="K414" s="890"/>
      <c r="L414" s="890"/>
      <c r="M414" s="890"/>
      <c r="N414" s="890"/>
      <c r="O414" s="890"/>
      <c r="P414" s="890"/>
      <c r="Q414" s="1021" t="str">
        <f>Q403</f>
        <v>______ грудня 2021 року</v>
      </c>
      <c r="R414" s="1021"/>
      <c r="S414" s="1021"/>
      <c r="T414" s="709"/>
      <c r="U414" s="709"/>
      <c r="V414" s="713"/>
      <c r="W414" s="713"/>
      <c r="X414" s="438"/>
    </row>
    <row r="415" spans="1:24" s="438" customFormat="1" ht="39.6" x14ac:dyDescent="0.65">
      <c r="A415" s="437"/>
      <c r="B415" s="1023"/>
      <c r="C415" s="1023"/>
      <c r="D415" s="1023"/>
      <c r="E415" s="1023"/>
      <c r="F415" s="1023"/>
      <c r="G415" s="1023"/>
      <c r="H415" s="1023"/>
      <c r="I415" s="1023"/>
      <c r="J415" s="1023"/>
      <c r="K415" s="1023"/>
      <c r="L415" s="1023"/>
      <c r="M415" s="1023"/>
      <c r="N415" s="1023"/>
      <c r="O415" s="1023"/>
      <c r="P415" s="1023"/>
      <c r="Q415" s="1023"/>
      <c r="R415" s="1023"/>
      <c r="S415" s="1023"/>
      <c r="T415" s="711"/>
      <c r="U415" s="711"/>
      <c r="V415" s="714"/>
      <c r="W415" s="714"/>
    </row>
    <row r="416" spans="1:24" s="438" customFormat="1" ht="39.6" x14ac:dyDescent="0.65">
      <c r="A416" s="437"/>
      <c r="B416" s="1022" t="s">
        <v>157</v>
      </c>
      <c r="C416" s="1022"/>
      <c r="D416" s="1022"/>
      <c r="E416" s="1022"/>
      <c r="F416" s="1022"/>
      <c r="G416" s="1022"/>
      <c r="H416" s="1022"/>
      <c r="I416" s="1022"/>
      <c r="J416" s="1022"/>
      <c r="K416" s="1022"/>
      <c r="L416" s="1022"/>
      <c r="M416" s="1022"/>
      <c r="N416" s="1022"/>
      <c r="O416" s="1022"/>
      <c r="P416" s="1022"/>
      <c r="Q416" s="1022"/>
      <c r="R416" s="1022"/>
      <c r="S416" s="1022"/>
      <c r="T416" s="710"/>
      <c r="U416" s="710"/>
      <c r="V416" s="714"/>
      <c r="W416" s="714"/>
    </row>
    <row r="417" spans="1:24" s="438" customFormat="1" ht="39.6" x14ac:dyDescent="0.65">
      <c r="A417" s="437"/>
      <c r="B417" s="1022" t="s">
        <v>158</v>
      </c>
      <c r="C417" s="1022"/>
      <c r="D417" s="1022"/>
      <c r="E417" s="1022"/>
      <c r="F417" s="1022"/>
      <c r="G417" s="1022"/>
      <c r="H417" s="1022"/>
      <c r="I417" s="1022"/>
      <c r="J417" s="1022"/>
      <c r="K417" s="1022"/>
      <c r="L417" s="1022"/>
      <c r="M417" s="1022"/>
      <c r="N417" s="1022"/>
      <c r="O417" s="1022"/>
      <c r="P417" s="1022"/>
      <c r="Q417" s="1022"/>
      <c r="R417" s="1022"/>
      <c r="S417" s="1022"/>
      <c r="T417" s="710"/>
      <c r="U417" s="710"/>
      <c r="V417" s="714"/>
      <c r="W417" s="714"/>
    </row>
    <row r="418" spans="1:24" s="438" customFormat="1" ht="39.6" x14ac:dyDescent="0.65">
      <c r="A418" s="437"/>
      <c r="B418" s="1022"/>
      <c r="C418" s="1022"/>
      <c r="D418" s="1022"/>
      <c r="E418" s="1022"/>
      <c r="F418" s="1022"/>
      <c r="G418" s="1022"/>
      <c r="H418" s="1022"/>
      <c r="I418" s="1022"/>
      <c r="J418" s="1022"/>
      <c r="K418" s="1022"/>
      <c r="L418" s="1022"/>
      <c r="M418" s="1022"/>
      <c r="N418" s="1022"/>
      <c r="O418" s="1022"/>
      <c r="P418" s="1022"/>
      <c r="Q418" s="1022"/>
      <c r="R418" s="1022"/>
      <c r="S418" s="1022"/>
      <c r="T418" s="710"/>
      <c r="U418" s="710"/>
      <c r="V418" s="714"/>
      <c r="W418" s="714"/>
    </row>
    <row r="419" spans="1:24" s="454" customFormat="1" ht="38.4" x14ac:dyDescent="0.7">
      <c r="A419" s="456"/>
      <c r="B419" s="439" t="s">
        <v>1185</v>
      </c>
      <c r="C419" s="439"/>
      <c r="D419" s="440" t="s">
        <v>1186</v>
      </c>
      <c r="E419" s="904" t="s">
        <v>1118</v>
      </c>
      <c r="F419" s="905">
        <v>0.22</v>
      </c>
      <c r="G419" s="904" t="s">
        <v>1119</v>
      </c>
      <c r="H419" s="904" t="s">
        <v>1125</v>
      </c>
      <c r="I419" s="895" t="s">
        <v>1120</v>
      </c>
      <c r="J419" s="904" t="s">
        <v>1121</v>
      </c>
      <c r="K419" s="904" t="s">
        <v>1122</v>
      </c>
      <c r="L419" s="904" t="s">
        <v>1126</v>
      </c>
      <c r="M419" s="904" t="s">
        <v>1123</v>
      </c>
      <c r="N419" s="895" t="s">
        <v>1127</v>
      </c>
      <c r="O419" s="895"/>
      <c r="P419" s="904" t="s">
        <v>988</v>
      </c>
      <c r="Q419" s="458" t="s">
        <v>988</v>
      </c>
      <c r="R419" s="458" t="s">
        <v>1181</v>
      </c>
      <c r="S419" s="442" t="s">
        <v>1187</v>
      </c>
      <c r="T419" s="712" t="s">
        <v>494</v>
      </c>
      <c r="U419" s="448"/>
      <c r="V419" s="718"/>
      <c r="W419" s="718"/>
      <c r="X419" s="455"/>
    </row>
    <row r="420" spans="1:24" s="454" customFormat="1" ht="75.599999999999994" x14ac:dyDescent="0.7">
      <c r="A420" s="456"/>
      <c r="B420" s="458">
        <v>9</v>
      </c>
      <c r="C420" s="458"/>
      <c r="D420" s="464" t="s">
        <v>924</v>
      </c>
      <c r="E420" s="897">
        <f>'Перелік ціни'!D320</f>
        <v>18.3</v>
      </c>
      <c r="F420" s="897">
        <f>'Перелік ціни'!E320</f>
        <v>4.03</v>
      </c>
      <c r="G420" s="897">
        <f>'Перелік ціни'!F320</f>
        <v>16.79</v>
      </c>
      <c r="H420" s="897">
        <f>'Перелік ціни'!G320</f>
        <v>0</v>
      </c>
      <c r="I420" s="898">
        <f>SUM(E420:H420)</f>
        <v>39.120000000000005</v>
      </c>
      <c r="J420" s="897">
        <f>'Перелік ціни'!I320</f>
        <v>2.5499999999999998</v>
      </c>
      <c r="K420" s="897">
        <f>'Перелік ціни'!J320</f>
        <v>0</v>
      </c>
      <c r="L420" s="897">
        <f>'Перелік ціни'!K320</f>
        <v>0</v>
      </c>
      <c r="M420" s="897">
        <f>'Перелік ціни'!L320</f>
        <v>0</v>
      </c>
      <c r="N420" s="897">
        <f>'Перелік ціни'!M320</f>
        <v>2.5499999999999998</v>
      </c>
      <c r="O420" s="897">
        <f>I420+N420</f>
        <v>41.67</v>
      </c>
      <c r="P420" s="897"/>
      <c r="Q420" s="445">
        <f>ROUND(O420,2)</f>
        <v>41.67</v>
      </c>
      <c r="R420" s="445">
        <f>ROUND(Q420*0.2,2)</f>
        <v>8.33</v>
      </c>
      <c r="S420" s="446">
        <f>R420+Q420</f>
        <v>50</v>
      </c>
      <c r="T420" s="453">
        <v>50</v>
      </c>
      <c r="U420" s="453">
        <f>S420-T420</f>
        <v>0</v>
      </c>
      <c r="V420" s="718"/>
      <c r="W420" s="718"/>
      <c r="X420" s="455"/>
    </row>
    <row r="421" spans="1:24" s="422" customFormat="1" ht="34.200000000000003" x14ac:dyDescent="0.6">
      <c r="A421" s="886"/>
      <c r="B421" s="425"/>
      <c r="C421" s="425"/>
      <c r="D421" s="426"/>
      <c r="E421" s="900"/>
      <c r="F421" s="900"/>
      <c r="G421" s="900"/>
      <c r="H421" s="900"/>
      <c r="I421" s="901"/>
      <c r="J421" s="900"/>
      <c r="K421" s="900"/>
      <c r="L421" s="900"/>
      <c r="M421" s="900"/>
      <c r="N421" s="901"/>
      <c r="O421" s="901"/>
      <c r="P421" s="900"/>
      <c r="Q421" s="427"/>
      <c r="R421" s="427"/>
      <c r="S421" s="428"/>
      <c r="T421" s="428"/>
      <c r="U421" s="428"/>
      <c r="V421" s="718"/>
      <c r="W421" s="718"/>
      <c r="X421" s="423"/>
    </row>
    <row r="422" spans="1:24" s="422" customFormat="1" ht="34.200000000000003" x14ac:dyDescent="0.6">
      <c r="A422" s="886"/>
      <c r="B422" s="425"/>
      <c r="C422" s="425"/>
      <c r="D422" s="426"/>
      <c r="E422" s="900"/>
      <c r="F422" s="900"/>
      <c r="G422" s="900"/>
      <c r="H422" s="900"/>
      <c r="I422" s="901"/>
      <c r="J422" s="900"/>
      <c r="K422" s="900"/>
      <c r="L422" s="900"/>
      <c r="M422" s="900"/>
      <c r="N422" s="901"/>
      <c r="O422" s="901"/>
      <c r="P422" s="900"/>
      <c r="Q422" s="427"/>
      <c r="R422" s="427"/>
      <c r="S422" s="428"/>
      <c r="T422" s="428"/>
      <c r="U422" s="428"/>
      <c r="V422" s="718"/>
      <c r="W422" s="718"/>
      <c r="X422" s="423"/>
    </row>
    <row r="423" spans="1:24" s="436" customFormat="1" ht="40.200000000000003" x14ac:dyDescent="0.7">
      <c r="A423" s="437"/>
      <c r="B423" s="681"/>
      <c r="C423" s="435"/>
      <c r="D423" s="435"/>
      <c r="E423" s="890"/>
      <c r="F423" s="890"/>
      <c r="G423" s="890"/>
      <c r="H423" s="890"/>
      <c r="I423" s="890"/>
      <c r="J423" s="890"/>
      <c r="K423" s="890"/>
      <c r="L423" s="890"/>
      <c r="M423" s="890"/>
      <c r="N423" s="890"/>
      <c r="O423" s="890"/>
      <c r="P423" s="890"/>
      <c r="Q423" s="1021" t="s">
        <v>155</v>
      </c>
      <c r="R423" s="1021"/>
      <c r="S423" s="1021"/>
      <c r="T423" s="709"/>
      <c r="U423" s="709"/>
      <c r="V423" s="713"/>
      <c r="W423" s="713"/>
      <c r="X423" s="437"/>
    </row>
    <row r="424" spans="1:24" s="436" customFormat="1" ht="40.200000000000003" x14ac:dyDescent="0.7">
      <c r="A424" s="437"/>
      <c r="B424" s="682"/>
      <c r="E424" s="890"/>
      <c r="F424" s="890"/>
      <c r="G424" s="890"/>
      <c r="H424" s="890"/>
      <c r="I424" s="890"/>
      <c r="J424" s="890"/>
      <c r="K424" s="890"/>
      <c r="L424" s="890"/>
      <c r="M424" s="890"/>
      <c r="N424" s="890"/>
      <c r="O424" s="890"/>
      <c r="P424" s="890"/>
      <c r="Q424" s="1021" t="s">
        <v>156</v>
      </c>
      <c r="R424" s="1021"/>
      <c r="S424" s="1021"/>
      <c r="T424" s="709"/>
      <c r="U424" s="709"/>
      <c r="V424" s="713"/>
      <c r="W424" s="713"/>
      <c r="X424" s="438"/>
    </row>
    <row r="425" spans="1:24" s="436" customFormat="1" ht="40.200000000000003" x14ac:dyDescent="0.7">
      <c r="A425" s="437"/>
      <c r="B425" s="682"/>
      <c r="E425" s="890"/>
      <c r="F425" s="890"/>
      <c r="G425" s="890"/>
      <c r="H425" s="890"/>
      <c r="I425" s="890"/>
      <c r="J425" s="890"/>
      <c r="K425" s="890"/>
      <c r="L425" s="890"/>
      <c r="M425" s="890"/>
      <c r="N425" s="890"/>
      <c r="O425" s="890"/>
      <c r="P425" s="890"/>
      <c r="Q425" s="1021" t="str">
        <f>Q414</f>
        <v>______ грудня 2021 року</v>
      </c>
      <c r="R425" s="1021"/>
      <c r="S425" s="1021"/>
      <c r="T425" s="709"/>
      <c r="U425" s="709"/>
      <c r="V425" s="713"/>
      <c r="W425" s="713"/>
      <c r="X425" s="438"/>
    </row>
    <row r="426" spans="1:24" s="438" customFormat="1" ht="39.6" x14ac:dyDescent="0.65">
      <c r="A426" s="437"/>
      <c r="B426" s="1023"/>
      <c r="C426" s="1023"/>
      <c r="D426" s="1023"/>
      <c r="E426" s="1023"/>
      <c r="F426" s="1023"/>
      <c r="G426" s="1023"/>
      <c r="H426" s="1023"/>
      <c r="I426" s="1023"/>
      <c r="J426" s="1023"/>
      <c r="K426" s="1023"/>
      <c r="L426" s="1023"/>
      <c r="M426" s="1023"/>
      <c r="N426" s="1023"/>
      <c r="O426" s="1023"/>
      <c r="P426" s="1023"/>
      <c r="Q426" s="1023"/>
      <c r="R426" s="1023"/>
      <c r="S426" s="1023"/>
      <c r="T426" s="711"/>
      <c r="U426" s="711"/>
      <c r="V426" s="714"/>
      <c r="W426" s="714"/>
    </row>
    <row r="427" spans="1:24" s="438" customFormat="1" ht="39.6" x14ac:dyDescent="0.65">
      <c r="A427" s="437"/>
      <c r="B427" s="1022" t="s">
        <v>157</v>
      </c>
      <c r="C427" s="1022"/>
      <c r="D427" s="1022"/>
      <c r="E427" s="1022"/>
      <c r="F427" s="1022"/>
      <c r="G427" s="1022"/>
      <c r="H427" s="1022"/>
      <c r="I427" s="1022"/>
      <c r="J427" s="1022"/>
      <c r="K427" s="1022"/>
      <c r="L427" s="1022"/>
      <c r="M427" s="1022"/>
      <c r="N427" s="1022"/>
      <c r="O427" s="1022"/>
      <c r="P427" s="1022"/>
      <c r="Q427" s="1022"/>
      <c r="R427" s="1022"/>
      <c r="S427" s="1022"/>
      <c r="T427" s="710"/>
      <c r="U427" s="710"/>
      <c r="V427" s="714"/>
      <c r="W427" s="714"/>
    </row>
    <row r="428" spans="1:24" s="438" customFormat="1" ht="39.6" x14ac:dyDescent="0.65">
      <c r="A428" s="437"/>
      <c r="B428" s="1022" t="s">
        <v>158</v>
      </c>
      <c r="C428" s="1022"/>
      <c r="D428" s="1022"/>
      <c r="E428" s="1022"/>
      <c r="F428" s="1022"/>
      <c r="G428" s="1022"/>
      <c r="H428" s="1022"/>
      <c r="I428" s="1022"/>
      <c r="J428" s="1022"/>
      <c r="K428" s="1022"/>
      <c r="L428" s="1022"/>
      <c r="M428" s="1022"/>
      <c r="N428" s="1022"/>
      <c r="O428" s="1022"/>
      <c r="P428" s="1022"/>
      <c r="Q428" s="1022"/>
      <c r="R428" s="1022"/>
      <c r="S428" s="1022"/>
      <c r="T428" s="710"/>
      <c r="U428" s="710"/>
      <c r="V428" s="714"/>
      <c r="W428" s="714"/>
    </row>
    <row r="429" spans="1:24" s="438" customFormat="1" ht="39.6" x14ac:dyDescent="0.65">
      <c r="A429" s="437"/>
      <c r="B429" s="1022"/>
      <c r="C429" s="1022"/>
      <c r="D429" s="1022"/>
      <c r="E429" s="1022"/>
      <c r="F429" s="1022"/>
      <c r="G429" s="1022"/>
      <c r="H429" s="1022"/>
      <c r="I429" s="1022"/>
      <c r="J429" s="1022"/>
      <c r="K429" s="1022"/>
      <c r="L429" s="1022"/>
      <c r="M429" s="1022"/>
      <c r="N429" s="1022"/>
      <c r="O429" s="1022"/>
      <c r="P429" s="1022"/>
      <c r="Q429" s="1022"/>
      <c r="R429" s="1022"/>
      <c r="S429" s="1022"/>
      <c r="T429" s="710"/>
      <c r="U429" s="710"/>
      <c r="V429" s="714"/>
      <c r="W429" s="714"/>
    </row>
    <row r="430" spans="1:24" s="454" customFormat="1" ht="38.4" x14ac:dyDescent="0.7">
      <c r="A430" s="456"/>
      <c r="B430" s="439" t="s">
        <v>1185</v>
      </c>
      <c r="C430" s="439"/>
      <c r="D430" s="440" t="s">
        <v>1186</v>
      </c>
      <c r="E430" s="891"/>
      <c r="F430" s="891"/>
      <c r="G430" s="891"/>
      <c r="H430" s="891"/>
      <c r="I430" s="891"/>
      <c r="J430" s="891"/>
      <c r="K430" s="891"/>
      <c r="L430" s="891"/>
      <c r="M430" s="891"/>
      <c r="N430" s="891"/>
      <c r="O430" s="891"/>
      <c r="P430" s="891"/>
      <c r="Q430" s="441"/>
      <c r="R430" s="441"/>
      <c r="S430" s="442" t="s">
        <v>1187</v>
      </c>
      <c r="T430" s="442"/>
      <c r="U430" s="442"/>
      <c r="V430" s="718"/>
      <c r="W430" s="718"/>
      <c r="X430" s="455"/>
    </row>
    <row r="431" spans="1:24" s="454" customFormat="1" ht="38.4" x14ac:dyDescent="0.7">
      <c r="A431" s="456"/>
      <c r="B431" s="458">
        <v>10</v>
      </c>
      <c r="C431" s="458"/>
      <c r="D431" s="464" t="s">
        <v>161</v>
      </c>
      <c r="E431" s="904" t="s">
        <v>1118</v>
      </c>
      <c r="F431" s="905">
        <v>0.22</v>
      </c>
      <c r="G431" s="904" t="s">
        <v>1119</v>
      </c>
      <c r="H431" s="904" t="s">
        <v>1125</v>
      </c>
      <c r="I431" s="895" t="s">
        <v>1120</v>
      </c>
      <c r="J431" s="904" t="s">
        <v>1121</v>
      </c>
      <c r="K431" s="904" t="s">
        <v>1122</v>
      </c>
      <c r="L431" s="904" t="s">
        <v>1126</v>
      </c>
      <c r="M431" s="904" t="s">
        <v>1123</v>
      </c>
      <c r="N431" s="895" t="s">
        <v>1127</v>
      </c>
      <c r="O431" s="895"/>
      <c r="P431" s="904" t="s">
        <v>988</v>
      </c>
      <c r="Q431" s="458" t="s">
        <v>988</v>
      </c>
      <c r="R431" s="458" t="s">
        <v>1181</v>
      </c>
      <c r="S431" s="442" t="s">
        <v>1183</v>
      </c>
      <c r="T431" s="712" t="s">
        <v>494</v>
      </c>
      <c r="U431" s="448"/>
      <c r="V431" s="718"/>
      <c r="W431" s="718"/>
      <c r="X431" s="455"/>
    </row>
    <row r="432" spans="1:24" ht="37.799999999999997" x14ac:dyDescent="0.65">
      <c r="B432" s="683" t="str">
        <f>'Перелік ціни'!B323</f>
        <v>10.1</v>
      </c>
      <c r="C432" s="684" t="str">
        <f>'Перелік ціни'!B323</f>
        <v>10.1</v>
      </c>
      <c r="D432" s="684" t="str">
        <f>'Перелік ціни'!C323</f>
        <v>Ультрафіолетове опромінення загальне</v>
      </c>
      <c r="E432" s="908">
        <f>'Перелік ціни'!D323</f>
        <v>13.889999999999999</v>
      </c>
      <c r="F432" s="908">
        <f>'Перелік ціни'!E323</f>
        <v>3.06</v>
      </c>
      <c r="G432" s="908">
        <f>'Перелік ціни'!F323</f>
        <v>9.43</v>
      </c>
      <c r="H432" s="908">
        <f>'Перелік ціни'!G323</f>
        <v>0.12</v>
      </c>
      <c r="I432" s="897">
        <f t="shared" ref="I432:I477" si="55">SUM(E432:H432)</f>
        <v>26.5</v>
      </c>
      <c r="J432" s="908">
        <f>'Перелік ціни'!I323</f>
        <v>1.6500000000000001</v>
      </c>
      <c r="K432" s="908">
        <f>'Перелік ціни'!J323</f>
        <v>0</v>
      </c>
      <c r="L432" s="908">
        <f>'Перелік ціни'!K323</f>
        <v>0</v>
      </c>
      <c r="M432" s="908">
        <f>'Перелік ціни'!L323</f>
        <v>0.15</v>
      </c>
      <c r="N432" s="897">
        <f t="shared" ref="N432:N477" si="56">SUM(J432:M432)</f>
        <v>1.8</v>
      </c>
      <c r="O432" s="897">
        <f t="shared" ref="O432:O477" si="57">I432+N432</f>
        <v>28.3</v>
      </c>
      <c r="P432" s="908"/>
      <c r="Q432" s="445">
        <f>ROUND(O432,0)</f>
        <v>28</v>
      </c>
      <c r="R432" s="677"/>
      <c r="S432" s="446">
        <f t="shared" ref="S432:S477" si="58">ROUND(Q432,2)</f>
        <v>28</v>
      </c>
      <c r="T432" s="453">
        <v>13.5</v>
      </c>
      <c r="U432" s="453">
        <f>S432-T432</f>
        <v>14.5</v>
      </c>
    </row>
    <row r="433" spans="2:24" ht="37.799999999999997" x14ac:dyDescent="0.65">
      <c r="B433" s="683" t="str">
        <f>'Перелік ціни'!B324</f>
        <v>10.2</v>
      </c>
      <c r="C433" s="685"/>
      <c r="D433" s="684" t="str">
        <f>'Перелік ціни'!C324</f>
        <v>Ультрафіолетове опромінення місцеве</v>
      </c>
      <c r="E433" s="908">
        <f>'Перелік ціни'!D324</f>
        <v>9.64</v>
      </c>
      <c r="F433" s="908">
        <f>'Перелік ціни'!E324</f>
        <v>2.12</v>
      </c>
      <c r="G433" s="908">
        <f>'Перелік ціни'!F324</f>
        <v>9.43</v>
      </c>
      <c r="H433" s="908">
        <f>'Перелік ціни'!G324</f>
        <v>7.0000000000000007E-2</v>
      </c>
      <c r="I433" s="897">
        <f t="shared" si="55"/>
        <v>21.26</v>
      </c>
      <c r="J433" s="908">
        <f>'Перелік ціни'!I324</f>
        <v>1.1000000000000001</v>
      </c>
      <c r="K433" s="908">
        <f>'Перелік ціни'!J324</f>
        <v>0</v>
      </c>
      <c r="L433" s="908">
        <f>'Перелік ціни'!K324</f>
        <v>0</v>
      </c>
      <c r="M433" s="908">
        <f>'Перелік ціни'!L324</f>
        <v>0.1</v>
      </c>
      <c r="N433" s="897">
        <f t="shared" si="56"/>
        <v>1.2000000000000002</v>
      </c>
      <c r="O433" s="897">
        <f t="shared" si="57"/>
        <v>22.46</v>
      </c>
      <c r="P433" s="909"/>
      <c r="Q433" s="445">
        <f t="shared" ref="Q433:Q477" si="59">ROUND(O433,0)</f>
        <v>22</v>
      </c>
      <c r="R433" s="679"/>
      <c r="S433" s="446">
        <f t="shared" si="58"/>
        <v>22</v>
      </c>
      <c r="T433" s="453">
        <v>13.5</v>
      </c>
      <c r="U433" s="453">
        <f t="shared" ref="U433:U477" si="60">S433-T433</f>
        <v>8.5</v>
      </c>
    </row>
    <row r="434" spans="2:24" ht="37.799999999999997" x14ac:dyDescent="0.65">
      <c r="B434" s="683" t="str">
        <f>'Перелік ціни'!B325</f>
        <v>10.3</v>
      </c>
      <c r="C434" s="685"/>
      <c r="D434" s="684" t="str">
        <f>'Перелік ціни'!C325</f>
        <v>Опромінення інфрачервоними променями</v>
      </c>
      <c r="E434" s="908">
        <f>'Перелік ціни'!D325</f>
        <v>10.49</v>
      </c>
      <c r="F434" s="908">
        <f>'Перелік ціни'!E325</f>
        <v>2.31</v>
      </c>
      <c r="G434" s="908">
        <f>'Перелік ціни'!F325</f>
        <v>9.43</v>
      </c>
      <c r="H434" s="908">
        <f>'Перелік ціни'!G325</f>
        <v>0.08</v>
      </c>
      <c r="I434" s="897">
        <f t="shared" si="55"/>
        <v>22.31</v>
      </c>
      <c r="J434" s="908">
        <f>'Перелік ціни'!I325</f>
        <v>1.21</v>
      </c>
      <c r="K434" s="908">
        <f>'Перелік ціни'!J325</f>
        <v>0</v>
      </c>
      <c r="L434" s="908">
        <f>'Перелік ціни'!K325</f>
        <v>0</v>
      </c>
      <c r="M434" s="908">
        <f>'Перелік ціни'!L325</f>
        <v>0.11</v>
      </c>
      <c r="N434" s="897">
        <f t="shared" si="56"/>
        <v>1.32</v>
      </c>
      <c r="O434" s="897">
        <f t="shared" si="57"/>
        <v>23.63</v>
      </c>
      <c r="P434" s="909"/>
      <c r="Q434" s="445">
        <f t="shared" si="59"/>
        <v>24</v>
      </c>
      <c r="R434" s="679"/>
      <c r="S434" s="446">
        <f t="shared" si="58"/>
        <v>24</v>
      </c>
      <c r="T434" s="453">
        <v>14.6</v>
      </c>
      <c r="U434" s="453">
        <f t="shared" si="60"/>
        <v>9.4</v>
      </c>
    </row>
    <row r="435" spans="2:24" ht="37.799999999999997" x14ac:dyDescent="0.65">
      <c r="B435" s="683" t="str">
        <f>'Перелік ціни'!B326</f>
        <v>10.4</v>
      </c>
      <c r="C435" s="685"/>
      <c r="D435" s="684" t="str">
        <f>'Перелік ціни'!C326</f>
        <v>Лазеротерапія низькочастотна</v>
      </c>
      <c r="E435" s="908">
        <f>'Перелік ціни'!D326</f>
        <v>16.440000000000001</v>
      </c>
      <c r="F435" s="908">
        <f>'Перелік ціни'!E326</f>
        <v>3.62</v>
      </c>
      <c r="G435" s="908">
        <f>'Перелік ціни'!F326</f>
        <v>9.43</v>
      </c>
      <c r="H435" s="908">
        <f>'Перелік ціни'!G326</f>
        <v>0.15</v>
      </c>
      <c r="I435" s="897">
        <f t="shared" si="55"/>
        <v>29.64</v>
      </c>
      <c r="J435" s="908">
        <f>'Перелік ціни'!I326</f>
        <v>1.98</v>
      </c>
      <c r="K435" s="908">
        <f>'Перелік ціни'!J326</f>
        <v>0</v>
      </c>
      <c r="L435" s="908">
        <f>'Перелік ціни'!K326</f>
        <v>0</v>
      </c>
      <c r="M435" s="908">
        <f>'Перелік ціни'!L326</f>
        <v>0.18</v>
      </c>
      <c r="N435" s="897">
        <f t="shared" si="56"/>
        <v>2.16</v>
      </c>
      <c r="O435" s="897">
        <f t="shared" si="57"/>
        <v>31.8</v>
      </c>
      <c r="P435" s="909"/>
      <c r="Q435" s="445">
        <f t="shared" si="59"/>
        <v>32</v>
      </c>
      <c r="R435" s="679"/>
      <c r="S435" s="446">
        <f t="shared" si="58"/>
        <v>32</v>
      </c>
      <c r="T435" s="453">
        <v>13.5</v>
      </c>
      <c r="U435" s="453">
        <f t="shared" si="60"/>
        <v>18.5</v>
      </c>
    </row>
    <row r="436" spans="2:24" s="825" customFormat="1" ht="37.799999999999997" x14ac:dyDescent="0.65">
      <c r="B436" s="917" t="str">
        <f>'Перелік ціни'!B327</f>
        <v>10.5</v>
      </c>
      <c r="C436" s="851"/>
      <c r="D436" s="918" t="str">
        <f>'Перелік ціни'!C327</f>
        <v>Галотерапія ( соляна шахта ) - ( 30 хв. - перебування )</v>
      </c>
      <c r="E436" s="919">
        <f>'Перелік ціни'!D327</f>
        <v>29.19</v>
      </c>
      <c r="F436" s="919">
        <f>'Перелік ціни'!E327</f>
        <v>6.42</v>
      </c>
      <c r="G436" s="919">
        <f>'Перелік ціни'!F327</f>
        <v>10.66</v>
      </c>
      <c r="H436" s="919">
        <f>'Перелік ціни'!G327</f>
        <v>0.3</v>
      </c>
      <c r="I436" s="899">
        <f t="shared" si="55"/>
        <v>46.569999999999993</v>
      </c>
      <c r="J436" s="919">
        <f>'Перелік ціни'!I327</f>
        <v>3.63</v>
      </c>
      <c r="K436" s="919">
        <f>'Перелік ціни'!J327</f>
        <v>0</v>
      </c>
      <c r="L436" s="919">
        <f>'Перелік ціни'!K327</f>
        <v>0</v>
      </c>
      <c r="M436" s="919">
        <f>'Перелік ціни'!L327</f>
        <v>0.32999999999999996</v>
      </c>
      <c r="N436" s="899">
        <f t="shared" si="56"/>
        <v>3.96</v>
      </c>
      <c r="O436" s="899">
        <f t="shared" si="57"/>
        <v>50.529999999999994</v>
      </c>
      <c r="P436" s="920"/>
      <c r="Q436" s="839">
        <f t="shared" si="59"/>
        <v>51</v>
      </c>
      <c r="R436" s="921"/>
      <c r="S436" s="839">
        <f t="shared" si="58"/>
        <v>51</v>
      </c>
      <c r="T436" s="835"/>
      <c r="U436" s="835">
        <f t="shared" si="60"/>
        <v>51</v>
      </c>
      <c r="V436" s="922"/>
      <c r="W436" s="922"/>
      <c r="X436" s="846"/>
    </row>
    <row r="437" spans="2:24" s="825" customFormat="1" ht="37.799999999999997" x14ac:dyDescent="0.65">
      <c r="B437" s="917" t="str">
        <f>'Перелік ціни'!B328</f>
        <v>10.6</v>
      </c>
      <c r="C437" s="851"/>
      <c r="D437" s="918" t="str">
        <f>'Перелік ціни'!C328</f>
        <v>Гальванізація</v>
      </c>
      <c r="E437" s="919">
        <f>'Перелік ціни'!D328</f>
        <v>12.19</v>
      </c>
      <c r="F437" s="919">
        <f>'Перелік ціни'!E328</f>
        <v>2.68</v>
      </c>
      <c r="G437" s="919">
        <f>'Перелік ціни'!F328</f>
        <v>9.43</v>
      </c>
      <c r="H437" s="919">
        <f>'Перелік ціни'!G328</f>
        <v>0.1</v>
      </c>
      <c r="I437" s="899">
        <f t="shared" si="55"/>
        <v>24.4</v>
      </c>
      <c r="J437" s="919">
        <f>'Перелік ціни'!I328</f>
        <v>1.4300000000000002</v>
      </c>
      <c r="K437" s="919">
        <f>'Перелік ціни'!J328</f>
        <v>0</v>
      </c>
      <c r="L437" s="919">
        <f>'Перелік ціни'!K328</f>
        <v>0</v>
      </c>
      <c r="M437" s="919">
        <f>'Перелік ціни'!L328</f>
        <v>0.13</v>
      </c>
      <c r="N437" s="899">
        <f t="shared" si="56"/>
        <v>1.56</v>
      </c>
      <c r="O437" s="899">
        <f t="shared" si="57"/>
        <v>25.959999999999997</v>
      </c>
      <c r="P437" s="920"/>
      <c r="Q437" s="839">
        <f t="shared" si="59"/>
        <v>26</v>
      </c>
      <c r="R437" s="921"/>
      <c r="S437" s="839">
        <f t="shared" si="58"/>
        <v>26</v>
      </c>
      <c r="T437" s="835"/>
      <c r="U437" s="835">
        <f t="shared" si="60"/>
        <v>26</v>
      </c>
      <c r="V437" s="922"/>
      <c r="W437" s="922"/>
      <c r="X437" s="846"/>
    </row>
    <row r="438" spans="2:24" s="825" customFormat="1" ht="37.799999999999997" x14ac:dyDescent="0.65">
      <c r="B438" s="917" t="str">
        <f>'Перелік ціни'!B329</f>
        <v>10.6.1</v>
      </c>
      <c r="C438" s="851"/>
      <c r="D438" s="918" t="str">
        <f>'Перелік ціни'!C329</f>
        <v>Електрофорез лікарський з кальцієм хлоридом ( одноразовими електродами )</v>
      </c>
      <c r="E438" s="919">
        <f>'Перелік ціни'!D329</f>
        <v>20.69</v>
      </c>
      <c r="F438" s="919">
        <f>'Перелік ціни'!E329</f>
        <v>4.55</v>
      </c>
      <c r="G438" s="919">
        <f>'Перелік ціни'!F329</f>
        <v>40.6</v>
      </c>
      <c r="H438" s="919">
        <f>'Перелік ціни'!G329</f>
        <v>0.2</v>
      </c>
      <c r="I438" s="899">
        <f t="shared" si="55"/>
        <v>66.040000000000006</v>
      </c>
      <c r="J438" s="919">
        <f>'Перелік ціни'!I329</f>
        <v>2.5300000000000002</v>
      </c>
      <c r="K438" s="919">
        <f>'Перелік ціни'!J329</f>
        <v>0</v>
      </c>
      <c r="L438" s="919">
        <f>'Перелік ціни'!K329</f>
        <v>0</v>
      </c>
      <c r="M438" s="919">
        <f>'Перелік ціни'!L329</f>
        <v>0.23</v>
      </c>
      <c r="N438" s="899">
        <f t="shared" si="56"/>
        <v>2.7600000000000002</v>
      </c>
      <c r="O438" s="899">
        <f t="shared" si="57"/>
        <v>68.800000000000011</v>
      </c>
      <c r="P438" s="920"/>
      <c r="Q438" s="839">
        <f t="shared" si="59"/>
        <v>69</v>
      </c>
      <c r="R438" s="921"/>
      <c r="S438" s="839">
        <f t="shared" si="58"/>
        <v>69</v>
      </c>
      <c r="T438" s="835"/>
      <c r="U438" s="835">
        <f t="shared" si="60"/>
        <v>69</v>
      </c>
      <c r="V438" s="922"/>
      <c r="W438" s="922"/>
      <c r="X438" s="846"/>
    </row>
    <row r="439" spans="2:24" s="825" customFormat="1" ht="37.799999999999997" x14ac:dyDescent="0.65">
      <c r="B439" s="917" t="str">
        <f>'Перелік ціни'!B330</f>
        <v>10.6.2</v>
      </c>
      <c r="C439" s="851"/>
      <c r="D439" s="918" t="str">
        <f>'Перелік ціни'!C330</f>
        <v>Електрофорез лікарський з кальцієм хлоридом (багаторазовими електродами )</v>
      </c>
      <c r="E439" s="919">
        <f>'Перелік ціни'!D330</f>
        <v>20.69</v>
      </c>
      <c r="F439" s="919">
        <f>'Перелік ціни'!E330</f>
        <v>4.55</v>
      </c>
      <c r="G439" s="919">
        <f>'Перелік ціни'!F330</f>
        <v>16.600000000000001</v>
      </c>
      <c r="H439" s="919">
        <f>'Перелік ціни'!G330</f>
        <v>0.2</v>
      </c>
      <c r="I439" s="899">
        <f t="shared" si="55"/>
        <v>42.040000000000006</v>
      </c>
      <c r="J439" s="919">
        <f>'Перелік ціни'!I330</f>
        <v>2.5300000000000002</v>
      </c>
      <c r="K439" s="919">
        <f>'Перелік ціни'!J330</f>
        <v>0</v>
      </c>
      <c r="L439" s="919">
        <f>'Перелік ціни'!K330</f>
        <v>0</v>
      </c>
      <c r="M439" s="919">
        <f>'Перелік ціни'!L330</f>
        <v>0.23</v>
      </c>
      <c r="N439" s="899">
        <f t="shared" si="56"/>
        <v>2.7600000000000002</v>
      </c>
      <c r="O439" s="899">
        <f t="shared" si="57"/>
        <v>44.800000000000004</v>
      </c>
      <c r="P439" s="920"/>
      <c r="Q439" s="839">
        <f t="shared" si="59"/>
        <v>45</v>
      </c>
      <c r="R439" s="921"/>
      <c r="S439" s="839">
        <f t="shared" si="58"/>
        <v>45</v>
      </c>
      <c r="T439" s="835"/>
      <c r="U439" s="835">
        <f t="shared" si="60"/>
        <v>45</v>
      </c>
      <c r="V439" s="922"/>
      <c r="W439" s="922"/>
      <c r="X439" s="846"/>
    </row>
    <row r="440" spans="2:24" s="825" customFormat="1" ht="37.799999999999997" x14ac:dyDescent="0.65">
      <c r="B440" s="917" t="str">
        <f>'Перелік ціни'!B331</f>
        <v>10.6.3</v>
      </c>
      <c r="C440" s="851"/>
      <c r="D440" s="918" t="str">
        <f>'Перелік ціни'!C331</f>
        <v>Електрофорез лікарський з нікотиновою кислотою ( одноразовими електродами )</v>
      </c>
      <c r="E440" s="919">
        <f>'Перелік ціни'!D331</f>
        <v>20.69</v>
      </c>
      <c r="F440" s="919">
        <f>'Перелік ціни'!E331</f>
        <v>4.55</v>
      </c>
      <c r="G440" s="919">
        <f>'Перелік ціни'!F331</f>
        <v>42.320000000000007</v>
      </c>
      <c r="H440" s="919">
        <f>'Перелік ціни'!G331</f>
        <v>0.2</v>
      </c>
      <c r="I440" s="899">
        <f t="shared" si="55"/>
        <v>67.760000000000005</v>
      </c>
      <c r="J440" s="919">
        <f>'Перелік ціни'!I331</f>
        <v>2.5300000000000002</v>
      </c>
      <c r="K440" s="919">
        <f>'Перелік ціни'!J331</f>
        <v>0</v>
      </c>
      <c r="L440" s="919">
        <f>'Перелік ціни'!K331</f>
        <v>0</v>
      </c>
      <c r="M440" s="919">
        <f>'Перелік ціни'!L331</f>
        <v>0.23</v>
      </c>
      <c r="N440" s="899">
        <f t="shared" si="56"/>
        <v>2.7600000000000002</v>
      </c>
      <c r="O440" s="899">
        <f t="shared" si="57"/>
        <v>70.52000000000001</v>
      </c>
      <c r="P440" s="920"/>
      <c r="Q440" s="839">
        <f t="shared" si="59"/>
        <v>71</v>
      </c>
      <c r="R440" s="921"/>
      <c r="S440" s="839">
        <f t="shared" si="58"/>
        <v>71</v>
      </c>
      <c r="T440" s="835"/>
      <c r="U440" s="835">
        <f t="shared" si="60"/>
        <v>71</v>
      </c>
      <c r="V440" s="922"/>
      <c r="W440" s="922"/>
      <c r="X440" s="846"/>
    </row>
    <row r="441" spans="2:24" s="825" customFormat="1" ht="37.799999999999997" x14ac:dyDescent="0.65">
      <c r="B441" s="917" t="str">
        <f>'Перелік ціни'!B332</f>
        <v>10.6.4</v>
      </c>
      <c r="C441" s="851"/>
      <c r="D441" s="918" t="str">
        <f>'Перелік ціни'!C332</f>
        <v>Електрофорез лікарський з нікотиновою кислотою ( багаторазовими електродами )</v>
      </c>
      <c r="E441" s="919">
        <f>'Перелік ціни'!D332</f>
        <v>20.69</v>
      </c>
      <c r="F441" s="919">
        <f>'Перелік ціни'!E332</f>
        <v>4.55</v>
      </c>
      <c r="G441" s="919">
        <f>'Перелік ціни'!F332</f>
        <v>18.32</v>
      </c>
      <c r="H441" s="919">
        <f>'Перелік ціни'!G332</f>
        <v>0.2</v>
      </c>
      <c r="I441" s="899">
        <f t="shared" si="55"/>
        <v>43.760000000000005</v>
      </c>
      <c r="J441" s="919">
        <f>'Перелік ціни'!I332</f>
        <v>2.5300000000000002</v>
      </c>
      <c r="K441" s="919">
        <f>'Перелік ціни'!J332</f>
        <v>0</v>
      </c>
      <c r="L441" s="919">
        <f>'Перелік ціни'!K332</f>
        <v>0</v>
      </c>
      <c r="M441" s="919">
        <f>'Перелік ціни'!L332</f>
        <v>0.23</v>
      </c>
      <c r="N441" s="899">
        <f t="shared" si="56"/>
        <v>2.7600000000000002</v>
      </c>
      <c r="O441" s="899">
        <f t="shared" si="57"/>
        <v>46.52</v>
      </c>
      <c r="P441" s="920"/>
      <c r="Q441" s="839">
        <f t="shared" si="59"/>
        <v>47</v>
      </c>
      <c r="R441" s="921"/>
      <c r="S441" s="839">
        <f t="shared" si="58"/>
        <v>47</v>
      </c>
      <c r="T441" s="835"/>
      <c r="U441" s="835">
        <f t="shared" si="60"/>
        <v>47</v>
      </c>
      <c r="V441" s="922"/>
      <c r="W441" s="922"/>
      <c r="X441" s="846"/>
    </row>
    <row r="442" spans="2:24" s="825" customFormat="1" ht="37.799999999999997" x14ac:dyDescent="0.65">
      <c r="B442" s="917" t="str">
        <f>'Перелік ціни'!B333</f>
        <v>10.6.5</v>
      </c>
      <c r="C442" s="851"/>
      <c r="D442" s="918" t="str">
        <f>'Перелік ціни'!C333</f>
        <v>Електрофорез лікарський з новокаїном ( одноразовими електродами )</v>
      </c>
      <c r="E442" s="919">
        <f>'Перелік ціни'!D333</f>
        <v>20.69</v>
      </c>
      <c r="F442" s="919">
        <f>'Перелік ціни'!E333</f>
        <v>4.55</v>
      </c>
      <c r="G442" s="919">
        <f>'Перелік ціни'!F333</f>
        <v>40.440000000000005</v>
      </c>
      <c r="H442" s="919">
        <f>'Перелік ціни'!G333</f>
        <v>0.2</v>
      </c>
      <c r="I442" s="899">
        <f t="shared" si="55"/>
        <v>65.88000000000001</v>
      </c>
      <c r="J442" s="919">
        <f>'Перелік ціни'!I333</f>
        <v>2.5300000000000002</v>
      </c>
      <c r="K442" s="919">
        <f>'Перелік ціни'!J333</f>
        <v>0</v>
      </c>
      <c r="L442" s="919">
        <f>'Перелік ціни'!K333</f>
        <v>0</v>
      </c>
      <c r="M442" s="919">
        <f>'Перелік ціни'!L333</f>
        <v>0.23</v>
      </c>
      <c r="N442" s="899">
        <f t="shared" si="56"/>
        <v>2.7600000000000002</v>
      </c>
      <c r="O442" s="899">
        <f t="shared" si="57"/>
        <v>68.640000000000015</v>
      </c>
      <c r="P442" s="920"/>
      <c r="Q442" s="839">
        <f t="shared" si="59"/>
        <v>69</v>
      </c>
      <c r="R442" s="921"/>
      <c r="S442" s="839">
        <f t="shared" si="58"/>
        <v>69</v>
      </c>
      <c r="T442" s="835"/>
      <c r="U442" s="835">
        <f t="shared" si="60"/>
        <v>69</v>
      </c>
      <c r="V442" s="922"/>
      <c r="W442" s="922"/>
      <c r="X442" s="846"/>
    </row>
    <row r="443" spans="2:24" s="825" customFormat="1" ht="37.799999999999997" x14ac:dyDescent="0.65">
      <c r="B443" s="917" t="str">
        <f>'Перелік ціни'!B334</f>
        <v>10.6.6</v>
      </c>
      <c r="C443" s="851"/>
      <c r="D443" s="918" t="str">
        <f>'Перелік ціни'!C334</f>
        <v>Електрофорез лікарський з новокаїном ( багаторазовими електродами )</v>
      </c>
      <c r="E443" s="919">
        <f>'Перелік ціни'!D334</f>
        <v>20.69</v>
      </c>
      <c r="F443" s="919">
        <f>'Перелік ціни'!E334</f>
        <v>4.55</v>
      </c>
      <c r="G443" s="919">
        <f>'Перелік ціни'!F334</f>
        <v>16.439999999999998</v>
      </c>
      <c r="H443" s="919">
        <f>'Перелік ціни'!G334</f>
        <v>0.2</v>
      </c>
      <c r="I443" s="899">
        <f t="shared" si="55"/>
        <v>41.88</v>
      </c>
      <c r="J443" s="919">
        <f>'Перелік ціни'!I334</f>
        <v>2.5300000000000002</v>
      </c>
      <c r="K443" s="919">
        <f>'Перелік ціни'!J334</f>
        <v>0</v>
      </c>
      <c r="L443" s="919">
        <f>'Перелік ціни'!K334</f>
        <v>0</v>
      </c>
      <c r="M443" s="919">
        <f>'Перелік ціни'!L334</f>
        <v>0.23</v>
      </c>
      <c r="N443" s="899">
        <f t="shared" si="56"/>
        <v>2.7600000000000002</v>
      </c>
      <c r="O443" s="899">
        <f t="shared" si="57"/>
        <v>44.64</v>
      </c>
      <c r="P443" s="920"/>
      <c r="Q443" s="839">
        <f t="shared" si="59"/>
        <v>45</v>
      </c>
      <c r="R443" s="921"/>
      <c r="S443" s="839">
        <f t="shared" si="58"/>
        <v>45</v>
      </c>
      <c r="T443" s="835"/>
      <c r="U443" s="835">
        <f t="shared" si="60"/>
        <v>45</v>
      </c>
      <c r="V443" s="922"/>
      <c r="W443" s="922"/>
      <c r="X443" s="846"/>
    </row>
    <row r="444" spans="2:24" s="825" customFormat="1" ht="37.799999999999997" x14ac:dyDescent="0.65">
      <c r="B444" s="917" t="str">
        <f>'Перелік ціни'!B335</f>
        <v>10.6.7</v>
      </c>
      <c r="C444" s="851"/>
      <c r="D444" s="918" t="str">
        <f>'Перелік ціни'!C335</f>
        <v>Електрофорез лікарський з медичною жовчю ( одноразовими електродами )</v>
      </c>
      <c r="E444" s="919">
        <f>'Перелік ціни'!D335</f>
        <v>20.69</v>
      </c>
      <c r="F444" s="919">
        <f>'Перелік ціни'!E335</f>
        <v>4.55</v>
      </c>
      <c r="G444" s="919">
        <f>'Перелік ціни'!F335</f>
        <v>41.530000000000008</v>
      </c>
      <c r="H444" s="919">
        <f>'Перелік ціни'!G335</f>
        <v>0.2</v>
      </c>
      <c r="I444" s="899">
        <f t="shared" si="55"/>
        <v>66.970000000000013</v>
      </c>
      <c r="J444" s="919">
        <f>'Перелік ціни'!I335</f>
        <v>2.5300000000000002</v>
      </c>
      <c r="K444" s="919">
        <f>'Перелік ціни'!J335</f>
        <v>0</v>
      </c>
      <c r="L444" s="919">
        <f>'Перелік ціни'!K335</f>
        <v>0</v>
      </c>
      <c r="M444" s="919">
        <f>'Перелік ціни'!L335</f>
        <v>0.23</v>
      </c>
      <c r="N444" s="899">
        <f t="shared" si="56"/>
        <v>2.7600000000000002</v>
      </c>
      <c r="O444" s="899">
        <f t="shared" si="57"/>
        <v>69.730000000000018</v>
      </c>
      <c r="P444" s="920"/>
      <c r="Q444" s="839">
        <f t="shared" si="59"/>
        <v>70</v>
      </c>
      <c r="R444" s="921"/>
      <c r="S444" s="839">
        <f t="shared" si="58"/>
        <v>70</v>
      </c>
      <c r="T444" s="835"/>
      <c r="U444" s="835">
        <f t="shared" si="60"/>
        <v>70</v>
      </c>
      <c r="V444" s="922"/>
      <c r="W444" s="922"/>
      <c r="X444" s="846"/>
    </row>
    <row r="445" spans="2:24" s="825" customFormat="1" ht="37.799999999999997" x14ac:dyDescent="0.65">
      <c r="B445" s="917" t="str">
        <f>'Перелік ціни'!B336</f>
        <v>10.6.8</v>
      </c>
      <c r="C445" s="851"/>
      <c r="D445" s="918" t="str">
        <f>'Перелік ціни'!C336</f>
        <v>Електрофорез лікарський з медичною жовчю ( багаторазовими електродами )</v>
      </c>
      <c r="E445" s="919">
        <f>'Перелік ціни'!D336</f>
        <v>20.69</v>
      </c>
      <c r="F445" s="919">
        <f>'Перелік ціни'!E336</f>
        <v>4.55</v>
      </c>
      <c r="G445" s="919">
        <f>'Перелік ціни'!F336</f>
        <v>17.53</v>
      </c>
      <c r="H445" s="919">
        <f>'Перелік ціни'!G336</f>
        <v>0.2</v>
      </c>
      <c r="I445" s="899">
        <f t="shared" si="55"/>
        <v>42.970000000000006</v>
      </c>
      <c r="J445" s="919">
        <f>'Перелік ціни'!I336</f>
        <v>2.5300000000000002</v>
      </c>
      <c r="K445" s="919">
        <f>'Перелік ціни'!J336</f>
        <v>0</v>
      </c>
      <c r="L445" s="919">
        <f>'Перелік ціни'!K336</f>
        <v>0</v>
      </c>
      <c r="M445" s="919">
        <f>'Перелік ціни'!L336</f>
        <v>0.23</v>
      </c>
      <c r="N445" s="899">
        <f t="shared" si="56"/>
        <v>2.7600000000000002</v>
      </c>
      <c r="O445" s="899">
        <f t="shared" si="57"/>
        <v>45.730000000000004</v>
      </c>
      <c r="P445" s="920"/>
      <c r="Q445" s="839">
        <f t="shared" si="59"/>
        <v>46</v>
      </c>
      <c r="R445" s="921"/>
      <c r="S445" s="839">
        <f t="shared" si="58"/>
        <v>46</v>
      </c>
      <c r="T445" s="835"/>
      <c r="U445" s="835">
        <f t="shared" si="60"/>
        <v>46</v>
      </c>
      <c r="V445" s="922"/>
      <c r="W445" s="922"/>
      <c r="X445" s="846"/>
    </row>
    <row r="446" spans="2:24" s="825" customFormat="1" ht="37.799999999999997" x14ac:dyDescent="0.65">
      <c r="B446" s="917" t="str">
        <f>'Перелік ціни'!B337</f>
        <v>10.6.9</v>
      </c>
      <c r="C446" s="851"/>
      <c r="D446" s="918" t="str">
        <f>'Перелік ціни'!C337</f>
        <v>Електрофорез лікарський комір по Щербаку з магнію сульфатом ( одноразовими електродами )</v>
      </c>
      <c r="E446" s="919">
        <f>'Перелік ціни'!D337</f>
        <v>16.440000000000001</v>
      </c>
      <c r="F446" s="919">
        <f>'Перелік ціни'!E337</f>
        <v>3.62</v>
      </c>
      <c r="G446" s="919">
        <f>'Перелік ціни'!F337</f>
        <v>40.280000000000008</v>
      </c>
      <c r="H446" s="919">
        <f>'Перелік ціни'!G337</f>
        <v>0.15</v>
      </c>
      <c r="I446" s="899">
        <f t="shared" si="55"/>
        <v>60.490000000000009</v>
      </c>
      <c r="J446" s="919">
        <f>'Перелік ціни'!I337</f>
        <v>1.98</v>
      </c>
      <c r="K446" s="919">
        <f>'Перелік ціни'!J337</f>
        <v>0</v>
      </c>
      <c r="L446" s="919">
        <f>'Перелік ціни'!K337</f>
        <v>0</v>
      </c>
      <c r="M446" s="919">
        <f>'Перелік ціни'!L337</f>
        <v>0.18</v>
      </c>
      <c r="N446" s="899">
        <f t="shared" si="56"/>
        <v>2.16</v>
      </c>
      <c r="O446" s="899">
        <f t="shared" si="57"/>
        <v>62.650000000000006</v>
      </c>
      <c r="P446" s="920"/>
      <c r="Q446" s="839">
        <f t="shared" si="59"/>
        <v>63</v>
      </c>
      <c r="R446" s="921"/>
      <c r="S446" s="839">
        <f t="shared" si="58"/>
        <v>63</v>
      </c>
      <c r="T446" s="835"/>
      <c r="U446" s="835">
        <f t="shared" si="60"/>
        <v>63</v>
      </c>
      <c r="V446" s="922"/>
      <c r="W446" s="922"/>
      <c r="X446" s="846"/>
    </row>
    <row r="447" spans="2:24" s="825" customFormat="1" ht="75" x14ac:dyDescent="0.65">
      <c r="B447" s="917" t="str">
        <f>'Перелік ціни'!B338</f>
        <v>10.6.10</v>
      </c>
      <c r="C447" s="851"/>
      <c r="D447" s="918" t="str">
        <f>'Перелік ціни'!C338</f>
        <v>Електрофорез лікарський комір по Щербаку з магнію сульфатом ( багаторазовими електродами )</v>
      </c>
      <c r="E447" s="919">
        <f>'Перелік ціни'!D338</f>
        <v>16.440000000000001</v>
      </c>
      <c r="F447" s="919">
        <f>'Перелік ціни'!E338</f>
        <v>3.62</v>
      </c>
      <c r="G447" s="919">
        <f>'Перелік ціни'!F338</f>
        <v>16.28</v>
      </c>
      <c r="H447" s="919">
        <f>'Перелік ціни'!G338</f>
        <v>0.15</v>
      </c>
      <c r="I447" s="899">
        <f t="shared" si="55"/>
        <v>36.49</v>
      </c>
      <c r="J447" s="919">
        <f>'Перелік ціни'!I338</f>
        <v>1.98</v>
      </c>
      <c r="K447" s="919">
        <f>'Перелік ціни'!J338</f>
        <v>0</v>
      </c>
      <c r="L447" s="919">
        <f>'Перелік ціни'!K338</f>
        <v>0</v>
      </c>
      <c r="M447" s="919">
        <f>'Перелік ціни'!L338</f>
        <v>0.18</v>
      </c>
      <c r="N447" s="899">
        <f t="shared" si="56"/>
        <v>2.16</v>
      </c>
      <c r="O447" s="899">
        <f t="shared" si="57"/>
        <v>38.650000000000006</v>
      </c>
      <c r="P447" s="920"/>
      <c r="Q447" s="839">
        <f t="shared" si="59"/>
        <v>39</v>
      </c>
      <c r="R447" s="921"/>
      <c r="S447" s="839">
        <f t="shared" si="58"/>
        <v>39</v>
      </c>
      <c r="T447" s="835"/>
      <c r="U447" s="835">
        <f t="shared" si="60"/>
        <v>39</v>
      </c>
      <c r="V447" s="922"/>
      <c r="W447" s="922"/>
      <c r="X447" s="846"/>
    </row>
    <row r="448" spans="2:24" s="825" customFormat="1" ht="37.799999999999997" x14ac:dyDescent="0.65">
      <c r="B448" s="917" t="str">
        <f>'Перелік ціни'!B339</f>
        <v>10.6.11</v>
      </c>
      <c r="C448" s="851"/>
      <c r="D448" s="918" t="str">
        <f>'Перелік ціни'!C339</f>
        <v>Електрофорез лікарський комір по Щербаку з еуфіліном ( одноразовими електродами )</v>
      </c>
      <c r="E448" s="919">
        <f>'Перелік ціни'!D339</f>
        <v>16.440000000000001</v>
      </c>
      <c r="F448" s="919">
        <f>'Перелік ціни'!E339</f>
        <v>3.62</v>
      </c>
      <c r="G448" s="919">
        <f>'Перелік ціни'!F339</f>
        <v>39.530000000000008</v>
      </c>
      <c r="H448" s="919">
        <f>'Перелік ціни'!G339</f>
        <v>0.15</v>
      </c>
      <c r="I448" s="899">
        <f t="shared" si="55"/>
        <v>59.740000000000009</v>
      </c>
      <c r="J448" s="919">
        <f>'Перелік ціни'!I339</f>
        <v>1.98</v>
      </c>
      <c r="K448" s="919">
        <f>'Перелік ціни'!J339</f>
        <v>0</v>
      </c>
      <c r="L448" s="919">
        <f>'Перелік ціни'!K339</f>
        <v>0</v>
      </c>
      <c r="M448" s="919">
        <f>'Перелік ціни'!L339</f>
        <v>0.18</v>
      </c>
      <c r="N448" s="899">
        <f t="shared" si="56"/>
        <v>2.16</v>
      </c>
      <c r="O448" s="899">
        <f t="shared" si="57"/>
        <v>61.900000000000006</v>
      </c>
      <c r="P448" s="920"/>
      <c r="Q448" s="839">
        <f t="shared" si="59"/>
        <v>62</v>
      </c>
      <c r="R448" s="921"/>
      <c r="S448" s="839">
        <f t="shared" si="58"/>
        <v>62</v>
      </c>
      <c r="T448" s="835"/>
      <c r="U448" s="835">
        <f t="shared" si="60"/>
        <v>62</v>
      </c>
      <c r="V448" s="922"/>
      <c r="W448" s="922"/>
      <c r="X448" s="846"/>
    </row>
    <row r="449" spans="2:24" s="825" customFormat="1" ht="37.799999999999997" x14ac:dyDescent="0.65">
      <c r="B449" s="917" t="str">
        <f>'Перелік ціни'!B340</f>
        <v>10.6.12</v>
      </c>
      <c r="C449" s="851"/>
      <c r="D449" s="918" t="str">
        <f>'Перелік ціни'!C340</f>
        <v>Електрофорез лікарський комір по Щербаку з еуфіліном ( багаторазовими електродами )</v>
      </c>
      <c r="E449" s="919">
        <f>'Перелік ціни'!D340</f>
        <v>16.440000000000001</v>
      </c>
      <c r="F449" s="919">
        <f>'Перелік ціни'!E340</f>
        <v>3.62</v>
      </c>
      <c r="G449" s="919">
        <f>'Перелік ціни'!F340</f>
        <v>15.53</v>
      </c>
      <c r="H449" s="919">
        <f>'Перелік ціни'!G340</f>
        <v>0.15</v>
      </c>
      <c r="I449" s="899">
        <f t="shared" si="55"/>
        <v>35.74</v>
      </c>
      <c r="J449" s="919">
        <f>'Перелік ціни'!I340</f>
        <v>1.98</v>
      </c>
      <c r="K449" s="919">
        <f>'Перелік ціни'!J340</f>
        <v>0</v>
      </c>
      <c r="L449" s="919">
        <f>'Перелік ціни'!K340</f>
        <v>0</v>
      </c>
      <c r="M449" s="919">
        <f>'Перелік ціни'!L340</f>
        <v>0.18</v>
      </c>
      <c r="N449" s="899">
        <f t="shared" si="56"/>
        <v>2.16</v>
      </c>
      <c r="O449" s="899">
        <f t="shared" si="57"/>
        <v>37.900000000000006</v>
      </c>
      <c r="P449" s="920"/>
      <c r="Q449" s="839">
        <f t="shared" si="59"/>
        <v>38</v>
      </c>
      <c r="R449" s="921"/>
      <c r="S449" s="839">
        <f t="shared" si="58"/>
        <v>38</v>
      </c>
      <c r="T449" s="835"/>
      <c r="U449" s="835">
        <f t="shared" si="60"/>
        <v>38</v>
      </c>
      <c r="V449" s="922"/>
      <c r="W449" s="922"/>
      <c r="X449" s="846"/>
    </row>
    <row r="450" spans="2:24" s="825" customFormat="1" ht="37.799999999999997" x14ac:dyDescent="0.65">
      <c r="B450" s="917" t="str">
        <f>'Перелік ціни'!B341</f>
        <v>10.6.13</v>
      </c>
      <c r="C450" s="851"/>
      <c r="D450" s="918" t="str">
        <f>'Перелік ціни'!C341</f>
        <v>Електрофорез лікарський з лідазою ( одноразовими електродами )</v>
      </c>
      <c r="E450" s="919">
        <f>'Перелік ціни'!D341</f>
        <v>20.69</v>
      </c>
      <c r="F450" s="919">
        <f>'Перелік ціни'!E341</f>
        <v>4.55</v>
      </c>
      <c r="G450" s="919">
        <f>'Перелік ціни'!F341</f>
        <v>59.2</v>
      </c>
      <c r="H450" s="919">
        <f>'Перелік ціни'!G341</f>
        <v>0.2</v>
      </c>
      <c r="I450" s="899">
        <f t="shared" si="55"/>
        <v>84.64</v>
      </c>
      <c r="J450" s="919">
        <f>'Перелік ціни'!I341</f>
        <v>2.5300000000000002</v>
      </c>
      <c r="K450" s="919">
        <f>'Перелік ціни'!J341</f>
        <v>0</v>
      </c>
      <c r="L450" s="919">
        <f>'Перелік ціни'!K341</f>
        <v>0</v>
      </c>
      <c r="M450" s="919">
        <f>'Перелік ціни'!L341</f>
        <v>0.23</v>
      </c>
      <c r="N450" s="899">
        <f t="shared" si="56"/>
        <v>2.7600000000000002</v>
      </c>
      <c r="O450" s="899">
        <f t="shared" si="57"/>
        <v>87.4</v>
      </c>
      <c r="P450" s="920"/>
      <c r="Q450" s="839">
        <f t="shared" si="59"/>
        <v>87</v>
      </c>
      <c r="R450" s="921"/>
      <c r="S450" s="839">
        <f t="shared" si="58"/>
        <v>87</v>
      </c>
      <c r="T450" s="835"/>
      <c r="U450" s="835">
        <f t="shared" si="60"/>
        <v>87</v>
      </c>
      <c r="V450" s="922"/>
      <c r="W450" s="922"/>
      <c r="X450" s="846"/>
    </row>
    <row r="451" spans="2:24" s="825" customFormat="1" ht="37.799999999999997" x14ac:dyDescent="0.65">
      <c r="B451" s="917" t="str">
        <f>'Перелік ціни'!B342</f>
        <v>10.6.14</v>
      </c>
      <c r="C451" s="851"/>
      <c r="D451" s="918" t="str">
        <f>'Перелік ціни'!C342</f>
        <v>Електрофорез лікарський з лідазою ( багаторазовими електродами )</v>
      </c>
      <c r="E451" s="919">
        <f>'Перелік ціни'!D342</f>
        <v>20.69</v>
      </c>
      <c r="F451" s="919">
        <f>'Перелік ціни'!E342</f>
        <v>4.55</v>
      </c>
      <c r="G451" s="919">
        <f>'Перелік ціни'!F342</f>
        <v>35.199999999999996</v>
      </c>
      <c r="H451" s="919">
        <f>'Перелік ціни'!G342</f>
        <v>0.2</v>
      </c>
      <c r="I451" s="899">
        <f t="shared" si="55"/>
        <v>60.64</v>
      </c>
      <c r="J451" s="919">
        <f>'Перелік ціни'!I342</f>
        <v>2.5300000000000002</v>
      </c>
      <c r="K451" s="919">
        <f>'Перелік ціни'!J342</f>
        <v>0</v>
      </c>
      <c r="L451" s="919">
        <f>'Перелік ціни'!K342</f>
        <v>0</v>
      </c>
      <c r="M451" s="919">
        <f>'Перелік ціни'!L342</f>
        <v>0.23</v>
      </c>
      <c r="N451" s="899">
        <f t="shared" si="56"/>
        <v>2.7600000000000002</v>
      </c>
      <c r="O451" s="899">
        <f t="shared" si="57"/>
        <v>63.4</v>
      </c>
      <c r="P451" s="920"/>
      <c r="Q451" s="839">
        <f t="shared" si="59"/>
        <v>63</v>
      </c>
      <c r="R451" s="921"/>
      <c r="S451" s="839">
        <f t="shared" si="58"/>
        <v>63</v>
      </c>
      <c r="T451" s="835"/>
      <c r="U451" s="835">
        <f t="shared" si="60"/>
        <v>63</v>
      </c>
      <c r="V451" s="922"/>
      <c r="W451" s="922"/>
      <c r="X451" s="846"/>
    </row>
    <row r="452" spans="2:24" s="825" customFormat="1" ht="37.799999999999997" x14ac:dyDescent="0.65">
      <c r="B452" s="917" t="str">
        <f>'Перелік ціни'!B343</f>
        <v>10.6.15</v>
      </c>
      <c r="C452" s="851"/>
      <c r="D452" s="918" t="str">
        <f>'Перелік ціни'!C343</f>
        <v>Електрофорез лікарський з диклоберлом ( одноразовими електродами )</v>
      </c>
      <c r="E452" s="919">
        <f>'Перелік ціни'!D343</f>
        <v>20.69</v>
      </c>
      <c r="F452" s="919">
        <f>'Перелік ціни'!E343</f>
        <v>4.55</v>
      </c>
      <c r="G452" s="919">
        <f>'Перелік ціни'!F343</f>
        <v>62.430000000000007</v>
      </c>
      <c r="H452" s="919">
        <f>'Перелік ціни'!G343</f>
        <v>0.2</v>
      </c>
      <c r="I452" s="899">
        <f t="shared" si="55"/>
        <v>87.870000000000019</v>
      </c>
      <c r="J452" s="919">
        <f>'Перелік ціни'!I343</f>
        <v>2.5300000000000002</v>
      </c>
      <c r="K452" s="919">
        <f>'Перелік ціни'!J343</f>
        <v>0</v>
      </c>
      <c r="L452" s="919">
        <f>'Перелік ціни'!K343</f>
        <v>0</v>
      </c>
      <c r="M452" s="919">
        <f>'Перелік ціни'!L343</f>
        <v>0.23</v>
      </c>
      <c r="N452" s="899">
        <f t="shared" si="56"/>
        <v>2.7600000000000002</v>
      </c>
      <c r="O452" s="899">
        <f t="shared" si="57"/>
        <v>90.630000000000024</v>
      </c>
      <c r="P452" s="920"/>
      <c r="Q452" s="839">
        <f t="shared" si="59"/>
        <v>91</v>
      </c>
      <c r="R452" s="921"/>
      <c r="S452" s="839">
        <f t="shared" si="58"/>
        <v>91</v>
      </c>
      <c r="T452" s="835"/>
      <c r="U452" s="835">
        <f t="shared" si="60"/>
        <v>91</v>
      </c>
      <c r="V452" s="922"/>
      <c r="W452" s="922"/>
      <c r="X452" s="846"/>
    </row>
    <row r="453" spans="2:24" s="825" customFormat="1" ht="37.799999999999997" x14ac:dyDescent="0.65">
      <c r="B453" s="917" t="str">
        <f>'Перелік ціни'!B344</f>
        <v>10.6.16</v>
      </c>
      <c r="C453" s="851"/>
      <c r="D453" s="918" t="str">
        <f>'Перелік ціни'!C344</f>
        <v>Електрофорез лікарський з диклоберлом ( багаторазовими електродами )</v>
      </c>
      <c r="E453" s="919">
        <f>'Перелік ціни'!D344</f>
        <v>20.69</v>
      </c>
      <c r="F453" s="919">
        <f>'Перелік ціни'!E344</f>
        <v>4.55</v>
      </c>
      <c r="G453" s="919">
        <f>'Перелік ціни'!F344</f>
        <v>38.43</v>
      </c>
      <c r="H453" s="919">
        <f>'Перелік ціни'!G344</f>
        <v>0.2</v>
      </c>
      <c r="I453" s="899">
        <f t="shared" si="55"/>
        <v>63.870000000000005</v>
      </c>
      <c r="J453" s="919">
        <f>'Перелік ціни'!I344</f>
        <v>2.5300000000000002</v>
      </c>
      <c r="K453" s="919">
        <f>'Перелік ціни'!J344</f>
        <v>0</v>
      </c>
      <c r="L453" s="919">
        <f>'Перелік ціни'!K344</f>
        <v>0</v>
      </c>
      <c r="M453" s="919">
        <f>'Перелік ціни'!L344</f>
        <v>0.23</v>
      </c>
      <c r="N453" s="899">
        <f t="shared" si="56"/>
        <v>2.7600000000000002</v>
      </c>
      <c r="O453" s="899">
        <f t="shared" si="57"/>
        <v>66.63000000000001</v>
      </c>
      <c r="P453" s="920"/>
      <c r="Q453" s="839">
        <f t="shared" si="59"/>
        <v>67</v>
      </c>
      <c r="R453" s="921"/>
      <c r="S453" s="839">
        <f t="shared" si="58"/>
        <v>67</v>
      </c>
      <c r="T453" s="835"/>
      <c r="U453" s="835">
        <f t="shared" si="60"/>
        <v>67</v>
      </c>
      <c r="V453" s="922"/>
      <c r="W453" s="922"/>
      <c r="X453" s="846"/>
    </row>
    <row r="454" spans="2:24" s="825" customFormat="1" ht="37.799999999999997" x14ac:dyDescent="0.65">
      <c r="B454" s="917" t="str">
        <f>'Перелік ціни'!B345</f>
        <v>10.6.17</v>
      </c>
      <c r="C454" s="851"/>
      <c r="D454" s="918" t="str">
        <f>'Перелік ціни'!C345</f>
        <v>Електрофорез лікарський з диклофенаком ( одноразовими електродами )</v>
      </c>
      <c r="E454" s="919">
        <f>'Перелік ціни'!D345</f>
        <v>20.69</v>
      </c>
      <c r="F454" s="919">
        <f>'Перелік ціни'!E345</f>
        <v>4.55</v>
      </c>
      <c r="G454" s="919">
        <f>'Перелік ціни'!F345</f>
        <v>42.13000000000001</v>
      </c>
      <c r="H454" s="919">
        <f>'Перелік ціни'!G345</f>
        <v>0.2</v>
      </c>
      <c r="I454" s="899">
        <f t="shared" si="55"/>
        <v>67.570000000000007</v>
      </c>
      <c r="J454" s="919">
        <f>'Перелік ціни'!I345</f>
        <v>2.5300000000000002</v>
      </c>
      <c r="K454" s="919">
        <f>'Перелік ціни'!J345</f>
        <v>0</v>
      </c>
      <c r="L454" s="919">
        <f>'Перелік ціни'!K345</f>
        <v>0</v>
      </c>
      <c r="M454" s="919">
        <f>'Перелік ціни'!L345</f>
        <v>0.23</v>
      </c>
      <c r="N454" s="899">
        <f t="shared" si="56"/>
        <v>2.7600000000000002</v>
      </c>
      <c r="O454" s="899">
        <f t="shared" si="57"/>
        <v>70.330000000000013</v>
      </c>
      <c r="P454" s="920"/>
      <c r="Q454" s="839">
        <f t="shared" si="59"/>
        <v>70</v>
      </c>
      <c r="R454" s="921"/>
      <c r="S454" s="839">
        <f t="shared" si="58"/>
        <v>70</v>
      </c>
      <c r="T454" s="835"/>
      <c r="U454" s="835">
        <f t="shared" si="60"/>
        <v>70</v>
      </c>
      <c r="V454" s="922"/>
      <c r="W454" s="922"/>
      <c r="X454" s="846"/>
    </row>
    <row r="455" spans="2:24" s="825" customFormat="1" ht="37.799999999999997" x14ac:dyDescent="0.65">
      <c r="B455" s="917" t="str">
        <f>'Перелік ціни'!B346</f>
        <v>10.6.18</v>
      </c>
      <c r="C455" s="851"/>
      <c r="D455" s="918" t="str">
        <f>'Перелік ціни'!C346</f>
        <v>Електрофорез лікарський з диклофенаком ( багаторазовими електродами )</v>
      </c>
      <c r="E455" s="919">
        <f>'Перелік ціни'!D346</f>
        <v>20.69</v>
      </c>
      <c r="F455" s="919">
        <f>'Перелік ціни'!E346</f>
        <v>4.55</v>
      </c>
      <c r="G455" s="919">
        <f>'Перелік ціни'!F346</f>
        <v>18.13</v>
      </c>
      <c r="H455" s="919">
        <f>'Перелік ціни'!G346</f>
        <v>0.2</v>
      </c>
      <c r="I455" s="899">
        <f t="shared" si="55"/>
        <v>43.570000000000007</v>
      </c>
      <c r="J455" s="919">
        <f>'Перелік ціни'!I346</f>
        <v>2.5300000000000002</v>
      </c>
      <c r="K455" s="919">
        <f>'Перелік ціни'!J346</f>
        <v>0</v>
      </c>
      <c r="L455" s="919">
        <f>'Перелік ціни'!K346</f>
        <v>0</v>
      </c>
      <c r="M455" s="919">
        <f>'Перелік ціни'!L346</f>
        <v>0.23</v>
      </c>
      <c r="N455" s="899">
        <f t="shared" si="56"/>
        <v>2.7600000000000002</v>
      </c>
      <c r="O455" s="899">
        <f t="shared" si="57"/>
        <v>46.330000000000005</v>
      </c>
      <c r="P455" s="920"/>
      <c r="Q455" s="839">
        <f t="shared" si="59"/>
        <v>46</v>
      </c>
      <c r="R455" s="921"/>
      <c r="S455" s="839">
        <f t="shared" si="58"/>
        <v>46</v>
      </c>
      <c r="T455" s="835"/>
      <c r="U455" s="835">
        <f t="shared" si="60"/>
        <v>46</v>
      </c>
      <c r="V455" s="922"/>
      <c r="W455" s="922"/>
      <c r="X455" s="846"/>
    </row>
    <row r="456" spans="2:24" ht="37.799999999999997" x14ac:dyDescent="0.65">
      <c r="B456" s="683" t="str">
        <f>'Перелік ціни'!B347</f>
        <v>10.7</v>
      </c>
      <c r="C456" s="685"/>
      <c r="D456" s="684" t="str">
        <f>'Перелік ціни'!C347</f>
        <v>Крізшкірна електронейростимуляція одноразовими електродами</v>
      </c>
      <c r="E456" s="908">
        <f>'Перелік ціни'!D347</f>
        <v>15.59</v>
      </c>
      <c r="F456" s="908">
        <f>'Перелік ціни'!E347</f>
        <v>3.43</v>
      </c>
      <c r="G456" s="908">
        <f>'Перелік ціни'!F347</f>
        <v>37.429999999999993</v>
      </c>
      <c r="H456" s="908">
        <f>'Перелік ціни'!G347</f>
        <v>0.14000000000000001</v>
      </c>
      <c r="I456" s="897">
        <f t="shared" si="55"/>
        <v>56.589999999999989</v>
      </c>
      <c r="J456" s="908">
        <f>'Перелік ціни'!I347</f>
        <v>1.87</v>
      </c>
      <c r="K456" s="908">
        <f>'Перелік ціни'!J347</f>
        <v>0</v>
      </c>
      <c r="L456" s="908">
        <f>'Перелік ціни'!K347</f>
        <v>0</v>
      </c>
      <c r="M456" s="908">
        <f>'Перелік ціни'!L347</f>
        <v>0.17</v>
      </c>
      <c r="N456" s="897">
        <f t="shared" si="56"/>
        <v>2.04</v>
      </c>
      <c r="O456" s="897">
        <f t="shared" si="57"/>
        <v>58.629999999999988</v>
      </c>
      <c r="P456" s="909"/>
      <c r="Q456" s="445">
        <f t="shared" si="59"/>
        <v>59</v>
      </c>
      <c r="R456" s="679"/>
      <c r="S456" s="446">
        <f t="shared" si="58"/>
        <v>59</v>
      </c>
      <c r="T456" s="453">
        <v>14.6</v>
      </c>
      <c r="U456" s="453">
        <f t="shared" si="60"/>
        <v>44.4</v>
      </c>
    </row>
    <row r="457" spans="2:24" s="825" customFormat="1" ht="37.799999999999997" x14ac:dyDescent="0.65">
      <c r="B457" s="917" t="str">
        <f>'Перелік ціни'!B348</f>
        <v>10.7.1</v>
      </c>
      <c r="C457" s="851"/>
      <c r="D457" s="918" t="str">
        <f>'Перелік ціни'!C348</f>
        <v>Крізшкірна електронейростимуляція багаторазовими електродами</v>
      </c>
      <c r="E457" s="919">
        <f>'Перелік ціни'!D348</f>
        <v>15.59</v>
      </c>
      <c r="F457" s="919">
        <f>'Перелік ціни'!E348</f>
        <v>3.43</v>
      </c>
      <c r="G457" s="919">
        <f>'Перелік ціни'!F348</f>
        <v>13.43</v>
      </c>
      <c r="H457" s="919">
        <f>'Перелік ціни'!G348</f>
        <v>0.14000000000000001</v>
      </c>
      <c r="I457" s="899">
        <f t="shared" si="55"/>
        <v>32.590000000000003</v>
      </c>
      <c r="J457" s="919">
        <f>'Перелік ціни'!I348</f>
        <v>1.87</v>
      </c>
      <c r="K457" s="919">
        <f>'Перелік ціни'!J348</f>
        <v>0</v>
      </c>
      <c r="L457" s="919">
        <f>'Перелік ціни'!K348</f>
        <v>0</v>
      </c>
      <c r="M457" s="919">
        <f>'Перелік ціни'!L348</f>
        <v>0.17</v>
      </c>
      <c r="N457" s="899">
        <f t="shared" si="56"/>
        <v>2.04</v>
      </c>
      <c r="O457" s="899">
        <f t="shared" si="57"/>
        <v>34.630000000000003</v>
      </c>
      <c r="P457" s="920"/>
      <c r="Q457" s="839">
        <f t="shared" si="59"/>
        <v>35</v>
      </c>
      <c r="R457" s="921"/>
      <c r="S457" s="839">
        <f t="shared" si="58"/>
        <v>35</v>
      </c>
      <c r="T457" s="835"/>
      <c r="U457" s="835">
        <f t="shared" si="60"/>
        <v>35</v>
      </c>
      <c r="V457" s="922"/>
      <c r="W457" s="922"/>
      <c r="X457" s="846"/>
    </row>
    <row r="458" spans="2:24" ht="37.799999999999997" x14ac:dyDescent="0.65">
      <c r="B458" s="683" t="str">
        <f>'Перелік ціни'!B349</f>
        <v>10.8</v>
      </c>
      <c r="C458" s="685"/>
      <c r="D458" s="684" t="str">
        <f>'Перелік ціни'!C349</f>
        <v>Нервово-мязова електростимуляція одноразовими електродами</v>
      </c>
      <c r="E458" s="908">
        <f>'Перелік ціни'!D349</f>
        <v>15.59</v>
      </c>
      <c r="F458" s="908">
        <f>'Перелік ціни'!E349</f>
        <v>3.43</v>
      </c>
      <c r="G458" s="908">
        <f>'Перелік ціни'!F349</f>
        <v>37.429999999999993</v>
      </c>
      <c r="H458" s="908">
        <f>'Перелік ціни'!G349</f>
        <v>0.14000000000000001</v>
      </c>
      <c r="I458" s="897">
        <f t="shared" si="55"/>
        <v>56.589999999999989</v>
      </c>
      <c r="J458" s="908">
        <f>'Перелік ціни'!I349</f>
        <v>1.87</v>
      </c>
      <c r="K458" s="908">
        <f>'Перелік ціни'!J349</f>
        <v>0</v>
      </c>
      <c r="L458" s="908">
        <f>'Перелік ціни'!K349</f>
        <v>0</v>
      </c>
      <c r="M458" s="908">
        <f>'Перелік ціни'!L349</f>
        <v>0.17</v>
      </c>
      <c r="N458" s="897">
        <f t="shared" si="56"/>
        <v>2.04</v>
      </c>
      <c r="O458" s="897">
        <f t="shared" si="57"/>
        <v>58.629999999999988</v>
      </c>
      <c r="P458" s="909"/>
      <c r="Q458" s="445">
        <f t="shared" si="59"/>
        <v>59</v>
      </c>
      <c r="R458" s="679"/>
      <c r="S458" s="446">
        <f t="shared" si="58"/>
        <v>59</v>
      </c>
      <c r="T458" s="453">
        <v>14.6</v>
      </c>
      <c r="U458" s="453">
        <f t="shared" si="60"/>
        <v>44.4</v>
      </c>
    </row>
    <row r="459" spans="2:24" s="825" customFormat="1" ht="37.799999999999997" x14ac:dyDescent="0.65">
      <c r="B459" s="917" t="str">
        <f>'Перелік ціни'!B350</f>
        <v>10.8.1</v>
      </c>
      <c r="C459" s="851"/>
      <c r="D459" s="918" t="str">
        <f>'Перелік ціни'!C350</f>
        <v>Нервово-мязова електростимуляція багаторазовими електродами</v>
      </c>
      <c r="E459" s="919">
        <f>'Перелік ціни'!D350</f>
        <v>15.59</v>
      </c>
      <c r="F459" s="919">
        <f>'Перелік ціни'!E350</f>
        <v>3.43</v>
      </c>
      <c r="G459" s="919">
        <f>'Перелік ціни'!F350</f>
        <v>13.43</v>
      </c>
      <c r="H459" s="919">
        <f>'Перелік ціни'!G350</f>
        <v>0.14000000000000001</v>
      </c>
      <c r="I459" s="899">
        <f t="shared" si="55"/>
        <v>32.590000000000003</v>
      </c>
      <c r="J459" s="919">
        <f>'Перелік ціни'!I350</f>
        <v>1.87</v>
      </c>
      <c r="K459" s="919">
        <f>'Перелік ціни'!J350</f>
        <v>0</v>
      </c>
      <c r="L459" s="919">
        <f>'Перелік ціни'!K350</f>
        <v>0</v>
      </c>
      <c r="M459" s="919">
        <f>'Перелік ціни'!L350</f>
        <v>0.17</v>
      </c>
      <c r="N459" s="899">
        <f t="shared" si="56"/>
        <v>2.04</v>
      </c>
      <c r="O459" s="899">
        <f t="shared" si="57"/>
        <v>34.630000000000003</v>
      </c>
      <c r="P459" s="920"/>
      <c r="Q459" s="839">
        <f t="shared" si="59"/>
        <v>35</v>
      </c>
      <c r="R459" s="921"/>
      <c r="S459" s="839">
        <f t="shared" si="58"/>
        <v>35</v>
      </c>
      <c r="T459" s="835"/>
      <c r="U459" s="835">
        <f t="shared" si="60"/>
        <v>35</v>
      </c>
      <c r="V459" s="922"/>
      <c r="W459" s="922"/>
      <c r="X459" s="846"/>
    </row>
    <row r="460" spans="2:24" ht="37.799999999999997" x14ac:dyDescent="0.65">
      <c r="B460" s="683" t="str">
        <f>'Перелік ціни'!B351</f>
        <v>10.9</v>
      </c>
      <c r="C460" s="685"/>
      <c r="D460" s="684" t="str">
        <f>'Перелік ціни'!C351</f>
        <v>Аерозольтерапія індивідуальна (без вартості медичних препаратів)</v>
      </c>
      <c r="E460" s="908">
        <f>'Перелік ціни'!D351</f>
        <v>12.19</v>
      </c>
      <c r="F460" s="908">
        <f>'Перелік ціни'!E351</f>
        <v>2.68</v>
      </c>
      <c r="G460" s="908">
        <f>'Перелік ціни'!F351</f>
        <v>9.43</v>
      </c>
      <c r="H460" s="908">
        <f>'Перелік ціни'!G351</f>
        <v>0.1</v>
      </c>
      <c r="I460" s="897">
        <f t="shared" si="55"/>
        <v>24.4</v>
      </c>
      <c r="J460" s="908">
        <f>'Перелік ціни'!I351</f>
        <v>1.4300000000000002</v>
      </c>
      <c r="K460" s="908">
        <f>'Перелік ціни'!J351</f>
        <v>0</v>
      </c>
      <c r="L460" s="908">
        <f>'Перелік ціни'!K351</f>
        <v>0</v>
      </c>
      <c r="M460" s="908">
        <f>'Перелік ціни'!L351</f>
        <v>0.13</v>
      </c>
      <c r="N460" s="897">
        <f t="shared" si="56"/>
        <v>1.56</v>
      </c>
      <c r="O460" s="897">
        <f t="shared" si="57"/>
        <v>25.959999999999997</v>
      </c>
      <c r="P460" s="909"/>
      <c r="Q460" s="445">
        <f t="shared" si="59"/>
        <v>26</v>
      </c>
      <c r="R460" s="679"/>
      <c r="S460" s="446">
        <f t="shared" si="58"/>
        <v>26</v>
      </c>
      <c r="T460" s="453">
        <v>25.9</v>
      </c>
      <c r="U460" s="453">
        <f t="shared" si="60"/>
        <v>0.10000000000000142</v>
      </c>
    </row>
    <row r="461" spans="2:24" s="825" customFormat="1" ht="37.799999999999997" x14ac:dyDescent="0.65">
      <c r="B461" s="917" t="str">
        <f>'Перелік ціни'!B352</f>
        <v>10.9.1</v>
      </c>
      <c r="C461" s="851"/>
      <c r="D461" s="918" t="str">
        <f>'Перелік ціни'!C352</f>
        <v>Аерозольтерапія індивідуальна (з декасаном)</v>
      </c>
      <c r="E461" s="919">
        <f>'Перелік ціни'!D352</f>
        <v>12.19</v>
      </c>
      <c r="F461" s="919">
        <f>'Перелік ціни'!E352</f>
        <v>2.68</v>
      </c>
      <c r="G461" s="919">
        <f>'Перелік ціни'!F352</f>
        <v>25.13</v>
      </c>
      <c r="H461" s="919">
        <f>'Перелік ціни'!G352</f>
        <v>0.1</v>
      </c>
      <c r="I461" s="899">
        <f t="shared" si="55"/>
        <v>40.1</v>
      </c>
      <c r="J461" s="919">
        <f>'Перелік ціни'!I352</f>
        <v>1.4300000000000002</v>
      </c>
      <c r="K461" s="919">
        <f>'Перелік ціни'!J352</f>
        <v>0</v>
      </c>
      <c r="L461" s="919">
        <f>'Перелік ціни'!K352</f>
        <v>0</v>
      </c>
      <c r="M461" s="919">
        <f>'Перелік ціни'!L352</f>
        <v>0.13</v>
      </c>
      <c r="N461" s="899">
        <f t="shared" si="56"/>
        <v>1.56</v>
      </c>
      <c r="O461" s="899">
        <f t="shared" si="57"/>
        <v>41.660000000000004</v>
      </c>
      <c r="P461" s="920"/>
      <c r="Q461" s="839">
        <f t="shared" si="59"/>
        <v>42</v>
      </c>
      <c r="R461" s="921"/>
      <c r="S461" s="839">
        <f t="shared" si="58"/>
        <v>42</v>
      </c>
      <c r="T461" s="835"/>
      <c r="U461" s="835">
        <f t="shared" si="60"/>
        <v>42</v>
      </c>
      <c r="V461" s="922"/>
      <c r="W461" s="922"/>
      <c r="X461" s="846"/>
    </row>
    <row r="462" spans="2:24" s="825" customFormat="1" ht="37.799999999999997" x14ac:dyDescent="0.65">
      <c r="B462" s="917" t="str">
        <f>'Перелік ціни'!B353</f>
        <v>10.9.2</v>
      </c>
      <c r="C462" s="851"/>
      <c r="D462" s="918" t="str">
        <f>'Перелік ціни'!C353</f>
        <v>Аерозольтерапія індивідуальна (з небутамолом)</v>
      </c>
      <c r="E462" s="919">
        <f>'Перелік ціни'!D353</f>
        <v>12.19</v>
      </c>
      <c r="F462" s="919">
        <f>'Перелік ціни'!E353</f>
        <v>2.68</v>
      </c>
      <c r="G462" s="919">
        <f>'Перелік ціни'!F353</f>
        <v>21.009999999999998</v>
      </c>
      <c r="H462" s="919">
        <f>'Перелік ціни'!G353</f>
        <v>0.1</v>
      </c>
      <c r="I462" s="899">
        <f t="shared" si="55"/>
        <v>35.979999999999997</v>
      </c>
      <c r="J462" s="919">
        <f>'Перелік ціни'!I353</f>
        <v>1.4300000000000002</v>
      </c>
      <c r="K462" s="919">
        <f>'Перелік ціни'!J353</f>
        <v>0</v>
      </c>
      <c r="L462" s="919">
        <f>'Перелік ціни'!K353</f>
        <v>0</v>
      </c>
      <c r="M462" s="919">
        <f>'Перелік ціни'!L353</f>
        <v>0.13</v>
      </c>
      <c r="N462" s="899">
        <f t="shared" si="56"/>
        <v>1.56</v>
      </c>
      <c r="O462" s="899">
        <f t="shared" si="57"/>
        <v>37.54</v>
      </c>
      <c r="P462" s="920"/>
      <c r="Q462" s="839">
        <f t="shared" si="59"/>
        <v>38</v>
      </c>
      <c r="R462" s="921"/>
      <c r="S462" s="839">
        <f t="shared" si="58"/>
        <v>38</v>
      </c>
      <c r="T462" s="835"/>
      <c r="U462" s="835">
        <f t="shared" si="60"/>
        <v>38</v>
      </c>
      <c r="V462" s="922"/>
      <c r="W462" s="922"/>
      <c r="X462" s="846"/>
    </row>
    <row r="463" spans="2:24" s="825" customFormat="1" ht="37.799999999999997" x14ac:dyDescent="0.65">
      <c r="B463" s="917" t="str">
        <f>'Перелік ціни'!B354</f>
        <v>10.9.3</v>
      </c>
      <c r="C463" s="851"/>
      <c r="D463" s="918" t="str">
        <f>'Перелік ціни'!C354</f>
        <v>Аерозольтерапія індивідуальна (з пульмікортом) доросла</v>
      </c>
      <c r="E463" s="919">
        <f>'Перелік ціни'!D354</f>
        <v>12.19</v>
      </c>
      <c r="F463" s="919">
        <f>'Перелік ціни'!E354</f>
        <v>2.68</v>
      </c>
      <c r="G463" s="919">
        <f>'Перелік ціни'!F354</f>
        <v>41.68</v>
      </c>
      <c r="H463" s="919">
        <f>'Перелік ціни'!G354</f>
        <v>0.1</v>
      </c>
      <c r="I463" s="899">
        <f t="shared" si="55"/>
        <v>56.65</v>
      </c>
      <c r="J463" s="919">
        <f>'Перелік ціни'!I354</f>
        <v>1.4300000000000002</v>
      </c>
      <c r="K463" s="919">
        <f>'Перелік ціни'!J354</f>
        <v>0</v>
      </c>
      <c r="L463" s="919">
        <f>'Перелік ціни'!K354</f>
        <v>0</v>
      </c>
      <c r="M463" s="919">
        <f>'Перелік ціни'!L354</f>
        <v>0.13</v>
      </c>
      <c r="N463" s="899">
        <f t="shared" si="56"/>
        <v>1.56</v>
      </c>
      <c r="O463" s="899">
        <f t="shared" si="57"/>
        <v>58.21</v>
      </c>
      <c r="P463" s="920"/>
      <c r="Q463" s="839">
        <f t="shared" si="59"/>
        <v>58</v>
      </c>
      <c r="R463" s="921"/>
      <c r="S463" s="839">
        <f t="shared" si="58"/>
        <v>58</v>
      </c>
      <c r="T463" s="835"/>
      <c r="U463" s="835">
        <f t="shared" si="60"/>
        <v>58</v>
      </c>
      <c r="V463" s="922"/>
      <c r="W463" s="922"/>
      <c r="X463" s="846"/>
    </row>
    <row r="464" spans="2:24" s="825" customFormat="1" ht="37.799999999999997" x14ac:dyDescent="0.65">
      <c r="B464" s="917" t="str">
        <f>'Перелік ціни'!B355</f>
        <v>10.9.4</v>
      </c>
      <c r="C464" s="851"/>
      <c r="D464" s="918" t="str">
        <f>'Перелік ціни'!C355</f>
        <v>Аерозольтерапія індивідуальна (з пульмікортом) дитяча</v>
      </c>
      <c r="E464" s="919">
        <f>'Перелік ціни'!D355</f>
        <v>12.19</v>
      </c>
      <c r="F464" s="919">
        <f>'Перелік ціни'!E355</f>
        <v>2.68</v>
      </c>
      <c r="G464" s="919">
        <f>'Перелік ціни'!F355</f>
        <v>41.68</v>
      </c>
      <c r="H464" s="919">
        <f>'Перелік ціни'!G355</f>
        <v>0.1</v>
      </c>
      <c r="I464" s="899">
        <f t="shared" si="55"/>
        <v>56.65</v>
      </c>
      <c r="J464" s="919">
        <f>'Перелік ціни'!I355</f>
        <v>1.4300000000000002</v>
      </c>
      <c r="K464" s="919">
        <f>'Перелік ціни'!J355</f>
        <v>0</v>
      </c>
      <c r="L464" s="919">
        <f>'Перелік ціни'!K355</f>
        <v>0</v>
      </c>
      <c r="M464" s="919">
        <f>'Перелік ціни'!L355</f>
        <v>0.13</v>
      </c>
      <c r="N464" s="899">
        <f t="shared" si="56"/>
        <v>1.56</v>
      </c>
      <c r="O464" s="899">
        <f t="shared" si="57"/>
        <v>58.21</v>
      </c>
      <c r="P464" s="920"/>
      <c r="Q464" s="839">
        <f t="shared" si="59"/>
        <v>58</v>
      </c>
      <c r="R464" s="921"/>
      <c r="S464" s="839">
        <f t="shared" si="58"/>
        <v>58</v>
      </c>
      <c r="T464" s="835"/>
      <c r="U464" s="835">
        <f t="shared" si="60"/>
        <v>58</v>
      </c>
      <c r="V464" s="922"/>
      <c r="W464" s="922"/>
      <c r="X464" s="846"/>
    </row>
    <row r="465" spans="2:24" s="825" customFormat="1" ht="37.799999999999997" x14ac:dyDescent="0.65">
      <c r="B465" s="917" t="str">
        <f>'Перелік ціни'!B356</f>
        <v>10.9.5</v>
      </c>
      <c r="C465" s="851"/>
      <c r="D465" s="918" t="str">
        <f>'Перелік ціни'!C356</f>
        <v>Аерозольтерапія індивідуальна з протинабряковою сумішшю</v>
      </c>
      <c r="E465" s="919">
        <f>'Перелік ціни'!D356</f>
        <v>12.19</v>
      </c>
      <c r="F465" s="919">
        <f>'Перелік ціни'!E356</f>
        <v>2.68</v>
      </c>
      <c r="G465" s="919">
        <f>'Перелік ціни'!F356</f>
        <v>45.920000000000009</v>
      </c>
      <c r="H465" s="919">
        <f>'Перелік ціни'!G356</f>
        <v>0.1</v>
      </c>
      <c r="I465" s="899">
        <f t="shared" si="55"/>
        <v>60.890000000000008</v>
      </c>
      <c r="J465" s="919">
        <f>'Перелік ціни'!I356</f>
        <v>1.4300000000000002</v>
      </c>
      <c r="K465" s="919">
        <f>'Перелік ціни'!J356</f>
        <v>0</v>
      </c>
      <c r="L465" s="919">
        <f>'Перелік ціни'!K356</f>
        <v>0</v>
      </c>
      <c r="M465" s="919">
        <f>'Перелік ціни'!L356</f>
        <v>0.13</v>
      </c>
      <c r="N465" s="899">
        <f t="shared" si="56"/>
        <v>1.56</v>
      </c>
      <c r="O465" s="899">
        <f t="shared" si="57"/>
        <v>62.45000000000001</v>
      </c>
      <c r="P465" s="920"/>
      <c r="Q465" s="839">
        <f t="shared" si="59"/>
        <v>62</v>
      </c>
      <c r="R465" s="921"/>
      <c r="S465" s="839">
        <f t="shared" si="58"/>
        <v>62</v>
      </c>
      <c r="T465" s="835"/>
      <c r="U465" s="835">
        <f t="shared" si="60"/>
        <v>62</v>
      </c>
      <c r="V465" s="922"/>
      <c r="W465" s="922"/>
      <c r="X465" s="846"/>
    </row>
    <row r="466" spans="2:24" ht="37.799999999999997" x14ac:dyDescent="0.65">
      <c r="B466" s="683" t="str">
        <f>'Перелік ціни'!B357</f>
        <v>10.10</v>
      </c>
      <c r="C466" s="685"/>
      <c r="D466" s="684" t="str">
        <f>'Перелік ціни'!C357</f>
        <v>Магнітотерапія (низькочастотна)</v>
      </c>
      <c r="E466" s="908">
        <f>'Перелік ціни'!D357</f>
        <v>20.69</v>
      </c>
      <c r="F466" s="908">
        <f>'Перелік ціни'!E357</f>
        <v>4.55</v>
      </c>
      <c r="G466" s="908">
        <f>'Перелік ціни'!F357</f>
        <v>7.91</v>
      </c>
      <c r="H466" s="908">
        <f>'Перелік ціни'!G357</f>
        <v>0.2</v>
      </c>
      <c r="I466" s="897">
        <f t="shared" si="55"/>
        <v>33.350000000000009</v>
      </c>
      <c r="J466" s="908">
        <f>'Перелік ціни'!I357</f>
        <v>2.5300000000000002</v>
      </c>
      <c r="K466" s="908">
        <f>'Перелік ціни'!J357</f>
        <v>0</v>
      </c>
      <c r="L466" s="908">
        <f>'Перелік ціни'!K357</f>
        <v>0</v>
      </c>
      <c r="M466" s="908">
        <f>'Перелік ціни'!L357</f>
        <v>0.23</v>
      </c>
      <c r="N466" s="897">
        <f t="shared" si="56"/>
        <v>2.7600000000000002</v>
      </c>
      <c r="O466" s="897">
        <f t="shared" si="57"/>
        <v>36.110000000000007</v>
      </c>
      <c r="P466" s="909"/>
      <c r="Q466" s="445">
        <f t="shared" si="59"/>
        <v>36</v>
      </c>
      <c r="R466" s="679"/>
      <c r="S466" s="446">
        <f t="shared" si="58"/>
        <v>36</v>
      </c>
      <c r="T466" s="453">
        <v>14.6</v>
      </c>
      <c r="U466" s="453">
        <f t="shared" si="60"/>
        <v>21.4</v>
      </c>
    </row>
    <row r="467" spans="2:24" ht="37.799999999999997" x14ac:dyDescent="0.65">
      <c r="B467" s="683" t="str">
        <f>'Перелік ціни'!B358</f>
        <v>10.11</v>
      </c>
      <c r="C467" s="685"/>
      <c r="D467" s="684" t="str">
        <f>'Перелік ціни'!C358</f>
        <v>Синусоїдальні модульовані струми (ампліпульстерапія) (одноразовими електродами )</v>
      </c>
      <c r="E467" s="908">
        <f>'Перелік ціни'!D358</f>
        <v>16.440000000000001</v>
      </c>
      <c r="F467" s="908">
        <f>'Перелік ціни'!E358</f>
        <v>3.62</v>
      </c>
      <c r="G467" s="908">
        <f>'Перелік ціни'!F358</f>
        <v>37.429999999999993</v>
      </c>
      <c r="H467" s="908">
        <f>'Перелік ціни'!G358</f>
        <v>0.15</v>
      </c>
      <c r="I467" s="897">
        <f t="shared" si="55"/>
        <v>57.639999999999993</v>
      </c>
      <c r="J467" s="908">
        <f>'Перелік ціни'!I358</f>
        <v>1.98</v>
      </c>
      <c r="K467" s="908">
        <f>'Перелік ціни'!J358</f>
        <v>0</v>
      </c>
      <c r="L467" s="908">
        <f>'Перелік ціни'!K358</f>
        <v>0</v>
      </c>
      <c r="M467" s="908">
        <f>'Перелік ціни'!L358</f>
        <v>0.18</v>
      </c>
      <c r="N467" s="897">
        <f t="shared" si="56"/>
        <v>2.16</v>
      </c>
      <c r="O467" s="897">
        <f t="shared" si="57"/>
        <v>59.8</v>
      </c>
      <c r="P467" s="909"/>
      <c r="Q467" s="445">
        <f t="shared" si="59"/>
        <v>60</v>
      </c>
      <c r="R467" s="679"/>
      <c r="S467" s="446">
        <f t="shared" si="58"/>
        <v>60</v>
      </c>
      <c r="T467" s="453">
        <v>14.6</v>
      </c>
      <c r="U467" s="453">
        <f t="shared" si="60"/>
        <v>45.4</v>
      </c>
    </row>
    <row r="468" spans="2:24" s="825" customFormat="1" ht="37.799999999999997" x14ac:dyDescent="0.65">
      <c r="B468" s="917" t="str">
        <f>'Перелік ціни'!B359</f>
        <v>10.11.1</v>
      </c>
      <c r="C468" s="851"/>
      <c r="D468" s="918" t="str">
        <f>'Перелік ціни'!C359</f>
        <v>Синусоїдальні модульовані струми (ампліпульстерапія) (багаторазовими електродами )</v>
      </c>
      <c r="E468" s="919">
        <f>'Перелік ціни'!D359</f>
        <v>16.440000000000001</v>
      </c>
      <c r="F468" s="919">
        <f>'Перелік ціни'!E359</f>
        <v>3.62</v>
      </c>
      <c r="G468" s="919">
        <f>'Перелік ціни'!F359</f>
        <v>13.43</v>
      </c>
      <c r="H468" s="919">
        <f>'Перелік ціни'!G359</f>
        <v>0.15</v>
      </c>
      <c r="I468" s="899">
        <f t="shared" si="55"/>
        <v>33.64</v>
      </c>
      <c r="J468" s="919">
        <f>'Перелік ціни'!I359</f>
        <v>1.98</v>
      </c>
      <c r="K468" s="919">
        <f>'Перелік ціни'!J359</f>
        <v>0</v>
      </c>
      <c r="L468" s="919">
        <f>'Перелік ціни'!K359</f>
        <v>0</v>
      </c>
      <c r="M468" s="919">
        <f>'Перелік ціни'!L359</f>
        <v>0.18</v>
      </c>
      <c r="N468" s="899">
        <f t="shared" si="56"/>
        <v>2.16</v>
      </c>
      <c r="O468" s="899">
        <f t="shared" si="57"/>
        <v>35.799999999999997</v>
      </c>
      <c r="P468" s="920"/>
      <c r="Q468" s="839">
        <f t="shared" si="59"/>
        <v>36</v>
      </c>
      <c r="R468" s="921"/>
      <c r="S468" s="839">
        <f t="shared" si="58"/>
        <v>36</v>
      </c>
      <c r="T468" s="835"/>
      <c r="U468" s="835">
        <f t="shared" si="60"/>
        <v>36</v>
      </c>
      <c r="V468" s="922"/>
      <c r="W468" s="922"/>
      <c r="X468" s="846"/>
    </row>
    <row r="469" spans="2:24" ht="37.799999999999997" x14ac:dyDescent="0.65">
      <c r="B469" s="683" t="str">
        <f>'Перелік ціни'!B360</f>
        <v>10.12</v>
      </c>
      <c r="C469" s="685"/>
      <c r="D469" s="684" t="str">
        <f>'Перелік ціни'!C360</f>
        <v>Дарсонвалізація</v>
      </c>
      <c r="E469" s="908">
        <f>'Перелік ціни'!D360</f>
        <v>12.19</v>
      </c>
      <c r="F469" s="908">
        <f>'Перелік ціни'!E360</f>
        <v>2.68</v>
      </c>
      <c r="G469" s="908">
        <f>'Перелік ціни'!F360</f>
        <v>9.43</v>
      </c>
      <c r="H469" s="908">
        <f>'Перелік ціни'!G360</f>
        <v>0.1</v>
      </c>
      <c r="I469" s="897">
        <f t="shared" si="55"/>
        <v>24.4</v>
      </c>
      <c r="J469" s="908">
        <f>'Перелік ціни'!I360</f>
        <v>1.4300000000000002</v>
      </c>
      <c r="K469" s="908">
        <f>'Перелік ціни'!J360</f>
        <v>0</v>
      </c>
      <c r="L469" s="908">
        <f>'Перелік ціни'!K360</f>
        <v>0</v>
      </c>
      <c r="M469" s="908">
        <f>'Перелік ціни'!L360</f>
        <v>0.13</v>
      </c>
      <c r="N469" s="897">
        <f t="shared" si="56"/>
        <v>1.56</v>
      </c>
      <c r="O469" s="897">
        <f t="shared" si="57"/>
        <v>25.959999999999997</v>
      </c>
      <c r="P469" s="909"/>
      <c r="Q469" s="445">
        <f t="shared" si="59"/>
        <v>26</v>
      </c>
      <c r="R469" s="679"/>
      <c r="S469" s="446">
        <f t="shared" si="58"/>
        <v>26</v>
      </c>
      <c r="T469" s="453">
        <v>14.6</v>
      </c>
      <c r="U469" s="453">
        <f t="shared" si="60"/>
        <v>11.4</v>
      </c>
    </row>
    <row r="470" spans="2:24" ht="37.799999999999997" x14ac:dyDescent="0.65">
      <c r="B470" s="683" t="str">
        <f>'Перелік ціни'!B361</f>
        <v>10.13</v>
      </c>
      <c r="C470" s="685"/>
      <c r="D470" s="684" t="str">
        <f>'Перелік ціни'!C361</f>
        <v>Мікрохвильова терапія</v>
      </c>
      <c r="E470" s="908">
        <f>'Перелік ціни'!D361</f>
        <v>16.440000000000001</v>
      </c>
      <c r="F470" s="908">
        <f>'Перелік ціни'!E361</f>
        <v>3.62</v>
      </c>
      <c r="G470" s="908">
        <f>'Перелік ціни'!F361</f>
        <v>9.43</v>
      </c>
      <c r="H470" s="908">
        <f>'Перелік ціни'!G361</f>
        <v>0.15</v>
      </c>
      <c r="I470" s="897">
        <f t="shared" si="55"/>
        <v>29.64</v>
      </c>
      <c r="J470" s="908">
        <f>'Перелік ціни'!I361</f>
        <v>1.98</v>
      </c>
      <c r="K470" s="908">
        <f>'Перелік ціни'!J361</f>
        <v>0</v>
      </c>
      <c r="L470" s="908">
        <f>'Перелік ціни'!K361</f>
        <v>0</v>
      </c>
      <c r="M470" s="908">
        <f>'Перелік ціни'!L361</f>
        <v>0.18</v>
      </c>
      <c r="N470" s="897">
        <f t="shared" si="56"/>
        <v>2.16</v>
      </c>
      <c r="O470" s="897">
        <f t="shared" si="57"/>
        <v>31.8</v>
      </c>
      <c r="P470" s="909"/>
      <c r="Q470" s="445">
        <f t="shared" si="59"/>
        <v>32</v>
      </c>
      <c r="R470" s="679"/>
      <c r="S470" s="446">
        <f t="shared" si="58"/>
        <v>32</v>
      </c>
      <c r="T470" s="453">
        <v>14.6</v>
      </c>
      <c r="U470" s="453">
        <f t="shared" si="60"/>
        <v>17.399999999999999</v>
      </c>
    </row>
    <row r="471" spans="2:24" ht="37.799999999999997" x14ac:dyDescent="0.65">
      <c r="B471" s="683" t="str">
        <f>'Перелік ціни'!B362</f>
        <v>10.14</v>
      </c>
      <c r="C471" s="685"/>
      <c r="D471" s="684" t="str">
        <f>'Перелік ціни'!C362</f>
        <v>Ультрависокочастотна терапія</v>
      </c>
      <c r="E471" s="908">
        <f>'Перелік ціни'!D362</f>
        <v>15.59</v>
      </c>
      <c r="F471" s="908">
        <f>'Перелік ціни'!E362</f>
        <v>3.43</v>
      </c>
      <c r="G471" s="908">
        <f>'Перелік ціни'!F362</f>
        <v>9.43</v>
      </c>
      <c r="H471" s="908">
        <f>'Перелік ціни'!G362</f>
        <v>0.14000000000000001</v>
      </c>
      <c r="I471" s="897">
        <f t="shared" si="55"/>
        <v>28.59</v>
      </c>
      <c r="J471" s="908">
        <f>'Перелік ціни'!I362</f>
        <v>1.87</v>
      </c>
      <c r="K471" s="908">
        <f>'Перелік ціни'!J362</f>
        <v>0</v>
      </c>
      <c r="L471" s="908">
        <f>'Перелік ціни'!K362</f>
        <v>0</v>
      </c>
      <c r="M471" s="908">
        <f>'Перелік ціни'!L362</f>
        <v>0.17</v>
      </c>
      <c r="N471" s="897">
        <f t="shared" si="56"/>
        <v>2.04</v>
      </c>
      <c r="O471" s="897">
        <f t="shared" si="57"/>
        <v>30.63</v>
      </c>
      <c r="P471" s="909"/>
      <c r="Q471" s="445">
        <f t="shared" si="59"/>
        <v>31</v>
      </c>
      <c r="R471" s="679"/>
      <c r="S471" s="446">
        <f t="shared" si="58"/>
        <v>31</v>
      </c>
      <c r="T471" s="453">
        <v>14.6</v>
      </c>
      <c r="U471" s="453">
        <f t="shared" si="60"/>
        <v>16.399999999999999</v>
      </c>
    </row>
    <row r="472" spans="2:24" ht="37.799999999999997" x14ac:dyDescent="0.65">
      <c r="B472" s="683" t="str">
        <f>'Перелік ціни'!B363</f>
        <v>10.15</v>
      </c>
      <c r="C472" s="685"/>
      <c r="D472" s="684" t="str">
        <f>'Перелік ціни'!C363</f>
        <v>Діадинамічні струми (одноразовими електродами )</v>
      </c>
      <c r="E472" s="908">
        <f>'Перелік ціни'!D363</f>
        <v>16.440000000000001</v>
      </c>
      <c r="F472" s="908">
        <f>'Перелік ціни'!E363</f>
        <v>3.62</v>
      </c>
      <c r="G472" s="908">
        <f>'Перелік ціни'!F363</f>
        <v>37.429999999999993</v>
      </c>
      <c r="H472" s="908">
        <f>'Перелік ціни'!G363</f>
        <v>0.15</v>
      </c>
      <c r="I472" s="897">
        <f t="shared" si="55"/>
        <v>57.639999999999993</v>
      </c>
      <c r="J472" s="908">
        <f>'Перелік ціни'!I363</f>
        <v>1.98</v>
      </c>
      <c r="K472" s="908">
        <f>'Перелік ціни'!J363</f>
        <v>0</v>
      </c>
      <c r="L472" s="908">
        <f>'Перелік ціни'!K363</f>
        <v>0</v>
      </c>
      <c r="M472" s="908">
        <f>'Перелік ціни'!L363</f>
        <v>0.18</v>
      </c>
      <c r="N472" s="897">
        <f t="shared" si="56"/>
        <v>2.16</v>
      </c>
      <c r="O472" s="897">
        <f t="shared" si="57"/>
        <v>59.8</v>
      </c>
      <c r="P472" s="909"/>
      <c r="Q472" s="445">
        <f t="shared" si="59"/>
        <v>60</v>
      </c>
      <c r="R472" s="679"/>
      <c r="S472" s="446">
        <f t="shared" si="58"/>
        <v>60</v>
      </c>
      <c r="T472" s="453">
        <v>14.6</v>
      </c>
      <c r="U472" s="453">
        <f t="shared" si="60"/>
        <v>45.4</v>
      </c>
    </row>
    <row r="473" spans="2:24" s="825" customFormat="1" ht="37.799999999999997" x14ac:dyDescent="0.65">
      <c r="B473" s="917" t="str">
        <f>'Перелік ціни'!B364</f>
        <v>10.15.1</v>
      </c>
      <c r="C473" s="851"/>
      <c r="D473" s="918" t="str">
        <f>'Перелік ціни'!C364</f>
        <v>Діадинамічні струми (багаторазовими електродами )</v>
      </c>
      <c r="E473" s="919">
        <f>'Перелік ціни'!D364</f>
        <v>15.59</v>
      </c>
      <c r="F473" s="919">
        <f>'Перелік ціни'!E364</f>
        <v>3.43</v>
      </c>
      <c r="G473" s="919">
        <f>'Перелік ціни'!F364</f>
        <v>13.43</v>
      </c>
      <c r="H473" s="919">
        <f>'Перелік ціни'!G364</f>
        <v>0.14000000000000001</v>
      </c>
      <c r="I473" s="899">
        <f t="shared" si="55"/>
        <v>32.590000000000003</v>
      </c>
      <c r="J473" s="919">
        <f>'Перелік ціни'!I364</f>
        <v>1.87</v>
      </c>
      <c r="K473" s="919">
        <f>'Перелік ціни'!J364</f>
        <v>0</v>
      </c>
      <c r="L473" s="919">
        <f>'Перелік ціни'!K364</f>
        <v>0</v>
      </c>
      <c r="M473" s="919">
        <f>'Перелік ціни'!L364</f>
        <v>0.17</v>
      </c>
      <c r="N473" s="899">
        <f t="shared" si="56"/>
        <v>2.04</v>
      </c>
      <c r="O473" s="899">
        <f t="shared" si="57"/>
        <v>34.630000000000003</v>
      </c>
      <c r="P473" s="920"/>
      <c r="Q473" s="839">
        <f t="shared" si="59"/>
        <v>35</v>
      </c>
      <c r="R473" s="921"/>
      <c r="S473" s="839">
        <f t="shared" si="58"/>
        <v>35</v>
      </c>
      <c r="T473" s="835"/>
      <c r="U473" s="835">
        <f t="shared" si="60"/>
        <v>35</v>
      </c>
      <c r="V473" s="922"/>
      <c r="W473" s="922"/>
      <c r="X473" s="846"/>
    </row>
    <row r="474" spans="2:24" s="825" customFormat="1" ht="37.799999999999997" x14ac:dyDescent="0.65">
      <c r="B474" s="917" t="str">
        <f>'Перелік ціни'!B365</f>
        <v>10.16</v>
      </c>
      <c r="C474" s="851"/>
      <c r="D474" s="918" t="str">
        <f>'Перелік ціни'!C365</f>
        <v>Теплолікування</v>
      </c>
      <c r="E474" s="919">
        <f>'Перелік ціни'!D365</f>
        <v>29.19</v>
      </c>
      <c r="F474" s="919">
        <f>'Перелік ціни'!E365</f>
        <v>6.42</v>
      </c>
      <c r="G474" s="919">
        <f>'Перелік ціни'!F365</f>
        <v>21.97</v>
      </c>
      <c r="H474" s="919">
        <f>'Перелік ціни'!G365</f>
        <v>0.3</v>
      </c>
      <c r="I474" s="899">
        <f t="shared" si="55"/>
        <v>57.879999999999995</v>
      </c>
      <c r="J474" s="919">
        <f>'Перелік ціни'!I365</f>
        <v>3.63</v>
      </c>
      <c r="K474" s="919">
        <f>'Перелік ціни'!J365</f>
        <v>0</v>
      </c>
      <c r="L474" s="919">
        <f>'Перелік ціни'!K365</f>
        <v>0</v>
      </c>
      <c r="M474" s="919">
        <f>'Перелік ціни'!L365</f>
        <v>0.32999999999999996</v>
      </c>
      <c r="N474" s="899">
        <f t="shared" si="56"/>
        <v>3.96</v>
      </c>
      <c r="O474" s="899">
        <f t="shared" si="57"/>
        <v>61.839999999999996</v>
      </c>
      <c r="P474" s="920"/>
      <c r="Q474" s="839">
        <f t="shared" si="59"/>
        <v>62</v>
      </c>
      <c r="R474" s="921"/>
      <c r="S474" s="839">
        <f t="shared" si="58"/>
        <v>62</v>
      </c>
      <c r="T474" s="835"/>
      <c r="U474" s="835">
        <f t="shared" si="60"/>
        <v>62</v>
      </c>
      <c r="V474" s="922"/>
      <c r="W474" s="922"/>
      <c r="X474" s="846"/>
    </row>
    <row r="475" spans="2:24" ht="37.799999999999997" x14ac:dyDescent="0.65">
      <c r="B475" s="683" t="str">
        <f>'Перелік ціни'!B366</f>
        <v>10.17</v>
      </c>
      <c r="C475" s="685"/>
      <c r="D475" s="684" t="str">
        <f>'Перелік ціни'!C366</f>
        <v>Ультразвукова терапія</v>
      </c>
      <c r="E475" s="908">
        <f>'Перелік ціни'!D366</f>
        <v>16.59</v>
      </c>
      <c r="F475" s="908">
        <f>'Перелік ціни'!E366</f>
        <v>3.65</v>
      </c>
      <c r="G475" s="908">
        <f>'Перелік ціни'!F366</f>
        <v>10.25</v>
      </c>
      <c r="H475" s="908">
        <f>'Перелік ціни'!G366</f>
        <v>0.15</v>
      </c>
      <c r="I475" s="897">
        <f t="shared" si="55"/>
        <v>30.639999999999997</v>
      </c>
      <c r="J475" s="908">
        <f>'Перелік ціни'!I366</f>
        <v>1.98</v>
      </c>
      <c r="K475" s="908">
        <f>'Перелік ціни'!J366</f>
        <v>0</v>
      </c>
      <c r="L475" s="908">
        <f>'Перелік ціни'!K366</f>
        <v>0</v>
      </c>
      <c r="M475" s="908">
        <f>'Перелік ціни'!L366</f>
        <v>0.18</v>
      </c>
      <c r="N475" s="897">
        <f t="shared" si="56"/>
        <v>2.16</v>
      </c>
      <c r="O475" s="897">
        <f t="shared" si="57"/>
        <v>32.799999999999997</v>
      </c>
      <c r="P475" s="909"/>
      <c r="Q475" s="445">
        <f t="shared" si="59"/>
        <v>33</v>
      </c>
      <c r="R475" s="679"/>
      <c r="S475" s="446">
        <f t="shared" si="58"/>
        <v>33</v>
      </c>
      <c r="T475" s="453">
        <v>21.4</v>
      </c>
      <c r="U475" s="453">
        <f t="shared" si="60"/>
        <v>11.600000000000001</v>
      </c>
    </row>
    <row r="476" spans="2:24" s="825" customFormat="1" ht="37.799999999999997" x14ac:dyDescent="0.65">
      <c r="B476" s="917" t="str">
        <f>'Перелік ціни'!B367</f>
        <v>10.18</v>
      </c>
      <c r="C476" s="851"/>
      <c r="D476" s="918" t="str">
        <f>'Перелік ціни'!C367</f>
        <v>Ультрафонофорез</v>
      </c>
      <c r="E476" s="919">
        <f>'Перелік ціни'!D367</f>
        <v>16.59</v>
      </c>
      <c r="F476" s="919">
        <f>'Перелік ціни'!E367</f>
        <v>3.65</v>
      </c>
      <c r="G476" s="919">
        <f>'Перелік ціни'!F367</f>
        <v>14.23</v>
      </c>
      <c r="H476" s="919">
        <f>'Перелік ціни'!G367</f>
        <v>0.15</v>
      </c>
      <c r="I476" s="899">
        <f t="shared" si="55"/>
        <v>34.619999999999997</v>
      </c>
      <c r="J476" s="919">
        <f>'Перелік ціни'!I367</f>
        <v>1.98</v>
      </c>
      <c r="K476" s="919">
        <f>'Перелік ціни'!J367</f>
        <v>0</v>
      </c>
      <c r="L476" s="919">
        <f>'Перелік ціни'!K367</f>
        <v>0</v>
      </c>
      <c r="M476" s="919">
        <f>'Перелік ціни'!L367</f>
        <v>0.18</v>
      </c>
      <c r="N476" s="899">
        <f t="shared" si="56"/>
        <v>2.16</v>
      </c>
      <c r="O476" s="899">
        <f t="shared" si="57"/>
        <v>36.78</v>
      </c>
      <c r="P476" s="920"/>
      <c r="Q476" s="839">
        <f t="shared" si="59"/>
        <v>37</v>
      </c>
      <c r="R476" s="921"/>
      <c r="S476" s="839">
        <f t="shared" si="58"/>
        <v>37</v>
      </c>
      <c r="T476" s="835"/>
      <c r="U476" s="835">
        <f t="shared" si="60"/>
        <v>37</v>
      </c>
      <c r="V476" s="922"/>
      <c r="W476" s="922"/>
      <c r="X476" s="846"/>
    </row>
    <row r="477" spans="2:24" s="825" customFormat="1" ht="37.799999999999997" x14ac:dyDescent="0.65">
      <c r="B477" s="917" t="str">
        <f>'Перелік ціни'!B368</f>
        <v>10.19</v>
      </c>
      <c r="C477" s="851"/>
      <c r="D477" s="918" t="str">
        <f>'Перелік ціни'!C368</f>
        <v>Галотерапія (соляна шахта ) ( 60 хв. - перебування )</v>
      </c>
      <c r="E477" s="919">
        <f>'Перелік ціни'!D368</f>
        <v>55.29</v>
      </c>
      <c r="F477" s="919">
        <f>'Перелік ціни'!E368</f>
        <v>12.16</v>
      </c>
      <c r="G477" s="919">
        <f>'Перелік ціни'!F368</f>
        <v>10.66</v>
      </c>
      <c r="H477" s="919">
        <f>'Перелік ціни'!G368</f>
        <v>0.6</v>
      </c>
      <c r="I477" s="899">
        <f t="shared" si="55"/>
        <v>78.709999999999994</v>
      </c>
      <c r="J477" s="919">
        <f>'Перелік ціни'!I368</f>
        <v>6.93</v>
      </c>
      <c r="K477" s="919">
        <f>'Перелік ціни'!J368</f>
        <v>0</v>
      </c>
      <c r="L477" s="919">
        <f>'Перелік ціни'!K368</f>
        <v>0</v>
      </c>
      <c r="M477" s="919">
        <f>'Перелік ціни'!L368</f>
        <v>0.63</v>
      </c>
      <c r="N477" s="899">
        <f t="shared" si="56"/>
        <v>7.56</v>
      </c>
      <c r="O477" s="899">
        <f t="shared" si="57"/>
        <v>86.27</v>
      </c>
      <c r="P477" s="920"/>
      <c r="Q477" s="839">
        <f t="shared" si="59"/>
        <v>86</v>
      </c>
      <c r="R477" s="921"/>
      <c r="S477" s="839">
        <f t="shared" si="58"/>
        <v>86</v>
      </c>
      <c r="T477" s="835"/>
      <c r="U477" s="835">
        <f t="shared" si="60"/>
        <v>86</v>
      </c>
      <c r="V477" s="922"/>
      <c r="W477" s="922"/>
      <c r="X477" s="846"/>
    </row>
    <row r="478" spans="2:24" ht="37.799999999999997" x14ac:dyDescent="0.65">
      <c r="B478" s="678"/>
      <c r="C478" s="678"/>
      <c r="D478" s="680"/>
      <c r="E478" s="909"/>
      <c r="F478" s="909"/>
      <c r="G478" s="909"/>
      <c r="H478" s="909"/>
      <c r="I478" s="897"/>
      <c r="J478" s="909"/>
      <c r="K478" s="909"/>
      <c r="L478" s="909"/>
      <c r="M478" s="909"/>
      <c r="N478" s="897"/>
      <c r="O478" s="897"/>
      <c r="P478" s="909"/>
      <c r="Q478" s="445"/>
      <c r="R478" s="679"/>
      <c r="S478" s="446"/>
      <c r="T478" s="446"/>
      <c r="U478" s="446"/>
    </row>
  </sheetData>
  <mergeCells count="91">
    <mergeCell ref="B385:S385"/>
    <mergeCell ref="B293:S293"/>
    <mergeCell ref="Q42:S42"/>
    <mergeCell ref="Q43:S43"/>
    <mergeCell ref="Q109:S109"/>
    <mergeCell ref="Q110:S110"/>
    <mergeCell ref="Q111:S111"/>
    <mergeCell ref="Q147:S147"/>
    <mergeCell ref="Q148:S148"/>
    <mergeCell ref="B114:S114"/>
    <mergeCell ref="B294:S294"/>
    <mergeCell ref="B295:S295"/>
    <mergeCell ref="B296:S296"/>
    <mergeCell ref="B152:S152"/>
    <mergeCell ref="Q199:S199"/>
    <mergeCell ref="Q200:S200"/>
    <mergeCell ref="Q381:S381"/>
    <mergeCell ref="B151:S151"/>
    <mergeCell ref="B203:S203"/>
    <mergeCell ref="B204:S204"/>
    <mergeCell ref="B202:S202"/>
    <mergeCell ref="B360:S360"/>
    <mergeCell ref="Q201:S201"/>
    <mergeCell ref="Q290:S290"/>
    <mergeCell ref="Q291:S291"/>
    <mergeCell ref="Q292:S292"/>
    <mergeCell ref="B428:S428"/>
    <mergeCell ref="B427:S427"/>
    <mergeCell ref="Q423:S423"/>
    <mergeCell ref="B418:S418"/>
    <mergeCell ref="Q403:S403"/>
    <mergeCell ref="Q412:S412"/>
    <mergeCell ref="B406:S406"/>
    <mergeCell ref="B416:S416"/>
    <mergeCell ref="B405:S405"/>
    <mergeCell ref="B407:S407"/>
    <mergeCell ref="B426:S426"/>
    <mergeCell ref="B417:S417"/>
    <mergeCell ref="B113:S113"/>
    <mergeCell ref="B429:S429"/>
    <mergeCell ref="Q424:S424"/>
    <mergeCell ref="Q425:S425"/>
    <mergeCell ref="B115:S115"/>
    <mergeCell ref="B153:S153"/>
    <mergeCell ref="B404:S404"/>
    <mergeCell ref="B415:S415"/>
    <mergeCell ref="B363:S363"/>
    <mergeCell ref="Q414:S414"/>
    <mergeCell ref="Q413:S413"/>
    <mergeCell ref="Q401:S401"/>
    <mergeCell ref="Q402:S402"/>
    <mergeCell ref="B396:S396"/>
    <mergeCell ref="B362:S362"/>
    <mergeCell ref="B223:S223"/>
    <mergeCell ref="B394:S394"/>
    <mergeCell ref="B395:S395"/>
    <mergeCell ref="B382:S382"/>
    <mergeCell ref="Q357:S357"/>
    <mergeCell ref="Q358:S358"/>
    <mergeCell ref="Q359:S359"/>
    <mergeCell ref="Q379:S379"/>
    <mergeCell ref="Q380:S380"/>
    <mergeCell ref="B361:S361"/>
    <mergeCell ref="Q390:S390"/>
    <mergeCell ref="B384:S384"/>
    <mergeCell ref="B393:S393"/>
    <mergeCell ref="B383:S383"/>
    <mergeCell ref="Q391:S391"/>
    <mergeCell ref="Q392:S392"/>
    <mergeCell ref="B112:S112"/>
    <mergeCell ref="B150:S150"/>
    <mergeCell ref="B5:S5"/>
    <mergeCell ref="B6:S6"/>
    <mergeCell ref="Q149:S149"/>
    <mergeCell ref="B45:S45"/>
    <mergeCell ref="B46:S46"/>
    <mergeCell ref="B44:S44"/>
    <mergeCell ref="B47:S47"/>
    <mergeCell ref="Q41:S41"/>
    <mergeCell ref="B222:S222"/>
    <mergeCell ref="B205:S205"/>
    <mergeCell ref="Q218:S218"/>
    <mergeCell ref="Q219:S219"/>
    <mergeCell ref="B221:S221"/>
    <mergeCell ref="B220:S220"/>
    <mergeCell ref="Q217:S217"/>
    <mergeCell ref="Q1:S1"/>
    <mergeCell ref="Q2:S2"/>
    <mergeCell ref="Q3:S3"/>
    <mergeCell ref="B7:S7"/>
    <mergeCell ref="B4:S4"/>
  </mergeCells>
  <phoneticPr fontId="8" type="noConversion"/>
  <pageMargins left="0" right="0" top="0" bottom="0" header="0.31496062992125984" footer="0.31496062992125984"/>
  <pageSetup paperSize="9" scale="26" fitToHeight="20" orientation="portrait" r:id="rId1"/>
  <rowBreaks count="12" manualBreakCount="12">
    <brk id="39" min="1" max="18" man="1"/>
    <brk id="107" min="1" max="18" man="1"/>
    <brk id="145" min="1" max="18" man="1"/>
    <brk id="197" min="1" max="18" man="1"/>
    <brk id="215" min="1" max="18" man="1"/>
    <brk id="288" min="1" max="18" man="1"/>
    <brk id="355" min="1" max="18" man="1"/>
    <brk id="377" min="1" max="18" man="1"/>
    <brk id="389" min="1" max="18" man="1"/>
    <brk id="399" min="1" max="18" man="1"/>
    <brk id="410" min="1" max="18" man="1"/>
    <brk id="421" min="1" max="18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337"/>
  <sheetViews>
    <sheetView view="pageBreakPreview" zoomScale="90" zoomScaleNormal="100" zoomScaleSheetLayoutView="90" workbookViewId="0">
      <pane xSplit="2" ySplit="4" topLeftCell="C302" activePane="bottomRight" state="frozen"/>
      <selection pane="topRight" activeCell="D1" sqref="D1"/>
      <selection pane="bottomLeft" activeCell="A5" sqref="A5"/>
      <selection pane="bottomRight" activeCell="E328" sqref="E328"/>
    </sheetView>
  </sheetViews>
  <sheetFormatPr defaultRowHeight="14.4" x14ac:dyDescent="0.3"/>
  <cols>
    <col min="1" max="1" width="3.109375" style="7" customWidth="1"/>
    <col min="2" max="2" width="86.5546875" style="7" customWidth="1"/>
    <col min="3" max="3" width="91.109375" style="317" bestFit="1" customWidth="1"/>
    <col min="4" max="4" width="12" style="74" customWidth="1"/>
    <col min="5" max="5" width="10.5546875" style="74" bestFit="1" customWidth="1"/>
    <col min="6" max="6" width="16.6640625" style="74" customWidth="1"/>
    <col min="7" max="7" width="25.33203125" style="74" customWidth="1"/>
    <col min="8" max="9" width="9.109375" style="22"/>
    <col min="10" max="10" width="9.109375" style="7"/>
    <col min="11" max="11" width="9.109375" style="22"/>
    <col min="12" max="26" width="9.109375" style="7"/>
  </cols>
  <sheetData>
    <row r="1" spans="1:26" ht="27.6" x14ac:dyDescent="0.45">
      <c r="B1" s="494" t="s">
        <v>108</v>
      </c>
    </row>
    <row r="2" spans="1:26" x14ac:dyDescent="0.3">
      <c r="B2" s="17"/>
      <c r="C2" s="134"/>
      <c r="D2" s="73"/>
      <c r="E2" s="73"/>
      <c r="F2" s="73"/>
      <c r="G2" s="281"/>
    </row>
    <row r="3" spans="1:26" ht="42" x14ac:dyDescent="0.3">
      <c r="B3" s="14" t="s">
        <v>513</v>
      </c>
      <c r="C3" s="639" t="s">
        <v>27</v>
      </c>
      <c r="D3" s="14" t="s">
        <v>1</v>
      </c>
      <c r="E3" s="150" t="s">
        <v>2</v>
      </c>
      <c r="F3" s="151" t="s">
        <v>493</v>
      </c>
      <c r="G3" s="282"/>
    </row>
    <row r="4" spans="1:26" x14ac:dyDescent="0.3">
      <c r="B4" s="14"/>
      <c r="C4" s="46"/>
      <c r="D4" s="14"/>
      <c r="E4" s="14"/>
      <c r="F4" s="14"/>
      <c r="G4" s="19"/>
    </row>
    <row r="5" spans="1:26" s="6" customFormat="1" x14ac:dyDescent="0.3">
      <c r="A5" s="44"/>
      <c r="B5" s="27" t="s">
        <v>972</v>
      </c>
      <c r="C5" s="524" t="s">
        <v>3</v>
      </c>
      <c r="D5" s="28" t="s">
        <v>4</v>
      </c>
      <c r="E5" s="81">
        <v>7</v>
      </c>
      <c r="F5" s="468">
        <f>E5/100</f>
        <v>7.0000000000000007E-2</v>
      </c>
      <c r="G5" s="469"/>
      <c r="H5" s="133"/>
      <c r="I5" s="133"/>
      <c r="J5" s="44"/>
      <c r="K5" s="133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</row>
    <row r="6" spans="1:26" s="6" customFormat="1" x14ac:dyDescent="0.3">
      <c r="A6" s="44"/>
      <c r="B6" s="27" t="s">
        <v>1124</v>
      </c>
      <c r="C6" s="524" t="s">
        <v>3</v>
      </c>
      <c r="D6" s="28" t="s">
        <v>944</v>
      </c>
      <c r="E6" s="81">
        <v>0.5</v>
      </c>
      <c r="F6" s="284">
        <v>0.5</v>
      </c>
      <c r="G6" s="283"/>
      <c r="H6" s="133"/>
      <c r="I6" s="133"/>
      <c r="J6" s="44"/>
      <c r="K6" s="133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</row>
    <row r="7" spans="1:26" s="6" customFormat="1" x14ac:dyDescent="0.3">
      <c r="A7" s="44"/>
      <c r="B7" s="27" t="s">
        <v>5</v>
      </c>
      <c r="C7" s="524" t="s">
        <v>3</v>
      </c>
      <c r="D7" s="28" t="s">
        <v>6</v>
      </c>
      <c r="E7" s="81">
        <v>30</v>
      </c>
      <c r="F7" s="284">
        <f>E7/5</f>
        <v>6</v>
      </c>
      <c r="G7" s="283"/>
      <c r="H7" s="133"/>
      <c r="I7" s="133"/>
      <c r="J7" s="44"/>
      <c r="K7" s="133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</row>
    <row r="8" spans="1:26" s="6" customFormat="1" x14ac:dyDescent="0.3">
      <c r="A8" s="44"/>
      <c r="B8" s="27" t="s">
        <v>7</v>
      </c>
      <c r="C8" s="524" t="s">
        <v>3</v>
      </c>
      <c r="D8" s="28" t="s">
        <v>941</v>
      </c>
      <c r="E8" s="81">
        <v>2</v>
      </c>
      <c r="F8" s="284">
        <f>E8</f>
        <v>2</v>
      </c>
      <c r="G8" s="283"/>
      <c r="H8" s="133"/>
      <c r="I8" s="133"/>
      <c r="J8" s="44"/>
      <c r="K8" s="133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</row>
    <row r="9" spans="1:26" s="6" customFormat="1" x14ac:dyDescent="0.3">
      <c r="A9" s="44"/>
      <c r="B9" s="27" t="s">
        <v>8</v>
      </c>
      <c r="C9" s="524" t="s">
        <v>3</v>
      </c>
      <c r="D9" s="28" t="s">
        <v>9</v>
      </c>
      <c r="E9" s="81">
        <v>75</v>
      </c>
      <c r="F9" s="284">
        <f>E9/250</f>
        <v>0.3</v>
      </c>
      <c r="G9" s="283"/>
      <c r="H9" s="133"/>
      <c r="I9" s="133"/>
      <c r="J9" s="44"/>
      <c r="K9" s="133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</row>
    <row r="10" spans="1:26" s="6" customFormat="1" x14ac:dyDescent="0.3">
      <c r="A10" s="44"/>
      <c r="B10" s="27" t="s">
        <v>1105</v>
      </c>
      <c r="C10" s="524" t="s">
        <v>3</v>
      </c>
      <c r="D10" s="28" t="s">
        <v>941</v>
      </c>
      <c r="E10" s="81">
        <v>20</v>
      </c>
      <c r="F10" s="284">
        <f>E10</f>
        <v>20</v>
      </c>
      <c r="G10" s="283"/>
      <c r="H10" s="133"/>
      <c r="I10" s="133"/>
      <c r="J10" s="44"/>
      <c r="K10" s="133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</row>
    <row r="11" spans="1:26" s="6" customFormat="1" x14ac:dyDescent="0.3">
      <c r="A11" s="44"/>
      <c r="B11" s="27" t="s">
        <v>934</v>
      </c>
      <c r="C11" s="524" t="s">
        <v>3</v>
      </c>
      <c r="D11" s="28" t="s">
        <v>935</v>
      </c>
      <c r="E11" s="81">
        <v>2.8</v>
      </c>
      <c r="F11" s="284">
        <f>E11</f>
        <v>2.8</v>
      </c>
      <c r="G11" s="283"/>
      <c r="H11" s="133"/>
      <c r="I11" s="133"/>
      <c r="J11" s="44"/>
      <c r="K11" s="133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 s="6" customFormat="1" x14ac:dyDescent="0.3">
      <c r="A12" s="44"/>
      <c r="B12" s="27" t="s">
        <v>1098</v>
      </c>
      <c r="C12" s="524" t="s">
        <v>3</v>
      </c>
      <c r="D12" s="28" t="s">
        <v>935</v>
      </c>
      <c r="E12" s="81">
        <v>10</v>
      </c>
      <c r="F12" s="284">
        <f>E12</f>
        <v>10</v>
      </c>
      <c r="G12" s="283"/>
      <c r="H12" s="133"/>
      <c r="I12" s="133"/>
      <c r="J12" s="44"/>
      <c r="K12" s="133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 spans="1:26" s="6" customFormat="1" x14ac:dyDescent="0.3">
      <c r="A13" s="44"/>
      <c r="B13" s="27" t="s">
        <v>942</v>
      </c>
      <c r="C13" s="524" t="s">
        <v>3</v>
      </c>
      <c r="D13" s="28" t="s">
        <v>10</v>
      </c>
      <c r="E13" s="81">
        <v>24.6</v>
      </c>
      <c r="F13" s="284">
        <v>0.3</v>
      </c>
      <c r="G13" s="158">
        <f>E13/H13</f>
        <v>0.27771505983291944</v>
      </c>
      <c r="H13" s="133">
        <v>88.58</v>
      </c>
      <c r="I13" s="133"/>
      <c r="J13" s="44"/>
      <c r="K13" s="133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</row>
    <row r="14" spans="1:26" s="694" customFormat="1" x14ac:dyDescent="0.3">
      <c r="A14" s="133"/>
      <c r="B14" s="689" t="s">
        <v>1031</v>
      </c>
      <c r="C14" s="690" t="s">
        <v>28</v>
      </c>
      <c r="D14" s="691" t="s">
        <v>941</v>
      </c>
      <c r="E14" s="698">
        <v>92</v>
      </c>
      <c r="F14" s="692"/>
      <c r="G14" s="69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</row>
    <row r="15" spans="1:26" s="694" customFormat="1" x14ac:dyDescent="0.3">
      <c r="A15" s="133"/>
      <c r="B15" s="695" t="s">
        <v>33</v>
      </c>
      <c r="C15" s="690" t="s">
        <v>28</v>
      </c>
      <c r="D15" s="696" t="s">
        <v>34</v>
      </c>
      <c r="E15" s="696">
        <v>34</v>
      </c>
      <c r="F15" s="692">
        <f>E15/1000</f>
        <v>3.4000000000000002E-2</v>
      </c>
      <c r="G15" s="69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</row>
    <row r="16" spans="1:26" s="694" customFormat="1" ht="27.6" x14ac:dyDescent="0.3">
      <c r="A16" s="133"/>
      <c r="B16" s="695" t="s">
        <v>131</v>
      </c>
      <c r="C16" s="690" t="s">
        <v>28</v>
      </c>
      <c r="D16" s="696" t="s">
        <v>1036</v>
      </c>
      <c r="E16" s="696">
        <v>153</v>
      </c>
      <c r="F16" s="692">
        <v>153</v>
      </c>
      <c r="G16" s="697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</row>
    <row r="17" spans="1:26" s="694" customFormat="1" ht="27.6" x14ac:dyDescent="0.3">
      <c r="A17" s="133"/>
      <c r="B17" s="695" t="s">
        <v>132</v>
      </c>
      <c r="C17" s="690" t="s">
        <v>28</v>
      </c>
      <c r="D17" s="691" t="s">
        <v>1036</v>
      </c>
      <c r="E17" s="698">
        <v>153</v>
      </c>
      <c r="F17" s="692">
        <v>153</v>
      </c>
      <c r="G17" s="697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</row>
    <row r="18" spans="1:26" s="694" customFormat="1" x14ac:dyDescent="0.3">
      <c r="A18" s="133"/>
      <c r="B18" s="695" t="s">
        <v>35</v>
      </c>
      <c r="C18" s="690" t="s">
        <v>28</v>
      </c>
      <c r="D18" s="696" t="s">
        <v>1036</v>
      </c>
      <c r="E18" s="696">
        <v>144</v>
      </c>
      <c r="F18" s="692">
        <f>E18</f>
        <v>144</v>
      </c>
      <c r="G18" s="69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</row>
    <row r="19" spans="1:26" s="694" customFormat="1" x14ac:dyDescent="0.3">
      <c r="A19" s="133"/>
      <c r="B19" s="695" t="s">
        <v>35</v>
      </c>
      <c r="C19" s="690" t="s">
        <v>28</v>
      </c>
      <c r="D19" s="696" t="s">
        <v>1036</v>
      </c>
      <c r="E19" s="696">
        <v>144</v>
      </c>
      <c r="F19" s="692">
        <f>E19</f>
        <v>144</v>
      </c>
      <c r="G19" s="69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</row>
    <row r="20" spans="1:26" s="694" customFormat="1" x14ac:dyDescent="0.3">
      <c r="A20" s="133"/>
      <c r="B20" s="695" t="s">
        <v>35</v>
      </c>
      <c r="C20" s="690" t="s">
        <v>28</v>
      </c>
      <c r="D20" s="696" t="s">
        <v>1036</v>
      </c>
      <c r="E20" s="696">
        <v>144</v>
      </c>
      <c r="F20" s="692">
        <f>E20</f>
        <v>144</v>
      </c>
      <c r="G20" s="69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</row>
    <row r="21" spans="1:26" s="694" customFormat="1" x14ac:dyDescent="0.3">
      <c r="A21" s="133"/>
      <c r="B21" s="699" t="s">
        <v>972</v>
      </c>
      <c r="C21" s="690" t="s">
        <v>28</v>
      </c>
      <c r="D21" s="696" t="s">
        <v>4</v>
      </c>
      <c r="E21" s="696">
        <v>7</v>
      </c>
      <c r="F21" s="692">
        <f>E21/100</f>
        <v>7.0000000000000007E-2</v>
      </c>
      <c r="G21" s="69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</row>
    <row r="22" spans="1:26" s="694" customFormat="1" x14ac:dyDescent="0.3">
      <c r="A22" s="133"/>
      <c r="B22" s="689" t="s">
        <v>973</v>
      </c>
      <c r="C22" s="690" t="s">
        <v>28</v>
      </c>
      <c r="D22" s="691" t="s">
        <v>1036</v>
      </c>
      <c r="E22" s="698">
        <v>55</v>
      </c>
      <c r="F22" s="692"/>
      <c r="G22" s="69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</row>
    <row r="23" spans="1:26" s="694" customFormat="1" x14ac:dyDescent="0.3">
      <c r="A23" s="133"/>
      <c r="B23" s="700" t="s">
        <v>983</v>
      </c>
      <c r="C23" s="690" t="s">
        <v>28</v>
      </c>
      <c r="D23" s="696" t="s">
        <v>941</v>
      </c>
      <c r="E23" s="696">
        <v>7.5</v>
      </c>
      <c r="F23" s="701"/>
      <c r="G23" s="702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</row>
    <row r="24" spans="1:26" s="694" customFormat="1" x14ac:dyDescent="0.3">
      <c r="A24" s="133"/>
      <c r="B24" s="699" t="s">
        <v>1124</v>
      </c>
      <c r="C24" s="690" t="s">
        <v>28</v>
      </c>
      <c r="D24" s="332" t="s">
        <v>944</v>
      </c>
      <c r="E24" s="572">
        <v>0.5</v>
      </c>
      <c r="F24" s="703">
        <v>0.5</v>
      </c>
      <c r="G24" s="704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</row>
    <row r="25" spans="1:26" s="478" customFormat="1" x14ac:dyDescent="0.3">
      <c r="A25" s="473"/>
      <c r="B25" s="689" t="s">
        <v>1071</v>
      </c>
      <c r="C25" s="705" t="s">
        <v>28</v>
      </c>
      <c r="D25" s="706" t="s">
        <v>1036</v>
      </c>
      <c r="E25" s="706">
        <v>2190</v>
      </c>
      <c r="F25" s="692"/>
      <c r="G25" s="693"/>
      <c r="H25" s="473"/>
      <c r="I25" s="473"/>
      <c r="J25" s="473"/>
      <c r="K25" s="473"/>
      <c r="L25" s="473"/>
      <c r="M25" s="473"/>
      <c r="N25" s="473"/>
      <c r="O25" s="473"/>
      <c r="P25" s="473"/>
      <c r="Q25" s="473"/>
      <c r="R25" s="473"/>
      <c r="S25" s="473"/>
      <c r="T25" s="473"/>
      <c r="U25" s="473"/>
      <c r="V25" s="473"/>
      <c r="W25" s="473"/>
      <c r="X25" s="473"/>
      <c r="Y25" s="473"/>
      <c r="Z25" s="473"/>
    </row>
    <row r="26" spans="1:26" s="694" customFormat="1" x14ac:dyDescent="0.3">
      <c r="A26" s="133"/>
      <c r="B26" s="695" t="s">
        <v>133</v>
      </c>
      <c r="C26" s="690" t="s">
        <v>28</v>
      </c>
      <c r="D26" s="696" t="s">
        <v>1036</v>
      </c>
      <c r="E26" s="696">
        <v>187</v>
      </c>
      <c r="F26" s="692"/>
      <c r="G26" s="69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</row>
    <row r="27" spans="1:26" s="694" customFormat="1" x14ac:dyDescent="0.3">
      <c r="A27" s="133"/>
      <c r="B27" s="700" t="s">
        <v>1034</v>
      </c>
      <c r="C27" s="690" t="s">
        <v>28</v>
      </c>
      <c r="D27" s="696" t="s">
        <v>974</v>
      </c>
      <c r="E27" s="696">
        <v>39.299999999999997</v>
      </c>
      <c r="F27" s="692"/>
      <c r="G27" s="69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</row>
    <row r="28" spans="1:26" s="694" customFormat="1" x14ac:dyDescent="0.3">
      <c r="A28" s="133"/>
      <c r="B28" s="689" t="s">
        <v>1067</v>
      </c>
      <c r="C28" s="690" t="s">
        <v>28</v>
      </c>
      <c r="D28" s="691" t="s">
        <v>1045</v>
      </c>
      <c r="E28" s="698">
        <v>3819.4</v>
      </c>
      <c r="F28" s="692"/>
      <c r="G28" s="69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</row>
    <row r="29" spans="1:26" s="694" customFormat="1" x14ac:dyDescent="0.3">
      <c r="A29" s="133"/>
      <c r="B29" s="700" t="s">
        <v>1063</v>
      </c>
      <c r="C29" s="690" t="s">
        <v>28</v>
      </c>
      <c r="D29" s="696" t="s">
        <v>974</v>
      </c>
      <c r="E29" s="696">
        <v>4</v>
      </c>
      <c r="F29" s="692"/>
      <c r="G29" s="69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</row>
    <row r="30" spans="1:26" s="694" customFormat="1" x14ac:dyDescent="0.3">
      <c r="A30" s="133"/>
      <c r="B30" s="700" t="s">
        <v>1017</v>
      </c>
      <c r="C30" s="690" t="s">
        <v>28</v>
      </c>
      <c r="D30" s="696" t="s">
        <v>941</v>
      </c>
      <c r="E30" s="696">
        <v>400</v>
      </c>
      <c r="F30" s="692"/>
      <c r="G30" s="69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</row>
    <row r="31" spans="1:26" s="694" customFormat="1" x14ac:dyDescent="0.3">
      <c r="A31" s="133"/>
      <c r="B31" s="700" t="s">
        <v>1040</v>
      </c>
      <c r="C31" s="690" t="s">
        <v>28</v>
      </c>
      <c r="D31" s="696" t="s">
        <v>941</v>
      </c>
      <c r="E31" s="696">
        <v>7.4</v>
      </c>
      <c r="F31" s="701"/>
      <c r="G31" s="702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</row>
    <row r="32" spans="1:26" s="694" customFormat="1" x14ac:dyDescent="0.3">
      <c r="A32" s="133"/>
      <c r="B32" s="689" t="s">
        <v>1069</v>
      </c>
      <c r="C32" s="690" t="s">
        <v>28</v>
      </c>
      <c r="D32" s="691" t="s">
        <v>1045</v>
      </c>
      <c r="E32" s="698">
        <v>680</v>
      </c>
      <c r="F32" s="692"/>
      <c r="G32" s="69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</row>
    <row r="33" spans="1:26" s="694" customFormat="1" x14ac:dyDescent="0.3">
      <c r="A33" s="133"/>
      <c r="B33" s="700" t="s">
        <v>980</v>
      </c>
      <c r="C33" s="690" t="s">
        <v>28</v>
      </c>
      <c r="D33" s="696" t="s">
        <v>974</v>
      </c>
      <c r="E33" s="696">
        <v>24.2</v>
      </c>
      <c r="F33" s="701"/>
      <c r="G33" s="702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</row>
    <row r="34" spans="1:26" s="694" customFormat="1" x14ac:dyDescent="0.3">
      <c r="A34" s="133"/>
      <c r="B34" s="700" t="s">
        <v>1052</v>
      </c>
      <c r="C34" s="690" t="s">
        <v>28</v>
      </c>
      <c r="D34" s="691" t="s">
        <v>1036</v>
      </c>
      <c r="E34" s="696">
        <v>253</v>
      </c>
      <c r="F34" s="692"/>
      <c r="G34" s="69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</row>
    <row r="35" spans="1:26" s="694" customFormat="1" x14ac:dyDescent="0.3">
      <c r="A35" s="133"/>
      <c r="B35" s="700" t="s">
        <v>1052</v>
      </c>
      <c r="C35" s="690" t="s">
        <v>28</v>
      </c>
      <c r="D35" s="691" t="s">
        <v>1045</v>
      </c>
      <c r="E35" s="696">
        <v>253</v>
      </c>
      <c r="F35" s="692"/>
      <c r="G35" s="69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</row>
    <row r="36" spans="1:26" s="694" customFormat="1" x14ac:dyDescent="0.3">
      <c r="A36" s="133"/>
      <c r="B36" s="700" t="s">
        <v>88</v>
      </c>
      <c r="C36" s="690" t="s">
        <v>28</v>
      </c>
      <c r="D36" s="696" t="s">
        <v>941</v>
      </c>
      <c r="E36" s="696">
        <v>2.7</v>
      </c>
      <c r="F36" s="701"/>
      <c r="G36" s="702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</row>
    <row r="37" spans="1:26" s="694" customFormat="1" x14ac:dyDescent="0.3">
      <c r="A37" s="133"/>
      <c r="B37" s="699" t="s">
        <v>7</v>
      </c>
      <c r="C37" s="690" t="s">
        <v>28</v>
      </c>
      <c r="D37" s="332" t="s">
        <v>941</v>
      </c>
      <c r="E37" s="572">
        <v>2</v>
      </c>
      <c r="F37" s="703">
        <f>E37</f>
        <v>2</v>
      </c>
      <c r="G37" s="704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</row>
    <row r="38" spans="1:26" s="694" customFormat="1" x14ac:dyDescent="0.3">
      <c r="A38" s="133"/>
      <c r="B38" s="689" t="s">
        <v>1073</v>
      </c>
      <c r="C38" s="690" t="s">
        <v>28</v>
      </c>
      <c r="D38" s="691" t="s">
        <v>11</v>
      </c>
      <c r="E38" s="698">
        <v>272.5</v>
      </c>
      <c r="F38" s="692">
        <f>E38/1000</f>
        <v>0.27250000000000002</v>
      </c>
      <c r="G38" s="69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</row>
    <row r="39" spans="1:26" s="694" customFormat="1" x14ac:dyDescent="0.3">
      <c r="A39" s="133"/>
      <c r="B39" s="699" t="s">
        <v>8</v>
      </c>
      <c r="C39" s="690" t="s">
        <v>28</v>
      </c>
      <c r="D39" s="332" t="s">
        <v>9</v>
      </c>
      <c r="E39" s="572">
        <v>75</v>
      </c>
      <c r="F39" s="703">
        <f>E39/250</f>
        <v>0.3</v>
      </c>
      <c r="G39" s="704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</row>
    <row r="40" spans="1:26" s="694" customFormat="1" x14ac:dyDescent="0.3">
      <c r="A40" s="133"/>
      <c r="B40" s="689" t="s">
        <v>1068</v>
      </c>
      <c r="C40" s="690" t="s">
        <v>28</v>
      </c>
      <c r="D40" s="691" t="s">
        <v>1045</v>
      </c>
      <c r="E40" s="698">
        <v>258</v>
      </c>
      <c r="F40" s="692"/>
      <c r="G40" s="69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</row>
    <row r="41" spans="1:26" s="694" customFormat="1" x14ac:dyDescent="0.3">
      <c r="A41" s="133"/>
      <c r="B41" s="695" t="s">
        <v>36</v>
      </c>
      <c r="C41" s="690" t="s">
        <v>28</v>
      </c>
      <c r="D41" s="691" t="s">
        <v>1036</v>
      </c>
      <c r="E41" s="698">
        <v>135</v>
      </c>
      <c r="F41" s="692"/>
      <c r="G41" s="69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</row>
    <row r="42" spans="1:26" s="694" customFormat="1" x14ac:dyDescent="0.3">
      <c r="A42" s="133"/>
      <c r="B42" s="689" t="s">
        <v>1044</v>
      </c>
      <c r="C42" s="690" t="s">
        <v>28</v>
      </c>
      <c r="D42" s="696" t="s">
        <v>1045</v>
      </c>
      <c r="E42" s="698">
        <v>167</v>
      </c>
      <c r="F42" s="692"/>
      <c r="G42" s="69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</row>
    <row r="43" spans="1:26" s="478" customFormat="1" x14ac:dyDescent="0.3">
      <c r="A43" s="473"/>
      <c r="B43" s="689" t="s">
        <v>1070</v>
      </c>
      <c r="C43" s="705" t="s">
        <v>28</v>
      </c>
      <c r="D43" s="691" t="s">
        <v>1045</v>
      </c>
      <c r="E43" s="698">
        <v>1173</v>
      </c>
      <c r="F43" s="692"/>
      <c r="G43" s="693"/>
      <c r="H43" s="473"/>
      <c r="I43" s="473"/>
      <c r="J43" s="473"/>
      <c r="K43" s="473"/>
      <c r="L43" s="473"/>
      <c r="M43" s="473"/>
      <c r="N43" s="473"/>
      <c r="O43" s="473"/>
      <c r="P43" s="473"/>
      <c r="Q43" s="473"/>
      <c r="R43" s="473"/>
      <c r="S43" s="473"/>
      <c r="T43" s="473"/>
      <c r="U43" s="473"/>
      <c r="V43" s="473"/>
      <c r="W43" s="473"/>
      <c r="X43" s="473"/>
      <c r="Y43" s="473"/>
      <c r="Z43" s="473"/>
    </row>
    <row r="44" spans="1:26" s="478" customFormat="1" x14ac:dyDescent="0.3">
      <c r="A44" s="473"/>
      <c r="B44" s="689" t="s">
        <v>1072</v>
      </c>
      <c r="C44" s="705" t="s">
        <v>28</v>
      </c>
      <c r="D44" s="706" t="s">
        <v>1036</v>
      </c>
      <c r="E44" s="706">
        <v>110</v>
      </c>
      <c r="F44" s="692"/>
      <c r="G44" s="693"/>
      <c r="H44" s="473"/>
      <c r="I44" s="473"/>
      <c r="J44" s="473"/>
      <c r="K44" s="473"/>
      <c r="L44" s="473"/>
      <c r="M44" s="473"/>
      <c r="N44" s="473"/>
      <c r="O44" s="473"/>
      <c r="P44" s="473"/>
      <c r="Q44" s="473"/>
      <c r="R44" s="473"/>
      <c r="S44" s="473"/>
      <c r="T44" s="473"/>
      <c r="U44" s="473"/>
      <c r="V44" s="473"/>
      <c r="W44" s="473"/>
      <c r="X44" s="473"/>
      <c r="Y44" s="473"/>
      <c r="Z44" s="473"/>
    </row>
    <row r="45" spans="1:26" s="694" customFormat="1" x14ac:dyDescent="0.3">
      <c r="A45" s="133"/>
      <c r="B45" s="700" t="s">
        <v>1039</v>
      </c>
      <c r="C45" s="690" t="s">
        <v>28</v>
      </c>
      <c r="D45" s="696" t="s">
        <v>977</v>
      </c>
      <c r="E45" s="696">
        <v>86</v>
      </c>
      <c r="F45" s="692"/>
      <c r="G45" s="69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</row>
    <row r="46" spans="1:26" s="694" customFormat="1" x14ac:dyDescent="0.3">
      <c r="A46" s="133"/>
      <c r="B46" s="700" t="s">
        <v>1037</v>
      </c>
      <c r="C46" s="690" t="s">
        <v>28</v>
      </c>
      <c r="D46" s="696" t="s">
        <v>1038</v>
      </c>
      <c r="E46" s="696">
        <v>80</v>
      </c>
      <c r="F46" s="692"/>
      <c r="G46" s="69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</row>
    <row r="47" spans="1:26" s="694" customFormat="1" x14ac:dyDescent="0.3">
      <c r="A47" s="133"/>
      <c r="B47" s="700" t="s">
        <v>1049</v>
      </c>
      <c r="C47" s="690" t="s">
        <v>28</v>
      </c>
      <c r="D47" s="696" t="s">
        <v>941</v>
      </c>
      <c r="E47" s="696">
        <v>7</v>
      </c>
      <c r="F47" s="692"/>
      <c r="G47" s="69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</row>
    <row r="48" spans="1:26" s="694" customFormat="1" x14ac:dyDescent="0.3">
      <c r="A48" s="133"/>
      <c r="B48" s="700" t="s">
        <v>982</v>
      </c>
      <c r="C48" s="690" t="s">
        <v>28</v>
      </c>
      <c r="D48" s="696" t="s">
        <v>941</v>
      </c>
      <c r="E48" s="696">
        <v>11</v>
      </c>
      <c r="F48" s="701"/>
      <c r="G48" s="702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</row>
    <row r="49" spans="1:26" s="694" customFormat="1" x14ac:dyDescent="0.3">
      <c r="A49" s="133"/>
      <c r="B49" s="700" t="s">
        <v>981</v>
      </c>
      <c r="C49" s="690" t="s">
        <v>28</v>
      </c>
      <c r="D49" s="696" t="s">
        <v>941</v>
      </c>
      <c r="E49" s="696">
        <v>0.6</v>
      </c>
      <c r="F49" s="701"/>
      <c r="G49" s="702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</row>
    <row r="50" spans="1:26" s="694" customFormat="1" x14ac:dyDescent="0.3">
      <c r="A50" s="133"/>
      <c r="B50" s="689" t="s">
        <v>87</v>
      </c>
      <c r="C50" s="690" t="s">
        <v>28</v>
      </c>
      <c r="D50" s="691" t="s">
        <v>941</v>
      </c>
      <c r="E50" s="698">
        <v>4.3</v>
      </c>
      <c r="F50" s="692"/>
      <c r="G50" s="69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</row>
    <row r="51" spans="1:26" s="694" customFormat="1" x14ac:dyDescent="0.3">
      <c r="A51" s="133"/>
      <c r="B51" s="700" t="s">
        <v>486</v>
      </c>
      <c r="C51" s="690" t="s">
        <v>28</v>
      </c>
      <c r="D51" s="696" t="s">
        <v>941</v>
      </c>
      <c r="E51" s="696">
        <v>900</v>
      </c>
      <c r="F51" s="701"/>
      <c r="G51" s="702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</row>
    <row r="52" spans="1:26" s="694" customFormat="1" x14ac:dyDescent="0.3">
      <c r="A52" s="133"/>
      <c r="B52" s="700" t="s">
        <v>1076</v>
      </c>
      <c r="C52" s="690" t="s">
        <v>28</v>
      </c>
      <c r="D52" s="696" t="s">
        <v>941</v>
      </c>
      <c r="E52" s="696">
        <v>870</v>
      </c>
      <c r="F52" s="701"/>
      <c r="G52" s="702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</row>
    <row r="53" spans="1:26" s="694" customFormat="1" x14ac:dyDescent="0.3">
      <c r="A53" s="133"/>
      <c r="B53" s="695" t="s">
        <v>134</v>
      </c>
      <c r="C53" s="690" t="s">
        <v>28</v>
      </c>
      <c r="D53" s="691" t="s">
        <v>974</v>
      </c>
      <c r="E53" s="698">
        <v>55</v>
      </c>
      <c r="F53" s="692"/>
      <c r="G53" s="69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</row>
    <row r="54" spans="1:26" s="694" customFormat="1" x14ac:dyDescent="0.3">
      <c r="A54" s="133"/>
      <c r="B54" s="695" t="s">
        <v>135</v>
      </c>
      <c r="C54" s="690" t="s">
        <v>28</v>
      </c>
      <c r="D54" s="691" t="s">
        <v>974</v>
      </c>
      <c r="E54" s="696">
        <v>55</v>
      </c>
      <c r="F54" s="692"/>
      <c r="G54" s="69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</row>
    <row r="55" spans="1:26" s="694" customFormat="1" x14ac:dyDescent="0.3">
      <c r="A55" s="133"/>
      <c r="B55" s="695" t="s">
        <v>136</v>
      </c>
      <c r="C55" s="690" t="s">
        <v>28</v>
      </c>
      <c r="D55" s="691" t="s">
        <v>974</v>
      </c>
      <c r="E55" s="696">
        <v>130</v>
      </c>
      <c r="F55" s="692"/>
      <c r="G55" s="69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</row>
    <row r="56" spans="1:26" s="694" customFormat="1" x14ac:dyDescent="0.3">
      <c r="A56" s="133"/>
      <c r="B56" s="700" t="s">
        <v>1075</v>
      </c>
      <c r="C56" s="690" t="s">
        <v>28</v>
      </c>
      <c r="D56" s="691" t="s">
        <v>974</v>
      </c>
      <c r="E56" s="696">
        <v>51</v>
      </c>
      <c r="F56" s="701"/>
      <c r="G56" s="702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</row>
    <row r="57" spans="1:26" s="694" customFormat="1" x14ac:dyDescent="0.3">
      <c r="A57" s="133"/>
      <c r="B57" s="695" t="s">
        <v>37</v>
      </c>
      <c r="C57" s="690" t="s">
        <v>28</v>
      </c>
      <c r="D57" s="691" t="s">
        <v>1036</v>
      </c>
      <c r="E57" s="698">
        <v>240</v>
      </c>
      <c r="F57" s="692"/>
      <c r="G57" s="69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</row>
    <row r="58" spans="1:26" s="694" customFormat="1" x14ac:dyDescent="0.3">
      <c r="A58" s="133"/>
      <c r="B58" s="700" t="s">
        <v>975</v>
      </c>
      <c r="C58" s="690" t="s">
        <v>28</v>
      </c>
      <c r="D58" s="696" t="s">
        <v>974</v>
      </c>
      <c r="E58" s="696">
        <v>26</v>
      </c>
      <c r="F58" s="692"/>
      <c r="G58" s="69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</row>
    <row r="59" spans="1:26" s="694" customFormat="1" x14ac:dyDescent="0.3">
      <c r="A59" s="133"/>
      <c r="B59" s="700" t="s">
        <v>934</v>
      </c>
      <c r="C59" s="690" t="s">
        <v>28</v>
      </c>
      <c r="D59" s="332" t="s">
        <v>935</v>
      </c>
      <c r="E59" s="572">
        <v>2.8</v>
      </c>
      <c r="F59" s="703">
        <f>E59</f>
        <v>2.8</v>
      </c>
      <c r="G59" s="704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</row>
    <row r="60" spans="1:26" s="694" customFormat="1" x14ac:dyDescent="0.3">
      <c r="A60" s="133"/>
      <c r="B60" s="700" t="s">
        <v>1059</v>
      </c>
      <c r="C60" s="690" t="s">
        <v>28</v>
      </c>
      <c r="D60" s="691" t="s">
        <v>1045</v>
      </c>
      <c r="E60" s="696">
        <v>275</v>
      </c>
      <c r="F60" s="692"/>
      <c r="G60" s="69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</row>
    <row r="61" spans="1:26" s="694" customFormat="1" x14ac:dyDescent="0.3">
      <c r="A61" s="133"/>
      <c r="B61" s="689" t="s">
        <v>1066</v>
      </c>
      <c r="C61" s="690" t="s">
        <v>28</v>
      </c>
      <c r="D61" s="691" t="s">
        <v>1036</v>
      </c>
      <c r="E61" s="698">
        <v>286</v>
      </c>
      <c r="F61" s="692"/>
      <c r="G61" s="69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</row>
    <row r="62" spans="1:26" s="694" customFormat="1" ht="27.6" x14ac:dyDescent="0.3">
      <c r="A62" s="133"/>
      <c r="B62" s="695" t="s">
        <v>137</v>
      </c>
      <c r="C62" s="690" t="s">
        <v>28</v>
      </c>
      <c r="D62" s="691" t="s">
        <v>1036</v>
      </c>
      <c r="E62" s="698">
        <v>539</v>
      </c>
      <c r="F62" s="692"/>
      <c r="G62" s="69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</row>
    <row r="63" spans="1:26" s="694" customFormat="1" x14ac:dyDescent="0.3">
      <c r="A63" s="133"/>
      <c r="B63" s="700" t="s">
        <v>1041</v>
      </c>
      <c r="C63" s="690" t="s">
        <v>28</v>
      </c>
      <c r="D63" s="696" t="s">
        <v>941</v>
      </c>
      <c r="E63" s="696">
        <v>0.2</v>
      </c>
      <c r="F63" s="701">
        <v>0.20749999999999999</v>
      </c>
      <c r="G63" s="702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</row>
    <row r="64" spans="1:26" s="694" customFormat="1" x14ac:dyDescent="0.3">
      <c r="A64" s="133"/>
      <c r="B64" s="700" t="s">
        <v>984</v>
      </c>
      <c r="C64" s="690" t="s">
        <v>28</v>
      </c>
      <c r="D64" s="696" t="s">
        <v>941</v>
      </c>
      <c r="E64" s="696">
        <v>36</v>
      </c>
      <c r="F64" s="701"/>
      <c r="G64" s="702"/>
      <c r="H64" s="133" t="s">
        <v>130</v>
      </c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</row>
    <row r="65" spans="1:26" s="694" customFormat="1" x14ac:dyDescent="0.3">
      <c r="A65" s="133"/>
      <c r="B65" s="699" t="s">
        <v>942</v>
      </c>
      <c r="C65" s="690" t="s">
        <v>28</v>
      </c>
      <c r="D65" s="332" t="s">
        <v>10</v>
      </c>
      <c r="E65" s="572">
        <v>24.6</v>
      </c>
      <c r="F65" s="703">
        <v>0.3</v>
      </c>
      <c r="G65" s="707">
        <f>E65/H65</f>
        <v>0.27771505983291944</v>
      </c>
      <c r="H65" s="133">
        <v>88.58</v>
      </c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</row>
    <row r="66" spans="1:26" s="694" customFormat="1" x14ac:dyDescent="0.3">
      <c r="A66" s="133"/>
      <c r="B66" s="700" t="s">
        <v>12</v>
      </c>
      <c r="C66" s="690" t="s">
        <v>28</v>
      </c>
      <c r="D66" s="696" t="s">
        <v>10</v>
      </c>
      <c r="E66" s="696">
        <v>24.6</v>
      </c>
      <c r="F66" s="692">
        <v>0.3</v>
      </c>
      <c r="G66" s="707">
        <f>E66/H66</f>
        <v>0.30464396284829726</v>
      </c>
      <c r="H66" s="133">
        <v>80.75</v>
      </c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</row>
    <row r="67" spans="1:26" s="694" customFormat="1" x14ac:dyDescent="0.3">
      <c r="A67" s="133"/>
      <c r="B67" s="695" t="s">
        <v>38</v>
      </c>
      <c r="C67" s="690" t="s">
        <v>28</v>
      </c>
      <c r="D67" s="691" t="s">
        <v>1036</v>
      </c>
      <c r="E67" s="696">
        <v>240</v>
      </c>
      <c r="F67" s="692"/>
      <c r="G67" s="69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</row>
    <row r="68" spans="1:26" s="694" customFormat="1" x14ac:dyDescent="0.3">
      <c r="A68" s="133"/>
      <c r="B68" s="695" t="s">
        <v>39</v>
      </c>
      <c r="C68" s="690" t="s">
        <v>28</v>
      </c>
      <c r="D68" s="696" t="s">
        <v>13</v>
      </c>
      <c r="E68" s="696">
        <v>315</v>
      </c>
      <c r="F68" s="692">
        <f>E68/1000</f>
        <v>0.315</v>
      </c>
      <c r="G68" s="69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</row>
    <row r="69" spans="1:26" s="694" customFormat="1" x14ac:dyDescent="0.3">
      <c r="A69" s="133"/>
      <c r="B69" s="700" t="s">
        <v>1056</v>
      </c>
      <c r="C69" s="690" t="s">
        <v>28</v>
      </c>
      <c r="D69" s="696" t="s">
        <v>941</v>
      </c>
      <c r="E69" s="696">
        <v>152</v>
      </c>
      <c r="F69" s="692"/>
      <c r="G69" s="69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</row>
    <row r="70" spans="1:26" s="694" customFormat="1" x14ac:dyDescent="0.3">
      <c r="A70" s="133"/>
      <c r="B70" s="700" t="s">
        <v>1061</v>
      </c>
      <c r="C70" s="690" t="s">
        <v>28</v>
      </c>
      <c r="D70" s="691" t="s">
        <v>1045</v>
      </c>
      <c r="E70" s="696">
        <v>477</v>
      </c>
      <c r="F70" s="692"/>
      <c r="G70" s="69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</row>
    <row r="71" spans="1:26" s="694" customFormat="1" x14ac:dyDescent="0.3">
      <c r="A71" s="133"/>
      <c r="B71" s="689" t="s">
        <v>1062</v>
      </c>
      <c r="C71" s="690" t="s">
        <v>28</v>
      </c>
      <c r="D71" s="691" t="s">
        <v>1036</v>
      </c>
      <c r="E71" s="698">
        <v>136</v>
      </c>
      <c r="F71" s="692"/>
      <c r="G71" s="69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</row>
    <row r="72" spans="1:26" s="694" customFormat="1" x14ac:dyDescent="0.3">
      <c r="A72" s="133"/>
      <c r="B72" s="689" t="s">
        <v>1062</v>
      </c>
      <c r="C72" s="690" t="s">
        <v>28</v>
      </c>
      <c r="D72" s="691" t="s">
        <v>1036</v>
      </c>
      <c r="E72" s="698">
        <v>136</v>
      </c>
      <c r="F72" s="692"/>
      <c r="G72" s="69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</row>
    <row r="73" spans="1:26" s="694" customFormat="1" x14ac:dyDescent="0.3">
      <c r="A73" s="133"/>
      <c r="B73" s="695" t="s">
        <v>40</v>
      </c>
      <c r="C73" s="690" t="s">
        <v>28</v>
      </c>
      <c r="D73" s="696" t="s">
        <v>974</v>
      </c>
      <c r="E73" s="696">
        <v>180</v>
      </c>
      <c r="F73" s="692"/>
      <c r="G73" s="69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</row>
    <row r="74" spans="1:26" s="694" customFormat="1" x14ac:dyDescent="0.3">
      <c r="A74" s="133"/>
      <c r="B74" s="695" t="s">
        <v>41</v>
      </c>
      <c r="C74" s="690" t="s">
        <v>28</v>
      </c>
      <c r="D74" s="696" t="s">
        <v>11</v>
      </c>
      <c r="E74" s="696">
        <v>238</v>
      </c>
      <c r="F74" s="692"/>
      <c r="G74" s="69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</row>
    <row r="75" spans="1:26" s="694" customFormat="1" x14ac:dyDescent="0.3">
      <c r="A75" s="133"/>
      <c r="B75" s="689" t="s">
        <v>138</v>
      </c>
      <c r="C75" s="690" t="s">
        <v>28</v>
      </c>
      <c r="D75" s="691" t="s">
        <v>941</v>
      </c>
      <c r="E75" s="698">
        <v>11</v>
      </c>
      <c r="F75" s="692">
        <f>E75</f>
        <v>11</v>
      </c>
      <c r="G75" s="69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</row>
    <row r="76" spans="1:26" s="694" customFormat="1" x14ac:dyDescent="0.3">
      <c r="A76" s="133"/>
      <c r="B76" s="695" t="s">
        <v>42</v>
      </c>
      <c r="C76" s="690" t="s">
        <v>28</v>
      </c>
      <c r="D76" s="691" t="s">
        <v>1045</v>
      </c>
      <c r="E76" s="698">
        <v>495</v>
      </c>
      <c r="F76" s="692"/>
      <c r="G76" s="69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</row>
    <row r="77" spans="1:26" s="694" customFormat="1" x14ac:dyDescent="0.3">
      <c r="A77" s="133"/>
      <c r="B77" s="700" t="s">
        <v>1050</v>
      </c>
      <c r="C77" s="690" t="s">
        <v>28</v>
      </c>
      <c r="D77" s="696" t="s">
        <v>941</v>
      </c>
      <c r="E77" s="696">
        <v>0.9</v>
      </c>
      <c r="F77" s="701">
        <v>0.86</v>
      </c>
      <c r="G77" s="702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</row>
    <row r="78" spans="1:26" s="6" customFormat="1" x14ac:dyDescent="0.3">
      <c r="A78" s="44"/>
      <c r="B78" s="27" t="s">
        <v>972</v>
      </c>
      <c r="C78" s="524" t="s">
        <v>788</v>
      </c>
      <c r="D78" s="28" t="s">
        <v>4</v>
      </c>
      <c r="E78" s="81">
        <v>7</v>
      </c>
      <c r="F78" s="468">
        <f>E78/100</f>
        <v>7.0000000000000007E-2</v>
      </c>
      <c r="G78" s="469"/>
      <c r="H78" s="133"/>
      <c r="I78" s="133"/>
      <c r="J78" s="44"/>
      <c r="K78" s="133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</row>
    <row r="79" spans="1:26" s="6" customFormat="1" x14ac:dyDescent="0.3">
      <c r="A79" s="44"/>
      <c r="B79" s="27" t="s">
        <v>1124</v>
      </c>
      <c r="C79" s="524" t="s">
        <v>788</v>
      </c>
      <c r="D79" s="28" t="s">
        <v>944</v>
      </c>
      <c r="E79" s="81">
        <v>0.5</v>
      </c>
      <c r="F79" s="284">
        <v>0.5</v>
      </c>
      <c r="G79" s="283"/>
      <c r="H79" s="133"/>
      <c r="I79" s="133"/>
      <c r="J79" s="44"/>
      <c r="K79" s="133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</row>
    <row r="80" spans="1:26" s="6" customFormat="1" x14ac:dyDescent="0.3">
      <c r="A80" s="44"/>
      <c r="B80" s="27" t="s">
        <v>5</v>
      </c>
      <c r="C80" s="524" t="s">
        <v>788</v>
      </c>
      <c r="D80" s="28" t="s">
        <v>6</v>
      </c>
      <c r="E80" s="81">
        <v>30</v>
      </c>
      <c r="F80" s="284">
        <f>E80/5</f>
        <v>6</v>
      </c>
      <c r="G80" s="283"/>
      <c r="H80" s="133"/>
      <c r="I80" s="133"/>
      <c r="J80" s="44"/>
      <c r="K80" s="133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</row>
    <row r="81" spans="1:26" s="6" customFormat="1" x14ac:dyDescent="0.3">
      <c r="A81" s="44"/>
      <c r="B81" s="27" t="s">
        <v>7</v>
      </c>
      <c r="C81" s="524" t="s">
        <v>788</v>
      </c>
      <c r="D81" s="28" t="s">
        <v>941</v>
      </c>
      <c r="E81" s="81">
        <v>2</v>
      </c>
      <c r="F81" s="284">
        <f>E81</f>
        <v>2</v>
      </c>
      <c r="G81" s="283"/>
      <c r="H81" s="133"/>
      <c r="I81" s="133"/>
      <c r="J81" s="44"/>
      <c r="K81" s="133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</row>
    <row r="82" spans="1:26" s="6" customFormat="1" x14ac:dyDescent="0.3">
      <c r="A82" s="44"/>
      <c r="B82" s="27" t="s">
        <v>8</v>
      </c>
      <c r="C82" s="524" t="s">
        <v>788</v>
      </c>
      <c r="D82" s="28" t="s">
        <v>9</v>
      </c>
      <c r="E82" s="81">
        <v>75</v>
      </c>
      <c r="F82" s="284">
        <f>E82/250</f>
        <v>0.3</v>
      </c>
      <c r="G82" s="283"/>
      <c r="H82" s="133"/>
      <c r="I82" s="133"/>
      <c r="J82" s="44"/>
      <c r="K82" s="133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</row>
    <row r="83" spans="1:26" s="6" customFormat="1" x14ac:dyDescent="0.3">
      <c r="A83" s="44"/>
      <c r="B83" s="27" t="s">
        <v>74</v>
      </c>
      <c r="C83" s="524" t="s">
        <v>788</v>
      </c>
      <c r="D83" s="28" t="s">
        <v>944</v>
      </c>
      <c r="E83" s="81">
        <v>20</v>
      </c>
      <c r="F83" s="284">
        <f>E83/100</f>
        <v>0.2</v>
      </c>
      <c r="G83" s="283"/>
      <c r="H83" s="133"/>
      <c r="I83" s="133"/>
      <c r="J83" s="44"/>
      <c r="K83" s="133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</row>
    <row r="84" spans="1:26" s="6" customFormat="1" x14ac:dyDescent="0.3">
      <c r="A84" s="44"/>
      <c r="B84" s="27" t="s">
        <v>1116</v>
      </c>
      <c r="C84" s="524" t="s">
        <v>788</v>
      </c>
      <c r="D84" s="28" t="s">
        <v>14</v>
      </c>
      <c r="E84" s="226">
        <v>34</v>
      </c>
      <c r="F84" s="284">
        <f>E84/2</f>
        <v>17</v>
      </c>
      <c r="G84" s="283"/>
      <c r="H84" s="133"/>
      <c r="I84" s="133"/>
      <c r="J84" s="44"/>
      <c r="K84" s="133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</row>
    <row r="85" spans="1:26" s="6" customFormat="1" x14ac:dyDescent="0.3">
      <c r="A85" s="44"/>
      <c r="B85" s="27" t="s">
        <v>942</v>
      </c>
      <c r="C85" s="524" t="s">
        <v>788</v>
      </c>
      <c r="D85" s="28" t="s">
        <v>10</v>
      </c>
      <c r="E85" s="81">
        <v>24.6</v>
      </c>
      <c r="F85" s="284">
        <v>0.3</v>
      </c>
      <c r="G85" s="158">
        <f>E85/H85</f>
        <v>0.27771505983291944</v>
      </c>
      <c r="H85" s="133">
        <v>88.58</v>
      </c>
      <c r="I85" s="133"/>
      <c r="J85" s="44"/>
      <c r="K85" s="133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</row>
    <row r="86" spans="1:26" s="6" customFormat="1" x14ac:dyDescent="0.3">
      <c r="A86" s="44"/>
      <c r="B86" s="27" t="s">
        <v>972</v>
      </c>
      <c r="C86" s="524" t="s">
        <v>29</v>
      </c>
      <c r="D86" s="28" t="s">
        <v>4</v>
      </c>
      <c r="E86" s="81">
        <v>7</v>
      </c>
      <c r="F86" s="468">
        <f>E86/100</f>
        <v>7.0000000000000007E-2</v>
      </c>
      <c r="G86" s="469"/>
      <c r="H86" s="133"/>
      <c r="I86" s="133"/>
      <c r="J86" s="44"/>
      <c r="K86" s="133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</row>
    <row r="87" spans="1:26" s="270" customFormat="1" x14ac:dyDescent="0.3">
      <c r="A87" s="472"/>
      <c r="B87" s="27" t="s">
        <v>141</v>
      </c>
      <c r="C87" s="640" t="s">
        <v>29</v>
      </c>
      <c r="D87" s="28" t="s">
        <v>967</v>
      </c>
      <c r="E87" s="81">
        <v>48</v>
      </c>
      <c r="F87" s="284">
        <f>E87/1000</f>
        <v>4.8000000000000001E-2</v>
      </c>
      <c r="G87" s="283"/>
      <c r="H87" s="473"/>
      <c r="I87" s="473"/>
      <c r="J87" s="472"/>
      <c r="K87" s="473"/>
      <c r="L87" s="472"/>
      <c r="M87" s="472"/>
      <c r="N87" s="472"/>
      <c r="O87" s="472"/>
      <c r="P87" s="472"/>
      <c r="Q87" s="472"/>
      <c r="R87" s="472"/>
      <c r="S87" s="472"/>
      <c r="T87" s="472"/>
      <c r="U87" s="472"/>
      <c r="V87" s="472"/>
      <c r="W87" s="472"/>
      <c r="X87" s="472"/>
      <c r="Y87" s="472"/>
      <c r="Z87" s="472"/>
    </row>
    <row r="88" spans="1:26" s="6" customFormat="1" x14ac:dyDescent="0.3">
      <c r="A88" s="44"/>
      <c r="B88" s="27" t="s">
        <v>1124</v>
      </c>
      <c r="C88" s="524" t="s">
        <v>29</v>
      </c>
      <c r="D88" s="28" t="s">
        <v>944</v>
      </c>
      <c r="E88" s="81">
        <v>0.5</v>
      </c>
      <c r="F88" s="284">
        <v>0.5</v>
      </c>
      <c r="G88" s="283"/>
      <c r="H88" s="133"/>
      <c r="I88" s="133"/>
      <c r="J88" s="44"/>
      <c r="K88" s="133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</row>
    <row r="89" spans="1:26" s="6" customFormat="1" x14ac:dyDescent="0.3">
      <c r="A89" s="44"/>
      <c r="B89" s="27" t="s">
        <v>5</v>
      </c>
      <c r="C89" s="524" t="s">
        <v>29</v>
      </c>
      <c r="D89" s="28" t="s">
        <v>6</v>
      </c>
      <c r="E89" s="81">
        <v>30</v>
      </c>
      <c r="F89" s="284">
        <f>E89/5</f>
        <v>6</v>
      </c>
      <c r="G89" s="283"/>
      <c r="H89" s="133"/>
      <c r="I89" s="133"/>
      <c r="J89" s="44"/>
      <c r="K89" s="133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</row>
    <row r="90" spans="1:26" s="6" customFormat="1" x14ac:dyDescent="0.3">
      <c r="A90" s="44"/>
      <c r="B90" s="27" t="s">
        <v>7</v>
      </c>
      <c r="C90" s="524" t="s">
        <v>29</v>
      </c>
      <c r="D90" s="28" t="s">
        <v>941</v>
      </c>
      <c r="E90" s="81">
        <v>2</v>
      </c>
      <c r="F90" s="284">
        <f>E90</f>
        <v>2</v>
      </c>
      <c r="G90" s="283"/>
      <c r="H90" s="133"/>
      <c r="I90" s="133"/>
      <c r="J90" s="44"/>
      <c r="K90" s="133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</row>
    <row r="91" spans="1:26" s="6" customFormat="1" x14ac:dyDescent="0.3">
      <c r="A91" s="44"/>
      <c r="B91" s="27" t="s">
        <v>8</v>
      </c>
      <c r="C91" s="524" t="s">
        <v>29</v>
      </c>
      <c r="D91" s="28" t="s">
        <v>9</v>
      </c>
      <c r="E91" s="81">
        <v>75</v>
      </c>
      <c r="F91" s="284">
        <f>E91/250</f>
        <v>0.3</v>
      </c>
      <c r="G91" s="283"/>
      <c r="H91" s="133"/>
      <c r="I91" s="133"/>
      <c r="J91" s="44"/>
      <c r="K91" s="133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</row>
    <row r="92" spans="1:26" s="6" customFormat="1" x14ac:dyDescent="0.3">
      <c r="A92" s="44"/>
      <c r="B92" s="27" t="s">
        <v>1116</v>
      </c>
      <c r="C92" s="524" t="s">
        <v>29</v>
      </c>
      <c r="D92" s="28" t="s">
        <v>14</v>
      </c>
      <c r="E92" s="226">
        <v>34</v>
      </c>
      <c r="F92" s="284">
        <f>E92/2</f>
        <v>17</v>
      </c>
      <c r="G92" s="283"/>
      <c r="H92" s="133"/>
      <c r="I92" s="133"/>
      <c r="J92" s="44"/>
      <c r="K92" s="133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</row>
    <row r="93" spans="1:26" s="6" customFormat="1" x14ac:dyDescent="0.3">
      <c r="A93" s="44"/>
      <c r="B93" s="27" t="s">
        <v>934</v>
      </c>
      <c r="C93" s="524" t="s">
        <v>29</v>
      </c>
      <c r="D93" s="28" t="s">
        <v>935</v>
      </c>
      <c r="E93" s="81">
        <v>2.8</v>
      </c>
      <c r="F93" s="284">
        <f>E93</f>
        <v>2.8</v>
      </c>
      <c r="G93" s="283"/>
      <c r="H93" s="133"/>
      <c r="I93" s="133"/>
      <c r="J93" s="44"/>
      <c r="K93" s="133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</row>
    <row r="94" spans="1:26" s="6" customFormat="1" x14ac:dyDescent="0.3">
      <c r="A94" s="44"/>
      <c r="B94" s="27" t="s">
        <v>942</v>
      </c>
      <c r="C94" s="524" t="s">
        <v>29</v>
      </c>
      <c r="D94" s="28" t="s">
        <v>10</v>
      </c>
      <c r="E94" s="81">
        <v>24.6</v>
      </c>
      <c r="F94" s="284">
        <v>0.3</v>
      </c>
      <c r="G94" s="158">
        <f>E94/H94</f>
        <v>0.27771505983291944</v>
      </c>
      <c r="H94" s="133">
        <v>88.58</v>
      </c>
      <c r="I94" s="133"/>
      <c r="J94" s="44"/>
      <c r="K94" s="133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</row>
    <row r="95" spans="1:26" s="6" customFormat="1" x14ac:dyDescent="0.3">
      <c r="A95" s="44"/>
      <c r="B95" s="27" t="s">
        <v>972</v>
      </c>
      <c r="C95" s="524" t="s">
        <v>15</v>
      </c>
      <c r="D95" s="28" t="s">
        <v>4</v>
      </c>
      <c r="E95" s="81">
        <v>7</v>
      </c>
      <c r="F95" s="468">
        <f>E95/100</f>
        <v>7.0000000000000007E-2</v>
      </c>
      <c r="G95" s="469"/>
      <c r="H95" s="133"/>
      <c r="I95" s="133"/>
      <c r="J95" s="44"/>
      <c r="K95" s="133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</row>
    <row r="96" spans="1:26" s="270" customFormat="1" x14ac:dyDescent="0.3">
      <c r="A96" s="472"/>
      <c r="B96" s="27" t="s">
        <v>141</v>
      </c>
      <c r="C96" s="640" t="s">
        <v>15</v>
      </c>
      <c r="D96" s="28" t="s">
        <v>967</v>
      </c>
      <c r="E96" s="81">
        <v>48</v>
      </c>
      <c r="F96" s="284">
        <f>E96/1000</f>
        <v>4.8000000000000001E-2</v>
      </c>
      <c r="G96" s="283"/>
      <c r="H96" s="473"/>
      <c r="I96" s="473"/>
      <c r="J96" s="472"/>
      <c r="K96" s="473"/>
      <c r="L96" s="472"/>
      <c r="M96" s="472"/>
      <c r="N96" s="472"/>
      <c r="O96" s="472"/>
      <c r="P96" s="472"/>
      <c r="Q96" s="472"/>
      <c r="R96" s="472"/>
      <c r="S96" s="472"/>
      <c r="T96" s="472"/>
      <c r="U96" s="472"/>
      <c r="V96" s="472"/>
      <c r="W96" s="472"/>
      <c r="X96" s="472"/>
      <c r="Y96" s="472"/>
      <c r="Z96" s="472"/>
    </row>
    <row r="97" spans="1:26" s="6" customFormat="1" x14ac:dyDescent="0.3">
      <c r="A97" s="44"/>
      <c r="B97" s="27" t="s">
        <v>1124</v>
      </c>
      <c r="C97" s="524" t="s">
        <v>15</v>
      </c>
      <c r="D97" s="28" t="s">
        <v>944</v>
      </c>
      <c r="E97" s="81">
        <v>0.5</v>
      </c>
      <c r="F97" s="284">
        <v>0.5</v>
      </c>
      <c r="G97" s="283"/>
      <c r="H97" s="133"/>
      <c r="I97" s="133"/>
      <c r="J97" s="44"/>
      <c r="K97" s="133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</row>
    <row r="98" spans="1:26" s="6" customFormat="1" x14ac:dyDescent="0.3">
      <c r="A98" s="44"/>
      <c r="B98" s="27" t="s">
        <v>7</v>
      </c>
      <c r="C98" s="524" t="s">
        <v>15</v>
      </c>
      <c r="D98" s="28" t="s">
        <v>941</v>
      </c>
      <c r="E98" s="81">
        <v>2</v>
      </c>
      <c r="F98" s="284">
        <f>E98</f>
        <v>2</v>
      </c>
      <c r="G98" s="283"/>
      <c r="H98" s="133"/>
      <c r="I98" s="133"/>
      <c r="J98" s="44"/>
      <c r="K98" s="133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</row>
    <row r="99" spans="1:26" s="6" customFormat="1" x14ac:dyDescent="0.3">
      <c r="A99" s="44"/>
      <c r="B99" s="27" t="s">
        <v>8</v>
      </c>
      <c r="C99" s="524" t="s">
        <v>15</v>
      </c>
      <c r="D99" s="28" t="s">
        <v>9</v>
      </c>
      <c r="E99" s="81">
        <v>75</v>
      </c>
      <c r="F99" s="284">
        <f>E99/250</f>
        <v>0.3</v>
      </c>
      <c r="G99" s="283"/>
      <c r="H99" s="133"/>
      <c r="I99" s="133"/>
      <c r="J99" s="44"/>
      <c r="K99" s="133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</row>
    <row r="100" spans="1:26" s="6" customFormat="1" x14ac:dyDescent="0.3">
      <c r="A100" s="44"/>
      <c r="B100" s="27" t="s">
        <v>1116</v>
      </c>
      <c r="C100" s="524" t="s">
        <v>15</v>
      </c>
      <c r="D100" s="28" t="s">
        <v>14</v>
      </c>
      <c r="E100" s="226">
        <v>34</v>
      </c>
      <c r="F100" s="284">
        <f>E100/2</f>
        <v>17</v>
      </c>
      <c r="G100" s="283"/>
      <c r="H100" s="133"/>
      <c r="I100" s="133"/>
      <c r="J100" s="44"/>
      <c r="K100" s="133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</row>
    <row r="101" spans="1:26" s="6" customFormat="1" x14ac:dyDescent="0.3">
      <c r="A101" s="44"/>
      <c r="B101" s="27" t="s">
        <v>43</v>
      </c>
      <c r="C101" s="524" t="s">
        <v>15</v>
      </c>
      <c r="D101" s="28" t="s">
        <v>941</v>
      </c>
      <c r="E101" s="81">
        <v>18</v>
      </c>
      <c r="F101" s="284">
        <v>18</v>
      </c>
      <c r="G101" s="283"/>
      <c r="H101" s="133"/>
      <c r="I101" s="133"/>
      <c r="J101" s="44"/>
      <c r="K101" s="133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</row>
    <row r="102" spans="1:26" s="6" customFormat="1" x14ac:dyDescent="0.3">
      <c r="A102" s="44"/>
      <c r="B102" s="27" t="s">
        <v>934</v>
      </c>
      <c r="C102" s="524" t="s">
        <v>15</v>
      </c>
      <c r="D102" s="28" t="s">
        <v>935</v>
      </c>
      <c r="E102" s="81">
        <v>2.8</v>
      </c>
      <c r="F102" s="284">
        <f>E102</f>
        <v>2.8</v>
      </c>
      <c r="G102" s="283"/>
      <c r="H102" s="133"/>
      <c r="I102" s="133"/>
      <c r="J102" s="44"/>
      <c r="K102" s="133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</row>
    <row r="103" spans="1:26" s="6" customFormat="1" x14ac:dyDescent="0.3">
      <c r="A103" s="44"/>
      <c r="B103" s="27" t="s">
        <v>942</v>
      </c>
      <c r="C103" s="524" t="s">
        <v>15</v>
      </c>
      <c r="D103" s="28" t="s">
        <v>10</v>
      </c>
      <c r="E103" s="81">
        <v>24.6</v>
      </c>
      <c r="F103" s="284">
        <v>0.3</v>
      </c>
      <c r="G103" s="158">
        <f>E103/H103</f>
        <v>0.27771505983291944</v>
      </c>
      <c r="H103" s="133">
        <v>88.58</v>
      </c>
      <c r="I103" s="133"/>
      <c r="J103" s="44"/>
      <c r="K103" s="133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</row>
    <row r="104" spans="1:26" s="6" customFormat="1" x14ac:dyDescent="0.3">
      <c r="A104" s="44"/>
      <c r="B104" s="27" t="s">
        <v>92</v>
      </c>
      <c r="C104" s="524" t="s">
        <v>15</v>
      </c>
      <c r="D104" s="28" t="s">
        <v>941</v>
      </c>
      <c r="E104" s="366">
        <v>3.3E-3</v>
      </c>
      <c r="F104" s="284">
        <f>E104</f>
        <v>3.3E-3</v>
      </c>
      <c r="G104" s="283"/>
      <c r="H104" s="133"/>
      <c r="I104" s="133"/>
      <c r="J104" s="44"/>
      <c r="K104" s="133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</row>
    <row r="105" spans="1:26" s="6" customFormat="1" x14ac:dyDescent="0.3">
      <c r="A105" s="44"/>
      <c r="B105" s="27" t="s">
        <v>1030</v>
      </c>
      <c r="C105" s="524" t="s">
        <v>16</v>
      </c>
      <c r="D105" s="28" t="s">
        <v>941</v>
      </c>
      <c r="E105" s="81">
        <v>7.13</v>
      </c>
      <c r="F105" s="284">
        <f>E105/10</f>
        <v>0.71299999999999997</v>
      </c>
      <c r="G105" s="283"/>
      <c r="H105" s="133"/>
      <c r="I105" s="133"/>
      <c r="J105" s="44"/>
      <c r="K105" s="133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</row>
    <row r="106" spans="1:26" s="6" customFormat="1" x14ac:dyDescent="0.3">
      <c r="A106" s="44"/>
      <c r="B106" s="27" t="s">
        <v>972</v>
      </c>
      <c r="C106" s="524" t="s">
        <v>16</v>
      </c>
      <c r="D106" s="28" t="s">
        <v>4</v>
      </c>
      <c r="E106" s="81">
        <v>7</v>
      </c>
      <c r="F106" s="468">
        <f>E106/100</f>
        <v>7.0000000000000007E-2</v>
      </c>
      <c r="G106" s="469"/>
      <c r="H106" s="133"/>
      <c r="I106" s="133"/>
      <c r="J106" s="44"/>
      <c r="K106" s="133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</row>
    <row r="107" spans="1:26" s="6" customFormat="1" x14ac:dyDescent="0.3">
      <c r="A107" s="44"/>
      <c r="B107" s="27" t="s">
        <v>17</v>
      </c>
      <c r="C107" s="524" t="s">
        <v>16</v>
      </c>
      <c r="D107" s="28" t="s">
        <v>18</v>
      </c>
      <c r="E107" s="81">
        <v>9.08</v>
      </c>
      <c r="F107" s="470">
        <f>E107/10</f>
        <v>0.90800000000000003</v>
      </c>
      <c r="G107" s="471"/>
      <c r="H107" s="133"/>
      <c r="I107" s="133"/>
      <c r="J107" s="44"/>
      <c r="K107" s="133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</row>
    <row r="108" spans="1:26" s="6" customFormat="1" x14ac:dyDescent="0.3">
      <c r="A108" s="44"/>
      <c r="B108" s="27" t="s">
        <v>7</v>
      </c>
      <c r="C108" s="524" t="s">
        <v>16</v>
      </c>
      <c r="D108" s="28" t="s">
        <v>941</v>
      </c>
      <c r="E108" s="81">
        <v>2</v>
      </c>
      <c r="F108" s="284">
        <f>E108</f>
        <v>2</v>
      </c>
      <c r="G108" s="283"/>
      <c r="H108" s="133"/>
      <c r="I108" s="133"/>
      <c r="J108" s="44"/>
      <c r="K108" s="133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</row>
    <row r="109" spans="1:26" s="6" customFormat="1" x14ac:dyDescent="0.3">
      <c r="A109" s="44"/>
      <c r="B109" s="27" t="s">
        <v>8</v>
      </c>
      <c r="C109" s="524" t="s">
        <v>16</v>
      </c>
      <c r="D109" s="28" t="s">
        <v>9</v>
      </c>
      <c r="E109" s="81">
        <v>75</v>
      </c>
      <c r="F109" s="284">
        <f>E109/250</f>
        <v>0.3</v>
      </c>
      <c r="G109" s="283"/>
      <c r="H109" s="133"/>
      <c r="I109" s="133"/>
      <c r="J109" s="44"/>
      <c r="K109" s="133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</row>
    <row r="110" spans="1:26" s="6" customFormat="1" x14ac:dyDescent="0.3">
      <c r="A110" s="44"/>
      <c r="B110" s="27" t="s">
        <v>1174</v>
      </c>
      <c r="C110" s="524" t="s">
        <v>16</v>
      </c>
      <c r="D110" s="28" t="s">
        <v>9</v>
      </c>
      <c r="E110" s="81">
        <v>11.31</v>
      </c>
      <c r="F110" s="284">
        <f>E110/400</f>
        <v>2.8275000000000002E-2</v>
      </c>
      <c r="G110" s="283"/>
      <c r="H110" s="133"/>
      <c r="I110" s="133"/>
      <c r="J110" s="44"/>
      <c r="K110" s="133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</row>
    <row r="111" spans="1:26" s="6" customFormat="1" x14ac:dyDescent="0.3">
      <c r="A111" s="44"/>
      <c r="B111" s="27" t="s">
        <v>934</v>
      </c>
      <c r="C111" s="524" t="s">
        <v>16</v>
      </c>
      <c r="D111" s="28" t="s">
        <v>935</v>
      </c>
      <c r="E111" s="81">
        <v>2.8</v>
      </c>
      <c r="F111" s="284">
        <f>E111</f>
        <v>2.8</v>
      </c>
      <c r="G111" s="283"/>
      <c r="H111" s="133"/>
      <c r="I111" s="133"/>
      <c r="J111" s="44"/>
      <c r="K111" s="133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</row>
    <row r="112" spans="1:26" s="6" customFormat="1" x14ac:dyDescent="0.3">
      <c r="A112" s="44"/>
      <c r="B112" s="27" t="s">
        <v>942</v>
      </c>
      <c r="C112" s="524" t="s">
        <v>16</v>
      </c>
      <c r="D112" s="28" t="s">
        <v>10</v>
      </c>
      <c r="E112" s="81">
        <v>24.6</v>
      </c>
      <c r="F112" s="284">
        <v>0.3</v>
      </c>
      <c r="G112" s="158">
        <f>E112/H112</f>
        <v>0.27771505983291944</v>
      </c>
      <c r="H112" s="133">
        <v>88.58</v>
      </c>
      <c r="I112" s="133"/>
      <c r="J112" s="44"/>
      <c r="K112" s="133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</row>
    <row r="113" spans="1:26" s="6" customFormat="1" x14ac:dyDescent="0.3">
      <c r="A113" s="44"/>
      <c r="B113" s="474" t="s">
        <v>24</v>
      </c>
      <c r="C113" s="524" t="s">
        <v>1093</v>
      </c>
      <c r="D113" s="228" t="s">
        <v>941</v>
      </c>
      <c r="E113" s="226">
        <v>8</v>
      </c>
      <c r="F113" s="470">
        <f>E113</f>
        <v>8</v>
      </c>
      <c r="G113" s="471"/>
      <c r="H113" s="133"/>
      <c r="I113" s="133"/>
      <c r="J113" s="44"/>
      <c r="K113" s="133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</row>
    <row r="114" spans="1:26" s="6" customFormat="1" x14ac:dyDescent="0.3">
      <c r="A114" s="44"/>
      <c r="B114" s="27" t="s">
        <v>1124</v>
      </c>
      <c r="C114" s="524" t="s">
        <v>1093</v>
      </c>
      <c r="D114" s="28" t="s">
        <v>944</v>
      </c>
      <c r="E114" s="81">
        <v>0.5</v>
      </c>
      <c r="F114" s="284">
        <v>0.5</v>
      </c>
      <c r="G114" s="283"/>
      <c r="H114" s="133"/>
      <c r="I114" s="133"/>
      <c r="J114" s="44"/>
      <c r="K114" s="133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</row>
    <row r="115" spans="1:26" s="6" customFormat="1" x14ac:dyDescent="0.3">
      <c r="A115" s="44"/>
      <c r="B115" s="27" t="s">
        <v>8</v>
      </c>
      <c r="C115" s="524" t="s">
        <v>1093</v>
      </c>
      <c r="D115" s="28" t="s">
        <v>9</v>
      </c>
      <c r="E115" s="81">
        <v>75</v>
      </c>
      <c r="F115" s="284">
        <f>E115/250</f>
        <v>0.3</v>
      </c>
      <c r="G115" s="283"/>
      <c r="H115" s="133"/>
      <c r="I115" s="133"/>
      <c r="J115" s="44"/>
      <c r="K115" s="133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</row>
    <row r="116" spans="1:26" s="6" customFormat="1" x14ac:dyDescent="0.3">
      <c r="A116" s="44"/>
      <c r="B116" s="474" t="s">
        <v>1026</v>
      </c>
      <c r="C116" s="524" t="s">
        <v>1093</v>
      </c>
      <c r="D116" s="228" t="s">
        <v>941</v>
      </c>
      <c r="E116" s="226">
        <v>27</v>
      </c>
      <c r="F116" s="470">
        <f>E116</f>
        <v>27</v>
      </c>
      <c r="G116" s="471"/>
      <c r="H116" s="133"/>
      <c r="I116" s="133"/>
      <c r="J116" s="44"/>
      <c r="K116" s="133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</row>
    <row r="117" spans="1:26" s="6" customFormat="1" x14ac:dyDescent="0.3">
      <c r="A117" s="44"/>
      <c r="B117" s="474" t="s">
        <v>1027</v>
      </c>
      <c r="C117" s="524" t="s">
        <v>1093</v>
      </c>
      <c r="D117" s="228" t="s">
        <v>941</v>
      </c>
      <c r="E117" s="226">
        <v>40</v>
      </c>
      <c r="F117" s="470">
        <f>E117</f>
        <v>40</v>
      </c>
      <c r="G117" s="471"/>
      <c r="H117" s="133"/>
      <c r="I117" s="133"/>
      <c r="J117" s="44"/>
      <c r="K117" s="133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</row>
    <row r="118" spans="1:26" s="6" customFormat="1" x14ac:dyDescent="0.3">
      <c r="A118" s="44"/>
      <c r="B118" s="474" t="s">
        <v>1024</v>
      </c>
      <c r="C118" s="524" t="s">
        <v>1093</v>
      </c>
      <c r="D118" s="228" t="s">
        <v>941</v>
      </c>
      <c r="E118" s="226">
        <v>97.3</v>
      </c>
      <c r="F118" s="470">
        <f>E118</f>
        <v>97.3</v>
      </c>
      <c r="G118" s="471"/>
      <c r="H118" s="133"/>
      <c r="I118" s="133"/>
      <c r="J118" s="44"/>
      <c r="K118" s="133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</row>
    <row r="119" spans="1:26" s="6" customFormat="1" x14ac:dyDescent="0.3">
      <c r="A119" s="44"/>
      <c r="B119" s="474" t="s">
        <v>934</v>
      </c>
      <c r="C119" s="524" t="s">
        <v>1093</v>
      </c>
      <c r="D119" s="28" t="s">
        <v>935</v>
      </c>
      <c r="E119" s="81">
        <v>2.8</v>
      </c>
      <c r="F119" s="284">
        <f>E119</f>
        <v>2.8</v>
      </c>
      <c r="G119" s="283"/>
      <c r="H119" s="133"/>
      <c r="I119" s="133"/>
      <c r="J119" s="44"/>
      <c r="K119" s="133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</row>
    <row r="120" spans="1:26" s="6" customFormat="1" x14ac:dyDescent="0.3">
      <c r="A120" s="44"/>
      <c r="B120" s="27" t="s">
        <v>942</v>
      </c>
      <c r="C120" s="524" t="s">
        <v>1093</v>
      </c>
      <c r="D120" s="28" t="s">
        <v>10</v>
      </c>
      <c r="E120" s="81">
        <v>24.6</v>
      </c>
      <c r="F120" s="284">
        <v>0.3</v>
      </c>
      <c r="G120" s="158">
        <f>E120/H120</f>
        <v>0.27771505983291944</v>
      </c>
      <c r="H120" s="133">
        <v>88.58</v>
      </c>
      <c r="I120" s="133"/>
      <c r="J120" s="44"/>
      <c r="K120" s="133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</row>
    <row r="121" spans="1:26" s="6" customFormat="1" x14ac:dyDescent="0.3">
      <c r="A121" s="44"/>
      <c r="B121" s="474" t="s">
        <v>1025</v>
      </c>
      <c r="C121" s="524" t="s">
        <v>1093</v>
      </c>
      <c r="D121" s="228" t="s">
        <v>941</v>
      </c>
      <c r="E121" s="226">
        <v>54</v>
      </c>
      <c r="F121" s="470">
        <f>E121</f>
        <v>54</v>
      </c>
      <c r="G121" s="471"/>
      <c r="H121" s="133"/>
      <c r="I121" s="133"/>
      <c r="J121" s="44"/>
      <c r="K121" s="133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</row>
    <row r="122" spans="1:26" s="6" customFormat="1" x14ac:dyDescent="0.3">
      <c r="A122" s="44"/>
      <c r="B122" s="27" t="s">
        <v>972</v>
      </c>
      <c r="C122" s="524" t="s">
        <v>19</v>
      </c>
      <c r="D122" s="28" t="s">
        <v>4</v>
      </c>
      <c r="E122" s="81">
        <v>7</v>
      </c>
      <c r="F122" s="468">
        <f>E122/100</f>
        <v>7.0000000000000007E-2</v>
      </c>
      <c r="G122" s="469"/>
      <c r="H122" s="133"/>
      <c r="I122" s="133"/>
      <c r="J122" s="44"/>
      <c r="K122" s="133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</row>
    <row r="123" spans="1:26" s="6" customFormat="1" x14ac:dyDescent="0.3">
      <c r="A123" s="44"/>
      <c r="B123" s="27" t="s">
        <v>1124</v>
      </c>
      <c r="C123" s="524" t="s">
        <v>19</v>
      </c>
      <c r="D123" s="28" t="s">
        <v>944</v>
      </c>
      <c r="E123" s="81">
        <v>0.5</v>
      </c>
      <c r="F123" s="284">
        <v>0.5</v>
      </c>
      <c r="G123" s="283"/>
      <c r="H123" s="133"/>
      <c r="I123" s="133"/>
      <c r="J123" s="44"/>
      <c r="K123" s="133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</row>
    <row r="124" spans="1:26" s="6" customFormat="1" x14ac:dyDescent="0.3">
      <c r="A124" s="44"/>
      <c r="B124" s="27" t="s">
        <v>5</v>
      </c>
      <c r="C124" s="524" t="s">
        <v>19</v>
      </c>
      <c r="D124" s="28" t="s">
        <v>6</v>
      </c>
      <c r="E124" s="81">
        <v>30</v>
      </c>
      <c r="F124" s="284">
        <f>E124/5</f>
        <v>6</v>
      </c>
      <c r="G124" s="283"/>
      <c r="H124" s="133"/>
      <c r="I124" s="133"/>
      <c r="J124" s="44"/>
      <c r="K124" s="133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</row>
    <row r="125" spans="1:26" s="6" customFormat="1" x14ac:dyDescent="0.3">
      <c r="A125" s="44"/>
      <c r="B125" s="27" t="s">
        <v>7</v>
      </c>
      <c r="C125" s="524" t="s">
        <v>19</v>
      </c>
      <c r="D125" s="28" t="s">
        <v>941</v>
      </c>
      <c r="E125" s="81">
        <v>2</v>
      </c>
      <c r="F125" s="284">
        <f>E125</f>
        <v>2</v>
      </c>
      <c r="G125" s="283"/>
      <c r="H125" s="133"/>
      <c r="I125" s="133"/>
      <c r="J125" s="44"/>
      <c r="K125" s="133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</row>
    <row r="126" spans="1:26" s="6" customFormat="1" x14ac:dyDescent="0.3">
      <c r="A126" s="44"/>
      <c r="B126" s="27" t="s">
        <v>8</v>
      </c>
      <c r="C126" s="524" t="s">
        <v>19</v>
      </c>
      <c r="D126" s="28" t="s">
        <v>9</v>
      </c>
      <c r="E126" s="81">
        <v>75</v>
      </c>
      <c r="F126" s="284">
        <f>E126/250</f>
        <v>0.3</v>
      </c>
      <c r="G126" s="283"/>
      <c r="H126" s="133"/>
      <c r="I126" s="133"/>
      <c r="J126" s="44"/>
      <c r="K126" s="133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</row>
    <row r="127" spans="1:26" s="6" customFormat="1" x14ac:dyDescent="0.3">
      <c r="A127" s="44"/>
      <c r="B127" s="27" t="s">
        <v>934</v>
      </c>
      <c r="C127" s="524" t="s">
        <v>19</v>
      </c>
      <c r="D127" s="28" t="s">
        <v>935</v>
      </c>
      <c r="E127" s="81">
        <v>2.8</v>
      </c>
      <c r="F127" s="284">
        <f>E127</f>
        <v>2.8</v>
      </c>
      <c r="G127" s="283"/>
      <c r="H127" s="133"/>
      <c r="I127" s="133"/>
      <c r="J127" s="44"/>
      <c r="K127" s="133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</row>
    <row r="128" spans="1:26" s="6" customFormat="1" x14ac:dyDescent="0.3">
      <c r="A128" s="44"/>
      <c r="B128" s="27" t="s">
        <v>942</v>
      </c>
      <c r="C128" s="524" t="s">
        <v>19</v>
      </c>
      <c r="D128" s="28" t="s">
        <v>10</v>
      </c>
      <c r="E128" s="81">
        <v>24.6</v>
      </c>
      <c r="F128" s="284">
        <v>0.3</v>
      </c>
      <c r="G128" s="158">
        <f>E128/H128</f>
        <v>0.27771505983291944</v>
      </c>
      <c r="H128" s="133">
        <v>88.58</v>
      </c>
      <c r="I128" s="133"/>
      <c r="J128" s="44"/>
      <c r="K128" s="133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</row>
    <row r="129" spans="1:26" s="6" customFormat="1" x14ac:dyDescent="0.3">
      <c r="A129" s="44"/>
      <c r="B129" s="27" t="s">
        <v>1170</v>
      </c>
      <c r="C129" s="524" t="s">
        <v>30</v>
      </c>
      <c r="D129" s="28" t="s">
        <v>974</v>
      </c>
      <c r="E129" s="81">
        <v>68</v>
      </c>
      <c r="F129" s="470">
        <f>E129/50</f>
        <v>1.36</v>
      </c>
      <c r="G129" s="471"/>
      <c r="H129" s="133">
        <v>88.58</v>
      </c>
      <c r="I129" s="133"/>
      <c r="J129" s="44"/>
      <c r="K129" s="133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</row>
    <row r="130" spans="1:26" s="6" customFormat="1" x14ac:dyDescent="0.3">
      <c r="A130" s="44"/>
      <c r="B130" s="27" t="s">
        <v>972</v>
      </c>
      <c r="C130" s="524" t="s">
        <v>30</v>
      </c>
      <c r="D130" s="28" t="s">
        <v>4</v>
      </c>
      <c r="E130" s="81">
        <v>7</v>
      </c>
      <c r="F130" s="468">
        <f>E130/100</f>
        <v>7.0000000000000007E-2</v>
      </c>
      <c r="G130" s="469"/>
      <c r="H130" s="133"/>
      <c r="I130" s="133"/>
      <c r="J130" s="44"/>
      <c r="K130" s="133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</row>
    <row r="131" spans="1:26" s="6" customFormat="1" x14ac:dyDescent="0.3">
      <c r="A131" s="44"/>
      <c r="B131" s="27" t="s">
        <v>1166</v>
      </c>
      <c r="C131" s="524" t="s">
        <v>30</v>
      </c>
      <c r="D131" s="28" t="s">
        <v>941</v>
      </c>
      <c r="E131" s="81">
        <v>5.85</v>
      </c>
      <c r="F131" s="284">
        <v>5.85</v>
      </c>
      <c r="G131" s="283"/>
      <c r="H131" s="133"/>
      <c r="I131" s="133"/>
      <c r="J131" s="44"/>
      <c r="K131" s="133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</row>
    <row r="132" spans="1:26" s="6" customFormat="1" x14ac:dyDescent="0.3">
      <c r="A132" s="44"/>
      <c r="B132" s="27" t="s">
        <v>5</v>
      </c>
      <c r="C132" s="524" t="s">
        <v>30</v>
      </c>
      <c r="D132" s="28" t="s">
        <v>6</v>
      </c>
      <c r="E132" s="81">
        <v>30</v>
      </c>
      <c r="F132" s="284">
        <f>E132/5</f>
        <v>6</v>
      </c>
      <c r="G132" s="283"/>
      <c r="H132" s="133"/>
      <c r="I132" s="133"/>
      <c r="J132" s="44"/>
      <c r="K132" s="133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</row>
    <row r="133" spans="1:26" s="6" customFormat="1" x14ac:dyDescent="0.3">
      <c r="A133" s="44"/>
      <c r="B133" s="27" t="s">
        <v>7</v>
      </c>
      <c r="C133" s="524" t="s">
        <v>30</v>
      </c>
      <c r="D133" s="28" t="s">
        <v>941</v>
      </c>
      <c r="E133" s="81">
        <v>3.5</v>
      </c>
      <c r="F133" s="284">
        <f>E133</f>
        <v>3.5</v>
      </c>
      <c r="G133" s="283"/>
      <c r="H133" s="133"/>
      <c r="I133" s="133"/>
      <c r="J133" s="44"/>
      <c r="K133" s="133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</row>
    <row r="134" spans="1:26" s="6" customFormat="1" x14ac:dyDescent="0.3">
      <c r="A134" s="44"/>
      <c r="B134" s="27" t="s">
        <v>8</v>
      </c>
      <c r="C134" s="524" t="s">
        <v>30</v>
      </c>
      <c r="D134" s="28" t="s">
        <v>9</v>
      </c>
      <c r="E134" s="81">
        <v>75</v>
      </c>
      <c r="F134" s="284">
        <f>E134/250</f>
        <v>0.3</v>
      </c>
      <c r="G134" s="283"/>
      <c r="H134" s="133"/>
      <c r="I134" s="133"/>
      <c r="J134" s="44"/>
      <c r="K134" s="133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</row>
    <row r="135" spans="1:26" s="6" customFormat="1" x14ac:dyDescent="0.3">
      <c r="A135" s="44"/>
      <c r="B135" s="27" t="s">
        <v>20</v>
      </c>
      <c r="C135" s="524" t="s">
        <v>30</v>
      </c>
      <c r="D135" s="28" t="s">
        <v>9</v>
      </c>
      <c r="E135" s="81">
        <v>9.1</v>
      </c>
      <c r="F135" s="284">
        <f>E135/200</f>
        <v>4.5499999999999999E-2</v>
      </c>
      <c r="G135" s="283"/>
      <c r="H135" s="133"/>
      <c r="I135" s="133"/>
      <c r="J135" s="44"/>
      <c r="K135" s="133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</row>
    <row r="136" spans="1:26" s="6" customFormat="1" x14ac:dyDescent="0.3">
      <c r="A136" s="44"/>
      <c r="B136" s="27" t="s">
        <v>1105</v>
      </c>
      <c r="C136" s="524" t="s">
        <v>30</v>
      </c>
      <c r="D136" s="28" t="s">
        <v>941</v>
      </c>
      <c r="E136" s="81">
        <v>20</v>
      </c>
      <c r="F136" s="470">
        <f>E136</f>
        <v>20</v>
      </c>
      <c r="G136" s="471"/>
      <c r="H136" s="133"/>
      <c r="I136" s="133"/>
      <c r="J136" s="44"/>
      <c r="K136" s="133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</row>
    <row r="137" spans="1:26" s="6" customFormat="1" x14ac:dyDescent="0.3">
      <c r="A137" s="44"/>
      <c r="B137" s="27" t="s">
        <v>1165</v>
      </c>
      <c r="C137" s="524" t="s">
        <v>30</v>
      </c>
      <c r="D137" s="28" t="s">
        <v>941</v>
      </c>
      <c r="E137" s="81">
        <v>7</v>
      </c>
      <c r="F137" s="284">
        <f>E137</f>
        <v>7</v>
      </c>
      <c r="G137" s="475"/>
      <c r="H137" s="133"/>
      <c r="I137" s="133"/>
      <c r="J137" s="44"/>
      <c r="K137" s="133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</row>
    <row r="138" spans="1:26" s="6" customFormat="1" x14ac:dyDescent="0.3">
      <c r="A138" s="44"/>
      <c r="B138" s="27" t="s">
        <v>1098</v>
      </c>
      <c r="C138" s="524" t="s">
        <v>30</v>
      </c>
      <c r="D138" s="28" t="s">
        <v>935</v>
      </c>
      <c r="E138" s="81">
        <v>10</v>
      </c>
      <c r="F138" s="284">
        <f>E138</f>
        <v>10</v>
      </c>
      <c r="G138" s="283"/>
      <c r="H138" s="133"/>
      <c r="I138" s="133"/>
      <c r="J138" s="44"/>
      <c r="K138" s="133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</row>
    <row r="139" spans="1:26" s="6" customFormat="1" x14ac:dyDescent="0.3">
      <c r="A139" s="44"/>
      <c r="B139" s="27" t="s">
        <v>21</v>
      </c>
      <c r="C139" s="524" t="s">
        <v>30</v>
      </c>
      <c r="D139" s="28" t="s">
        <v>941</v>
      </c>
      <c r="E139" s="81">
        <v>7</v>
      </c>
      <c r="F139" s="284">
        <v>6.7</v>
      </c>
      <c r="G139" s="283"/>
      <c r="H139" s="133"/>
      <c r="I139" s="133"/>
      <c r="J139" s="44"/>
      <c r="K139" s="133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</row>
    <row r="140" spans="1:26" s="6" customFormat="1" x14ac:dyDescent="0.3">
      <c r="A140" s="44"/>
      <c r="B140" s="27" t="s">
        <v>22</v>
      </c>
      <c r="C140" s="524" t="s">
        <v>30</v>
      </c>
      <c r="D140" s="28" t="s">
        <v>941</v>
      </c>
      <c r="E140" s="81">
        <v>4</v>
      </c>
      <c r="F140" s="284">
        <v>3.7</v>
      </c>
      <c r="G140" s="283"/>
      <c r="H140" s="133"/>
      <c r="I140" s="133"/>
      <c r="J140" s="44"/>
      <c r="K140" s="133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</row>
    <row r="141" spans="1:26" s="6" customFormat="1" x14ac:dyDescent="0.3">
      <c r="A141" s="44"/>
      <c r="B141" s="27" t="s">
        <v>942</v>
      </c>
      <c r="C141" s="524" t="s">
        <v>30</v>
      </c>
      <c r="D141" s="28" t="s">
        <v>10</v>
      </c>
      <c r="E141" s="81">
        <v>24.6</v>
      </c>
      <c r="F141" s="284">
        <v>0.3</v>
      </c>
      <c r="G141" s="158">
        <f>E141/H141</f>
        <v>0.27771505983291944</v>
      </c>
      <c r="H141" s="133">
        <v>88.58</v>
      </c>
      <c r="I141" s="133"/>
      <c r="J141" s="44"/>
      <c r="K141" s="133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</row>
    <row r="142" spans="1:26" s="6" customFormat="1" x14ac:dyDescent="0.3">
      <c r="A142" s="44"/>
      <c r="B142" s="27" t="s">
        <v>1171</v>
      </c>
      <c r="C142" s="524" t="s">
        <v>30</v>
      </c>
      <c r="D142" s="28" t="s">
        <v>974</v>
      </c>
      <c r="E142" s="81">
        <v>70</v>
      </c>
      <c r="F142" s="470">
        <f>E142</f>
        <v>70</v>
      </c>
      <c r="G142" s="471"/>
      <c r="H142" s="133"/>
      <c r="I142" s="133"/>
      <c r="J142" s="44"/>
      <c r="K142" s="133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</row>
    <row r="143" spans="1:26" s="6" customFormat="1" x14ac:dyDescent="0.3">
      <c r="A143" s="44"/>
      <c r="B143" s="27" t="s">
        <v>139</v>
      </c>
      <c r="C143" s="524" t="s">
        <v>30</v>
      </c>
      <c r="D143" s="28" t="s">
        <v>140</v>
      </c>
      <c r="E143" s="81">
        <v>28</v>
      </c>
      <c r="F143" s="284">
        <f>E143/5000</f>
        <v>5.5999999999999999E-3</v>
      </c>
      <c r="G143" s="283"/>
      <c r="H143" s="133"/>
      <c r="I143" s="133"/>
      <c r="J143" s="44"/>
      <c r="K143" s="133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</row>
    <row r="144" spans="1:26" s="6" customFormat="1" x14ac:dyDescent="0.3">
      <c r="A144" s="44"/>
      <c r="B144" s="27" t="s">
        <v>23</v>
      </c>
      <c r="C144" s="524" t="s">
        <v>30</v>
      </c>
      <c r="D144" s="28" t="s">
        <v>941</v>
      </c>
      <c r="E144" s="81">
        <v>1.2</v>
      </c>
      <c r="F144" s="284">
        <v>1.22</v>
      </c>
      <c r="G144" s="283"/>
      <c r="H144" s="133"/>
      <c r="I144" s="133"/>
      <c r="J144" s="44"/>
      <c r="K144" s="133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</row>
    <row r="145" spans="1:26" s="6" customFormat="1" x14ac:dyDescent="0.3">
      <c r="A145" s="44"/>
      <c r="B145" s="27" t="s">
        <v>1173</v>
      </c>
      <c r="C145" s="524" t="s">
        <v>30</v>
      </c>
      <c r="D145" s="28" t="s">
        <v>941</v>
      </c>
      <c r="E145" s="81">
        <v>0.8</v>
      </c>
      <c r="F145" s="284">
        <v>0.75</v>
      </c>
      <c r="G145" s="283"/>
      <c r="H145" s="133"/>
      <c r="I145" s="133"/>
      <c r="J145" s="44"/>
      <c r="K145" s="133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</row>
    <row r="146" spans="1:26" s="6" customFormat="1" x14ac:dyDescent="0.3">
      <c r="A146" s="44"/>
      <c r="B146" s="27" t="s">
        <v>1167</v>
      </c>
      <c r="C146" s="524" t="s">
        <v>30</v>
      </c>
      <c r="D146" s="28" t="s">
        <v>941</v>
      </c>
      <c r="E146" s="81">
        <v>1.8</v>
      </c>
      <c r="F146" s="470">
        <v>1.86</v>
      </c>
      <c r="G146" s="471"/>
      <c r="H146" s="133"/>
      <c r="I146" s="133"/>
      <c r="J146" s="44"/>
      <c r="K146" s="133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</row>
    <row r="147" spans="1:26" s="6" customFormat="1" x14ac:dyDescent="0.3">
      <c r="A147" s="44"/>
      <c r="B147" s="27" t="s">
        <v>1050</v>
      </c>
      <c r="C147" s="524" t="s">
        <v>30</v>
      </c>
      <c r="D147" s="28" t="s">
        <v>941</v>
      </c>
      <c r="E147" s="81">
        <v>0.8</v>
      </c>
      <c r="F147" s="284">
        <v>0.86</v>
      </c>
      <c r="G147" s="283"/>
      <c r="H147" s="133"/>
      <c r="I147" s="133"/>
      <c r="J147" s="44"/>
      <c r="K147" s="133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</row>
    <row r="148" spans="1:26" s="6" customFormat="1" x14ac:dyDescent="0.3">
      <c r="A148" s="44"/>
      <c r="B148" s="27" t="s">
        <v>972</v>
      </c>
      <c r="C148" s="524" t="s">
        <v>31</v>
      </c>
      <c r="D148" s="28" t="s">
        <v>4</v>
      </c>
      <c r="E148" s="81">
        <v>7</v>
      </c>
      <c r="F148" s="468">
        <f>E148/100</f>
        <v>7.0000000000000007E-2</v>
      </c>
      <c r="G148" s="469">
        <f>ТАРИФИ!S398</f>
        <v>76</v>
      </c>
      <c r="H148" s="133"/>
      <c r="I148" s="133"/>
      <c r="J148" s="44"/>
      <c r="K148" s="133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</row>
    <row r="149" spans="1:26" s="6" customFormat="1" x14ac:dyDescent="0.3">
      <c r="A149" s="44"/>
      <c r="B149" s="27" t="s">
        <v>1124</v>
      </c>
      <c r="C149" s="524" t="s">
        <v>31</v>
      </c>
      <c r="D149" s="28" t="s">
        <v>944</v>
      </c>
      <c r="E149" s="81">
        <v>0.5</v>
      </c>
      <c r="F149" s="284">
        <v>0.5</v>
      </c>
      <c r="G149" s="283"/>
      <c r="H149" s="133"/>
      <c r="I149" s="133"/>
      <c r="J149" s="44"/>
      <c r="K149" s="133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</row>
    <row r="150" spans="1:26" s="6" customFormat="1" x14ac:dyDescent="0.3">
      <c r="A150" s="44"/>
      <c r="B150" s="27" t="s">
        <v>5</v>
      </c>
      <c r="C150" s="524" t="s">
        <v>31</v>
      </c>
      <c r="D150" s="28" t="s">
        <v>6</v>
      </c>
      <c r="E150" s="81">
        <v>30</v>
      </c>
      <c r="F150" s="284">
        <f>E150/5</f>
        <v>6</v>
      </c>
      <c r="G150" s="283"/>
      <c r="H150" s="133"/>
      <c r="I150" s="133"/>
      <c r="J150" s="44"/>
      <c r="K150" s="133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1" spans="1:26" s="6" customFormat="1" x14ac:dyDescent="0.3">
      <c r="A151" s="44"/>
      <c r="B151" s="27" t="s">
        <v>7</v>
      </c>
      <c r="C151" s="524" t="s">
        <v>31</v>
      </c>
      <c r="D151" s="28" t="s">
        <v>941</v>
      </c>
      <c r="E151" s="81">
        <v>2</v>
      </c>
      <c r="F151" s="284">
        <f>E151</f>
        <v>2</v>
      </c>
      <c r="G151" s="283"/>
      <c r="H151" s="133"/>
      <c r="I151" s="133"/>
      <c r="J151" s="44"/>
      <c r="K151" s="133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</row>
    <row r="152" spans="1:26" s="6" customFormat="1" x14ac:dyDescent="0.3">
      <c r="A152" s="44"/>
      <c r="B152" s="27" t="s">
        <v>8</v>
      </c>
      <c r="C152" s="524" t="s">
        <v>31</v>
      </c>
      <c r="D152" s="28" t="s">
        <v>9</v>
      </c>
      <c r="E152" s="81">
        <v>75</v>
      </c>
      <c r="F152" s="284">
        <f>E152/250</f>
        <v>0.3</v>
      </c>
      <c r="G152" s="283"/>
      <c r="H152" s="133"/>
      <c r="I152" s="133"/>
      <c r="J152" s="44"/>
      <c r="K152" s="133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</row>
    <row r="153" spans="1:26" s="6" customFormat="1" x14ac:dyDescent="0.3">
      <c r="A153" s="44"/>
      <c r="B153" s="27" t="s">
        <v>934</v>
      </c>
      <c r="C153" s="524" t="s">
        <v>31</v>
      </c>
      <c r="D153" s="28" t="s">
        <v>935</v>
      </c>
      <c r="E153" s="81">
        <v>2.8</v>
      </c>
      <c r="F153" s="284">
        <f>E153</f>
        <v>2.8</v>
      </c>
      <c r="G153" s="283"/>
      <c r="H153" s="133"/>
      <c r="I153" s="133"/>
      <c r="J153" s="44"/>
      <c r="K153" s="133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</row>
    <row r="154" spans="1:26" s="6" customFormat="1" x14ac:dyDescent="0.3">
      <c r="A154" s="44"/>
      <c r="B154" s="27" t="s">
        <v>942</v>
      </c>
      <c r="C154" s="524" t="s">
        <v>31</v>
      </c>
      <c r="D154" s="28" t="s">
        <v>10</v>
      </c>
      <c r="E154" s="81">
        <v>24.6</v>
      </c>
      <c r="F154" s="284">
        <v>0.3</v>
      </c>
      <c r="G154" s="158">
        <f>E154/H154</f>
        <v>0.27771505983291944</v>
      </c>
      <c r="H154" s="133">
        <v>88.58</v>
      </c>
      <c r="I154" s="133"/>
      <c r="J154" s="44"/>
      <c r="K154" s="133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</row>
    <row r="155" spans="1:26" s="6" customFormat="1" x14ac:dyDescent="0.3">
      <c r="A155" s="44"/>
      <c r="B155" s="27" t="s">
        <v>1157</v>
      </c>
      <c r="C155" s="524" t="s">
        <v>31</v>
      </c>
      <c r="D155" s="28" t="s">
        <v>1156</v>
      </c>
      <c r="E155" s="81">
        <v>151.69999999999999</v>
      </c>
      <c r="F155" s="284">
        <f>E155/5</f>
        <v>30.339999999999996</v>
      </c>
      <c r="G155" s="283"/>
      <c r="H155" s="133"/>
      <c r="I155" s="133"/>
      <c r="J155" s="44"/>
      <c r="K155" s="133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</row>
    <row r="156" spans="1:26" s="6" customFormat="1" x14ac:dyDescent="0.3">
      <c r="A156" s="44"/>
      <c r="B156" s="27" t="s">
        <v>1082</v>
      </c>
      <c r="C156" s="524" t="s">
        <v>32</v>
      </c>
      <c r="D156" s="28" t="s">
        <v>941</v>
      </c>
      <c r="E156" s="81">
        <v>30</v>
      </c>
      <c r="F156" s="284">
        <v>30</v>
      </c>
      <c r="G156" s="283"/>
      <c r="H156" s="133"/>
      <c r="I156" s="133"/>
      <c r="J156" s="44"/>
      <c r="K156" s="133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</row>
    <row r="157" spans="1:26" s="6" customFormat="1" x14ac:dyDescent="0.3">
      <c r="A157" s="44"/>
      <c r="B157" s="27" t="s">
        <v>24</v>
      </c>
      <c r="C157" s="524" t="s">
        <v>32</v>
      </c>
      <c r="D157" s="28" t="s">
        <v>941</v>
      </c>
      <c r="E157" s="81">
        <v>8</v>
      </c>
      <c r="F157" s="284">
        <v>9.5</v>
      </c>
      <c r="G157" s="283"/>
      <c r="H157" s="133"/>
      <c r="I157" s="133"/>
      <c r="J157" s="44"/>
      <c r="K157" s="133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</row>
    <row r="158" spans="1:26" s="6" customFormat="1" x14ac:dyDescent="0.3">
      <c r="A158" s="44"/>
      <c r="B158" s="27" t="s">
        <v>972</v>
      </c>
      <c r="C158" s="524" t="s">
        <v>32</v>
      </c>
      <c r="D158" s="28" t="s">
        <v>4</v>
      </c>
      <c r="E158" s="81">
        <v>7</v>
      </c>
      <c r="F158" s="468">
        <f>E158/100</f>
        <v>7.0000000000000007E-2</v>
      </c>
      <c r="G158" s="469"/>
      <c r="H158" s="133"/>
      <c r="I158" s="133"/>
      <c r="J158" s="44"/>
      <c r="K158" s="133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</row>
    <row r="159" spans="1:26" s="6" customFormat="1" x14ac:dyDescent="0.3">
      <c r="A159" s="44"/>
      <c r="B159" s="27" t="s">
        <v>151</v>
      </c>
      <c r="C159" s="524" t="s">
        <v>32</v>
      </c>
      <c r="D159" s="28" t="s">
        <v>967</v>
      </c>
      <c r="E159" s="81">
        <v>35</v>
      </c>
      <c r="F159" s="284">
        <f>E159/1000</f>
        <v>3.5000000000000003E-2</v>
      </c>
      <c r="G159" s="283"/>
      <c r="H159" s="133"/>
      <c r="I159" s="133"/>
      <c r="J159" s="44"/>
      <c r="K159" s="133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</row>
    <row r="160" spans="1:26" s="6" customFormat="1" x14ac:dyDescent="0.3">
      <c r="A160" s="44"/>
      <c r="B160" s="27" t="s">
        <v>1084</v>
      </c>
      <c r="C160" s="524" t="s">
        <v>32</v>
      </c>
      <c r="D160" s="28" t="s">
        <v>941</v>
      </c>
      <c r="E160" s="81">
        <v>190</v>
      </c>
      <c r="F160" s="284">
        <f>E160/10</f>
        <v>19</v>
      </c>
      <c r="G160" s="283"/>
      <c r="H160" s="133"/>
      <c r="I160" s="133"/>
      <c r="J160" s="44"/>
      <c r="K160" s="133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</row>
    <row r="161" spans="1:26" s="6" customFormat="1" x14ac:dyDescent="0.3">
      <c r="A161" s="44"/>
      <c r="B161" s="27" t="s">
        <v>1124</v>
      </c>
      <c r="C161" s="524" t="s">
        <v>32</v>
      </c>
      <c r="D161" s="28" t="s">
        <v>944</v>
      </c>
      <c r="E161" s="81">
        <v>0.5</v>
      </c>
      <c r="F161" s="284">
        <v>0.5</v>
      </c>
      <c r="G161" s="283"/>
      <c r="H161" s="133"/>
      <c r="I161" s="133"/>
      <c r="J161" s="44"/>
      <c r="K161" s="133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</row>
    <row r="162" spans="1:26" s="6" customFormat="1" x14ac:dyDescent="0.3">
      <c r="A162" s="44"/>
      <c r="B162" s="27" t="s">
        <v>1085</v>
      </c>
      <c r="C162" s="524" t="s">
        <v>32</v>
      </c>
      <c r="D162" s="28" t="s">
        <v>941</v>
      </c>
      <c r="E162" s="81">
        <v>167</v>
      </c>
      <c r="F162" s="284">
        <f>E162/10</f>
        <v>16.7</v>
      </c>
      <c r="G162" s="283"/>
      <c r="H162" s="133"/>
      <c r="I162" s="133"/>
      <c r="J162" s="44"/>
      <c r="K162" s="133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</row>
    <row r="163" spans="1:26" s="6" customFormat="1" x14ac:dyDescent="0.3">
      <c r="A163" s="44"/>
      <c r="B163" s="27" t="s">
        <v>25</v>
      </c>
      <c r="C163" s="524" t="s">
        <v>32</v>
      </c>
      <c r="D163" s="28" t="s">
        <v>941</v>
      </c>
      <c r="E163" s="81">
        <v>24.128</v>
      </c>
      <c r="F163" s="284">
        <f>E163/10</f>
        <v>2.4127999999999998</v>
      </c>
      <c r="G163" s="283"/>
      <c r="H163" s="133"/>
      <c r="I163" s="133"/>
      <c r="J163" s="44"/>
      <c r="K163" s="133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</row>
    <row r="164" spans="1:26" s="6" customFormat="1" x14ac:dyDescent="0.3">
      <c r="A164" s="44"/>
      <c r="B164" s="27" t="s">
        <v>1083</v>
      </c>
      <c r="C164" s="524" t="s">
        <v>32</v>
      </c>
      <c r="D164" s="28" t="s">
        <v>941</v>
      </c>
      <c r="E164" s="81">
        <v>26</v>
      </c>
      <c r="F164" s="284">
        <v>2.6</v>
      </c>
      <c r="G164" s="283"/>
      <c r="H164" s="133"/>
      <c r="I164" s="133"/>
      <c r="J164" s="44"/>
      <c r="K164" s="133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</row>
    <row r="165" spans="1:26" s="6" customFormat="1" x14ac:dyDescent="0.3">
      <c r="A165" s="44"/>
      <c r="B165" s="27" t="s">
        <v>26</v>
      </c>
      <c r="C165" s="524" t="s">
        <v>32</v>
      </c>
      <c r="D165" s="28" t="s">
        <v>18</v>
      </c>
      <c r="E165" s="81">
        <v>9.08</v>
      </c>
      <c r="F165" s="284">
        <f>E165/10</f>
        <v>0.90800000000000003</v>
      </c>
      <c r="G165" s="283"/>
      <c r="H165" s="133"/>
      <c r="I165" s="133"/>
      <c r="J165" s="44"/>
      <c r="K165" s="133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</row>
    <row r="166" spans="1:26" s="6" customFormat="1" x14ac:dyDescent="0.3">
      <c r="A166" s="44"/>
      <c r="B166" s="27" t="s">
        <v>1086</v>
      </c>
      <c r="C166" s="524" t="s">
        <v>32</v>
      </c>
      <c r="D166" s="28" t="s">
        <v>941</v>
      </c>
      <c r="E166" s="81">
        <v>48</v>
      </c>
      <c r="F166" s="284">
        <f>E166/10</f>
        <v>4.8</v>
      </c>
      <c r="G166" s="283"/>
      <c r="H166" s="133"/>
      <c r="I166" s="133"/>
      <c r="J166" s="44"/>
      <c r="K166" s="133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</row>
    <row r="167" spans="1:26" s="6" customFormat="1" x14ac:dyDescent="0.3">
      <c r="A167" s="44"/>
      <c r="B167" s="27" t="s">
        <v>7</v>
      </c>
      <c r="C167" s="524" t="s">
        <v>32</v>
      </c>
      <c r="D167" s="28" t="s">
        <v>941</v>
      </c>
      <c r="E167" s="81">
        <v>2</v>
      </c>
      <c r="F167" s="284">
        <f>E167</f>
        <v>2</v>
      </c>
      <c r="G167" s="283"/>
      <c r="H167" s="133"/>
      <c r="I167" s="133"/>
      <c r="J167" s="44"/>
      <c r="K167" s="133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</row>
    <row r="168" spans="1:26" s="6" customFormat="1" x14ac:dyDescent="0.3">
      <c r="A168" s="44"/>
      <c r="B168" s="27" t="s">
        <v>8</v>
      </c>
      <c r="C168" s="524" t="s">
        <v>32</v>
      </c>
      <c r="D168" s="28" t="s">
        <v>9</v>
      </c>
      <c r="E168" s="81">
        <v>75</v>
      </c>
      <c r="F168" s="284">
        <f>E168/250</f>
        <v>0.3</v>
      </c>
      <c r="G168" s="283"/>
      <c r="H168" s="133"/>
      <c r="I168" s="133"/>
      <c r="J168" s="44"/>
      <c r="K168" s="133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</row>
    <row r="169" spans="1:26" s="6" customFormat="1" x14ac:dyDescent="0.3">
      <c r="A169" s="44"/>
      <c r="B169" s="27" t="s">
        <v>1132</v>
      </c>
      <c r="C169" s="524" t="s">
        <v>32</v>
      </c>
      <c r="D169" s="28" t="s">
        <v>944</v>
      </c>
      <c r="E169" s="81">
        <v>250</v>
      </c>
      <c r="F169" s="284">
        <f>E169/1000</f>
        <v>0.25</v>
      </c>
      <c r="G169" s="283"/>
      <c r="H169" s="133"/>
      <c r="I169" s="133"/>
      <c r="J169" s="44"/>
      <c r="K169" s="133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</row>
    <row r="170" spans="1:26" s="6" customFormat="1" x14ac:dyDescent="0.3">
      <c r="A170" s="44"/>
      <c r="B170" s="27" t="s">
        <v>1116</v>
      </c>
      <c r="C170" s="524" t="s">
        <v>32</v>
      </c>
      <c r="D170" s="28" t="s">
        <v>14</v>
      </c>
      <c r="E170" s="226">
        <v>34</v>
      </c>
      <c r="F170" s="284">
        <f>E170/2</f>
        <v>17</v>
      </c>
      <c r="G170" s="283"/>
      <c r="H170" s="133"/>
      <c r="I170" s="133"/>
      <c r="J170" s="44"/>
      <c r="K170" s="133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</row>
    <row r="171" spans="1:26" s="6" customFormat="1" x14ac:dyDescent="0.3">
      <c r="A171" s="44"/>
      <c r="B171" s="27" t="s">
        <v>1131</v>
      </c>
      <c r="C171" s="524" t="s">
        <v>32</v>
      </c>
      <c r="D171" s="28" t="s">
        <v>944</v>
      </c>
      <c r="E171" s="81">
        <v>154</v>
      </c>
      <c r="F171" s="284">
        <f>E171/1000</f>
        <v>0.154</v>
      </c>
      <c r="G171" s="283"/>
      <c r="H171" s="133"/>
      <c r="I171" s="133"/>
      <c r="J171" s="44"/>
      <c r="K171" s="133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</row>
    <row r="172" spans="1:26" s="6" customFormat="1" x14ac:dyDescent="0.3">
      <c r="A172" s="44"/>
      <c r="B172" s="27" t="s">
        <v>934</v>
      </c>
      <c r="C172" s="524" t="s">
        <v>32</v>
      </c>
      <c r="D172" s="28" t="s">
        <v>935</v>
      </c>
      <c r="E172" s="81">
        <v>2.8</v>
      </c>
      <c r="F172" s="284">
        <f>E172</f>
        <v>2.8</v>
      </c>
      <c r="G172" s="283"/>
      <c r="H172" s="133"/>
      <c r="I172" s="133"/>
      <c r="J172" s="44"/>
      <c r="K172" s="133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</row>
    <row r="173" spans="1:26" s="6" customFormat="1" x14ac:dyDescent="0.3">
      <c r="A173" s="44"/>
      <c r="B173" s="27" t="s">
        <v>942</v>
      </c>
      <c r="C173" s="524" t="s">
        <v>32</v>
      </c>
      <c r="D173" s="28" t="s">
        <v>10</v>
      </c>
      <c r="E173" s="81">
        <v>24.6</v>
      </c>
      <c r="F173" s="284">
        <v>0.3</v>
      </c>
      <c r="G173" s="158">
        <f>E173/H173</f>
        <v>0.27771505983291944</v>
      </c>
      <c r="H173" s="133">
        <v>88.58</v>
      </c>
      <c r="I173" s="133"/>
      <c r="J173" s="44"/>
      <c r="K173" s="133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</row>
    <row r="174" spans="1:26" s="6" customFormat="1" x14ac:dyDescent="0.3">
      <c r="A174" s="44"/>
      <c r="B174" s="27" t="s">
        <v>972</v>
      </c>
      <c r="C174" s="524" t="s">
        <v>1184</v>
      </c>
      <c r="D174" s="28" t="s">
        <v>4</v>
      </c>
      <c r="E174" s="81">
        <v>7</v>
      </c>
      <c r="F174" s="468">
        <f>E174/100</f>
        <v>7.0000000000000007E-2</v>
      </c>
      <c r="G174" s="469"/>
      <c r="H174" s="133"/>
      <c r="I174" s="133"/>
      <c r="J174" s="44"/>
      <c r="K174" s="133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</row>
    <row r="175" spans="1:26" s="6" customFormat="1" x14ac:dyDescent="0.3">
      <c r="A175" s="44"/>
      <c r="B175" s="27" t="s">
        <v>1124</v>
      </c>
      <c r="C175" s="524" t="s">
        <v>1184</v>
      </c>
      <c r="D175" s="28" t="s">
        <v>944</v>
      </c>
      <c r="E175" s="81">
        <v>0.5</v>
      </c>
      <c r="F175" s="284">
        <v>0.5</v>
      </c>
      <c r="G175" s="283"/>
      <c r="H175" s="133"/>
      <c r="I175" s="133"/>
      <c r="J175" s="44"/>
      <c r="K175" s="133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</row>
    <row r="176" spans="1:26" s="6" customFormat="1" x14ac:dyDescent="0.3">
      <c r="A176" s="44"/>
      <c r="B176" s="27" t="s">
        <v>5</v>
      </c>
      <c r="C176" s="524" t="s">
        <v>1184</v>
      </c>
      <c r="D176" s="28" t="s">
        <v>6</v>
      </c>
      <c r="E176" s="81">
        <v>30</v>
      </c>
      <c r="F176" s="284">
        <f>E176/5</f>
        <v>6</v>
      </c>
      <c r="G176" s="283"/>
      <c r="H176" s="133"/>
      <c r="I176" s="133"/>
      <c r="J176" s="44"/>
      <c r="K176" s="133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</row>
    <row r="177" spans="1:26" s="6" customFormat="1" x14ac:dyDescent="0.3">
      <c r="A177" s="44"/>
      <c r="B177" s="27" t="s">
        <v>7</v>
      </c>
      <c r="C177" s="524" t="s">
        <v>1184</v>
      </c>
      <c r="D177" s="28" t="s">
        <v>941</v>
      </c>
      <c r="E177" s="81">
        <v>2</v>
      </c>
      <c r="F177" s="284">
        <f>E177</f>
        <v>2</v>
      </c>
      <c r="G177" s="283"/>
      <c r="H177" s="133"/>
      <c r="I177" s="133"/>
      <c r="J177" s="44"/>
      <c r="K177" s="133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</row>
    <row r="178" spans="1:26" s="6" customFormat="1" x14ac:dyDescent="0.3">
      <c r="A178" s="44"/>
      <c r="B178" s="27" t="s">
        <v>8</v>
      </c>
      <c r="C178" s="524" t="s">
        <v>1184</v>
      </c>
      <c r="D178" s="28" t="s">
        <v>9</v>
      </c>
      <c r="E178" s="81">
        <v>75</v>
      </c>
      <c r="F178" s="284">
        <f>E178/250</f>
        <v>0.3</v>
      </c>
      <c r="G178" s="283"/>
      <c r="H178" s="133"/>
      <c r="I178" s="133"/>
      <c r="J178" s="44"/>
      <c r="K178" s="133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</row>
    <row r="179" spans="1:26" s="6" customFormat="1" x14ac:dyDescent="0.3">
      <c r="A179" s="44"/>
      <c r="B179" s="27" t="s">
        <v>934</v>
      </c>
      <c r="C179" s="524" t="s">
        <v>1184</v>
      </c>
      <c r="D179" s="28" t="s">
        <v>935</v>
      </c>
      <c r="E179" s="81">
        <v>2.8</v>
      </c>
      <c r="F179" s="284">
        <f>E179</f>
        <v>2.8</v>
      </c>
      <c r="G179" s="283"/>
      <c r="H179" s="133"/>
      <c r="I179" s="133"/>
      <c r="J179" s="44"/>
      <c r="K179" s="133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</row>
    <row r="180" spans="1:26" s="6" customFormat="1" x14ac:dyDescent="0.3">
      <c r="A180" s="44"/>
      <c r="B180" s="27" t="s">
        <v>942</v>
      </c>
      <c r="C180" s="524" t="s">
        <v>1184</v>
      </c>
      <c r="D180" s="28" t="s">
        <v>10</v>
      </c>
      <c r="E180" s="81">
        <v>24.6</v>
      </c>
      <c r="F180" s="284">
        <v>0.3</v>
      </c>
      <c r="G180" s="158">
        <f>E180/H180</f>
        <v>0.27771505983291944</v>
      </c>
      <c r="H180" s="133">
        <v>88.58</v>
      </c>
      <c r="I180" s="133"/>
      <c r="J180" s="44"/>
      <c r="K180" s="133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</row>
    <row r="181" spans="1:26" s="6" customFormat="1" x14ac:dyDescent="0.3">
      <c r="A181" s="44"/>
      <c r="B181" s="37" t="s">
        <v>7</v>
      </c>
      <c r="C181" s="524" t="s">
        <v>1093</v>
      </c>
      <c r="D181" s="228" t="s">
        <v>941</v>
      </c>
      <c r="E181" s="226">
        <v>2</v>
      </c>
      <c r="F181" s="284">
        <f t="shared" ref="F181:F187" si="0">E181</f>
        <v>2</v>
      </c>
      <c r="G181" s="476"/>
      <c r="H181" s="133"/>
      <c r="I181" s="133"/>
      <c r="J181" s="44"/>
      <c r="K181" s="133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</row>
    <row r="182" spans="1:26" s="6" customFormat="1" x14ac:dyDescent="0.3">
      <c r="A182" s="44"/>
      <c r="B182" s="37" t="s">
        <v>934</v>
      </c>
      <c r="C182" s="524" t="s">
        <v>30</v>
      </c>
      <c r="D182" s="228" t="s">
        <v>935</v>
      </c>
      <c r="E182" s="81">
        <v>2.8</v>
      </c>
      <c r="F182" s="470">
        <f t="shared" si="0"/>
        <v>2.8</v>
      </c>
      <c r="G182" s="476"/>
      <c r="H182" s="133"/>
      <c r="I182" s="133"/>
      <c r="J182" s="44"/>
      <c r="K182" s="133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</row>
    <row r="183" spans="1:26" s="6" customFormat="1" x14ac:dyDescent="0.3">
      <c r="A183" s="44"/>
      <c r="B183" s="365" t="s">
        <v>86</v>
      </c>
      <c r="C183" s="641" t="s">
        <v>28</v>
      </c>
      <c r="D183" s="362" t="s">
        <v>941</v>
      </c>
      <c r="E183" s="362">
        <v>4.25</v>
      </c>
      <c r="F183" s="363">
        <f t="shared" si="0"/>
        <v>4.25</v>
      </c>
      <c r="G183" s="364"/>
      <c r="H183" s="133"/>
      <c r="I183" s="133"/>
      <c r="J183" s="44"/>
      <c r="K183" s="133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</row>
    <row r="184" spans="1:26" s="6" customFormat="1" x14ac:dyDescent="0.3">
      <c r="A184" s="44"/>
      <c r="B184" s="159" t="s">
        <v>76</v>
      </c>
      <c r="C184" s="641" t="s">
        <v>28</v>
      </c>
      <c r="D184" s="362" t="s">
        <v>941</v>
      </c>
      <c r="E184" s="362">
        <v>3200</v>
      </c>
      <c r="F184" s="363">
        <f t="shared" si="0"/>
        <v>3200</v>
      </c>
      <c r="G184" s="364"/>
      <c r="H184" s="133"/>
      <c r="I184" s="133"/>
      <c r="J184" s="44"/>
      <c r="K184" s="133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</row>
    <row r="185" spans="1:26" s="6" customFormat="1" x14ac:dyDescent="0.3">
      <c r="A185" s="44"/>
      <c r="B185" s="159" t="s">
        <v>79</v>
      </c>
      <c r="C185" s="641" t="s">
        <v>28</v>
      </c>
      <c r="D185" s="362" t="s">
        <v>941</v>
      </c>
      <c r="E185" s="362">
        <v>3000</v>
      </c>
      <c r="F185" s="363">
        <f t="shared" si="0"/>
        <v>3000</v>
      </c>
      <c r="G185" s="364"/>
      <c r="H185" s="133"/>
      <c r="I185" s="133"/>
      <c r="J185" s="44"/>
      <c r="K185" s="133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</row>
    <row r="186" spans="1:26" s="6" customFormat="1" x14ac:dyDescent="0.3">
      <c r="A186" s="44"/>
      <c r="B186" s="159" t="s">
        <v>83</v>
      </c>
      <c r="C186" s="641" t="s">
        <v>28</v>
      </c>
      <c r="D186" s="362" t="s">
        <v>941</v>
      </c>
      <c r="E186" s="362">
        <v>3200</v>
      </c>
      <c r="F186" s="363">
        <f t="shared" si="0"/>
        <v>3200</v>
      </c>
      <c r="G186" s="364"/>
      <c r="H186" s="133"/>
      <c r="I186" s="133"/>
      <c r="J186" s="44"/>
      <c r="K186" s="133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</row>
    <row r="187" spans="1:26" s="6" customFormat="1" x14ac:dyDescent="0.3">
      <c r="A187" s="44"/>
      <c r="B187" s="365" t="s">
        <v>1071</v>
      </c>
      <c r="C187" s="641" t="s">
        <v>28</v>
      </c>
      <c r="D187" s="362" t="s">
        <v>941</v>
      </c>
      <c r="E187" s="362">
        <v>4950</v>
      </c>
      <c r="F187" s="363">
        <f t="shared" si="0"/>
        <v>4950</v>
      </c>
      <c r="G187" s="364"/>
      <c r="H187" s="133"/>
      <c r="I187" s="133"/>
      <c r="J187" s="44"/>
      <c r="K187" s="133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</row>
    <row r="188" spans="1:26" s="6" customFormat="1" x14ac:dyDescent="0.3">
      <c r="A188" s="44"/>
      <c r="B188" s="27" t="s">
        <v>936</v>
      </c>
      <c r="C188" s="524" t="s">
        <v>145</v>
      </c>
      <c r="D188" s="28" t="s">
        <v>9</v>
      </c>
      <c r="E188" s="81">
        <v>75</v>
      </c>
      <c r="F188" s="284">
        <f>E188/250</f>
        <v>0.3</v>
      </c>
      <c r="G188" s="364"/>
      <c r="H188" s="133"/>
      <c r="I188" s="133"/>
      <c r="J188" s="44"/>
      <c r="K188" s="133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</row>
    <row r="189" spans="1:26" s="6" customFormat="1" x14ac:dyDescent="0.3">
      <c r="A189" s="44"/>
      <c r="B189" s="474" t="s">
        <v>1021</v>
      </c>
      <c r="C189" s="524" t="s">
        <v>145</v>
      </c>
      <c r="D189" s="28" t="s">
        <v>941</v>
      </c>
      <c r="E189" s="81">
        <v>2</v>
      </c>
      <c r="F189" s="284">
        <f t="shared" ref="F189:F194" si="1">E189</f>
        <v>2</v>
      </c>
      <c r="G189" s="364"/>
      <c r="H189" s="133"/>
      <c r="I189" s="133"/>
      <c r="J189" s="44"/>
      <c r="K189" s="133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</row>
    <row r="190" spans="1:26" s="6" customFormat="1" x14ac:dyDescent="0.3">
      <c r="A190" s="44"/>
      <c r="B190" s="474" t="s">
        <v>153</v>
      </c>
      <c r="C190" s="524" t="s">
        <v>145</v>
      </c>
      <c r="D190" s="228" t="s">
        <v>941</v>
      </c>
      <c r="E190" s="226">
        <v>5.6</v>
      </c>
      <c r="F190" s="470">
        <f t="shared" si="1"/>
        <v>5.6</v>
      </c>
      <c r="G190" s="364"/>
      <c r="H190" s="133"/>
      <c r="I190" s="133"/>
      <c r="J190" s="44"/>
      <c r="K190" s="133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</row>
    <row r="191" spans="1:26" s="6" customFormat="1" x14ac:dyDescent="0.3">
      <c r="A191" s="44"/>
      <c r="B191" s="474" t="s">
        <v>1025</v>
      </c>
      <c r="C191" s="524" t="s">
        <v>145</v>
      </c>
      <c r="D191" s="228" t="s">
        <v>941</v>
      </c>
      <c r="E191" s="226">
        <v>54</v>
      </c>
      <c r="F191" s="470">
        <f t="shared" si="1"/>
        <v>54</v>
      </c>
      <c r="G191" s="364"/>
      <c r="H191" s="133"/>
      <c r="I191" s="133"/>
      <c r="J191" s="44"/>
      <c r="K191" s="133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</row>
    <row r="192" spans="1:26" s="6" customFormat="1" x14ac:dyDescent="0.3">
      <c r="A192" s="44"/>
      <c r="B192" s="474" t="s">
        <v>1024</v>
      </c>
      <c r="C192" s="524" t="s">
        <v>145</v>
      </c>
      <c r="D192" s="228" t="s">
        <v>941</v>
      </c>
      <c r="E192" s="226">
        <v>97.3</v>
      </c>
      <c r="F192" s="470">
        <f t="shared" si="1"/>
        <v>97.3</v>
      </c>
      <c r="G192" s="364"/>
      <c r="H192" s="133"/>
      <c r="I192" s="133"/>
      <c r="J192" s="44"/>
      <c r="K192" s="133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</row>
    <row r="193" spans="1:26" s="6" customFormat="1" x14ac:dyDescent="0.3">
      <c r="A193" s="44"/>
      <c r="B193" s="474" t="s">
        <v>964</v>
      </c>
      <c r="C193" s="524" t="s">
        <v>145</v>
      </c>
      <c r="D193" s="28" t="s">
        <v>935</v>
      </c>
      <c r="E193" s="81">
        <v>2.8</v>
      </c>
      <c r="F193" s="284">
        <f t="shared" si="1"/>
        <v>2.8</v>
      </c>
      <c r="G193" s="364"/>
      <c r="H193" s="133"/>
      <c r="I193" s="133"/>
      <c r="J193" s="44"/>
      <c r="K193" s="133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</row>
    <row r="194" spans="1:26" s="6" customFormat="1" x14ac:dyDescent="0.3">
      <c r="A194" s="44"/>
      <c r="B194" s="27" t="s">
        <v>942</v>
      </c>
      <c r="C194" s="524" t="s">
        <v>145</v>
      </c>
      <c r="D194" s="28" t="s">
        <v>10</v>
      </c>
      <c r="E194" s="81">
        <v>24.6</v>
      </c>
      <c r="F194" s="284">
        <f t="shared" si="1"/>
        <v>24.6</v>
      </c>
      <c r="G194" s="364"/>
      <c r="H194" s="133"/>
      <c r="I194" s="133"/>
      <c r="J194" s="44"/>
      <c r="K194" s="133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</row>
    <row r="195" spans="1:26" s="6" customFormat="1" x14ac:dyDescent="0.3">
      <c r="A195" s="44"/>
      <c r="B195" s="27" t="s">
        <v>1124</v>
      </c>
      <c r="C195" s="524" t="s">
        <v>145</v>
      </c>
      <c r="D195" s="28" t="s">
        <v>944</v>
      </c>
      <c r="E195" s="81">
        <v>0.5</v>
      </c>
      <c r="F195" s="284">
        <v>0.5</v>
      </c>
      <c r="G195" s="364"/>
      <c r="H195" s="133"/>
      <c r="I195" s="133"/>
      <c r="J195" s="44"/>
      <c r="K195" s="133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</row>
    <row r="196" spans="1:26" s="487" customFormat="1" x14ac:dyDescent="0.3">
      <c r="A196" s="483"/>
      <c r="B196" s="498" t="s">
        <v>194</v>
      </c>
      <c r="C196" s="642" t="s">
        <v>28</v>
      </c>
      <c r="D196" s="499" t="s">
        <v>937</v>
      </c>
      <c r="E196" s="495">
        <f>402/1000</f>
        <v>0.40200000000000002</v>
      </c>
      <c r="F196" s="496"/>
      <c r="G196" s="492" t="s">
        <v>195</v>
      </c>
      <c r="H196" s="486"/>
      <c r="I196" s="486"/>
      <c r="J196" s="483"/>
      <c r="K196" s="486"/>
      <c r="L196" s="483"/>
      <c r="M196" s="483"/>
      <c r="N196" s="483"/>
      <c r="O196" s="483"/>
      <c r="P196" s="483"/>
      <c r="Q196" s="483"/>
      <c r="R196" s="483"/>
      <c r="S196" s="483"/>
      <c r="T196" s="483"/>
      <c r="U196" s="483"/>
      <c r="V196" s="483"/>
      <c r="W196" s="483"/>
      <c r="X196" s="483"/>
      <c r="Y196" s="483"/>
      <c r="Z196" s="483"/>
    </row>
    <row r="197" spans="1:26" s="487" customFormat="1" x14ac:dyDescent="0.3">
      <c r="A197" s="483"/>
      <c r="B197" s="500" t="s">
        <v>191</v>
      </c>
      <c r="C197" s="642" t="s">
        <v>28</v>
      </c>
      <c r="D197" s="501" t="s">
        <v>941</v>
      </c>
      <c r="E197" s="495">
        <v>27</v>
      </c>
      <c r="F197" s="496"/>
      <c r="G197" s="485"/>
      <c r="H197" s="486"/>
      <c r="I197" s="486"/>
      <c r="J197" s="483"/>
      <c r="K197" s="486"/>
      <c r="L197" s="483"/>
      <c r="M197" s="483"/>
      <c r="N197" s="483"/>
      <c r="O197" s="483"/>
      <c r="P197" s="483"/>
      <c r="Q197" s="483"/>
      <c r="R197" s="483"/>
      <c r="S197" s="483"/>
      <c r="T197" s="483"/>
      <c r="U197" s="483"/>
      <c r="V197" s="483"/>
      <c r="W197" s="483"/>
      <c r="X197" s="483"/>
      <c r="Y197" s="483"/>
      <c r="Z197" s="483"/>
    </row>
    <row r="198" spans="1:26" s="487" customFormat="1" x14ac:dyDescent="0.3">
      <c r="A198" s="483"/>
      <c r="B198" s="502" t="s">
        <v>972</v>
      </c>
      <c r="C198" s="642" t="s">
        <v>28</v>
      </c>
      <c r="D198" s="501" t="s">
        <v>944</v>
      </c>
      <c r="E198" s="501">
        <v>6.72</v>
      </c>
      <c r="F198" s="506">
        <f>E198/100</f>
        <v>6.7199999999999996E-2</v>
      </c>
      <c r="G198" s="485"/>
      <c r="H198" s="486"/>
      <c r="I198" s="486"/>
      <c r="J198" s="483"/>
      <c r="K198" s="486"/>
      <c r="L198" s="483"/>
      <c r="M198" s="483"/>
      <c r="N198" s="483"/>
      <c r="O198" s="483"/>
      <c r="P198" s="483"/>
      <c r="Q198" s="483"/>
      <c r="R198" s="483"/>
      <c r="S198" s="483"/>
      <c r="T198" s="483"/>
      <c r="U198" s="483"/>
      <c r="V198" s="483"/>
      <c r="W198" s="483"/>
      <c r="X198" s="483"/>
      <c r="Y198" s="483"/>
      <c r="Z198" s="483"/>
    </row>
    <row r="199" spans="1:26" s="487" customFormat="1" x14ac:dyDescent="0.3">
      <c r="A199" s="483"/>
      <c r="B199" s="500" t="s">
        <v>983</v>
      </c>
      <c r="C199" s="642" t="s">
        <v>28</v>
      </c>
      <c r="D199" s="501" t="s">
        <v>941</v>
      </c>
      <c r="E199" s="501">
        <v>7.5</v>
      </c>
      <c r="F199" s="507"/>
      <c r="G199" s="485"/>
      <c r="H199" s="486"/>
      <c r="I199" s="486"/>
      <c r="J199" s="483"/>
      <c r="K199" s="486"/>
      <c r="L199" s="483"/>
      <c r="M199" s="483"/>
      <c r="N199" s="483"/>
      <c r="O199" s="483"/>
      <c r="P199" s="483"/>
      <c r="Q199" s="483"/>
      <c r="R199" s="483"/>
      <c r="S199" s="483"/>
      <c r="T199" s="483"/>
      <c r="U199" s="483"/>
      <c r="V199" s="483"/>
      <c r="W199" s="483"/>
      <c r="X199" s="483"/>
      <c r="Y199" s="483"/>
      <c r="Z199" s="483"/>
    </row>
    <row r="200" spans="1:26" s="487" customFormat="1" x14ac:dyDescent="0.3">
      <c r="A200" s="483"/>
      <c r="B200" s="502" t="s">
        <v>1124</v>
      </c>
      <c r="C200" s="642" t="s">
        <v>28</v>
      </c>
      <c r="D200" s="503" t="s">
        <v>944</v>
      </c>
      <c r="E200" s="508">
        <v>0.5</v>
      </c>
      <c r="F200" s="509">
        <v>0.5</v>
      </c>
      <c r="G200" s="485"/>
      <c r="H200" s="486"/>
      <c r="I200" s="486"/>
      <c r="J200" s="483"/>
      <c r="K200" s="486"/>
      <c r="L200" s="483"/>
      <c r="M200" s="483"/>
      <c r="N200" s="483"/>
      <c r="O200" s="483"/>
      <c r="P200" s="483"/>
      <c r="Q200" s="483"/>
      <c r="R200" s="483"/>
      <c r="S200" s="483"/>
      <c r="T200" s="483"/>
      <c r="U200" s="483"/>
      <c r="V200" s="483"/>
      <c r="W200" s="483"/>
      <c r="X200" s="483"/>
      <c r="Y200" s="483"/>
      <c r="Z200" s="483"/>
    </row>
    <row r="201" spans="1:26" s="487" customFormat="1" x14ac:dyDescent="0.3">
      <c r="A201" s="483"/>
      <c r="B201" s="500" t="s">
        <v>1034</v>
      </c>
      <c r="C201" s="642" t="s">
        <v>28</v>
      </c>
      <c r="D201" s="501" t="s">
        <v>974</v>
      </c>
      <c r="E201" s="501">
        <v>39.299999999999997</v>
      </c>
      <c r="F201" s="495"/>
      <c r="H201" s="486"/>
      <c r="I201" s="486"/>
      <c r="J201" s="483"/>
      <c r="K201" s="486"/>
      <c r="L201" s="483"/>
      <c r="M201" s="483"/>
      <c r="N201" s="483"/>
      <c r="O201" s="483"/>
      <c r="P201" s="483"/>
      <c r="Q201" s="483"/>
      <c r="R201" s="483"/>
      <c r="S201" s="483"/>
      <c r="T201" s="483"/>
      <c r="U201" s="483"/>
      <c r="V201" s="483"/>
      <c r="W201" s="483"/>
      <c r="X201" s="483"/>
      <c r="Y201" s="483"/>
      <c r="Z201" s="483"/>
    </row>
    <row r="202" spans="1:26" s="487" customFormat="1" x14ac:dyDescent="0.3">
      <c r="A202" s="483"/>
      <c r="B202" s="502" t="s">
        <v>940</v>
      </c>
      <c r="C202" s="642" t="s">
        <v>28</v>
      </c>
      <c r="D202" s="503" t="s">
        <v>941</v>
      </c>
      <c r="E202" s="508">
        <v>2</v>
      </c>
      <c r="F202" s="509">
        <f>E202</f>
        <v>2</v>
      </c>
      <c r="G202" s="485"/>
      <c r="H202" s="486"/>
      <c r="I202" s="486"/>
      <c r="J202" s="483"/>
      <c r="K202" s="486"/>
      <c r="L202" s="483"/>
      <c r="M202" s="483"/>
      <c r="N202" s="483"/>
      <c r="O202" s="483"/>
      <c r="P202" s="483"/>
      <c r="Q202" s="483"/>
      <c r="R202" s="483"/>
      <c r="S202" s="483"/>
      <c r="T202" s="483"/>
      <c r="U202" s="483"/>
      <c r="V202" s="483"/>
      <c r="W202" s="483"/>
      <c r="X202" s="483"/>
      <c r="Y202" s="483"/>
      <c r="Z202" s="483"/>
    </row>
    <row r="203" spans="1:26" s="487" customFormat="1" x14ac:dyDescent="0.3">
      <c r="A203" s="483"/>
      <c r="B203" s="498" t="s">
        <v>1073</v>
      </c>
      <c r="C203" s="642" t="s">
        <v>28</v>
      </c>
      <c r="D203" s="499" t="s">
        <v>11</v>
      </c>
      <c r="E203" s="510">
        <v>120</v>
      </c>
      <c r="F203" s="506">
        <f>E203/1000</f>
        <v>0.12</v>
      </c>
      <c r="G203" s="485"/>
      <c r="H203" s="486"/>
      <c r="I203" s="486"/>
      <c r="J203" s="483"/>
      <c r="K203" s="486"/>
      <c r="L203" s="483"/>
      <c r="M203" s="483"/>
      <c r="N203" s="483"/>
      <c r="O203" s="483"/>
      <c r="P203" s="483"/>
      <c r="Q203" s="483"/>
      <c r="R203" s="483"/>
      <c r="S203" s="483"/>
      <c r="T203" s="483"/>
      <c r="U203" s="483"/>
      <c r="V203" s="483"/>
      <c r="W203" s="483"/>
      <c r="X203" s="483"/>
      <c r="Y203" s="483"/>
      <c r="Z203" s="483"/>
    </row>
    <row r="204" spans="1:26" s="487" customFormat="1" x14ac:dyDescent="0.3">
      <c r="A204" s="483"/>
      <c r="B204" s="500" t="s">
        <v>936</v>
      </c>
      <c r="C204" s="642" t="s">
        <v>28</v>
      </c>
      <c r="D204" s="503" t="s">
        <v>9</v>
      </c>
      <c r="E204" s="508">
        <f>75/250</f>
        <v>0.3</v>
      </c>
      <c r="F204" s="509">
        <f>E204/250</f>
        <v>1.1999999999999999E-3</v>
      </c>
      <c r="G204" s="485"/>
      <c r="H204" s="486"/>
      <c r="I204" s="486"/>
      <c r="J204" s="483"/>
      <c r="K204" s="486"/>
      <c r="L204" s="483"/>
      <c r="M204" s="483"/>
      <c r="N204" s="483"/>
      <c r="O204" s="483"/>
      <c r="P204" s="483"/>
      <c r="Q204" s="483"/>
      <c r="R204" s="483"/>
      <c r="S204" s="483"/>
      <c r="T204" s="483"/>
      <c r="U204" s="483"/>
      <c r="V204" s="483"/>
      <c r="W204" s="483"/>
      <c r="X204" s="483"/>
      <c r="Y204" s="483"/>
      <c r="Z204" s="483"/>
    </row>
    <row r="205" spans="1:26" x14ac:dyDescent="0.3">
      <c r="B205" s="498" t="s">
        <v>309</v>
      </c>
      <c r="C205" s="642" t="s">
        <v>28</v>
      </c>
      <c r="D205" s="499" t="s">
        <v>1045</v>
      </c>
      <c r="E205" s="497">
        <v>225</v>
      </c>
      <c r="F205" s="497"/>
    </row>
    <row r="206" spans="1:26" x14ac:dyDescent="0.3">
      <c r="B206" s="500" t="s">
        <v>1039</v>
      </c>
      <c r="C206" s="642" t="s">
        <v>28</v>
      </c>
      <c r="D206" s="501" t="s">
        <v>977</v>
      </c>
      <c r="E206" s="501">
        <v>52</v>
      </c>
      <c r="F206" s="506"/>
    </row>
    <row r="207" spans="1:26" x14ac:dyDescent="0.3">
      <c r="B207" s="500" t="s">
        <v>1049</v>
      </c>
      <c r="C207" s="642" t="s">
        <v>28</v>
      </c>
      <c r="D207" s="501" t="s">
        <v>941</v>
      </c>
      <c r="E207" s="501">
        <v>7</v>
      </c>
      <c r="F207" s="506"/>
    </row>
    <row r="208" spans="1:26" x14ac:dyDescent="0.3">
      <c r="B208" s="500" t="s">
        <v>982</v>
      </c>
      <c r="C208" s="642" t="s">
        <v>28</v>
      </c>
      <c r="D208" s="501" t="s">
        <v>941</v>
      </c>
      <c r="E208" s="501">
        <v>11</v>
      </c>
      <c r="F208" s="507"/>
    </row>
    <row r="209" spans="2:8" x14ac:dyDescent="0.3">
      <c r="B209" s="500" t="s">
        <v>981</v>
      </c>
      <c r="C209" s="642" t="s">
        <v>28</v>
      </c>
      <c r="D209" s="501" t="s">
        <v>941</v>
      </c>
      <c r="E209" s="501">
        <v>0.6</v>
      </c>
      <c r="F209" s="507"/>
    </row>
    <row r="210" spans="2:8" x14ac:dyDescent="0.3">
      <c r="B210" s="500" t="s">
        <v>934</v>
      </c>
      <c r="C210" s="642" t="s">
        <v>28</v>
      </c>
      <c r="D210" s="503" t="s">
        <v>935</v>
      </c>
      <c r="E210" s="508">
        <v>2.8</v>
      </c>
      <c r="F210" s="509">
        <f>E210</f>
        <v>2.8</v>
      </c>
    </row>
    <row r="211" spans="2:8" x14ac:dyDescent="0.3">
      <c r="B211" s="498" t="s">
        <v>1041</v>
      </c>
      <c r="C211" s="642" t="s">
        <v>28</v>
      </c>
      <c r="D211" s="501" t="s">
        <v>941</v>
      </c>
      <c r="E211" s="501">
        <f>48.15</f>
        <v>48.15</v>
      </c>
      <c r="F211" s="507">
        <f>E211/200</f>
        <v>0.24074999999999999</v>
      </c>
    </row>
    <row r="212" spans="2:8" x14ac:dyDescent="0.3">
      <c r="B212" s="498" t="s">
        <v>193</v>
      </c>
      <c r="C212" s="642" t="s">
        <v>28</v>
      </c>
      <c r="D212" s="499" t="s">
        <v>941</v>
      </c>
      <c r="E212" s="497">
        <f>120/100</f>
        <v>1.2</v>
      </c>
      <c r="F212" s="497"/>
    </row>
    <row r="213" spans="2:8" x14ac:dyDescent="0.3">
      <c r="B213" s="500" t="s">
        <v>984</v>
      </c>
      <c r="C213" s="642" t="s">
        <v>28</v>
      </c>
      <c r="D213" s="501" t="s">
        <v>941</v>
      </c>
      <c r="E213" s="501">
        <v>62.32</v>
      </c>
      <c r="F213" s="507"/>
    </row>
    <row r="214" spans="2:8" x14ac:dyDescent="0.3">
      <c r="B214" s="500" t="s">
        <v>192</v>
      </c>
      <c r="C214" s="642" t="s">
        <v>28</v>
      </c>
      <c r="D214" s="501" t="s">
        <v>941</v>
      </c>
      <c r="E214" s="501">
        <v>120</v>
      </c>
      <c r="F214" s="497"/>
    </row>
    <row r="215" spans="2:8" x14ac:dyDescent="0.3">
      <c r="B215" s="502" t="s">
        <v>942</v>
      </c>
      <c r="C215" s="642" t="s">
        <v>28</v>
      </c>
      <c r="D215" s="503" t="s">
        <v>10</v>
      </c>
      <c r="E215" s="508">
        <v>24.6</v>
      </c>
      <c r="F215" s="509">
        <v>0.3</v>
      </c>
    </row>
    <row r="216" spans="2:8" x14ac:dyDescent="0.3">
      <c r="B216" s="500" t="s">
        <v>190</v>
      </c>
      <c r="C216" s="642" t="s">
        <v>28</v>
      </c>
      <c r="D216" s="501" t="s">
        <v>941</v>
      </c>
      <c r="E216" s="501">
        <v>190</v>
      </c>
      <c r="F216" s="497"/>
    </row>
    <row r="217" spans="2:8" x14ac:dyDescent="0.3">
      <c r="B217" s="511" t="s">
        <v>40</v>
      </c>
      <c r="C217" s="642" t="s">
        <v>28</v>
      </c>
      <c r="D217" s="512" t="s">
        <v>974</v>
      </c>
      <c r="E217" s="512">
        <v>120</v>
      </c>
      <c r="F217" s="506"/>
    </row>
    <row r="218" spans="2:8" x14ac:dyDescent="0.3">
      <c r="B218" s="511" t="s">
        <v>41</v>
      </c>
      <c r="C218" s="642" t="s">
        <v>28</v>
      </c>
      <c r="D218" s="512" t="s">
        <v>11</v>
      </c>
      <c r="E218" s="512">
        <v>214</v>
      </c>
      <c r="F218" s="506"/>
    </row>
    <row r="219" spans="2:8" x14ac:dyDescent="0.3">
      <c r="B219" s="498" t="s">
        <v>1018</v>
      </c>
      <c r="C219" s="642" t="s">
        <v>28</v>
      </c>
      <c r="D219" s="499" t="s">
        <v>941</v>
      </c>
      <c r="E219" s="510">
        <v>11</v>
      </c>
      <c r="F219" s="506">
        <f>E219</f>
        <v>11</v>
      </c>
    </row>
    <row r="220" spans="2:8" x14ac:dyDescent="0.3">
      <c r="B220" s="500" t="s">
        <v>189</v>
      </c>
      <c r="C220" s="642" t="s">
        <v>28</v>
      </c>
      <c r="D220" s="501" t="s">
        <v>941</v>
      </c>
      <c r="E220" s="501">
        <v>49</v>
      </c>
      <c r="F220" s="497"/>
    </row>
    <row r="221" spans="2:8" x14ac:dyDescent="0.3">
      <c r="B221" s="500" t="s">
        <v>201</v>
      </c>
      <c r="C221" s="642" t="s">
        <v>28</v>
      </c>
      <c r="D221" s="512" t="s">
        <v>941</v>
      </c>
      <c r="E221" s="512">
        <v>0.9</v>
      </c>
      <c r="F221" s="496">
        <v>0.86</v>
      </c>
    </row>
    <row r="222" spans="2:8" ht="15.6" x14ac:dyDescent="0.3">
      <c r="B222" s="530" t="s">
        <v>342</v>
      </c>
      <c r="C222" s="643" t="s">
        <v>28</v>
      </c>
      <c r="D222" s="531" t="s">
        <v>1045</v>
      </c>
      <c r="E222" s="531">
        <f>2500</f>
        <v>2500</v>
      </c>
      <c r="F222" s="531">
        <f>2500/25</f>
        <v>100</v>
      </c>
      <c r="G222" s="74" t="s">
        <v>343</v>
      </c>
      <c r="H222" s="527" t="s">
        <v>324</v>
      </c>
    </row>
    <row r="223" spans="2:8" ht="15.6" x14ac:dyDescent="0.3">
      <c r="B223" s="530" t="s">
        <v>344</v>
      </c>
      <c r="C223" s="643" t="s">
        <v>28</v>
      </c>
      <c r="D223" s="531" t="s">
        <v>1045</v>
      </c>
      <c r="E223" s="531">
        <f>7000</f>
        <v>7000</v>
      </c>
      <c r="F223" s="531">
        <f>7000/25</f>
        <v>280</v>
      </c>
      <c r="G223" s="74" t="s">
        <v>343</v>
      </c>
      <c r="H223" s="528" t="s">
        <v>325</v>
      </c>
    </row>
    <row r="224" spans="2:8" ht="15.6" x14ac:dyDescent="0.3">
      <c r="B224" s="530" t="s">
        <v>346</v>
      </c>
      <c r="C224" s="643" t="s">
        <v>28</v>
      </c>
      <c r="D224" s="531" t="s">
        <v>1045</v>
      </c>
      <c r="E224" s="531">
        <f>4625</f>
        <v>4625</v>
      </c>
      <c r="F224" s="531">
        <f>4625/25</f>
        <v>185</v>
      </c>
      <c r="G224" s="74" t="s">
        <v>343</v>
      </c>
      <c r="H224" s="528" t="s">
        <v>326</v>
      </c>
    </row>
    <row r="225" spans="1:26" ht="15.6" x14ac:dyDescent="0.3">
      <c r="B225" s="530" t="s">
        <v>345</v>
      </c>
      <c r="C225" s="643" t="s">
        <v>28</v>
      </c>
      <c r="D225" s="531" t="s">
        <v>1045</v>
      </c>
      <c r="E225" s="531">
        <f>6750</f>
        <v>6750</v>
      </c>
      <c r="F225" s="531">
        <f>6750/25</f>
        <v>270</v>
      </c>
      <c r="G225" s="74" t="s">
        <v>343</v>
      </c>
      <c r="H225" s="528" t="s">
        <v>327</v>
      </c>
    </row>
    <row r="226" spans="1:26" ht="15.6" x14ac:dyDescent="0.3">
      <c r="B226" s="530" t="s">
        <v>348</v>
      </c>
      <c r="C226" s="643" t="s">
        <v>28</v>
      </c>
      <c r="D226" s="531" t="s">
        <v>1045</v>
      </c>
      <c r="E226" s="531">
        <f>2625</f>
        <v>2625</v>
      </c>
      <c r="F226" s="531">
        <f>2625/25</f>
        <v>105</v>
      </c>
      <c r="G226" s="74" t="s">
        <v>343</v>
      </c>
      <c r="H226" s="528" t="s">
        <v>328</v>
      </c>
    </row>
    <row r="227" spans="1:26" ht="15.6" x14ac:dyDescent="0.3">
      <c r="B227" s="530" t="s">
        <v>349</v>
      </c>
      <c r="C227" s="643" t="s">
        <v>28</v>
      </c>
      <c r="D227" s="531" t="s">
        <v>1045</v>
      </c>
      <c r="E227" s="531">
        <v>2625</v>
      </c>
      <c r="F227" s="531">
        <f>2625/25</f>
        <v>105</v>
      </c>
      <c r="G227" s="74" t="s">
        <v>343</v>
      </c>
      <c r="H227" s="528" t="s">
        <v>329</v>
      </c>
    </row>
    <row r="228" spans="1:26" ht="15.6" x14ac:dyDescent="0.3">
      <c r="B228" s="530" t="s">
        <v>350</v>
      </c>
      <c r="C228" s="643" t="s">
        <v>28</v>
      </c>
      <c r="D228" s="531" t="s">
        <v>1045</v>
      </c>
      <c r="E228" s="531">
        <f>2625</f>
        <v>2625</v>
      </c>
      <c r="F228" s="531">
        <f>2625/25</f>
        <v>105</v>
      </c>
      <c r="G228" s="74" t="s">
        <v>343</v>
      </c>
      <c r="H228" s="528" t="s">
        <v>330</v>
      </c>
    </row>
    <row r="229" spans="1:26" ht="15.6" x14ac:dyDescent="0.3">
      <c r="B229" s="530" t="s">
        <v>351</v>
      </c>
      <c r="C229" s="643" t="s">
        <v>28</v>
      </c>
      <c r="D229" s="531" t="s">
        <v>1045</v>
      </c>
      <c r="E229" s="531">
        <f>2625</f>
        <v>2625</v>
      </c>
      <c r="F229" s="531">
        <f>2625/25</f>
        <v>105</v>
      </c>
      <c r="G229" s="74" t="s">
        <v>343</v>
      </c>
      <c r="H229" s="528" t="s">
        <v>331</v>
      </c>
    </row>
    <row r="230" spans="1:26" ht="15.6" x14ac:dyDescent="0.3">
      <c r="B230" s="530" t="s">
        <v>352</v>
      </c>
      <c r="C230" s="643" t="s">
        <v>28</v>
      </c>
      <c r="D230" s="531" t="s">
        <v>1045</v>
      </c>
      <c r="E230" s="531">
        <f>3250</f>
        <v>3250</v>
      </c>
      <c r="F230" s="531">
        <f>3250/25</f>
        <v>130</v>
      </c>
      <c r="G230" s="74" t="s">
        <v>343</v>
      </c>
      <c r="H230" s="528" t="s">
        <v>337</v>
      </c>
    </row>
    <row r="231" spans="1:26" ht="15.6" x14ac:dyDescent="0.3">
      <c r="B231" s="530" t="s">
        <v>353</v>
      </c>
      <c r="C231" s="643" t="s">
        <v>28</v>
      </c>
      <c r="D231" s="531" t="s">
        <v>1045</v>
      </c>
      <c r="E231" s="531">
        <f>3250</f>
        <v>3250</v>
      </c>
      <c r="F231" s="531">
        <f>3250/25</f>
        <v>130</v>
      </c>
      <c r="G231" s="74" t="s">
        <v>343</v>
      </c>
      <c r="H231" s="528" t="s">
        <v>338</v>
      </c>
    </row>
    <row r="232" spans="1:26" ht="15.6" x14ac:dyDescent="0.3">
      <c r="B232" s="530" t="s">
        <v>354</v>
      </c>
      <c r="C232" s="643" t="s">
        <v>28</v>
      </c>
      <c r="D232" s="531" t="s">
        <v>1045</v>
      </c>
      <c r="E232" s="531">
        <f>5875</f>
        <v>5875</v>
      </c>
      <c r="F232" s="531">
        <f>5875/25</f>
        <v>235</v>
      </c>
      <c r="G232" s="74" t="s">
        <v>343</v>
      </c>
      <c r="H232" s="528" t="s">
        <v>339</v>
      </c>
    </row>
    <row r="233" spans="1:26" ht="15.6" x14ac:dyDescent="0.3">
      <c r="B233" s="530" t="s">
        <v>347</v>
      </c>
      <c r="C233" s="643" t="s">
        <v>28</v>
      </c>
      <c r="D233" s="531" t="s">
        <v>1045</v>
      </c>
      <c r="E233" s="531">
        <f>2375</f>
        <v>2375</v>
      </c>
      <c r="F233" s="531">
        <f>2375/25</f>
        <v>95</v>
      </c>
      <c r="G233" s="74" t="s">
        <v>343</v>
      </c>
      <c r="H233" s="528" t="s">
        <v>340</v>
      </c>
    </row>
    <row r="234" spans="1:26" ht="15.6" x14ac:dyDescent="0.3">
      <c r="B234" s="530" t="s">
        <v>355</v>
      </c>
      <c r="C234" s="643" t="s">
        <v>28</v>
      </c>
      <c r="D234" s="531" t="s">
        <v>1045</v>
      </c>
      <c r="E234" s="531">
        <f>4250</f>
        <v>4250</v>
      </c>
      <c r="F234" s="531">
        <f>4250/25</f>
        <v>170</v>
      </c>
      <c r="G234" s="74" t="s">
        <v>343</v>
      </c>
      <c r="H234" s="528" t="s">
        <v>341</v>
      </c>
    </row>
    <row r="235" spans="1:26" x14ac:dyDescent="0.3">
      <c r="B235" s="530" t="s">
        <v>370</v>
      </c>
      <c r="C235" s="643" t="s">
        <v>28</v>
      </c>
      <c r="D235" s="531" t="s">
        <v>941</v>
      </c>
      <c r="E235" s="531">
        <f>115</f>
        <v>115</v>
      </c>
      <c r="F235" s="531">
        <f>115/100</f>
        <v>1.1499999999999999</v>
      </c>
    </row>
    <row r="236" spans="1:26" s="582" customFormat="1" x14ac:dyDescent="0.3">
      <c r="A236" s="580">
        <v>1</v>
      </c>
      <c r="B236" s="583" t="s">
        <v>374</v>
      </c>
      <c r="C236" s="644" t="s">
        <v>371</v>
      </c>
      <c r="D236" s="584" t="s">
        <v>937</v>
      </c>
      <c r="E236" s="584">
        <f>375</f>
        <v>375</v>
      </c>
      <c r="F236" s="586">
        <f>E236/1000</f>
        <v>0.375</v>
      </c>
      <c r="G236" s="589">
        <f>ТАРИФИ!S118</f>
        <v>45.000000000000007</v>
      </c>
      <c r="H236" s="580"/>
      <c r="I236" s="580"/>
      <c r="J236" s="580"/>
      <c r="K236" s="580"/>
      <c r="L236" s="580"/>
      <c r="M236" s="580"/>
      <c r="N236" s="580"/>
      <c r="O236" s="580"/>
      <c r="P236" s="580"/>
      <c r="Q236" s="580"/>
      <c r="R236" s="580"/>
      <c r="S236" s="580"/>
      <c r="T236" s="580"/>
      <c r="U236" s="580"/>
      <c r="V236" s="580"/>
      <c r="W236" s="580"/>
      <c r="X236" s="580"/>
      <c r="Y236" s="580"/>
      <c r="Z236" s="580"/>
    </row>
    <row r="237" spans="1:26" s="582" customFormat="1" x14ac:dyDescent="0.3">
      <c r="A237" s="580">
        <f t="shared" ref="A237:A244" si="2">1+A236</f>
        <v>2</v>
      </c>
      <c r="B237" s="583" t="s">
        <v>373</v>
      </c>
      <c r="C237" s="644" t="s">
        <v>371</v>
      </c>
      <c r="D237" s="584" t="s">
        <v>937</v>
      </c>
      <c r="E237" s="584">
        <f>72</f>
        <v>72</v>
      </c>
      <c r="F237" s="586">
        <f>E237/250</f>
        <v>0.28799999999999998</v>
      </c>
      <c r="G237" s="589">
        <f>ТАРИФИ!S121</f>
        <v>60</v>
      </c>
      <c r="H237" s="580"/>
      <c r="I237" s="580"/>
      <c r="J237" s="580"/>
      <c r="K237" s="580"/>
      <c r="L237" s="580"/>
      <c r="M237" s="580"/>
      <c r="N237" s="580"/>
      <c r="O237" s="580"/>
      <c r="P237" s="580"/>
      <c r="Q237" s="580"/>
      <c r="R237" s="580"/>
      <c r="S237" s="580"/>
      <c r="T237" s="580"/>
      <c r="U237" s="580"/>
      <c r="V237" s="580"/>
      <c r="W237" s="580"/>
      <c r="X237" s="580"/>
      <c r="Y237" s="580"/>
      <c r="Z237" s="580"/>
    </row>
    <row r="238" spans="1:26" s="582" customFormat="1" x14ac:dyDescent="0.3">
      <c r="A238" s="580">
        <f t="shared" si="2"/>
        <v>3</v>
      </c>
      <c r="B238" s="583" t="s">
        <v>1124</v>
      </c>
      <c r="C238" s="644" t="s">
        <v>371</v>
      </c>
      <c r="D238" s="584" t="s">
        <v>944</v>
      </c>
      <c r="E238" s="584">
        <v>0.5</v>
      </c>
      <c r="F238" s="586">
        <f>E238</f>
        <v>0.5</v>
      </c>
      <c r="G238" s="581"/>
      <c r="H238" s="580"/>
      <c r="I238" s="580"/>
      <c r="J238" s="580"/>
      <c r="K238" s="580"/>
      <c r="L238" s="580"/>
      <c r="M238" s="580"/>
      <c r="N238" s="580"/>
      <c r="O238" s="580"/>
      <c r="P238" s="580"/>
      <c r="Q238" s="580"/>
      <c r="R238" s="580"/>
      <c r="S238" s="580"/>
      <c r="T238" s="580"/>
      <c r="U238" s="580"/>
      <c r="V238" s="580"/>
      <c r="W238" s="580"/>
      <c r="X238" s="580"/>
      <c r="Y238" s="580"/>
      <c r="Z238" s="580"/>
    </row>
    <row r="239" spans="1:26" s="582" customFormat="1" x14ac:dyDescent="0.3">
      <c r="A239" s="580">
        <f t="shared" si="2"/>
        <v>4</v>
      </c>
      <c r="B239" s="583" t="s">
        <v>372</v>
      </c>
      <c r="C239" s="644" t="s">
        <v>371</v>
      </c>
      <c r="D239" s="584" t="s">
        <v>941</v>
      </c>
      <c r="E239" s="584">
        <v>2</v>
      </c>
      <c r="F239" s="586">
        <f>E239</f>
        <v>2</v>
      </c>
      <c r="G239" s="581"/>
      <c r="H239" s="580"/>
      <c r="I239" s="580"/>
      <c r="J239" s="580"/>
      <c r="K239" s="580"/>
      <c r="L239" s="580"/>
      <c r="M239" s="580"/>
      <c r="N239" s="580"/>
      <c r="O239" s="580"/>
      <c r="P239" s="580"/>
      <c r="Q239" s="580"/>
      <c r="R239" s="580"/>
      <c r="S239" s="580"/>
      <c r="T239" s="580"/>
      <c r="U239" s="580"/>
      <c r="V239" s="580"/>
      <c r="W239" s="580"/>
      <c r="X239" s="580"/>
      <c r="Y239" s="580"/>
      <c r="Z239" s="580"/>
    </row>
    <row r="240" spans="1:26" s="582" customFormat="1" x14ac:dyDescent="0.3">
      <c r="A240" s="580">
        <f t="shared" si="2"/>
        <v>5</v>
      </c>
      <c r="B240" s="583" t="s">
        <v>375</v>
      </c>
      <c r="C240" s="644" t="s">
        <v>371</v>
      </c>
      <c r="D240" s="584" t="s">
        <v>937</v>
      </c>
      <c r="E240" s="584">
        <v>49</v>
      </c>
      <c r="F240" s="586">
        <f>E240/250</f>
        <v>0.19600000000000001</v>
      </c>
      <c r="G240" s="581"/>
      <c r="H240" s="580"/>
      <c r="I240" s="580"/>
      <c r="J240" s="580"/>
      <c r="K240" s="580"/>
      <c r="L240" s="580"/>
      <c r="M240" s="580"/>
      <c r="N240" s="580"/>
      <c r="O240" s="580"/>
      <c r="P240" s="580"/>
      <c r="Q240" s="580"/>
      <c r="R240" s="580"/>
      <c r="S240" s="580"/>
      <c r="T240" s="580"/>
      <c r="U240" s="580"/>
      <c r="V240" s="580"/>
      <c r="W240" s="580"/>
      <c r="X240" s="580"/>
      <c r="Y240" s="580"/>
      <c r="Z240" s="580"/>
    </row>
    <row r="241" spans="1:26" s="582" customFormat="1" x14ac:dyDescent="0.3">
      <c r="A241" s="580">
        <f t="shared" si="2"/>
        <v>6</v>
      </c>
      <c r="B241" s="583" t="s">
        <v>377</v>
      </c>
      <c r="C241" s="644" t="s">
        <v>371</v>
      </c>
      <c r="D241" s="584" t="s">
        <v>937</v>
      </c>
      <c r="E241" s="584">
        <v>20</v>
      </c>
      <c r="F241" s="585">
        <f>E241/100</f>
        <v>0.2</v>
      </c>
      <c r="G241" s="581"/>
      <c r="H241" s="580"/>
      <c r="I241" s="580"/>
      <c r="J241" s="580"/>
      <c r="K241" s="580"/>
      <c r="L241" s="580"/>
      <c r="M241" s="580"/>
      <c r="N241" s="580"/>
      <c r="O241" s="580"/>
      <c r="P241" s="580"/>
      <c r="Q241" s="580"/>
      <c r="R241" s="580"/>
      <c r="S241" s="580"/>
      <c r="T241" s="580"/>
      <c r="U241" s="580"/>
      <c r="V241" s="580"/>
      <c r="W241" s="580"/>
      <c r="X241" s="580"/>
      <c r="Y241" s="580"/>
      <c r="Z241" s="580"/>
    </row>
    <row r="242" spans="1:26" s="582" customFormat="1" x14ac:dyDescent="0.3">
      <c r="A242" s="580">
        <f t="shared" si="2"/>
        <v>7</v>
      </c>
      <c r="B242" s="583" t="s">
        <v>378</v>
      </c>
      <c r="C242" s="644" t="s">
        <v>371</v>
      </c>
      <c r="D242" s="584" t="s">
        <v>941</v>
      </c>
      <c r="E242" s="584">
        <v>180</v>
      </c>
      <c r="F242" s="586">
        <f>E242/30</f>
        <v>6</v>
      </c>
      <c r="G242" s="581"/>
      <c r="H242" s="580"/>
      <c r="I242" s="580"/>
      <c r="J242" s="580"/>
      <c r="K242" s="580"/>
      <c r="L242" s="580"/>
      <c r="M242" s="580"/>
      <c r="N242" s="580"/>
      <c r="O242" s="580"/>
      <c r="P242" s="580"/>
      <c r="Q242" s="580"/>
      <c r="R242" s="580"/>
      <c r="S242" s="580"/>
      <c r="T242" s="580"/>
      <c r="U242" s="580"/>
      <c r="V242" s="580"/>
      <c r="W242" s="580"/>
      <c r="X242" s="580"/>
      <c r="Y242" s="580"/>
      <c r="Z242" s="580"/>
    </row>
    <row r="243" spans="1:26" s="582" customFormat="1" x14ac:dyDescent="0.3">
      <c r="A243" s="580">
        <f t="shared" si="2"/>
        <v>8</v>
      </c>
      <c r="B243" s="583" t="s">
        <v>379</v>
      </c>
      <c r="C243" s="644" t="s">
        <v>371</v>
      </c>
      <c r="D243" s="584" t="s">
        <v>1164</v>
      </c>
      <c r="E243" s="584">
        <v>236</v>
      </c>
      <c r="F243" s="586">
        <f>E243/100</f>
        <v>2.36</v>
      </c>
      <c r="G243" s="581"/>
      <c r="H243" s="580"/>
      <c r="I243" s="580"/>
      <c r="J243" s="580"/>
      <c r="K243" s="580"/>
      <c r="L243" s="580"/>
      <c r="M243" s="580"/>
      <c r="N243" s="580"/>
      <c r="O243" s="580"/>
      <c r="P243" s="580"/>
      <c r="Q243" s="580"/>
      <c r="R243" s="580"/>
      <c r="S243" s="580"/>
      <c r="T243" s="580"/>
      <c r="U243" s="580"/>
      <c r="V243" s="580"/>
      <c r="W243" s="580"/>
      <c r="X243" s="580"/>
      <c r="Y243" s="580"/>
      <c r="Z243" s="580"/>
    </row>
    <row r="244" spans="1:26" s="582" customFormat="1" x14ac:dyDescent="0.3">
      <c r="A244" s="580">
        <f t="shared" si="2"/>
        <v>9</v>
      </c>
      <c r="B244" s="583" t="s">
        <v>376</v>
      </c>
      <c r="C244" s="644" t="s">
        <v>371</v>
      </c>
      <c r="D244" s="584" t="s">
        <v>941</v>
      </c>
      <c r="E244" s="584">
        <f>35/2</f>
        <v>17.5</v>
      </c>
      <c r="F244" s="586">
        <f>E244</f>
        <v>17.5</v>
      </c>
      <c r="G244" s="581"/>
      <c r="H244" s="580"/>
      <c r="I244" s="580"/>
      <c r="J244" s="580"/>
      <c r="K244" s="580"/>
      <c r="L244" s="580"/>
      <c r="M244" s="580"/>
      <c r="N244" s="580"/>
      <c r="O244" s="580"/>
      <c r="P244" s="580"/>
      <c r="Q244" s="580"/>
      <c r="R244" s="580"/>
      <c r="S244" s="580"/>
      <c r="T244" s="580"/>
      <c r="U244" s="580"/>
      <c r="V244" s="580"/>
      <c r="W244" s="580"/>
      <c r="X244" s="580"/>
      <c r="Y244" s="580"/>
      <c r="Z244" s="580"/>
    </row>
    <row r="245" spans="1:26" ht="24.6" x14ac:dyDescent="0.3">
      <c r="A245" s="7">
        <v>1</v>
      </c>
      <c r="B245" s="590" t="s">
        <v>374</v>
      </c>
      <c r="C245" s="614" t="s">
        <v>380</v>
      </c>
      <c r="D245" s="604" t="str">
        <f t="shared" ref="D245:F246" si="3">D236</f>
        <v>мл</v>
      </c>
      <c r="E245" s="604">
        <f t="shared" si="3"/>
        <v>375</v>
      </c>
      <c r="F245" s="604">
        <f t="shared" si="3"/>
        <v>0.375</v>
      </c>
    </row>
    <row r="246" spans="1:26" ht="24.6" x14ac:dyDescent="0.3">
      <c r="A246" s="7">
        <f>1+A245</f>
        <v>2</v>
      </c>
      <c r="B246" s="590" t="s">
        <v>373</v>
      </c>
      <c r="C246" s="614" t="s">
        <v>380</v>
      </c>
      <c r="D246" s="604" t="str">
        <f t="shared" si="3"/>
        <v>мл</v>
      </c>
      <c r="E246" s="604">
        <f t="shared" si="3"/>
        <v>72</v>
      </c>
      <c r="F246" s="604">
        <f t="shared" si="3"/>
        <v>0.28799999999999998</v>
      </c>
    </row>
    <row r="247" spans="1:26" ht="24.6" x14ac:dyDescent="0.3">
      <c r="A247" s="7">
        <f t="shared" ref="A247:A253" si="4">1+A246</f>
        <v>3</v>
      </c>
      <c r="B247" s="590" t="s">
        <v>972</v>
      </c>
      <c r="C247" s="614" t="s">
        <v>380</v>
      </c>
      <c r="D247" s="497" t="s">
        <v>944</v>
      </c>
      <c r="E247" s="497">
        <v>6.72</v>
      </c>
      <c r="F247" s="497">
        <f>E247</f>
        <v>6.72</v>
      </c>
    </row>
    <row r="248" spans="1:26" ht="24.6" x14ac:dyDescent="0.3">
      <c r="A248" s="7">
        <f t="shared" si="4"/>
        <v>4</v>
      </c>
      <c r="B248" s="590" t="s">
        <v>1124</v>
      </c>
      <c r="C248" s="614" t="s">
        <v>380</v>
      </c>
      <c r="D248" s="497" t="str">
        <f t="shared" ref="D248:F250" si="5">D238</f>
        <v>г</v>
      </c>
      <c r="E248" s="497">
        <f t="shared" si="5"/>
        <v>0.5</v>
      </c>
      <c r="F248" s="497">
        <f t="shared" si="5"/>
        <v>0.5</v>
      </c>
    </row>
    <row r="249" spans="1:26" ht="24.6" x14ac:dyDescent="0.3">
      <c r="A249" s="7">
        <f t="shared" si="4"/>
        <v>5</v>
      </c>
      <c r="B249" s="590" t="s">
        <v>372</v>
      </c>
      <c r="C249" s="614" t="s">
        <v>380</v>
      </c>
      <c r="D249" s="497" t="str">
        <f t="shared" si="5"/>
        <v>шт</v>
      </c>
      <c r="E249" s="497">
        <f t="shared" si="5"/>
        <v>2</v>
      </c>
      <c r="F249" s="497">
        <f t="shared" si="5"/>
        <v>2</v>
      </c>
    </row>
    <row r="250" spans="1:26" ht="24.6" x14ac:dyDescent="0.3">
      <c r="A250" s="7">
        <f t="shared" si="4"/>
        <v>6</v>
      </c>
      <c r="B250" s="590" t="s">
        <v>375</v>
      </c>
      <c r="C250" s="614" t="s">
        <v>380</v>
      </c>
      <c r="D250" s="497" t="str">
        <f t="shared" si="5"/>
        <v>мл</v>
      </c>
      <c r="E250" s="497">
        <f t="shared" si="5"/>
        <v>49</v>
      </c>
      <c r="F250" s="497">
        <f t="shared" si="5"/>
        <v>0.19600000000000001</v>
      </c>
    </row>
    <row r="251" spans="1:26" ht="24.6" x14ac:dyDescent="0.3">
      <c r="A251" s="7">
        <f t="shared" si="4"/>
        <v>7</v>
      </c>
      <c r="B251" s="590" t="s">
        <v>964</v>
      </c>
      <c r="C251" s="614" t="s">
        <v>380</v>
      </c>
      <c r="D251" s="497" t="s">
        <v>935</v>
      </c>
      <c r="E251" s="497">
        <v>7.39</v>
      </c>
      <c r="F251" s="497">
        <f>E251</f>
        <v>7.39</v>
      </c>
    </row>
    <row r="252" spans="1:26" ht="24.6" x14ac:dyDescent="0.3">
      <c r="A252" s="7">
        <f t="shared" si="4"/>
        <v>8</v>
      </c>
      <c r="B252" s="590" t="s">
        <v>376</v>
      </c>
      <c r="C252" s="614" t="s">
        <v>380</v>
      </c>
      <c r="D252" s="497" t="str">
        <f>D244</f>
        <v>шт</v>
      </c>
      <c r="E252" s="497">
        <f>E244</f>
        <v>17.5</v>
      </c>
      <c r="F252" s="497">
        <f>F244</f>
        <v>17.5</v>
      </c>
    </row>
    <row r="253" spans="1:26" ht="24.6" x14ac:dyDescent="0.3">
      <c r="A253" s="7">
        <f t="shared" si="4"/>
        <v>9</v>
      </c>
      <c r="B253" s="590" t="s">
        <v>942</v>
      </c>
      <c r="C253" s="614" t="s">
        <v>380</v>
      </c>
      <c r="D253" s="503" t="s">
        <v>10</v>
      </c>
      <c r="E253" s="508">
        <v>24.6</v>
      </c>
      <c r="F253" s="509">
        <f>E253</f>
        <v>24.6</v>
      </c>
    </row>
    <row r="254" spans="1:26" s="516" customFormat="1" x14ac:dyDescent="0.3">
      <c r="A254" s="554">
        <v>1</v>
      </c>
      <c r="B254" s="530" t="s">
        <v>381</v>
      </c>
      <c r="C254" s="612" t="s">
        <v>382</v>
      </c>
      <c r="D254" s="608" t="s">
        <v>941</v>
      </c>
      <c r="E254" s="608">
        <f>14*25</f>
        <v>350</v>
      </c>
      <c r="F254" s="611">
        <f>E254/25</f>
        <v>14</v>
      </c>
      <c r="G254" s="597"/>
      <c r="H254" s="598"/>
      <c r="I254" s="598"/>
      <c r="J254" s="554"/>
      <c r="K254" s="598"/>
      <c r="L254" s="554"/>
      <c r="M254" s="554"/>
      <c r="N254" s="554"/>
      <c r="O254" s="554"/>
      <c r="P254" s="554"/>
      <c r="Q254" s="554"/>
      <c r="R254" s="554"/>
      <c r="S254" s="554"/>
      <c r="T254" s="554"/>
      <c r="U254" s="554"/>
      <c r="V254" s="554"/>
      <c r="W254" s="554"/>
      <c r="X254" s="554"/>
      <c r="Y254" s="554"/>
      <c r="Z254" s="554"/>
    </row>
    <row r="255" spans="1:26" s="516" customFormat="1" x14ac:dyDescent="0.3">
      <c r="A255" s="554">
        <f>A254+1</f>
        <v>2</v>
      </c>
      <c r="B255" s="530" t="s">
        <v>374</v>
      </c>
      <c r="C255" s="612" t="s">
        <v>382</v>
      </c>
      <c r="D255" s="607" t="str">
        <f t="shared" ref="D255:F263" si="6">D245</f>
        <v>мл</v>
      </c>
      <c r="E255" s="607">
        <f t="shared" si="6"/>
        <v>375</v>
      </c>
      <c r="F255" s="607">
        <f t="shared" si="6"/>
        <v>0.375</v>
      </c>
      <c r="G255" s="597"/>
      <c r="H255" s="598"/>
      <c r="I255" s="598"/>
      <c r="J255" s="554"/>
      <c r="K255" s="598"/>
      <c r="L255" s="554"/>
      <c r="M255" s="554"/>
      <c r="N255" s="554"/>
      <c r="O255" s="554"/>
      <c r="P255" s="554"/>
      <c r="Q255" s="554"/>
      <c r="R255" s="554"/>
      <c r="S255" s="554"/>
      <c r="T255" s="554"/>
      <c r="U255" s="554"/>
      <c r="V255" s="554"/>
      <c r="W255" s="554"/>
      <c r="X255" s="554"/>
      <c r="Y255" s="554"/>
      <c r="Z255" s="554"/>
    </row>
    <row r="256" spans="1:26" s="516" customFormat="1" x14ac:dyDescent="0.3">
      <c r="A256" s="554">
        <f t="shared" ref="A256:A262" si="7">A255+1</f>
        <v>3</v>
      </c>
      <c r="B256" s="530" t="s">
        <v>373</v>
      </c>
      <c r="C256" s="612" t="s">
        <v>382</v>
      </c>
      <c r="D256" s="607" t="str">
        <f t="shared" si="6"/>
        <v>мл</v>
      </c>
      <c r="E256" s="607">
        <f t="shared" si="6"/>
        <v>72</v>
      </c>
      <c r="F256" s="607">
        <f t="shared" si="6"/>
        <v>0.28799999999999998</v>
      </c>
      <c r="G256" s="597"/>
      <c r="H256" s="598"/>
      <c r="I256" s="598"/>
      <c r="J256" s="554"/>
      <c r="K256" s="598"/>
      <c r="L256" s="554"/>
      <c r="M256" s="554"/>
      <c r="N256" s="554"/>
      <c r="O256" s="554"/>
      <c r="P256" s="554"/>
      <c r="Q256" s="554"/>
      <c r="R256" s="554"/>
      <c r="S256" s="554"/>
      <c r="T256" s="554"/>
      <c r="U256" s="554"/>
      <c r="V256" s="554"/>
      <c r="W256" s="554"/>
      <c r="X256" s="554"/>
      <c r="Y256" s="554"/>
      <c r="Z256" s="554"/>
    </row>
    <row r="257" spans="1:26" s="516" customFormat="1" x14ac:dyDescent="0.3">
      <c r="A257" s="554">
        <f t="shared" si="7"/>
        <v>4</v>
      </c>
      <c r="B257" s="530" t="s">
        <v>972</v>
      </c>
      <c r="C257" s="612" t="s">
        <v>382</v>
      </c>
      <c r="D257" s="607" t="str">
        <f t="shared" si="6"/>
        <v>г</v>
      </c>
      <c r="E257" s="607">
        <f t="shared" si="6"/>
        <v>6.72</v>
      </c>
      <c r="F257" s="607">
        <f t="shared" si="6"/>
        <v>6.72</v>
      </c>
      <c r="G257" s="597"/>
      <c r="H257" s="598"/>
      <c r="I257" s="598"/>
      <c r="J257" s="554"/>
      <c r="K257" s="598"/>
      <c r="L257" s="554"/>
      <c r="M257" s="554"/>
      <c r="N257" s="554"/>
      <c r="O257" s="554"/>
      <c r="P257" s="554"/>
      <c r="Q257" s="554"/>
      <c r="R257" s="554"/>
      <c r="S257" s="554"/>
      <c r="T257" s="554"/>
      <c r="U257" s="554"/>
      <c r="V257" s="554"/>
      <c r="W257" s="554"/>
      <c r="X257" s="554"/>
      <c r="Y257" s="554"/>
      <c r="Z257" s="554"/>
    </row>
    <row r="258" spans="1:26" s="516" customFormat="1" x14ac:dyDescent="0.3">
      <c r="A258" s="554">
        <f t="shared" si="7"/>
        <v>5</v>
      </c>
      <c r="B258" s="530" t="s">
        <v>1124</v>
      </c>
      <c r="C258" s="612" t="s">
        <v>382</v>
      </c>
      <c r="D258" s="607" t="str">
        <f t="shared" si="6"/>
        <v>г</v>
      </c>
      <c r="E258" s="607">
        <f t="shared" si="6"/>
        <v>0.5</v>
      </c>
      <c r="F258" s="607">
        <f t="shared" si="6"/>
        <v>0.5</v>
      </c>
      <c r="G258" s="597"/>
      <c r="H258" s="598"/>
      <c r="I258" s="598"/>
      <c r="J258" s="554"/>
      <c r="K258" s="598"/>
      <c r="L258" s="554"/>
      <c r="M258" s="554"/>
      <c r="N258" s="554"/>
      <c r="O258" s="554"/>
      <c r="P258" s="554"/>
      <c r="Q258" s="554"/>
      <c r="R258" s="554"/>
      <c r="S258" s="554"/>
      <c r="T258" s="554"/>
      <c r="U258" s="554"/>
      <c r="V258" s="554"/>
      <c r="W258" s="554"/>
      <c r="X258" s="554"/>
      <c r="Y258" s="554"/>
      <c r="Z258" s="554"/>
    </row>
    <row r="259" spans="1:26" s="516" customFormat="1" x14ac:dyDescent="0.3">
      <c r="A259" s="554">
        <f t="shared" si="7"/>
        <v>6</v>
      </c>
      <c r="B259" s="530" t="s">
        <v>372</v>
      </c>
      <c r="C259" s="612" t="s">
        <v>382</v>
      </c>
      <c r="D259" s="607" t="str">
        <f t="shared" si="6"/>
        <v>шт</v>
      </c>
      <c r="E259" s="607">
        <f t="shared" si="6"/>
        <v>2</v>
      </c>
      <c r="F259" s="607">
        <f t="shared" si="6"/>
        <v>2</v>
      </c>
      <c r="G259" s="597"/>
      <c r="H259" s="598"/>
      <c r="I259" s="598"/>
      <c r="J259" s="554"/>
      <c r="K259" s="598"/>
      <c r="L259" s="554"/>
      <c r="M259" s="554"/>
      <c r="N259" s="554"/>
      <c r="O259" s="554"/>
      <c r="P259" s="554"/>
      <c r="Q259" s="554"/>
      <c r="R259" s="554"/>
      <c r="S259" s="554"/>
      <c r="T259" s="554"/>
      <c r="U259" s="554"/>
      <c r="V259" s="554"/>
      <c r="W259" s="554"/>
      <c r="X259" s="554"/>
      <c r="Y259" s="554"/>
      <c r="Z259" s="554"/>
    </row>
    <row r="260" spans="1:26" s="516" customFormat="1" x14ac:dyDescent="0.3">
      <c r="A260" s="554">
        <f t="shared" si="7"/>
        <v>7</v>
      </c>
      <c r="B260" s="530" t="s">
        <v>375</v>
      </c>
      <c r="C260" s="612" t="s">
        <v>382</v>
      </c>
      <c r="D260" s="607" t="str">
        <f t="shared" si="6"/>
        <v>мл</v>
      </c>
      <c r="E260" s="607">
        <f t="shared" si="6"/>
        <v>49</v>
      </c>
      <c r="F260" s="607">
        <f t="shared" si="6"/>
        <v>0.19600000000000001</v>
      </c>
      <c r="G260" s="597"/>
      <c r="H260" s="598"/>
      <c r="I260" s="598"/>
      <c r="J260" s="554"/>
      <c r="K260" s="598"/>
      <c r="L260" s="554"/>
      <c r="M260" s="554"/>
      <c r="N260" s="554"/>
      <c r="O260" s="554"/>
      <c r="P260" s="554"/>
      <c r="Q260" s="554"/>
      <c r="R260" s="554"/>
      <c r="S260" s="554"/>
      <c r="T260" s="554"/>
      <c r="U260" s="554"/>
      <c r="V260" s="554"/>
      <c r="W260" s="554"/>
      <c r="X260" s="554"/>
      <c r="Y260" s="554"/>
      <c r="Z260" s="554"/>
    </row>
    <row r="261" spans="1:26" s="516" customFormat="1" x14ac:dyDescent="0.3">
      <c r="A261" s="554">
        <f t="shared" si="7"/>
        <v>8</v>
      </c>
      <c r="B261" s="530" t="s">
        <v>964</v>
      </c>
      <c r="C261" s="612" t="s">
        <v>382</v>
      </c>
      <c r="D261" s="607" t="str">
        <f t="shared" si="6"/>
        <v>пара</v>
      </c>
      <c r="E261" s="607">
        <f t="shared" si="6"/>
        <v>7.39</v>
      </c>
      <c r="F261" s="607">
        <f t="shared" si="6"/>
        <v>7.39</v>
      </c>
      <c r="G261" s="597"/>
      <c r="H261" s="598"/>
      <c r="I261" s="598"/>
      <c r="J261" s="554"/>
      <c r="K261" s="598"/>
      <c r="L261" s="554"/>
      <c r="M261" s="554"/>
      <c r="N261" s="554"/>
      <c r="O261" s="554"/>
      <c r="P261" s="554"/>
      <c r="Q261" s="554"/>
      <c r="R261" s="554"/>
      <c r="S261" s="554"/>
      <c r="T261" s="554"/>
      <c r="U261" s="554"/>
      <c r="V261" s="554"/>
      <c r="W261" s="554"/>
      <c r="X261" s="554"/>
      <c r="Y261" s="554"/>
      <c r="Z261" s="554"/>
    </row>
    <row r="262" spans="1:26" s="516" customFormat="1" x14ac:dyDescent="0.3">
      <c r="A262" s="554">
        <f t="shared" si="7"/>
        <v>9</v>
      </c>
      <c r="B262" s="530" t="s">
        <v>376</v>
      </c>
      <c r="C262" s="612" t="s">
        <v>382</v>
      </c>
      <c r="D262" s="607" t="str">
        <f t="shared" si="6"/>
        <v>шт</v>
      </c>
      <c r="E262" s="607">
        <f t="shared" si="6"/>
        <v>17.5</v>
      </c>
      <c r="F262" s="607">
        <f t="shared" si="6"/>
        <v>17.5</v>
      </c>
      <c r="G262" s="597"/>
      <c r="H262" s="598"/>
      <c r="I262" s="598"/>
      <c r="J262" s="554"/>
      <c r="K262" s="598"/>
      <c r="L262" s="554"/>
      <c r="M262" s="554"/>
      <c r="N262" s="554"/>
      <c r="O262" s="554"/>
      <c r="P262" s="554"/>
      <c r="Q262" s="554"/>
      <c r="R262" s="554"/>
      <c r="S262" s="554"/>
      <c r="T262" s="554"/>
      <c r="U262" s="554"/>
      <c r="V262" s="554"/>
      <c r="W262" s="554"/>
      <c r="X262" s="554"/>
      <c r="Y262" s="554"/>
      <c r="Z262" s="554"/>
    </row>
    <row r="263" spans="1:26" s="516" customFormat="1" x14ac:dyDescent="0.3">
      <c r="A263" s="554">
        <f>A262+1</f>
        <v>10</v>
      </c>
      <c r="B263" s="530" t="s">
        <v>942</v>
      </c>
      <c r="C263" s="612" t="s">
        <v>382</v>
      </c>
      <c r="D263" s="607" t="str">
        <f t="shared" si="6"/>
        <v>фл/гр.</v>
      </c>
      <c r="E263" s="607">
        <f t="shared" si="6"/>
        <v>24.6</v>
      </c>
      <c r="F263" s="607">
        <f t="shared" si="6"/>
        <v>24.6</v>
      </c>
      <c r="G263" s="597"/>
      <c r="H263" s="598"/>
      <c r="I263" s="598"/>
      <c r="J263" s="554"/>
      <c r="K263" s="598"/>
      <c r="L263" s="554"/>
      <c r="M263" s="554"/>
      <c r="N263" s="554"/>
      <c r="O263" s="554"/>
      <c r="P263" s="554"/>
      <c r="Q263" s="554"/>
      <c r="R263" s="554"/>
      <c r="S263" s="554"/>
      <c r="T263" s="554"/>
      <c r="U263" s="554"/>
      <c r="V263" s="554"/>
      <c r="W263" s="554"/>
      <c r="X263" s="554"/>
      <c r="Y263" s="554"/>
      <c r="Z263" s="554"/>
    </row>
    <row r="264" spans="1:26" s="602" customFormat="1" x14ac:dyDescent="0.3">
      <c r="A264" s="599">
        <v>1</v>
      </c>
      <c r="B264" s="590" t="s">
        <v>384</v>
      </c>
      <c r="C264" s="614" t="s">
        <v>383</v>
      </c>
      <c r="D264" s="603" t="s">
        <v>941</v>
      </c>
      <c r="E264" s="603">
        <v>2</v>
      </c>
      <c r="F264" s="615">
        <f>E264</f>
        <v>2</v>
      </c>
      <c r="G264" s="600"/>
      <c r="H264" s="601"/>
      <c r="I264" s="601"/>
      <c r="J264" s="599"/>
      <c r="K264" s="601"/>
      <c r="L264" s="599"/>
      <c r="M264" s="599"/>
      <c r="N264" s="599"/>
      <c r="O264" s="599"/>
      <c r="P264" s="599"/>
      <c r="Q264" s="599"/>
      <c r="R264" s="599"/>
      <c r="S264" s="599"/>
      <c r="T264" s="599"/>
      <c r="U264" s="599"/>
      <c r="V264" s="599"/>
      <c r="W264" s="599"/>
      <c r="X264" s="599"/>
      <c r="Y264" s="599"/>
      <c r="Z264" s="599"/>
    </row>
    <row r="265" spans="1:26" s="602" customFormat="1" x14ac:dyDescent="0.3">
      <c r="A265" s="599">
        <f>A264+1</f>
        <v>2</v>
      </c>
      <c r="B265" s="590" t="s">
        <v>374</v>
      </c>
      <c r="C265" s="614" t="s">
        <v>383</v>
      </c>
      <c r="D265" s="604" t="str">
        <f t="shared" ref="D265:F273" si="8">D255</f>
        <v>мл</v>
      </c>
      <c r="E265" s="604">
        <f t="shared" si="8"/>
        <v>375</v>
      </c>
      <c r="F265" s="604">
        <f t="shared" si="8"/>
        <v>0.375</v>
      </c>
      <c r="G265" s="600"/>
      <c r="H265" s="601"/>
      <c r="I265" s="601"/>
      <c r="J265" s="599"/>
      <c r="K265" s="601"/>
      <c r="L265" s="599"/>
      <c r="M265" s="599"/>
      <c r="N265" s="599"/>
      <c r="O265" s="599"/>
      <c r="P265" s="599"/>
      <c r="Q265" s="599"/>
      <c r="R265" s="599"/>
      <c r="S265" s="599"/>
      <c r="T265" s="599"/>
      <c r="U265" s="599"/>
      <c r="V265" s="599"/>
      <c r="W265" s="599"/>
      <c r="X265" s="599"/>
      <c r="Y265" s="599"/>
      <c r="Z265" s="599"/>
    </row>
    <row r="266" spans="1:26" s="602" customFormat="1" x14ac:dyDescent="0.3">
      <c r="A266" s="599">
        <f t="shared" ref="A266:A272" si="9">A265+1</f>
        <v>3</v>
      </c>
      <c r="B266" s="590" t="s">
        <v>373</v>
      </c>
      <c r="C266" s="614" t="s">
        <v>383</v>
      </c>
      <c r="D266" s="604" t="str">
        <f t="shared" si="8"/>
        <v>мл</v>
      </c>
      <c r="E266" s="604">
        <f t="shared" si="8"/>
        <v>72</v>
      </c>
      <c r="F266" s="604">
        <f t="shared" si="8"/>
        <v>0.28799999999999998</v>
      </c>
      <c r="G266" s="600"/>
      <c r="H266" s="601"/>
      <c r="I266" s="601"/>
      <c r="J266" s="599"/>
      <c r="K266" s="601"/>
      <c r="L266" s="599"/>
      <c r="M266" s="599"/>
      <c r="N266" s="599"/>
      <c r="O266" s="599"/>
      <c r="P266" s="599"/>
      <c r="Q266" s="599"/>
      <c r="R266" s="599"/>
      <c r="S266" s="599"/>
      <c r="T266" s="599"/>
      <c r="U266" s="599"/>
      <c r="V266" s="599"/>
      <c r="W266" s="599"/>
      <c r="X266" s="599"/>
      <c r="Y266" s="599"/>
      <c r="Z266" s="599"/>
    </row>
    <row r="267" spans="1:26" s="602" customFormat="1" x14ac:dyDescent="0.3">
      <c r="A267" s="599">
        <f t="shared" si="9"/>
        <v>4</v>
      </c>
      <c r="B267" s="590" t="s">
        <v>972</v>
      </c>
      <c r="C267" s="614" t="s">
        <v>383</v>
      </c>
      <c r="D267" s="604" t="str">
        <f t="shared" si="8"/>
        <v>г</v>
      </c>
      <c r="E267" s="604">
        <f t="shared" si="8"/>
        <v>6.72</v>
      </c>
      <c r="F267" s="604">
        <f t="shared" si="8"/>
        <v>6.72</v>
      </c>
      <c r="G267" s="600"/>
      <c r="H267" s="601"/>
      <c r="I267" s="601"/>
      <c r="J267" s="599"/>
      <c r="K267" s="601"/>
      <c r="L267" s="599"/>
      <c r="M267" s="599"/>
      <c r="N267" s="599"/>
      <c r="O267" s="599"/>
      <c r="P267" s="599"/>
      <c r="Q267" s="599"/>
      <c r="R267" s="599"/>
      <c r="S267" s="599"/>
      <c r="T267" s="599"/>
      <c r="U267" s="599"/>
      <c r="V267" s="599"/>
      <c r="W267" s="599"/>
      <c r="X267" s="599"/>
      <c r="Y267" s="599"/>
      <c r="Z267" s="599"/>
    </row>
    <row r="268" spans="1:26" s="602" customFormat="1" x14ac:dyDescent="0.3">
      <c r="A268" s="599">
        <f t="shared" si="9"/>
        <v>5</v>
      </c>
      <c r="B268" s="590" t="s">
        <v>1124</v>
      </c>
      <c r="C268" s="614" t="s">
        <v>383</v>
      </c>
      <c r="D268" s="604" t="str">
        <f t="shared" si="8"/>
        <v>г</v>
      </c>
      <c r="E268" s="604">
        <f t="shared" si="8"/>
        <v>0.5</v>
      </c>
      <c r="F268" s="604">
        <f t="shared" si="8"/>
        <v>0.5</v>
      </c>
      <c r="G268" s="600"/>
      <c r="H268" s="601"/>
      <c r="I268" s="601"/>
      <c r="J268" s="599"/>
      <c r="K268" s="601"/>
      <c r="L268" s="599"/>
      <c r="M268" s="599"/>
      <c r="N268" s="599"/>
      <c r="O268" s="599"/>
      <c r="P268" s="599"/>
      <c r="Q268" s="599"/>
      <c r="R268" s="599"/>
      <c r="S268" s="599"/>
      <c r="T268" s="599"/>
      <c r="U268" s="599"/>
      <c r="V268" s="599"/>
      <c r="W268" s="599"/>
      <c r="X268" s="599"/>
      <c r="Y268" s="599"/>
      <c r="Z268" s="599"/>
    </row>
    <row r="269" spans="1:26" s="602" customFormat="1" x14ac:dyDescent="0.3">
      <c r="A269" s="599">
        <f t="shared" si="9"/>
        <v>6</v>
      </c>
      <c r="B269" s="590" t="s">
        <v>372</v>
      </c>
      <c r="C269" s="614" t="s">
        <v>383</v>
      </c>
      <c r="D269" s="604" t="str">
        <f t="shared" si="8"/>
        <v>шт</v>
      </c>
      <c r="E269" s="604">
        <f t="shared" si="8"/>
        <v>2</v>
      </c>
      <c r="F269" s="604">
        <f t="shared" si="8"/>
        <v>2</v>
      </c>
      <c r="G269" s="600"/>
      <c r="H269" s="601"/>
      <c r="I269" s="601"/>
      <c r="J269" s="599"/>
      <c r="K269" s="601"/>
      <c r="L269" s="599"/>
      <c r="M269" s="599"/>
      <c r="N269" s="599"/>
      <c r="O269" s="599"/>
      <c r="P269" s="599"/>
      <c r="Q269" s="599"/>
      <c r="R269" s="599"/>
      <c r="S269" s="599"/>
      <c r="T269" s="599"/>
      <c r="U269" s="599"/>
      <c r="V269" s="599"/>
      <c r="W269" s="599"/>
      <c r="X269" s="599"/>
      <c r="Y269" s="599"/>
      <c r="Z269" s="599"/>
    </row>
    <row r="270" spans="1:26" s="602" customFormat="1" x14ac:dyDescent="0.3">
      <c r="A270" s="599">
        <f t="shared" si="9"/>
        <v>7</v>
      </c>
      <c r="B270" s="590" t="s">
        <v>375</v>
      </c>
      <c r="C270" s="614" t="s">
        <v>383</v>
      </c>
      <c r="D270" s="604" t="str">
        <f t="shared" si="8"/>
        <v>мл</v>
      </c>
      <c r="E270" s="604">
        <f t="shared" si="8"/>
        <v>49</v>
      </c>
      <c r="F270" s="604">
        <f t="shared" si="8"/>
        <v>0.19600000000000001</v>
      </c>
      <c r="G270" s="600"/>
      <c r="H270" s="601"/>
      <c r="I270" s="601"/>
      <c r="J270" s="599"/>
      <c r="K270" s="601"/>
      <c r="L270" s="599"/>
      <c r="M270" s="599"/>
      <c r="N270" s="599"/>
      <c r="O270" s="599"/>
      <c r="P270" s="599"/>
      <c r="Q270" s="599"/>
      <c r="R270" s="599"/>
      <c r="S270" s="599"/>
      <c r="T270" s="599"/>
      <c r="U270" s="599"/>
      <c r="V270" s="599"/>
      <c r="W270" s="599"/>
      <c r="X270" s="599"/>
      <c r="Y270" s="599"/>
      <c r="Z270" s="599"/>
    </row>
    <row r="271" spans="1:26" s="602" customFormat="1" x14ac:dyDescent="0.3">
      <c r="A271" s="599">
        <f t="shared" si="9"/>
        <v>8</v>
      </c>
      <c r="B271" s="590" t="s">
        <v>964</v>
      </c>
      <c r="C271" s="614" t="s">
        <v>383</v>
      </c>
      <c r="D271" s="604" t="str">
        <f t="shared" si="8"/>
        <v>пара</v>
      </c>
      <c r="E271" s="604">
        <f t="shared" si="8"/>
        <v>7.39</v>
      </c>
      <c r="F271" s="604">
        <f t="shared" si="8"/>
        <v>7.39</v>
      </c>
      <c r="G271" s="600"/>
      <c r="H271" s="601"/>
      <c r="I271" s="601"/>
      <c r="J271" s="599"/>
      <c r="K271" s="601"/>
      <c r="L271" s="599"/>
      <c r="M271" s="599"/>
      <c r="N271" s="599"/>
      <c r="O271" s="599"/>
      <c r="P271" s="599"/>
      <c r="Q271" s="599"/>
      <c r="R271" s="599"/>
      <c r="S271" s="599"/>
      <c r="T271" s="599"/>
      <c r="U271" s="599"/>
      <c r="V271" s="599"/>
      <c r="W271" s="599"/>
      <c r="X271" s="599"/>
      <c r="Y271" s="599"/>
      <c r="Z271" s="599"/>
    </row>
    <row r="272" spans="1:26" s="602" customFormat="1" x14ac:dyDescent="0.3">
      <c r="A272" s="599">
        <f t="shared" si="9"/>
        <v>9</v>
      </c>
      <c r="B272" s="590" t="s">
        <v>376</v>
      </c>
      <c r="C272" s="614" t="s">
        <v>383</v>
      </c>
      <c r="D272" s="604" t="str">
        <f t="shared" si="8"/>
        <v>шт</v>
      </c>
      <c r="E272" s="604">
        <f t="shared" si="8"/>
        <v>17.5</v>
      </c>
      <c r="F272" s="604">
        <f t="shared" si="8"/>
        <v>17.5</v>
      </c>
      <c r="G272" s="600"/>
      <c r="H272" s="601"/>
      <c r="I272" s="601"/>
      <c r="J272" s="599"/>
      <c r="K272" s="601"/>
      <c r="L272" s="599"/>
      <c r="M272" s="599"/>
      <c r="N272" s="599"/>
      <c r="O272" s="599"/>
      <c r="P272" s="599"/>
      <c r="Q272" s="599"/>
      <c r="R272" s="599"/>
      <c r="S272" s="599"/>
      <c r="T272" s="599"/>
      <c r="U272" s="599"/>
      <c r="V272" s="599"/>
      <c r="W272" s="599"/>
      <c r="X272" s="599"/>
      <c r="Y272" s="599"/>
      <c r="Z272" s="599"/>
    </row>
    <row r="273" spans="1:26" s="602" customFormat="1" x14ac:dyDescent="0.3">
      <c r="A273" s="599">
        <f>A272+1</f>
        <v>10</v>
      </c>
      <c r="B273" s="590" t="s">
        <v>942</v>
      </c>
      <c r="C273" s="614" t="s">
        <v>383</v>
      </c>
      <c r="D273" s="604" t="str">
        <f t="shared" si="8"/>
        <v>фл/гр.</v>
      </c>
      <c r="E273" s="604">
        <f t="shared" si="8"/>
        <v>24.6</v>
      </c>
      <c r="F273" s="604">
        <f t="shared" si="8"/>
        <v>24.6</v>
      </c>
      <c r="G273" s="600"/>
      <c r="H273" s="601"/>
      <c r="I273" s="601"/>
      <c r="J273" s="599"/>
      <c r="K273" s="601"/>
      <c r="L273" s="599"/>
      <c r="M273" s="599"/>
      <c r="N273" s="599"/>
      <c r="O273" s="599"/>
      <c r="P273" s="599"/>
      <c r="Q273" s="599"/>
      <c r="R273" s="599"/>
      <c r="S273" s="599"/>
      <c r="T273" s="599"/>
      <c r="U273" s="599"/>
      <c r="V273" s="599"/>
      <c r="W273" s="599"/>
      <c r="X273" s="599"/>
      <c r="Y273" s="599"/>
      <c r="Z273" s="599"/>
    </row>
    <row r="274" spans="1:26" s="556" customFormat="1" x14ac:dyDescent="0.3">
      <c r="A274" s="598">
        <v>1</v>
      </c>
      <c r="B274" s="609" t="s">
        <v>381</v>
      </c>
      <c r="C274" s="645" t="s">
        <v>447</v>
      </c>
      <c r="D274" s="610" t="s">
        <v>941</v>
      </c>
      <c r="E274" s="610">
        <f>14*25</f>
        <v>350</v>
      </c>
      <c r="F274" s="647">
        <f>E274/25</f>
        <v>14</v>
      </c>
      <c r="G274" s="646"/>
      <c r="H274" s="598"/>
      <c r="I274" s="598"/>
      <c r="J274" s="598"/>
      <c r="K274" s="598"/>
      <c r="L274" s="598"/>
      <c r="M274" s="598"/>
      <c r="N274" s="598"/>
      <c r="O274" s="598"/>
      <c r="P274" s="598"/>
      <c r="Q274" s="598"/>
      <c r="R274" s="598"/>
      <c r="S274" s="598"/>
      <c r="T274" s="598"/>
      <c r="U274" s="598"/>
      <c r="V274" s="598"/>
      <c r="W274" s="598"/>
      <c r="X274" s="598"/>
      <c r="Y274" s="598"/>
      <c r="Z274" s="598"/>
    </row>
    <row r="275" spans="1:26" s="556" customFormat="1" x14ac:dyDescent="0.3">
      <c r="A275" s="598">
        <f>1+A274</f>
        <v>2</v>
      </c>
      <c r="B275" s="609" t="s">
        <v>384</v>
      </c>
      <c r="C275" s="645" t="s">
        <v>448</v>
      </c>
      <c r="D275" s="610" t="s">
        <v>941</v>
      </c>
      <c r="E275" s="610">
        <v>2</v>
      </c>
      <c r="F275" s="647">
        <f>E275</f>
        <v>2</v>
      </c>
      <c r="G275" s="646"/>
      <c r="H275" s="598"/>
      <c r="I275" s="598"/>
      <c r="J275" s="598"/>
      <c r="K275" s="598"/>
      <c r="L275" s="598"/>
      <c r="M275" s="598"/>
      <c r="N275" s="598"/>
      <c r="O275" s="598"/>
      <c r="P275" s="598"/>
      <c r="Q275" s="598"/>
      <c r="R275" s="598"/>
      <c r="S275" s="598"/>
      <c r="T275" s="598"/>
      <c r="U275" s="598"/>
      <c r="V275" s="598"/>
      <c r="W275" s="598"/>
      <c r="X275" s="598"/>
      <c r="Y275" s="598"/>
      <c r="Z275" s="598"/>
    </row>
    <row r="276" spans="1:26" s="596" customFormat="1" x14ac:dyDescent="0.3">
      <c r="A276" s="591">
        <v>1</v>
      </c>
      <c r="B276" s="592" t="s">
        <v>446</v>
      </c>
      <c r="C276" s="650" t="s">
        <v>449</v>
      </c>
      <c r="D276" s="593" t="s">
        <v>466</v>
      </c>
      <c r="E276" s="593">
        <f>31.7</f>
        <v>31.7</v>
      </c>
      <c r="F276" s="593">
        <f>E276</f>
        <v>31.7</v>
      </c>
      <c r="G276" s="594"/>
      <c r="H276" s="595"/>
      <c r="I276" s="595"/>
      <c r="J276" s="591"/>
      <c r="K276" s="595"/>
      <c r="L276" s="591"/>
      <c r="M276" s="591"/>
      <c r="N276" s="591"/>
      <c r="O276" s="591"/>
      <c r="P276" s="591"/>
      <c r="Q276" s="591"/>
      <c r="R276" s="591"/>
      <c r="S276" s="591"/>
      <c r="T276" s="591"/>
      <c r="U276" s="591"/>
      <c r="V276" s="591"/>
      <c r="W276" s="591"/>
      <c r="X276" s="591"/>
      <c r="Y276" s="591"/>
      <c r="Z276" s="591"/>
    </row>
    <row r="277" spans="1:26" s="596" customFormat="1" x14ac:dyDescent="0.3">
      <c r="A277" s="591">
        <f>1+A276</f>
        <v>2</v>
      </c>
      <c r="B277" s="592" t="s">
        <v>458</v>
      </c>
      <c r="C277" s="650" t="s">
        <v>450</v>
      </c>
      <c r="D277" s="593" t="s">
        <v>466</v>
      </c>
      <c r="E277" s="593">
        <f>48.9</f>
        <v>48.9</v>
      </c>
      <c r="F277" s="593">
        <f t="shared" ref="F277:F284" si="10">E277</f>
        <v>48.9</v>
      </c>
      <c r="G277" s="594"/>
      <c r="H277" s="595"/>
      <c r="I277" s="595"/>
      <c r="J277" s="591"/>
      <c r="K277" s="595"/>
      <c r="L277" s="591"/>
      <c r="M277" s="591"/>
      <c r="N277" s="591"/>
      <c r="O277" s="591"/>
      <c r="P277" s="591"/>
      <c r="Q277" s="591"/>
      <c r="R277" s="591"/>
      <c r="S277" s="591"/>
      <c r="T277" s="591"/>
      <c r="U277" s="591"/>
      <c r="V277" s="591"/>
      <c r="W277" s="591"/>
      <c r="X277" s="591"/>
      <c r="Y277" s="591"/>
      <c r="Z277" s="591"/>
    </row>
    <row r="278" spans="1:26" s="596" customFormat="1" x14ac:dyDescent="0.3">
      <c r="A278" s="591">
        <f t="shared" ref="A278:A293" si="11">1+A277</f>
        <v>3</v>
      </c>
      <c r="B278" s="592" t="s">
        <v>461</v>
      </c>
      <c r="C278" s="650" t="s">
        <v>451</v>
      </c>
      <c r="D278" s="593" t="s">
        <v>466</v>
      </c>
      <c r="E278" s="593">
        <v>30.1</v>
      </c>
      <c r="F278" s="593">
        <f t="shared" si="10"/>
        <v>30.1</v>
      </c>
      <c r="G278" s="594"/>
      <c r="H278" s="595"/>
      <c r="I278" s="595"/>
      <c r="J278" s="591"/>
      <c r="K278" s="595"/>
      <c r="L278" s="591"/>
      <c r="M278" s="591"/>
      <c r="N278" s="591"/>
      <c r="O278" s="591"/>
      <c r="P278" s="591"/>
      <c r="Q278" s="591"/>
      <c r="R278" s="591"/>
      <c r="S278" s="591"/>
      <c r="T278" s="591"/>
      <c r="U278" s="591"/>
      <c r="V278" s="591"/>
      <c r="W278" s="591"/>
      <c r="X278" s="591"/>
      <c r="Y278" s="591"/>
      <c r="Z278" s="591"/>
    </row>
    <row r="279" spans="1:26" s="596" customFormat="1" x14ac:dyDescent="0.3">
      <c r="A279" s="591">
        <f t="shared" si="11"/>
        <v>4</v>
      </c>
      <c r="B279" s="592" t="s">
        <v>459</v>
      </c>
      <c r="C279" s="650" t="s">
        <v>452</v>
      </c>
      <c r="D279" s="593" t="s">
        <v>466</v>
      </c>
      <c r="E279" s="593">
        <v>117</v>
      </c>
      <c r="F279" s="593">
        <f t="shared" si="10"/>
        <v>117</v>
      </c>
      <c r="G279" s="594"/>
      <c r="H279" s="595"/>
      <c r="I279" s="595"/>
      <c r="J279" s="591"/>
      <c r="K279" s="595"/>
      <c r="L279" s="591"/>
      <c r="M279" s="591"/>
      <c r="N279" s="591"/>
      <c r="O279" s="591"/>
      <c r="P279" s="591"/>
      <c r="Q279" s="591"/>
      <c r="R279" s="591"/>
      <c r="S279" s="591"/>
      <c r="T279" s="591"/>
      <c r="U279" s="591"/>
      <c r="V279" s="591"/>
      <c r="W279" s="591"/>
      <c r="X279" s="591"/>
      <c r="Y279" s="591"/>
      <c r="Z279" s="591"/>
    </row>
    <row r="280" spans="1:26" s="596" customFormat="1" x14ac:dyDescent="0.3">
      <c r="A280" s="591">
        <f t="shared" si="11"/>
        <v>5</v>
      </c>
      <c r="B280" s="592" t="s">
        <v>460</v>
      </c>
      <c r="C280" s="650" t="s">
        <v>453</v>
      </c>
      <c r="D280" s="593" t="s">
        <v>466</v>
      </c>
      <c r="E280" s="593">
        <v>28.5</v>
      </c>
      <c r="F280" s="593">
        <f t="shared" si="10"/>
        <v>28.5</v>
      </c>
      <c r="G280" s="594"/>
      <c r="H280" s="595"/>
      <c r="I280" s="595"/>
      <c r="J280" s="591"/>
      <c r="K280" s="595"/>
      <c r="L280" s="591"/>
      <c r="M280" s="591"/>
      <c r="N280" s="591"/>
      <c r="O280" s="591"/>
      <c r="P280" s="591"/>
      <c r="Q280" s="591"/>
      <c r="R280" s="591"/>
      <c r="S280" s="591"/>
      <c r="T280" s="591"/>
      <c r="U280" s="591"/>
      <c r="V280" s="591"/>
      <c r="W280" s="591"/>
      <c r="X280" s="591"/>
      <c r="Y280" s="591"/>
      <c r="Z280" s="591"/>
    </row>
    <row r="281" spans="1:26" s="596" customFormat="1" x14ac:dyDescent="0.3">
      <c r="A281" s="591">
        <f t="shared" si="11"/>
        <v>6</v>
      </c>
      <c r="B281" s="592" t="s">
        <v>462</v>
      </c>
      <c r="C281" s="650" t="s">
        <v>454</v>
      </c>
      <c r="D281" s="593" t="s">
        <v>466</v>
      </c>
      <c r="E281" s="593">
        <v>21</v>
      </c>
      <c r="F281" s="593">
        <f t="shared" si="10"/>
        <v>21</v>
      </c>
      <c r="G281" s="594"/>
      <c r="H281" s="595"/>
      <c r="I281" s="595"/>
      <c r="J281" s="591"/>
      <c r="K281" s="595"/>
      <c r="L281" s="591"/>
      <c r="M281" s="591"/>
      <c r="N281" s="591"/>
      <c r="O281" s="591"/>
      <c r="P281" s="591"/>
      <c r="Q281" s="591"/>
      <c r="R281" s="591"/>
      <c r="S281" s="591"/>
      <c r="T281" s="591"/>
      <c r="U281" s="591"/>
      <c r="V281" s="591"/>
      <c r="W281" s="591"/>
      <c r="X281" s="591"/>
      <c r="Y281" s="591"/>
      <c r="Z281" s="591"/>
    </row>
    <row r="282" spans="1:26" s="596" customFormat="1" x14ac:dyDescent="0.3">
      <c r="A282" s="591">
        <f t="shared" si="11"/>
        <v>7</v>
      </c>
      <c r="B282" s="592" t="s">
        <v>463</v>
      </c>
      <c r="C282" s="650" t="s">
        <v>455</v>
      </c>
      <c r="D282" s="593" t="s">
        <v>466</v>
      </c>
      <c r="E282" s="593">
        <v>217.7</v>
      </c>
      <c r="F282" s="593">
        <f t="shared" si="10"/>
        <v>217.7</v>
      </c>
      <c r="G282" s="594"/>
      <c r="H282" s="595"/>
      <c r="I282" s="595"/>
      <c r="J282" s="591"/>
      <c r="K282" s="595"/>
      <c r="L282" s="591"/>
      <c r="M282" s="591"/>
      <c r="N282" s="591"/>
      <c r="O282" s="591"/>
      <c r="P282" s="591"/>
      <c r="Q282" s="591"/>
      <c r="R282" s="591"/>
      <c r="S282" s="591"/>
      <c r="T282" s="591"/>
      <c r="U282" s="591"/>
      <c r="V282" s="591"/>
      <c r="W282" s="591"/>
      <c r="X282" s="591"/>
      <c r="Y282" s="591"/>
      <c r="Z282" s="591"/>
    </row>
    <row r="283" spans="1:26" s="596" customFormat="1" x14ac:dyDescent="0.3">
      <c r="A283" s="591">
        <f t="shared" si="11"/>
        <v>8</v>
      </c>
      <c r="B283" s="592" t="s">
        <v>464</v>
      </c>
      <c r="C283" s="650" t="s">
        <v>456</v>
      </c>
      <c r="D283" s="593" t="s">
        <v>466</v>
      </c>
      <c r="E283" s="593">
        <v>125</v>
      </c>
      <c r="F283" s="593">
        <f t="shared" si="10"/>
        <v>125</v>
      </c>
      <c r="G283" s="594"/>
      <c r="H283" s="595"/>
      <c r="I283" s="595"/>
      <c r="J283" s="591"/>
      <c r="K283" s="595"/>
      <c r="L283" s="591"/>
      <c r="M283" s="591"/>
      <c r="N283" s="591"/>
      <c r="O283" s="591"/>
      <c r="P283" s="591"/>
      <c r="Q283" s="591"/>
      <c r="R283" s="591"/>
      <c r="S283" s="591"/>
      <c r="T283" s="591"/>
      <c r="U283" s="591"/>
      <c r="V283" s="591"/>
      <c r="W283" s="591"/>
      <c r="X283" s="591"/>
      <c r="Y283" s="591"/>
      <c r="Z283" s="591"/>
    </row>
    <row r="284" spans="1:26" s="596" customFormat="1" x14ac:dyDescent="0.3">
      <c r="A284" s="591">
        <f t="shared" si="11"/>
        <v>9</v>
      </c>
      <c r="B284" s="592" t="s">
        <v>465</v>
      </c>
      <c r="C284" s="650" t="s">
        <v>457</v>
      </c>
      <c r="D284" s="593" t="s">
        <v>466</v>
      </c>
      <c r="E284" s="593">
        <v>47</v>
      </c>
      <c r="F284" s="593">
        <f t="shared" si="10"/>
        <v>47</v>
      </c>
      <c r="G284" s="594"/>
      <c r="H284" s="595"/>
      <c r="I284" s="595"/>
      <c r="J284" s="591"/>
      <c r="K284" s="595"/>
      <c r="L284" s="591"/>
      <c r="M284" s="591"/>
      <c r="N284" s="591"/>
      <c r="O284" s="591"/>
      <c r="P284" s="591"/>
      <c r="Q284" s="591"/>
      <c r="R284" s="591"/>
      <c r="S284" s="591"/>
      <c r="T284" s="591"/>
      <c r="U284" s="591"/>
      <c r="V284" s="591"/>
      <c r="W284" s="591"/>
      <c r="X284" s="591"/>
      <c r="Y284" s="591"/>
      <c r="Z284" s="591"/>
    </row>
    <row r="285" spans="1:26" s="487" customFormat="1" x14ac:dyDescent="0.3">
      <c r="A285" s="483">
        <v>1</v>
      </c>
      <c r="B285" s="484" t="s">
        <v>374</v>
      </c>
      <c r="C285" s="648" t="s">
        <v>854</v>
      </c>
      <c r="D285" s="649" t="str">
        <f t="shared" ref="D285:F293" si="12">D265</f>
        <v>мл</v>
      </c>
      <c r="E285" s="649">
        <f t="shared" si="12"/>
        <v>375</v>
      </c>
      <c r="F285" s="649">
        <f t="shared" si="12"/>
        <v>0.375</v>
      </c>
      <c r="G285" s="613"/>
      <c r="H285" s="486"/>
      <c r="I285" s="486"/>
      <c r="J285" s="483"/>
      <c r="K285" s="486"/>
      <c r="L285" s="483"/>
      <c r="M285" s="483"/>
      <c r="N285" s="483"/>
      <c r="O285" s="483"/>
      <c r="P285" s="483"/>
      <c r="Q285" s="483"/>
      <c r="R285" s="483"/>
      <c r="S285" s="483"/>
      <c r="T285" s="483"/>
      <c r="U285" s="483"/>
      <c r="V285" s="483"/>
      <c r="W285" s="483"/>
      <c r="X285" s="483"/>
      <c r="Y285" s="483"/>
      <c r="Z285" s="483"/>
    </row>
    <row r="286" spans="1:26" s="487" customFormat="1" x14ac:dyDescent="0.3">
      <c r="A286" s="483">
        <f t="shared" si="11"/>
        <v>2</v>
      </c>
      <c r="B286" s="484" t="s">
        <v>373</v>
      </c>
      <c r="C286" s="648" t="s">
        <v>854</v>
      </c>
      <c r="D286" s="649" t="str">
        <f t="shared" si="12"/>
        <v>мл</v>
      </c>
      <c r="E286" s="649">
        <f t="shared" si="12"/>
        <v>72</v>
      </c>
      <c r="F286" s="649">
        <f t="shared" si="12"/>
        <v>0.28799999999999998</v>
      </c>
      <c r="G286" s="613"/>
      <c r="H286" s="486"/>
      <c r="I286" s="486"/>
      <c r="J286" s="483"/>
      <c r="K286" s="486"/>
      <c r="L286" s="483"/>
      <c r="M286" s="483"/>
      <c r="N286" s="483"/>
      <c r="O286" s="483"/>
      <c r="P286" s="483"/>
      <c r="Q286" s="483"/>
      <c r="R286" s="483"/>
      <c r="S286" s="483"/>
      <c r="T286" s="483"/>
      <c r="U286" s="483"/>
      <c r="V286" s="483"/>
      <c r="W286" s="483"/>
      <c r="X286" s="483"/>
      <c r="Y286" s="483"/>
      <c r="Z286" s="483"/>
    </row>
    <row r="287" spans="1:26" s="487" customFormat="1" x14ac:dyDescent="0.3">
      <c r="A287" s="483">
        <f t="shared" si="11"/>
        <v>3</v>
      </c>
      <c r="B287" s="484" t="s">
        <v>972</v>
      </c>
      <c r="C287" s="648" t="s">
        <v>854</v>
      </c>
      <c r="D287" s="649" t="str">
        <f t="shared" si="12"/>
        <v>г</v>
      </c>
      <c r="E287" s="649">
        <f t="shared" si="12"/>
        <v>6.72</v>
      </c>
      <c r="F287" s="649">
        <f t="shared" si="12"/>
        <v>6.72</v>
      </c>
      <c r="G287" s="613"/>
      <c r="H287" s="486"/>
      <c r="I287" s="486"/>
      <c r="J287" s="483"/>
      <c r="K287" s="486"/>
      <c r="L287" s="483"/>
      <c r="M287" s="483"/>
      <c r="N287" s="483"/>
      <c r="O287" s="483"/>
      <c r="P287" s="483"/>
      <c r="Q287" s="483"/>
      <c r="R287" s="483"/>
      <c r="S287" s="483"/>
      <c r="T287" s="483"/>
      <c r="U287" s="483"/>
      <c r="V287" s="483"/>
      <c r="W287" s="483"/>
      <c r="X287" s="483"/>
      <c r="Y287" s="483"/>
      <c r="Z287" s="483"/>
    </row>
    <row r="288" spans="1:26" s="487" customFormat="1" x14ac:dyDescent="0.3">
      <c r="A288" s="483">
        <f t="shared" si="11"/>
        <v>4</v>
      </c>
      <c r="B288" s="484" t="s">
        <v>1124</v>
      </c>
      <c r="C288" s="648" t="s">
        <v>854</v>
      </c>
      <c r="D288" s="649" t="str">
        <f t="shared" si="12"/>
        <v>г</v>
      </c>
      <c r="E288" s="649">
        <f t="shared" si="12"/>
        <v>0.5</v>
      </c>
      <c r="F288" s="649">
        <f t="shared" si="12"/>
        <v>0.5</v>
      </c>
      <c r="G288" s="613"/>
      <c r="H288" s="486"/>
      <c r="I288" s="486"/>
      <c r="J288" s="483"/>
      <c r="K288" s="486"/>
      <c r="L288" s="483"/>
      <c r="M288" s="483"/>
      <c r="N288" s="483"/>
      <c r="O288" s="483"/>
      <c r="P288" s="483"/>
      <c r="Q288" s="483"/>
      <c r="R288" s="483"/>
      <c r="S288" s="483"/>
      <c r="T288" s="483"/>
      <c r="U288" s="483"/>
      <c r="V288" s="483"/>
      <c r="W288" s="483"/>
      <c r="X288" s="483"/>
      <c r="Y288" s="483"/>
      <c r="Z288" s="483"/>
    </row>
    <row r="289" spans="1:26" s="487" customFormat="1" x14ac:dyDescent="0.3">
      <c r="A289" s="483">
        <f t="shared" si="11"/>
        <v>5</v>
      </c>
      <c r="B289" s="484" t="s">
        <v>372</v>
      </c>
      <c r="C289" s="648" t="s">
        <v>854</v>
      </c>
      <c r="D289" s="649" t="str">
        <f t="shared" si="12"/>
        <v>шт</v>
      </c>
      <c r="E289" s="649">
        <f t="shared" si="12"/>
        <v>2</v>
      </c>
      <c r="F289" s="649">
        <f t="shared" si="12"/>
        <v>2</v>
      </c>
      <c r="G289" s="613"/>
      <c r="H289" s="486"/>
      <c r="I289" s="486"/>
      <c r="J289" s="483"/>
      <c r="K289" s="486"/>
      <c r="L289" s="483"/>
      <c r="M289" s="483"/>
      <c r="N289" s="483"/>
      <c r="O289" s="483"/>
      <c r="P289" s="483"/>
      <c r="Q289" s="483"/>
      <c r="R289" s="483"/>
      <c r="S289" s="483"/>
      <c r="T289" s="483"/>
      <c r="U289" s="483"/>
      <c r="V289" s="483"/>
      <c r="W289" s="483"/>
      <c r="X289" s="483"/>
      <c r="Y289" s="483"/>
      <c r="Z289" s="483"/>
    </row>
    <row r="290" spans="1:26" s="487" customFormat="1" x14ac:dyDescent="0.3">
      <c r="A290" s="483">
        <f t="shared" si="11"/>
        <v>6</v>
      </c>
      <c r="B290" s="484" t="s">
        <v>375</v>
      </c>
      <c r="C290" s="648" t="s">
        <v>854</v>
      </c>
      <c r="D290" s="649" t="str">
        <f t="shared" si="12"/>
        <v>мл</v>
      </c>
      <c r="E290" s="649">
        <f t="shared" si="12"/>
        <v>49</v>
      </c>
      <c r="F290" s="649">
        <f t="shared" si="12"/>
        <v>0.19600000000000001</v>
      </c>
      <c r="G290" s="613"/>
      <c r="H290" s="486"/>
      <c r="I290" s="486"/>
      <c r="J290" s="483"/>
      <c r="K290" s="486"/>
      <c r="L290" s="483"/>
      <c r="M290" s="483"/>
      <c r="N290" s="483"/>
      <c r="O290" s="483"/>
      <c r="P290" s="483"/>
      <c r="Q290" s="483"/>
      <c r="R290" s="483"/>
      <c r="S290" s="483"/>
      <c r="T290" s="483"/>
      <c r="U290" s="483"/>
      <c r="V290" s="483"/>
      <c r="W290" s="483"/>
      <c r="X290" s="483"/>
      <c r="Y290" s="483"/>
      <c r="Z290" s="483"/>
    </row>
    <row r="291" spans="1:26" s="487" customFormat="1" x14ac:dyDescent="0.3">
      <c r="A291" s="483">
        <f t="shared" si="11"/>
        <v>7</v>
      </c>
      <c r="B291" s="484" t="s">
        <v>964</v>
      </c>
      <c r="C291" s="648" t="s">
        <v>854</v>
      </c>
      <c r="D291" s="649" t="str">
        <f t="shared" si="12"/>
        <v>пара</v>
      </c>
      <c r="E291" s="649">
        <f t="shared" si="12"/>
        <v>7.39</v>
      </c>
      <c r="F291" s="649">
        <f t="shared" si="12"/>
        <v>7.39</v>
      </c>
      <c r="G291" s="613"/>
      <c r="H291" s="486"/>
      <c r="I291" s="486"/>
      <c r="J291" s="483"/>
      <c r="K291" s="486"/>
      <c r="L291" s="483"/>
      <c r="M291" s="483"/>
      <c r="N291" s="483"/>
      <c r="O291" s="483"/>
      <c r="P291" s="483"/>
      <c r="Q291" s="483"/>
      <c r="R291" s="483"/>
      <c r="S291" s="483"/>
      <c r="T291" s="483"/>
      <c r="U291" s="483"/>
      <c r="V291" s="483"/>
      <c r="W291" s="483"/>
      <c r="X291" s="483"/>
      <c r="Y291" s="483"/>
      <c r="Z291" s="483"/>
    </row>
    <row r="292" spans="1:26" s="487" customFormat="1" x14ac:dyDescent="0.3">
      <c r="A292" s="483">
        <f t="shared" si="11"/>
        <v>8</v>
      </c>
      <c r="B292" s="484" t="s">
        <v>376</v>
      </c>
      <c r="C292" s="648" t="s">
        <v>854</v>
      </c>
      <c r="D292" s="649" t="str">
        <f t="shared" si="12"/>
        <v>шт</v>
      </c>
      <c r="E292" s="649">
        <f t="shared" si="12"/>
        <v>17.5</v>
      </c>
      <c r="F292" s="649">
        <f t="shared" si="12"/>
        <v>17.5</v>
      </c>
      <c r="G292" s="613"/>
      <c r="H292" s="486"/>
      <c r="I292" s="486"/>
      <c r="J292" s="483"/>
      <c r="K292" s="486"/>
      <c r="L292" s="483"/>
      <c r="M292" s="483"/>
      <c r="N292" s="483"/>
      <c r="O292" s="483"/>
      <c r="P292" s="483"/>
      <c r="Q292" s="483"/>
      <c r="R292" s="483"/>
      <c r="S292" s="483"/>
      <c r="T292" s="483"/>
      <c r="U292" s="483"/>
      <c r="V292" s="483"/>
      <c r="W292" s="483"/>
      <c r="X292" s="483"/>
      <c r="Y292" s="483"/>
      <c r="Z292" s="483"/>
    </row>
    <row r="293" spans="1:26" s="487" customFormat="1" x14ac:dyDescent="0.3">
      <c r="A293" s="483">
        <f t="shared" si="11"/>
        <v>9</v>
      </c>
      <c r="B293" s="484" t="s">
        <v>942</v>
      </c>
      <c r="C293" s="648" t="s">
        <v>854</v>
      </c>
      <c r="D293" s="649" t="str">
        <f t="shared" si="12"/>
        <v>фл/гр.</v>
      </c>
      <c r="E293" s="649">
        <f t="shared" si="12"/>
        <v>24.6</v>
      </c>
      <c r="F293" s="649">
        <f t="shared" si="12"/>
        <v>24.6</v>
      </c>
      <c r="G293" s="613"/>
      <c r="H293" s="486"/>
      <c r="I293" s="486"/>
      <c r="J293" s="483"/>
      <c r="K293" s="486"/>
      <c r="L293" s="483"/>
      <c r="M293" s="483"/>
      <c r="N293" s="483"/>
      <c r="O293" s="483"/>
      <c r="P293" s="483"/>
      <c r="Q293" s="483"/>
      <c r="R293" s="483"/>
      <c r="S293" s="483"/>
      <c r="T293" s="483"/>
      <c r="U293" s="483"/>
      <c r="V293" s="483"/>
      <c r="W293" s="483"/>
      <c r="X293" s="483"/>
      <c r="Y293" s="483"/>
      <c r="Z293" s="483"/>
    </row>
    <row r="294" spans="1:26" s="668" customFormat="1" x14ac:dyDescent="0.3">
      <c r="A294" s="664">
        <v>1</v>
      </c>
      <c r="B294" s="552" t="s">
        <v>1085</v>
      </c>
      <c r="C294" s="665" t="s">
        <v>395</v>
      </c>
      <c r="D294" s="607" t="s">
        <v>466</v>
      </c>
      <c r="E294" s="607">
        <v>157</v>
      </c>
      <c r="F294" s="607">
        <f>E294</f>
        <v>157</v>
      </c>
      <c r="G294" s="666"/>
      <c r="H294" s="667"/>
      <c r="I294" s="667"/>
      <c r="J294" s="664"/>
      <c r="K294" s="667"/>
      <c r="L294" s="664"/>
      <c r="M294" s="664"/>
      <c r="N294" s="664"/>
      <c r="O294" s="664"/>
      <c r="P294" s="664"/>
      <c r="Q294" s="664"/>
      <c r="R294" s="664"/>
      <c r="S294" s="664"/>
      <c r="T294" s="664"/>
      <c r="U294" s="664"/>
      <c r="V294" s="664"/>
      <c r="W294" s="664"/>
      <c r="X294" s="664"/>
      <c r="Y294" s="664"/>
      <c r="Z294" s="664"/>
    </row>
    <row r="295" spans="1:26" x14ac:dyDescent="0.3">
      <c r="A295" s="7">
        <v>1</v>
      </c>
      <c r="B295" s="552" t="s">
        <v>467</v>
      </c>
      <c r="C295" s="665" t="s">
        <v>396</v>
      </c>
      <c r="D295" s="607" t="s">
        <v>466</v>
      </c>
      <c r="E295" s="607">
        <v>115.81</v>
      </c>
      <c r="F295" s="607">
        <f>E295</f>
        <v>115.81</v>
      </c>
    </row>
    <row r="296" spans="1:26" x14ac:dyDescent="0.3">
      <c r="A296" s="7">
        <v>1</v>
      </c>
      <c r="B296" s="530" t="s">
        <v>468</v>
      </c>
      <c r="C296" s="665" t="s">
        <v>397</v>
      </c>
      <c r="D296" s="607" t="s">
        <v>466</v>
      </c>
      <c r="E296" s="607">
        <v>645</v>
      </c>
      <c r="F296" s="607">
        <f>E296</f>
        <v>645</v>
      </c>
    </row>
    <row r="297" spans="1:26" s="602" customFormat="1" x14ac:dyDescent="0.3">
      <c r="A297" s="599">
        <v>1</v>
      </c>
      <c r="B297" s="590" t="s">
        <v>470</v>
      </c>
      <c r="C297" s="675" t="s">
        <v>469</v>
      </c>
      <c r="D297" s="497" t="s">
        <v>466</v>
      </c>
      <c r="E297" s="676">
        <v>36.5</v>
      </c>
      <c r="F297" s="676">
        <f>E297</f>
        <v>36.5</v>
      </c>
      <c r="G297" s="600"/>
      <c r="H297" s="601"/>
      <c r="I297" s="601"/>
      <c r="J297" s="599"/>
      <c r="K297" s="601"/>
      <c r="L297" s="599"/>
      <c r="M297" s="599"/>
      <c r="N297" s="599"/>
      <c r="O297" s="599"/>
      <c r="P297" s="599"/>
      <c r="Q297" s="599"/>
      <c r="R297" s="599"/>
      <c r="S297" s="599"/>
      <c r="T297" s="599"/>
      <c r="U297" s="599"/>
      <c r="V297" s="599"/>
      <c r="W297" s="599"/>
      <c r="X297" s="599"/>
      <c r="Y297" s="599"/>
      <c r="Z297" s="599"/>
    </row>
    <row r="298" spans="1:26" s="602" customFormat="1" x14ac:dyDescent="0.3">
      <c r="A298" s="599">
        <f>1+A297</f>
        <v>2</v>
      </c>
      <c r="B298" s="590" t="s">
        <v>471</v>
      </c>
      <c r="C298" s="675" t="s">
        <v>469</v>
      </c>
      <c r="D298" s="497" t="s">
        <v>466</v>
      </c>
      <c r="E298" s="676">
        <v>57</v>
      </c>
      <c r="F298" s="676">
        <f t="shared" ref="F298:F303" si="13">E298</f>
        <v>57</v>
      </c>
      <c r="G298" s="600"/>
      <c r="H298" s="601"/>
      <c r="I298" s="601"/>
      <c r="J298" s="599"/>
      <c r="K298" s="601"/>
      <c r="L298" s="599"/>
      <c r="M298" s="599"/>
      <c r="N298" s="599"/>
      <c r="O298" s="599"/>
      <c r="P298" s="599"/>
      <c r="Q298" s="599"/>
      <c r="R298" s="599"/>
      <c r="S298" s="599"/>
      <c r="T298" s="599"/>
      <c r="U298" s="599"/>
      <c r="V298" s="599"/>
      <c r="W298" s="599"/>
      <c r="X298" s="599"/>
      <c r="Y298" s="599"/>
      <c r="Z298" s="599"/>
    </row>
    <row r="299" spans="1:26" s="602" customFormat="1" x14ac:dyDescent="0.3">
      <c r="A299" s="599">
        <f t="shared" ref="A299:A312" si="14">1+A298</f>
        <v>3</v>
      </c>
      <c r="B299" s="590" t="s">
        <v>472</v>
      </c>
      <c r="C299" s="675" t="s">
        <v>469</v>
      </c>
      <c r="D299" s="497" t="s">
        <v>466</v>
      </c>
      <c r="E299" s="676">
        <v>48</v>
      </c>
      <c r="F299" s="676">
        <f>E299/3</f>
        <v>16</v>
      </c>
      <c r="G299" s="600"/>
      <c r="H299" s="601"/>
      <c r="I299" s="601"/>
      <c r="J299" s="599"/>
      <c r="K299" s="601"/>
      <c r="L299" s="599"/>
      <c r="M299" s="599"/>
      <c r="N299" s="599"/>
      <c r="O299" s="599"/>
      <c r="P299" s="599"/>
      <c r="Q299" s="599"/>
      <c r="R299" s="599"/>
      <c r="S299" s="599"/>
      <c r="T299" s="599"/>
      <c r="U299" s="599"/>
      <c r="V299" s="599"/>
      <c r="W299" s="599"/>
      <c r="X299" s="599"/>
      <c r="Y299" s="599"/>
      <c r="Z299" s="599"/>
    </row>
    <row r="300" spans="1:26" s="602" customFormat="1" x14ac:dyDescent="0.3">
      <c r="A300" s="599">
        <f t="shared" si="14"/>
        <v>4</v>
      </c>
      <c r="B300" s="590" t="s">
        <v>473</v>
      </c>
      <c r="C300" s="675" t="s">
        <v>469</v>
      </c>
      <c r="D300" s="497" t="s">
        <v>466</v>
      </c>
      <c r="E300" s="676">
        <v>22.85</v>
      </c>
      <c r="F300" s="676">
        <f t="shared" si="13"/>
        <v>22.85</v>
      </c>
      <c r="G300" s="600"/>
      <c r="H300" s="601"/>
      <c r="I300" s="601"/>
      <c r="J300" s="599"/>
      <c r="K300" s="601"/>
      <c r="L300" s="599"/>
      <c r="M300" s="599"/>
      <c r="N300" s="599"/>
      <c r="O300" s="599"/>
      <c r="P300" s="599"/>
      <c r="Q300" s="599"/>
      <c r="R300" s="599"/>
      <c r="S300" s="599"/>
      <c r="T300" s="599"/>
      <c r="U300" s="599"/>
      <c r="V300" s="599"/>
      <c r="W300" s="599"/>
      <c r="X300" s="599"/>
      <c r="Y300" s="599"/>
      <c r="Z300" s="599"/>
    </row>
    <row r="301" spans="1:26" s="602" customFormat="1" x14ac:dyDescent="0.3">
      <c r="A301" s="599">
        <f t="shared" si="14"/>
        <v>5</v>
      </c>
      <c r="B301" s="590" t="s">
        <v>474</v>
      </c>
      <c r="C301" s="675" t="s">
        <v>469</v>
      </c>
      <c r="D301" s="497" t="s">
        <v>466</v>
      </c>
      <c r="E301" s="676">
        <v>35.5</v>
      </c>
      <c r="F301" s="676">
        <f t="shared" si="13"/>
        <v>35.5</v>
      </c>
      <c r="G301" s="600"/>
      <c r="H301" s="601"/>
      <c r="I301" s="601"/>
      <c r="J301" s="599"/>
      <c r="K301" s="601"/>
      <c r="L301" s="599"/>
      <c r="M301" s="599"/>
      <c r="N301" s="599"/>
      <c r="O301" s="599"/>
      <c r="P301" s="599"/>
      <c r="Q301" s="599"/>
      <c r="R301" s="599"/>
      <c r="S301" s="599"/>
      <c r="T301" s="599"/>
      <c r="U301" s="599"/>
      <c r="V301" s="599"/>
      <c r="W301" s="599"/>
      <c r="X301" s="599"/>
      <c r="Y301" s="599"/>
      <c r="Z301" s="599"/>
    </row>
    <row r="302" spans="1:26" s="602" customFormat="1" x14ac:dyDescent="0.3">
      <c r="A302" s="599">
        <f t="shared" si="14"/>
        <v>6</v>
      </c>
      <c r="B302" s="590" t="s">
        <v>475</v>
      </c>
      <c r="C302" s="675" t="s">
        <v>469</v>
      </c>
      <c r="D302" s="497" t="s">
        <v>466</v>
      </c>
      <c r="E302" s="676">
        <v>45</v>
      </c>
      <c r="F302" s="676">
        <f t="shared" si="13"/>
        <v>45</v>
      </c>
      <c r="G302" s="600"/>
      <c r="H302" s="601"/>
      <c r="I302" s="601"/>
      <c r="J302" s="599"/>
      <c r="K302" s="601"/>
      <c r="L302" s="599"/>
      <c r="M302" s="599"/>
      <c r="N302" s="599"/>
      <c r="O302" s="599"/>
      <c r="P302" s="599"/>
      <c r="Q302" s="599"/>
      <c r="R302" s="599"/>
      <c r="S302" s="599"/>
      <c r="T302" s="599"/>
      <c r="U302" s="599"/>
      <c r="V302" s="599"/>
      <c r="W302" s="599"/>
      <c r="X302" s="599"/>
      <c r="Y302" s="599"/>
      <c r="Z302" s="599"/>
    </row>
    <row r="303" spans="1:26" s="602" customFormat="1" x14ac:dyDescent="0.3">
      <c r="A303" s="599">
        <f t="shared" si="14"/>
        <v>7</v>
      </c>
      <c r="B303" s="590" t="s">
        <v>201</v>
      </c>
      <c r="C303" s="675" t="s">
        <v>469</v>
      </c>
      <c r="D303" s="497" t="s">
        <v>941</v>
      </c>
      <c r="E303" s="676">
        <v>2.6</v>
      </c>
      <c r="F303" s="676">
        <f t="shared" si="13"/>
        <v>2.6</v>
      </c>
      <c r="G303" s="600"/>
      <c r="H303" s="601"/>
      <c r="I303" s="601"/>
      <c r="J303" s="599"/>
      <c r="K303" s="601"/>
      <c r="L303" s="599"/>
      <c r="M303" s="599"/>
      <c r="N303" s="599"/>
      <c r="O303" s="599"/>
      <c r="P303" s="599"/>
      <c r="Q303" s="599"/>
      <c r="R303" s="599"/>
      <c r="S303" s="599"/>
      <c r="T303" s="599"/>
      <c r="U303" s="599"/>
      <c r="V303" s="599"/>
      <c r="W303" s="599"/>
      <c r="X303" s="599"/>
      <c r="Y303" s="599"/>
      <c r="Z303" s="599"/>
    </row>
    <row r="304" spans="1:26" s="602" customFormat="1" x14ac:dyDescent="0.3">
      <c r="A304" s="599">
        <v>1</v>
      </c>
      <c r="B304" s="590" t="s">
        <v>374</v>
      </c>
      <c r="C304" s="675" t="s">
        <v>469</v>
      </c>
      <c r="D304" s="497" t="str">
        <f t="shared" ref="D304:F312" si="15">D285</f>
        <v>мл</v>
      </c>
      <c r="E304" s="497">
        <f t="shared" si="15"/>
        <v>375</v>
      </c>
      <c r="F304" s="497">
        <f t="shared" si="15"/>
        <v>0.375</v>
      </c>
      <c r="G304" s="600"/>
      <c r="H304" s="601"/>
      <c r="I304" s="601"/>
      <c r="J304" s="599"/>
      <c r="K304" s="601"/>
      <c r="L304" s="599"/>
      <c r="M304" s="599"/>
      <c r="N304" s="599"/>
      <c r="O304" s="599"/>
      <c r="P304" s="599"/>
      <c r="Q304" s="599"/>
      <c r="R304" s="599"/>
      <c r="S304" s="599"/>
      <c r="T304" s="599"/>
      <c r="U304" s="599"/>
      <c r="V304" s="599"/>
      <c r="W304" s="599"/>
      <c r="X304" s="599"/>
      <c r="Y304" s="599"/>
      <c r="Z304" s="599"/>
    </row>
    <row r="305" spans="1:26" s="602" customFormat="1" x14ac:dyDescent="0.3">
      <c r="A305" s="599">
        <f t="shared" si="14"/>
        <v>2</v>
      </c>
      <c r="B305" s="590" t="s">
        <v>373</v>
      </c>
      <c r="C305" s="675" t="s">
        <v>469</v>
      </c>
      <c r="D305" s="497" t="str">
        <f t="shared" si="15"/>
        <v>мл</v>
      </c>
      <c r="E305" s="497">
        <f t="shared" si="15"/>
        <v>72</v>
      </c>
      <c r="F305" s="497">
        <f t="shared" si="15"/>
        <v>0.28799999999999998</v>
      </c>
      <c r="G305" s="600"/>
      <c r="H305" s="601"/>
      <c r="I305" s="601"/>
      <c r="J305" s="599"/>
      <c r="K305" s="601"/>
      <c r="L305" s="599"/>
      <c r="M305" s="599"/>
      <c r="N305" s="599"/>
      <c r="O305" s="599"/>
      <c r="P305" s="599"/>
      <c r="Q305" s="599"/>
      <c r="R305" s="599"/>
      <c r="S305" s="599"/>
      <c r="T305" s="599"/>
      <c r="U305" s="599"/>
      <c r="V305" s="599"/>
      <c r="W305" s="599"/>
      <c r="X305" s="599"/>
      <c r="Y305" s="599"/>
      <c r="Z305" s="599"/>
    </row>
    <row r="306" spans="1:26" s="602" customFormat="1" x14ac:dyDescent="0.3">
      <c r="A306" s="599">
        <f t="shared" si="14"/>
        <v>3</v>
      </c>
      <c r="B306" s="590" t="s">
        <v>972</v>
      </c>
      <c r="C306" s="675" t="s">
        <v>469</v>
      </c>
      <c r="D306" s="497" t="str">
        <f t="shared" si="15"/>
        <v>г</v>
      </c>
      <c r="E306" s="497">
        <f t="shared" si="15"/>
        <v>6.72</v>
      </c>
      <c r="F306" s="497">
        <f t="shared" si="15"/>
        <v>6.72</v>
      </c>
      <c r="G306" s="600"/>
      <c r="H306" s="601"/>
      <c r="I306" s="601"/>
      <c r="J306" s="599"/>
      <c r="K306" s="601"/>
      <c r="L306" s="599"/>
      <c r="M306" s="599"/>
      <c r="N306" s="599"/>
      <c r="O306" s="599"/>
      <c r="P306" s="599"/>
      <c r="Q306" s="599"/>
      <c r="R306" s="599"/>
      <c r="S306" s="599"/>
      <c r="T306" s="599"/>
      <c r="U306" s="599"/>
      <c r="V306" s="599"/>
      <c r="W306" s="599"/>
      <c r="X306" s="599"/>
      <c r="Y306" s="599"/>
      <c r="Z306" s="599"/>
    </row>
    <row r="307" spans="1:26" s="602" customFormat="1" x14ac:dyDescent="0.3">
      <c r="A307" s="599">
        <f t="shared" si="14"/>
        <v>4</v>
      </c>
      <c r="B307" s="590" t="s">
        <v>1124</v>
      </c>
      <c r="C307" s="675" t="s">
        <v>469</v>
      </c>
      <c r="D307" s="497" t="str">
        <f t="shared" si="15"/>
        <v>г</v>
      </c>
      <c r="E307" s="497">
        <f t="shared" si="15"/>
        <v>0.5</v>
      </c>
      <c r="F307" s="497">
        <f t="shared" si="15"/>
        <v>0.5</v>
      </c>
      <c r="G307" s="600"/>
      <c r="H307" s="601"/>
      <c r="I307" s="601"/>
      <c r="J307" s="599"/>
      <c r="K307" s="601"/>
      <c r="L307" s="599"/>
      <c r="M307" s="599"/>
      <c r="N307" s="599"/>
      <c r="O307" s="599"/>
      <c r="P307" s="599"/>
      <c r="Q307" s="599"/>
      <c r="R307" s="599"/>
      <c r="S307" s="599"/>
      <c r="T307" s="599"/>
      <c r="U307" s="599"/>
      <c r="V307" s="599"/>
      <c r="W307" s="599"/>
      <c r="X307" s="599"/>
      <c r="Y307" s="599"/>
      <c r="Z307" s="599"/>
    </row>
    <row r="308" spans="1:26" s="602" customFormat="1" x14ac:dyDescent="0.3">
      <c r="A308" s="599">
        <f t="shared" si="14"/>
        <v>5</v>
      </c>
      <c r="B308" s="590" t="s">
        <v>372</v>
      </c>
      <c r="C308" s="675" t="s">
        <v>469</v>
      </c>
      <c r="D308" s="497" t="str">
        <f t="shared" si="15"/>
        <v>шт</v>
      </c>
      <c r="E308" s="497">
        <f t="shared" si="15"/>
        <v>2</v>
      </c>
      <c r="F308" s="497">
        <f t="shared" si="15"/>
        <v>2</v>
      </c>
      <c r="G308" s="600"/>
      <c r="H308" s="601"/>
      <c r="I308" s="601"/>
      <c r="J308" s="599"/>
      <c r="K308" s="601"/>
      <c r="L308" s="599"/>
      <c r="M308" s="599"/>
      <c r="N308" s="599"/>
      <c r="O308" s="599"/>
      <c r="P308" s="599"/>
      <c r="Q308" s="599"/>
      <c r="R308" s="599"/>
      <c r="S308" s="599"/>
      <c r="T308" s="599"/>
      <c r="U308" s="599"/>
      <c r="V308" s="599"/>
      <c r="W308" s="599"/>
      <c r="X308" s="599"/>
      <c r="Y308" s="599"/>
      <c r="Z308" s="599"/>
    </row>
    <row r="309" spans="1:26" s="602" customFormat="1" x14ac:dyDescent="0.3">
      <c r="A309" s="599">
        <f t="shared" si="14"/>
        <v>6</v>
      </c>
      <c r="B309" s="590" t="s">
        <v>375</v>
      </c>
      <c r="C309" s="675" t="s">
        <v>469</v>
      </c>
      <c r="D309" s="497" t="str">
        <f t="shared" si="15"/>
        <v>мл</v>
      </c>
      <c r="E309" s="497">
        <f t="shared" si="15"/>
        <v>49</v>
      </c>
      <c r="F309" s="497">
        <f t="shared" si="15"/>
        <v>0.19600000000000001</v>
      </c>
      <c r="G309" s="600"/>
      <c r="H309" s="601"/>
      <c r="I309" s="601"/>
      <c r="J309" s="599"/>
      <c r="K309" s="601"/>
      <c r="L309" s="599"/>
      <c r="M309" s="599"/>
      <c r="N309" s="599"/>
      <c r="O309" s="599"/>
      <c r="P309" s="599"/>
      <c r="Q309" s="599"/>
      <c r="R309" s="599"/>
      <c r="S309" s="599"/>
      <c r="T309" s="599"/>
      <c r="U309" s="599"/>
      <c r="V309" s="599"/>
      <c r="W309" s="599"/>
      <c r="X309" s="599"/>
      <c r="Y309" s="599"/>
      <c r="Z309" s="599"/>
    </row>
    <row r="310" spans="1:26" s="602" customFormat="1" x14ac:dyDescent="0.3">
      <c r="A310" s="599">
        <f t="shared" si="14"/>
        <v>7</v>
      </c>
      <c r="B310" s="590" t="s">
        <v>964</v>
      </c>
      <c r="C310" s="675" t="s">
        <v>469</v>
      </c>
      <c r="D310" s="497" t="str">
        <f t="shared" si="15"/>
        <v>пара</v>
      </c>
      <c r="E310" s="497">
        <f t="shared" si="15"/>
        <v>7.39</v>
      </c>
      <c r="F310" s="497">
        <f t="shared" si="15"/>
        <v>7.39</v>
      </c>
      <c r="G310" s="600"/>
      <c r="H310" s="601"/>
      <c r="I310" s="601"/>
      <c r="J310" s="599"/>
      <c r="K310" s="601"/>
      <c r="L310" s="599"/>
      <c r="M310" s="599"/>
      <c r="N310" s="599"/>
      <c r="O310" s="599"/>
      <c r="P310" s="599"/>
      <c r="Q310" s="599"/>
      <c r="R310" s="599"/>
      <c r="S310" s="599"/>
      <c r="T310" s="599"/>
      <c r="U310" s="599"/>
      <c r="V310" s="599"/>
      <c r="W310" s="599"/>
      <c r="X310" s="599"/>
      <c r="Y310" s="599"/>
      <c r="Z310" s="599"/>
    </row>
    <row r="311" spans="1:26" s="602" customFormat="1" x14ac:dyDescent="0.3">
      <c r="A311" s="599">
        <f t="shared" si="14"/>
        <v>8</v>
      </c>
      <c r="B311" s="590" t="s">
        <v>376</v>
      </c>
      <c r="C311" s="675" t="s">
        <v>469</v>
      </c>
      <c r="D311" s="497" t="str">
        <f t="shared" si="15"/>
        <v>шт</v>
      </c>
      <c r="E311" s="497">
        <f t="shared" si="15"/>
        <v>17.5</v>
      </c>
      <c r="F311" s="497">
        <f t="shared" si="15"/>
        <v>17.5</v>
      </c>
      <c r="G311" s="600"/>
      <c r="H311" s="601"/>
      <c r="I311" s="601"/>
      <c r="J311" s="599"/>
      <c r="K311" s="601"/>
      <c r="L311" s="599"/>
      <c r="M311" s="599"/>
      <c r="N311" s="599"/>
      <c r="O311" s="599"/>
      <c r="P311" s="599"/>
      <c r="Q311" s="599"/>
      <c r="R311" s="599"/>
      <c r="S311" s="599"/>
      <c r="T311" s="599"/>
      <c r="U311" s="599"/>
      <c r="V311" s="599"/>
      <c r="W311" s="599"/>
      <c r="X311" s="599"/>
      <c r="Y311" s="599"/>
      <c r="Z311" s="599"/>
    </row>
    <row r="312" spans="1:26" s="602" customFormat="1" x14ac:dyDescent="0.3">
      <c r="A312" s="599">
        <f t="shared" si="14"/>
        <v>9</v>
      </c>
      <c r="B312" s="590" t="s">
        <v>942</v>
      </c>
      <c r="C312" s="675" t="s">
        <v>469</v>
      </c>
      <c r="D312" s="497" t="str">
        <f t="shared" si="15"/>
        <v>фл/гр.</v>
      </c>
      <c r="E312" s="497">
        <f t="shared" si="15"/>
        <v>24.6</v>
      </c>
      <c r="F312" s="497">
        <f t="shared" si="15"/>
        <v>24.6</v>
      </c>
      <c r="G312" s="600"/>
      <c r="H312" s="601"/>
      <c r="I312" s="601"/>
      <c r="J312" s="599"/>
      <c r="K312" s="601"/>
      <c r="L312" s="599"/>
      <c r="M312" s="599"/>
      <c r="N312" s="599"/>
      <c r="O312" s="599"/>
      <c r="P312" s="599"/>
      <c r="Q312" s="599"/>
      <c r="R312" s="599"/>
      <c r="S312" s="599"/>
      <c r="T312" s="599"/>
      <c r="U312" s="599"/>
      <c r="V312" s="599"/>
      <c r="W312" s="599"/>
      <c r="X312" s="599"/>
      <c r="Y312" s="599"/>
      <c r="Z312" s="599"/>
    </row>
    <row r="313" spans="1:26" s="969" customFormat="1" x14ac:dyDescent="0.3">
      <c r="A313" s="554">
        <v>1</v>
      </c>
      <c r="B313" s="530" t="s">
        <v>476</v>
      </c>
      <c r="C313" s="643" t="s">
        <v>477</v>
      </c>
      <c r="D313" s="531" t="s">
        <v>941</v>
      </c>
      <c r="E313" s="531">
        <v>7.36</v>
      </c>
      <c r="F313" s="531">
        <f>E313</f>
        <v>7.36</v>
      </c>
      <c r="G313" s="597"/>
      <c r="H313" s="598"/>
      <c r="I313" s="598"/>
      <c r="J313" s="554"/>
      <c r="K313" s="598"/>
      <c r="L313" s="554"/>
      <c r="M313" s="554"/>
      <c r="N313" s="554"/>
      <c r="O313" s="554"/>
      <c r="P313" s="554"/>
      <c r="Q313" s="554"/>
      <c r="R313" s="554"/>
      <c r="S313" s="554"/>
      <c r="T313" s="554"/>
      <c r="U313" s="554"/>
      <c r="V313" s="554"/>
      <c r="W313" s="554"/>
      <c r="X313" s="554"/>
      <c r="Y313" s="554"/>
      <c r="Z313" s="554"/>
    </row>
    <row r="314" spans="1:26" s="350" customFormat="1" x14ac:dyDescent="0.3">
      <c r="A314" s="7">
        <v>1</v>
      </c>
      <c r="B314" s="590" t="s">
        <v>478</v>
      </c>
      <c r="C314" s="642" t="s">
        <v>880</v>
      </c>
      <c r="D314" s="497" t="s">
        <v>941</v>
      </c>
      <c r="E314" s="497">
        <v>8.19</v>
      </c>
      <c r="F314" s="497">
        <f>E314</f>
        <v>8.19</v>
      </c>
      <c r="G314" s="74"/>
      <c r="H314" s="22"/>
      <c r="I314" s="22"/>
      <c r="J314" s="7"/>
      <c r="K314" s="22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s="350" customFormat="1" x14ac:dyDescent="0.3">
      <c r="A315" s="7">
        <v>1</v>
      </c>
      <c r="B315" s="590" t="s">
        <v>479</v>
      </c>
      <c r="C315" s="500" t="s">
        <v>409</v>
      </c>
      <c r="D315" s="497" t="s">
        <v>941</v>
      </c>
      <c r="E315" s="603">
        <v>2</v>
      </c>
      <c r="F315" s="497">
        <f>E315</f>
        <v>2</v>
      </c>
      <c r="G315" s="74"/>
      <c r="H315" s="22"/>
      <c r="I315" s="22"/>
      <c r="J315" s="7"/>
      <c r="K315" s="22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s="970" customFormat="1" x14ac:dyDescent="0.3">
      <c r="A316" s="483"/>
      <c r="B316" s="484" t="s">
        <v>484</v>
      </c>
      <c r="C316" s="648" t="s">
        <v>146</v>
      </c>
      <c r="D316" s="649" t="s">
        <v>1045</v>
      </c>
      <c r="E316" s="649">
        <v>2200</v>
      </c>
      <c r="F316" s="649">
        <f>2220</f>
        <v>2220</v>
      </c>
      <c r="G316" s="613"/>
      <c r="H316" s="486"/>
      <c r="I316" s="486"/>
      <c r="J316" s="483"/>
      <c r="K316" s="486"/>
      <c r="L316" s="483"/>
      <c r="M316" s="483"/>
      <c r="N316" s="483"/>
      <c r="O316" s="483"/>
      <c r="P316" s="483"/>
      <c r="Q316" s="483"/>
      <c r="R316" s="483"/>
      <c r="S316" s="483"/>
      <c r="T316" s="483"/>
      <c r="U316" s="483"/>
      <c r="V316" s="483"/>
      <c r="W316" s="483"/>
      <c r="X316" s="483"/>
      <c r="Y316" s="483"/>
      <c r="Z316" s="483"/>
    </row>
    <row r="317" spans="1:26" s="970" customFormat="1" x14ac:dyDescent="0.3">
      <c r="A317" s="483"/>
      <c r="B317" s="708" t="s">
        <v>485</v>
      </c>
      <c r="C317" s="648" t="str">
        <f>'2.Лабораторія'!C1083:E1083</f>
        <v>Мікрореакція преципітації для діагностики сифілісу</v>
      </c>
      <c r="D317" s="649" t="s">
        <v>1045</v>
      </c>
      <c r="E317" s="649">
        <v>1700</v>
      </c>
      <c r="F317" s="649">
        <v>1700</v>
      </c>
      <c r="G317" s="613"/>
      <c r="H317" s="486"/>
      <c r="I317" s="486"/>
      <c r="J317" s="483"/>
      <c r="K317" s="486"/>
      <c r="L317" s="483"/>
      <c r="M317" s="483"/>
      <c r="N317" s="483"/>
      <c r="O317" s="483"/>
      <c r="P317" s="483"/>
      <c r="Q317" s="483"/>
      <c r="R317" s="483"/>
      <c r="S317" s="483"/>
      <c r="T317" s="483"/>
      <c r="U317" s="483"/>
      <c r="V317" s="483"/>
      <c r="W317" s="483"/>
      <c r="X317" s="483"/>
      <c r="Y317" s="483"/>
      <c r="Z317" s="483"/>
    </row>
    <row r="318" spans="1:26" s="971" customFormat="1" x14ac:dyDescent="0.3">
      <c r="A318" s="44"/>
      <c r="B318" s="37" t="s">
        <v>492</v>
      </c>
      <c r="C318" s="524" t="s">
        <v>228</v>
      </c>
      <c r="D318" s="228" t="s">
        <v>941</v>
      </c>
      <c r="E318" s="228">
        <f>F318*150</f>
        <v>840</v>
      </c>
      <c r="F318" s="226">
        <v>5.6</v>
      </c>
      <c r="G318" s="654"/>
      <c r="H318" s="133"/>
      <c r="I318" s="133"/>
      <c r="J318" s="44"/>
      <c r="K318" s="133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</row>
    <row r="319" spans="1:26" s="971" customFormat="1" x14ac:dyDescent="0.3">
      <c r="A319" s="44"/>
      <c r="B319" s="37" t="s">
        <v>487</v>
      </c>
      <c r="C319" s="524" t="s">
        <v>228</v>
      </c>
      <c r="D319" s="228" t="s">
        <v>941</v>
      </c>
      <c r="E319" s="228">
        <f>F319*100</f>
        <v>390</v>
      </c>
      <c r="F319" s="226">
        <v>3.9</v>
      </c>
      <c r="G319" s="654"/>
      <c r="H319" s="133"/>
      <c r="I319" s="133"/>
      <c r="J319" s="44"/>
      <c r="K319" s="133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</row>
    <row r="320" spans="1:26" s="971" customFormat="1" x14ac:dyDescent="0.3">
      <c r="A320" s="44"/>
      <c r="B320" s="37" t="s">
        <v>490</v>
      </c>
      <c r="C320" s="524" t="s">
        <v>228</v>
      </c>
      <c r="D320" s="228" t="s">
        <v>941</v>
      </c>
      <c r="E320" s="228">
        <f>F320*100</f>
        <v>760</v>
      </c>
      <c r="F320" s="226">
        <v>7.6</v>
      </c>
      <c r="G320" s="654"/>
      <c r="H320" s="133"/>
      <c r="I320" s="133"/>
      <c r="J320" s="44"/>
      <c r="K320" s="133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</row>
    <row r="321" spans="1:26" s="971" customFormat="1" x14ac:dyDescent="0.3">
      <c r="A321" s="44"/>
      <c r="B321" s="37" t="s">
        <v>489</v>
      </c>
      <c r="C321" s="524" t="s">
        <v>228</v>
      </c>
      <c r="D321" s="228" t="s">
        <v>941</v>
      </c>
      <c r="E321" s="228">
        <f>F321*100</f>
        <v>1220</v>
      </c>
      <c r="F321" s="226">
        <v>12.2</v>
      </c>
      <c r="G321" s="654"/>
      <c r="H321" s="133"/>
      <c r="I321" s="133"/>
      <c r="J321" s="44"/>
      <c r="K321" s="133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</row>
    <row r="322" spans="1:26" s="971" customFormat="1" x14ac:dyDescent="0.3">
      <c r="A322" s="44"/>
      <c r="B322" s="37" t="s">
        <v>488</v>
      </c>
      <c r="C322" s="524" t="s">
        <v>228</v>
      </c>
      <c r="D322" s="228" t="s">
        <v>941</v>
      </c>
      <c r="E322" s="228">
        <f>F322*100</f>
        <v>1989.9999999999998</v>
      </c>
      <c r="F322" s="226">
        <v>19.899999999999999</v>
      </c>
      <c r="G322" s="654"/>
      <c r="H322" s="133"/>
      <c r="I322" s="133"/>
      <c r="J322" s="44"/>
      <c r="K322" s="133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</row>
    <row r="323" spans="1:26" s="971" customFormat="1" x14ac:dyDescent="0.3">
      <c r="A323" s="44"/>
      <c r="B323" s="37" t="s">
        <v>491</v>
      </c>
      <c r="C323" s="524" t="s">
        <v>228</v>
      </c>
      <c r="D323" s="228" t="s">
        <v>941</v>
      </c>
      <c r="E323" s="228">
        <v>1950</v>
      </c>
      <c r="F323" s="226">
        <v>1950</v>
      </c>
      <c r="G323" s="654"/>
      <c r="H323" s="133"/>
      <c r="I323" s="133"/>
      <c r="J323" s="44"/>
      <c r="K323" s="133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</row>
    <row r="324" spans="1:26" s="350" customFormat="1" x14ac:dyDescent="0.3">
      <c r="A324" s="7"/>
      <c r="B324" s="530" t="s">
        <v>213</v>
      </c>
      <c r="C324" s="643" t="s">
        <v>28</v>
      </c>
      <c r="D324" s="531" t="s">
        <v>1045</v>
      </c>
      <c r="E324" s="531">
        <f>8000</f>
        <v>8000</v>
      </c>
      <c r="F324" s="531">
        <f>E324/25</f>
        <v>320</v>
      </c>
      <c r="G324" s="74" t="s">
        <v>343</v>
      </c>
      <c r="H324" s="130" t="str">
        <f>'2.Лабораторія ДОДАТКОВІ'!M30</f>
        <v>Визначення нейтралізуючих антитіл до коронавірусу</v>
      </c>
      <c r="I324" s="22"/>
      <c r="J324" s="7"/>
      <c r="K324" s="22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s="350" customFormat="1" x14ac:dyDescent="0.3">
      <c r="A325" s="7"/>
      <c r="B325" s="530" t="s">
        <v>214</v>
      </c>
      <c r="C325" s="643" t="s">
        <v>28</v>
      </c>
      <c r="D325" s="531" t="s">
        <v>1045</v>
      </c>
      <c r="E325" s="531">
        <f>4875</f>
        <v>4875</v>
      </c>
      <c r="F325" s="531">
        <f>E325/25</f>
        <v>195</v>
      </c>
      <c r="G325" s="74" t="s">
        <v>343</v>
      </c>
      <c r="H325" s="130" t="str">
        <f>'2.Лабораторія ДОДАТКОВІ'!M31</f>
        <v>Визначення феритину</v>
      </c>
      <c r="I325" s="22"/>
      <c r="J325" s="7"/>
      <c r="K325" s="22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s="974" customFormat="1" x14ac:dyDescent="0.3">
      <c r="A326" s="133"/>
      <c r="B326" s="972" t="s">
        <v>226</v>
      </c>
      <c r="C326" s="690" t="s">
        <v>229</v>
      </c>
      <c r="D326" s="576" t="s">
        <v>1045</v>
      </c>
      <c r="E326" s="576">
        <f>2822.43</f>
        <v>2822.43</v>
      </c>
      <c r="F326" s="696">
        <f>E326/100</f>
        <v>28.224299999999999</v>
      </c>
      <c r="G326" s="973"/>
      <c r="H326" s="133"/>
      <c r="I326" s="133"/>
      <c r="J326" s="133"/>
      <c r="K326" s="133"/>
      <c r="L326" s="133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</row>
    <row r="327" spans="1:26" s="974" customFormat="1" x14ac:dyDescent="0.3">
      <c r="A327" s="133"/>
      <c r="B327" s="972" t="s">
        <v>227</v>
      </c>
      <c r="C327" s="690" t="s">
        <v>229</v>
      </c>
      <c r="D327" s="576" t="s">
        <v>1045</v>
      </c>
      <c r="E327" s="576">
        <f>6336.45</f>
        <v>6336.45</v>
      </c>
      <c r="F327" s="696">
        <f>E327/100/4</f>
        <v>15.841125</v>
      </c>
      <c r="G327" s="973"/>
      <c r="H327" s="133"/>
      <c r="I327" s="133"/>
      <c r="J327" s="133"/>
      <c r="K327" s="133"/>
      <c r="L327" s="133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</row>
    <row r="328" spans="1:26" s="981" customFormat="1" ht="38.4" x14ac:dyDescent="0.4">
      <c r="A328" s="978"/>
      <c r="B328" s="979" t="s">
        <v>304</v>
      </c>
      <c r="C328" s="986" t="s">
        <v>297</v>
      </c>
      <c r="D328" s="977" t="s">
        <v>941</v>
      </c>
      <c r="E328" s="977">
        <f>170</f>
        <v>170</v>
      </c>
      <c r="F328" s="977">
        <f>E328</f>
        <v>170</v>
      </c>
      <c r="G328" s="980"/>
      <c r="H328" s="978"/>
      <c r="I328" s="978"/>
      <c r="J328" s="978"/>
      <c r="K328" s="978"/>
      <c r="L328" s="978"/>
      <c r="M328" s="978"/>
      <c r="N328" s="978"/>
      <c r="O328" s="978"/>
      <c r="P328" s="978"/>
      <c r="Q328" s="978"/>
      <c r="R328" s="978"/>
      <c r="S328" s="978"/>
      <c r="T328" s="978"/>
      <c r="U328" s="978"/>
      <c r="V328" s="978"/>
      <c r="W328" s="978"/>
      <c r="X328" s="978"/>
      <c r="Y328" s="978"/>
      <c r="Z328" s="978"/>
    </row>
    <row r="329" spans="1:26" s="984" customFormat="1" x14ac:dyDescent="0.3">
      <c r="A329" s="976"/>
      <c r="B329" s="987" t="s">
        <v>982</v>
      </c>
      <c r="C329" s="982" t="s">
        <v>297</v>
      </c>
      <c r="D329" s="975" t="s">
        <v>941</v>
      </c>
      <c r="E329" s="975">
        <v>11</v>
      </c>
      <c r="F329" s="975">
        <f>E329</f>
        <v>11</v>
      </c>
      <c r="G329" s="983"/>
      <c r="H329" s="976"/>
      <c r="I329" s="976"/>
      <c r="J329" s="976"/>
      <c r="K329" s="976"/>
      <c r="L329" s="976"/>
      <c r="M329" s="976"/>
      <c r="N329" s="976"/>
      <c r="O329" s="976"/>
      <c r="P329" s="976"/>
      <c r="Q329" s="976"/>
      <c r="R329" s="976"/>
      <c r="S329" s="976"/>
      <c r="T329" s="976"/>
      <c r="U329" s="976"/>
      <c r="V329" s="976"/>
      <c r="W329" s="976"/>
      <c r="X329" s="976"/>
      <c r="Y329" s="976"/>
      <c r="Z329" s="976"/>
    </row>
    <row r="330" spans="1:26" s="984" customFormat="1" x14ac:dyDescent="0.3">
      <c r="A330" s="976"/>
      <c r="B330" s="987" t="s">
        <v>981</v>
      </c>
      <c r="C330" s="982" t="s">
        <v>297</v>
      </c>
      <c r="D330" s="975" t="s">
        <v>941</v>
      </c>
      <c r="E330" s="975">
        <v>0.6</v>
      </c>
      <c r="F330" s="975">
        <f>E330</f>
        <v>0.6</v>
      </c>
      <c r="G330" s="983"/>
      <c r="H330" s="976"/>
      <c r="I330" s="976"/>
      <c r="J330" s="976"/>
      <c r="K330" s="976"/>
      <c r="L330" s="976"/>
      <c r="M330" s="976"/>
      <c r="N330" s="976"/>
      <c r="O330" s="976"/>
      <c r="P330" s="976"/>
      <c r="Q330" s="976"/>
      <c r="R330" s="976"/>
      <c r="S330" s="976"/>
      <c r="T330" s="976"/>
      <c r="U330" s="976"/>
      <c r="V330" s="976"/>
      <c r="W330" s="976"/>
      <c r="X330" s="976"/>
      <c r="Y330" s="976"/>
      <c r="Z330" s="976"/>
    </row>
    <row r="331" spans="1:26" s="984" customFormat="1" x14ac:dyDescent="0.3">
      <c r="A331" s="976"/>
      <c r="B331" s="988" t="s">
        <v>964</v>
      </c>
      <c r="C331" s="982" t="s">
        <v>297</v>
      </c>
      <c r="D331" s="975" t="s">
        <v>935</v>
      </c>
      <c r="E331" s="975">
        <v>7.39</v>
      </c>
      <c r="F331" s="975">
        <v>7.39</v>
      </c>
      <c r="G331" s="983"/>
      <c r="H331" s="976"/>
      <c r="I331" s="976"/>
      <c r="J331" s="976"/>
      <c r="K331" s="976"/>
      <c r="L331" s="976"/>
      <c r="M331" s="976"/>
      <c r="N331" s="976"/>
      <c r="O331" s="976"/>
      <c r="P331" s="976"/>
      <c r="Q331" s="976"/>
      <c r="R331" s="976"/>
      <c r="S331" s="976"/>
      <c r="T331" s="976"/>
      <c r="U331" s="976"/>
      <c r="V331" s="976"/>
      <c r="W331" s="976"/>
      <c r="X331" s="976"/>
      <c r="Y331" s="976"/>
      <c r="Z331" s="976"/>
    </row>
    <row r="332" spans="1:26" s="984" customFormat="1" x14ac:dyDescent="0.3">
      <c r="A332" s="976"/>
      <c r="B332" s="985" t="s">
        <v>1124</v>
      </c>
      <c r="C332" s="982" t="s">
        <v>297</v>
      </c>
      <c r="D332" s="228" t="s">
        <v>944</v>
      </c>
      <c r="E332" s="228">
        <v>0.5</v>
      </c>
      <c r="F332" s="228">
        <v>0.5</v>
      </c>
      <c r="G332" s="983"/>
      <c r="H332" s="976"/>
      <c r="I332" s="976"/>
      <c r="J332" s="976"/>
      <c r="K332" s="976"/>
      <c r="L332" s="976"/>
      <c r="M332" s="976"/>
      <c r="N332" s="976"/>
      <c r="O332" s="976"/>
      <c r="P332" s="976"/>
      <c r="Q332" s="976"/>
      <c r="R332" s="976"/>
      <c r="S332" s="976"/>
      <c r="T332" s="976"/>
      <c r="U332" s="976"/>
      <c r="V332" s="976"/>
      <c r="W332" s="976"/>
      <c r="X332" s="976"/>
      <c r="Y332" s="976"/>
      <c r="Z332" s="976"/>
    </row>
    <row r="333" spans="1:26" s="6" customFormat="1" x14ac:dyDescent="0.3">
      <c r="A333" s="44"/>
      <c r="B333" s="37"/>
      <c r="C333" s="524"/>
      <c r="D333" s="228"/>
      <c r="E333" s="228"/>
      <c r="F333" s="228"/>
      <c r="G333" s="654"/>
      <c r="H333" s="133"/>
      <c r="I333" s="133"/>
      <c r="J333" s="44"/>
      <c r="K333" s="133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</row>
    <row r="334" spans="1:26" s="6" customFormat="1" x14ac:dyDescent="0.3">
      <c r="A334" s="44"/>
      <c r="B334" s="37"/>
      <c r="C334" s="524"/>
      <c r="D334" s="228"/>
      <c r="E334" s="228"/>
      <c r="F334" s="228"/>
      <c r="G334" s="654"/>
      <c r="H334" s="133"/>
      <c r="I334" s="133"/>
      <c r="J334" s="44"/>
      <c r="K334" s="133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s="6" customFormat="1" x14ac:dyDescent="0.3">
      <c r="A335" s="44"/>
      <c r="B335" s="37"/>
      <c r="C335" s="524"/>
      <c r="D335" s="228"/>
      <c r="E335" s="228"/>
      <c r="F335" s="228"/>
      <c r="G335" s="654"/>
      <c r="H335" s="133"/>
      <c r="I335" s="133"/>
      <c r="J335" s="44"/>
      <c r="K335" s="133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</row>
    <row r="336" spans="1:26" s="6" customFormat="1" x14ac:dyDescent="0.3">
      <c r="A336" s="44"/>
      <c r="B336" s="37"/>
      <c r="C336" s="524"/>
      <c r="D336" s="228"/>
      <c r="E336" s="228"/>
      <c r="F336" s="228"/>
      <c r="G336" s="654"/>
      <c r="H336" s="133"/>
      <c r="I336" s="133"/>
      <c r="J336" s="44"/>
      <c r="K336" s="133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</row>
    <row r="337" spans="1:26" s="6" customFormat="1" x14ac:dyDescent="0.3">
      <c r="A337" s="44"/>
      <c r="B337" s="37"/>
      <c r="C337" s="524"/>
      <c r="D337" s="228"/>
      <c r="E337" s="228"/>
      <c r="F337" s="228"/>
      <c r="G337" s="654"/>
      <c r="H337" s="133"/>
      <c r="I337" s="133"/>
      <c r="J337" s="44"/>
      <c r="K337" s="133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</row>
  </sheetData>
  <autoFilter ref="A4:AG182" xr:uid="{00000000-0009-0000-0000-00000B000000}"/>
  <phoneticPr fontId="8" type="noConversion"/>
  <pageMargins left="0" right="0" top="0" bottom="0" header="0" footer="0"/>
  <pageSetup paperSize="9" scale="61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BO386"/>
  <sheetViews>
    <sheetView view="pageBreakPreview" zoomScale="75" zoomScaleNormal="100" zoomScaleSheetLayoutView="75" workbookViewId="0">
      <pane xSplit="3" ySplit="2" topLeftCell="D3" activePane="bottomRight" state="frozen"/>
      <selection pane="topRight" activeCell="D1" sqref="D1"/>
      <selection pane="bottomLeft" activeCell="A6" sqref="A6"/>
      <selection pane="bottomRight" activeCell="G56" sqref="G56"/>
    </sheetView>
  </sheetViews>
  <sheetFormatPr defaultRowHeight="23.4" x14ac:dyDescent="0.45"/>
  <cols>
    <col min="1" max="1" width="4.33203125" style="520" customWidth="1"/>
    <col min="2" max="2" width="11.109375" style="406" bestFit="1" customWidth="1"/>
    <col min="3" max="3" width="103.5546875" style="406" customWidth="1"/>
    <col min="4" max="4" width="8.33203125" style="407" bestFit="1" customWidth="1"/>
    <col min="5" max="5" width="7.6640625" style="407" bestFit="1" customWidth="1"/>
    <col min="6" max="6" width="9" style="407" bestFit="1" customWidth="1"/>
    <col min="7" max="7" width="8.88671875" style="407" customWidth="1"/>
    <col min="8" max="8" width="8.5546875" style="408" bestFit="1" customWidth="1"/>
    <col min="9" max="9" width="7.109375" style="407" bestFit="1" customWidth="1"/>
    <col min="10" max="10" width="7" style="407" bestFit="1" customWidth="1"/>
    <col min="11" max="11" width="8.5546875" style="407" bestFit="1" customWidth="1"/>
    <col min="12" max="12" width="7" style="407" bestFit="1" customWidth="1"/>
    <col min="13" max="13" width="12" style="408" bestFit="1" customWidth="1"/>
    <col min="14" max="14" width="11" style="408" bestFit="1" customWidth="1"/>
    <col min="15" max="15" width="7" style="407" customWidth="1"/>
    <col min="16" max="16" width="8.5546875" style="408" bestFit="1" customWidth="1"/>
    <col min="17" max="17" width="8.88671875" style="409" bestFit="1" customWidth="1"/>
    <col min="18" max="18" width="7.109375" style="408" bestFit="1" customWidth="1"/>
    <col min="19" max="19" width="7.5546875" style="407" bestFit="1" customWidth="1"/>
    <col min="20" max="20" width="8.5546875" style="407" bestFit="1" customWidth="1"/>
    <col min="21" max="22" width="7.109375" style="407" bestFit="1" customWidth="1"/>
    <col min="23" max="23" width="8" style="407" bestFit="1" customWidth="1"/>
    <col min="24" max="24" width="8.5546875" style="408" bestFit="1" customWidth="1"/>
    <col min="25" max="25" width="9.6640625" style="408" bestFit="1" customWidth="1"/>
    <col min="26" max="26" width="73" style="773" customWidth="1"/>
    <col min="27" max="27" width="6.5546875" style="774" bestFit="1" customWidth="1"/>
    <col min="28" max="28" width="25.6640625" style="774" customWidth="1"/>
    <col min="29" max="40" width="9.109375" style="752"/>
    <col min="41" max="67" width="9.109375" style="410"/>
  </cols>
  <sheetData>
    <row r="1" spans="1:67" s="6" customFormat="1" x14ac:dyDescent="0.45">
      <c r="A1" s="517"/>
      <c r="B1" s="376"/>
      <c r="C1" s="753" t="s">
        <v>1210</v>
      </c>
      <c r="D1" s="378"/>
      <c r="E1" s="378"/>
      <c r="F1" s="378"/>
      <c r="G1" s="378"/>
      <c r="H1" s="380"/>
      <c r="I1" s="378"/>
      <c r="J1" s="378"/>
      <c r="K1" s="378"/>
      <c r="L1" s="378"/>
      <c r="M1" s="380"/>
      <c r="N1" s="380"/>
      <c r="O1" s="378"/>
      <c r="P1" s="380"/>
      <c r="Q1" s="380"/>
      <c r="R1" s="380"/>
      <c r="S1" s="378"/>
      <c r="T1" s="378"/>
      <c r="U1" s="378"/>
      <c r="V1" s="378"/>
      <c r="W1" s="378"/>
      <c r="X1" s="380"/>
      <c r="Y1" s="380"/>
      <c r="Z1" s="754"/>
      <c r="AA1" s="755"/>
      <c r="AB1" s="755"/>
      <c r="AC1" s="748"/>
      <c r="AD1" s="748"/>
      <c r="AE1" s="748"/>
      <c r="AF1" s="748"/>
      <c r="AG1" s="748"/>
      <c r="AH1" s="748"/>
      <c r="AI1" s="748"/>
      <c r="AJ1" s="748"/>
      <c r="AK1" s="748"/>
      <c r="AL1" s="748"/>
      <c r="AM1" s="748"/>
      <c r="AN1" s="748"/>
      <c r="AO1" s="375"/>
      <c r="AP1" s="375"/>
      <c r="AQ1" s="375"/>
      <c r="AR1" s="375"/>
      <c r="AS1" s="375"/>
      <c r="AT1" s="375"/>
      <c r="AU1" s="375"/>
      <c r="AV1" s="375"/>
      <c r="AW1" s="375"/>
      <c r="AX1" s="375"/>
      <c r="AY1" s="375"/>
      <c r="AZ1" s="375"/>
      <c r="BA1" s="375"/>
      <c r="BB1" s="375"/>
      <c r="BC1" s="375"/>
      <c r="BD1" s="375"/>
      <c r="BE1" s="375"/>
      <c r="BF1" s="375"/>
      <c r="BG1" s="375"/>
      <c r="BH1" s="375"/>
      <c r="BI1" s="375"/>
      <c r="BJ1" s="375"/>
      <c r="BK1" s="375"/>
      <c r="BL1" s="375"/>
      <c r="BM1" s="375"/>
      <c r="BN1" s="375"/>
      <c r="BO1" s="375"/>
    </row>
    <row r="2" spans="1:67" s="6" customFormat="1" x14ac:dyDescent="0.45">
      <c r="A2" s="517"/>
      <c r="B2" s="376">
        <v>1</v>
      </c>
      <c r="C2" s="377" t="s">
        <v>881</v>
      </c>
      <c r="D2" s="378" t="s">
        <v>1137</v>
      </c>
      <c r="E2" s="378" t="s">
        <v>1138</v>
      </c>
      <c r="F2" s="378" t="s">
        <v>1139</v>
      </c>
      <c r="G2" s="378" t="s">
        <v>1140</v>
      </c>
      <c r="H2" s="378" t="s">
        <v>1141</v>
      </c>
      <c r="I2" s="378" t="s">
        <v>1142</v>
      </c>
      <c r="J2" s="378" t="s">
        <v>1143</v>
      </c>
      <c r="K2" s="378" t="s">
        <v>1144</v>
      </c>
      <c r="L2" s="378" t="s">
        <v>1145</v>
      </c>
      <c r="M2" s="378" t="s">
        <v>1146</v>
      </c>
      <c r="N2" s="378" t="s">
        <v>1147</v>
      </c>
      <c r="O2" s="378" t="s">
        <v>102</v>
      </c>
      <c r="P2" s="378" t="s">
        <v>1154</v>
      </c>
      <c r="Q2" s="378" t="s">
        <v>1155</v>
      </c>
      <c r="R2" s="378" t="s">
        <v>1148</v>
      </c>
      <c r="S2" s="378" t="s">
        <v>1149</v>
      </c>
      <c r="T2" s="378" t="s">
        <v>1152</v>
      </c>
      <c r="U2" s="378" t="s">
        <v>1151</v>
      </c>
      <c r="V2" s="378" t="s">
        <v>1150</v>
      </c>
      <c r="W2" s="378" t="s">
        <v>1153</v>
      </c>
      <c r="X2" s="380"/>
      <c r="Y2" s="380"/>
      <c r="Z2" s="756"/>
      <c r="AA2" s="755"/>
      <c r="AB2" s="755"/>
      <c r="AC2" s="748"/>
      <c r="AD2" s="748"/>
      <c r="AE2" s="748"/>
      <c r="AF2" s="748"/>
      <c r="AG2" s="748"/>
      <c r="AH2" s="748"/>
      <c r="AI2" s="748"/>
      <c r="AJ2" s="748"/>
      <c r="AK2" s="748"/>
      <c r="AL2" s="748"/>
      <c r="AM2" s="748"/>
      <c r="AN2" s="748"/>
      <c r="AO2" s="375"/>
      <c r="AP2" s="375"/>
      <c r="AQ2" s="375"/>
      <c r="AR2" s="375"/>
      <c r="AS2" s="375"/>
      <c r="AT2" s="375"/>
      <c r="AU2" s="375"/>
      <c r="AV2" s="375"/>
      <c r="AW2" s="375"/>
      <c r="AX2" s="375"/>
      <c r="AY2" s="375"/>
      <c r="AZ2" s="375"/>
      <c r="BA2" s="375"/>
      <c r="BB2" s="375"/>
      <c r="BC2" s="375"/>
      <c r="BD2" s="375"/>
      <c r="BE2" s="375"/>
      <c r="BF2" s="375"/>
      <c r="BG2" s="375"/>
      <c r="BH2" s="375"/>
      <c r="BI2" s="375"/>
      <c r="BJ2" s="375"/>
      <c r="BK2" s="375"/>
      <c r="BL2" s="375"/>
      <c r="BM2" s="375"/>
      <c r="BN2" s="375"/>
      <c r="BO2" s="375"/>
    </row>
    <row r="3" spans="1:67" s="6" customFormat="1" x14ac:dyDescent="0.45">
      <c r="A3" s="517"/>
      <c r="B3" s="376"/>
      <c r="C3" s="377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380"/>
      <c r="Y3" s="380"/>
      <c r="Z3" s="756"/>
      <c r="AA3" s="755"/>
      <c r="AB3" s="755"/>
      <c r="AC3" s="748"/>
      <c r="AD3" s="748"/>
      <c r="AE3" s="748"/>
      <c r="AF3" s="748"/>
      <c r="AG3" s="748"/>
      <c r="AH3" s="748"/>
      <c r="AI3" s="748"/>
      <c r="AJ3" s="748"/>
      <c r="AK3" s="748"/>
      <c r="AL3" s="748"/>
      <c r="AM3" s="748"/>
      <c r="AN3" s="748"/>
      <c r="AO3" s="375"/>
      <c r="AP3" s="375"/>
      <c r="AQ3" s="375"/>
      <c r="AR3" s="375"/>
      <c r="AS3" s="375"/>
      <c r="AT3" s="375"/>
      <c r="AU3" s="375"/>
      <c r="AV3" s="375"/>
      <c r="AW3" s="375"/>
      <c r="AX3" s="375"/>
      <c r="AY3" s="375"/>
      <c r="AZ3" s="375"/>
      <c r="BA3" s="375"/>
      <c r="BB3" s="375"/>
      <c r="BC3" s="375"/>
      <c r="BD3" s="375"/>
      <c r="BE3" s="375"/>
      <c r="BF3" s="375"/>
      <c r="BG3" s="375"/>
      <c r="BH3" s="375"/>
      <c r="BI3" s="375"/>
      <c r="BJ3" s="375"/>
      <c r="BK3" s="375"/>
      <c r="BL3" s="375"/>
      <c r="BM3" s="375"/>
      <c r="BN3" s="375"/>
      <c r="BO3" s="375"/>
    </row>
    <row r="4" spans="1:67" s="6" customFormat="1" x14ac:dyDescent="0.45">
      <c r="A4" s="517"/>
      <c r="B4" s="381" t="s">
        <v>882</v>
      </c>
      <c r="C4" s="382" t="s">
        <v>883</v>
      </c>
      <c r="D4" s="383">
        <f>'1.Медичні огляди'!D8</f>
        <v>11.5</v>
      </c>
      <c r="E4" s="383">
        <f>'1.Медичні огляди'!D9</f>
        <v>19.7</v>
      </c>
      <c r="F4" s="383">
        <f>'1.Медичні огляди'!D10</f>
        <v>9.8000000000000007</v>
      </c>
      <c r="G4" s="383">
        <f>'1.Медичні огляди'!D11</f>
        <v>9.5</v>
      </c>
      <c r="H4" s="383"/>
      <c r="I4" s="383">
        <f>'1.Медичні огляди'!D12</f>
        <v>17</v>
      </c>
      <c r="J4" s="383">
        <f>'1.Медичні огляди'!D13</f>
        <v>44</v>
      </c>
      <c r="K4" s="383">
        <f>'1.Медичні огляди'!D14</f>
        <v>24</v>
      </c>
      <c r="L4" s="383">
        <f>'1.Медичні огляди'!D15</f>
        <v>24</v>
      </c>
      <c r="M4" s="378"/>
      <c r="N4" s="378"/>
      <c r="O4" s="378"/>
      <c r="P4" s="383">
        <f>'1.Медичні огляди'!D16</f>
        <v>5.94</v>
      </c>
      <c r="Q4" s="378"/>
      <c r="R4" s="383"/>
      <c r="S4" s="383"/>
      <c r="T4" s="383"/>
      <c r="U4" s="383"/>
      <c r="V4" s="383"/>
      <c r="W4" s="378"/>
      <c r="X4" s="384">
        <f>SUM(D4:W4)</f>
        <v>165.44</v>
      </c>
      <c r="Y4" s="384">
        <f>ROUND(X4,0)</f>
        <v>165</v>
      </c>
      <c r="Z4" s="757">
        <f>'1.Медичні огляди'!D4</f>
        <v>165</v>
      </c>
      <c r="AA4" s="758">
        <f>Y4-Z4</f>
        <v>0</v>
      </c>
      <c r="AB4" s="755" t="str">
        <f>'1.Медичні огляди'!F4</f>
        <v>Медичний огляд для отримання дозволу (ліцензії) на об'єкт дозвільної системи</v>
      </c>
      <c r="AC4" s="748"/>
      <c r="AD4" s="748"/>
      <c r="AE4" s="748"/>
      <c r="AF4" s="748"/>
      <c r="AG4" s="748"/>
      <c r="AH4" s="748"/>
      <c r="AI4" s="748"/>
      <c r="AJ4" s="748"/>
      <c r="AK4" s="748"/>
      <c r="AL4" s="748"/>
      <c r="AM4" s="748"/>
      <c r="AN4" s="748"/>
      <c r="AO4" s="375"/>
      <c r="AP4" s="375"/>
      <c r="AQ4" s="375"/>
      <c r="AR4" s="375"/>
      <c r="AS4" s="375"/>
      <c r="AT4" s="375"/>
      <c r="AU4" s="375"/>
      <c r="AV4" s="375"/>
      <c r="AW4" s="375"/>
      <c r="AX4" s="375"/>
      <c r="AY4" s="375"/>
      <c r="AZ4" s="375"/>
      <c r="BA4" s="375"/>
      <c r="BB4" s="375"/>
      <c r="BC4" s="375"/>
      <c r="BD4" s="375"/>
      <c r="BE4" s="375"/>
      <c r="BF4" s="375"/>
      <c r="BG4" s="375"/>
      <c r="BH4" s="375"/>
      <c r="BI4" s="375"/>
      <c r="BJ4" s="375"/>
      <c r="BK4" s="375"/>
      <c r="BL4" s="375"/>
      <c r="BM4" s="375"/>
      <c r="BN4" s="375"/>
      <c r="BO4" s="375"/>
    </row>
    <row r="5" spans="1:67" s="556" customFormat="1" x14ac:dyDescent="0.45">
      <c r="A5" s="779"/>
      <c r="B5" s="780" t="s">
        <v>495</v>
      </c>
      <c r="C5" s="777" t="s">
        <v>498</v>
      </c>
      <c r="D5" s="515">
        <f>'1.Медичні огляди ДОДАТКОВІ'!D8</f>
        <v>11.5</v>
      </c>
      <c r="E5" s="515">
        <f>'1.Медичні огляди ДОДАТКОВІ'!D9</f>
        <v>19.7</v>
      </c>
      <c r="F5" s="515">
        <f>'1.Медичні огляди ДОДАТКОВІ'!D10</f>
        <v>9.8000000000000007</v>
      </c>
      <c r="G5" s="515">
        <f>'1.Медичні огляди ДОДАТКОВІ'!D11</f>
        <v>9.5</v>
      </c>
      <c r="H5" s="515"/>
      <c r="I5" s="515">
        <f>'1.Медичні огляди ДОДАТКОВІ'!D12</f>
        <v>17</v>
      </c>
      <c r="J5" s="515">
        <f>'1.Медичні огляди ДОДАТКОВІ'!D13</f>
        <v>44</v>
      </c>
      <c r="K5" s="515">
        <f>'1.Медичні огляди ДОДАТКОВІ'!D14</f>
        <v>24</v>
      </c>
      <c r="L5" s="515">
        <f>'1.Медичні огляди ДОДАТКОВІ'!D15</f>
        <v>24</v>
      </c>
      <c r="M5" s="529"/>
      <c r="N5" s="529"/>
      <c r="O5" s="529"/>
      <c r="P5" s="515">
        <f>'1.Медичні огляди ДОДАТКОВІ'!D16</f>
        <v>5.94</v>
      </c>
      <c r="Q5" s="529"/>
      <c r="R5" s="515"/>
      <c r="S5" s="515"/>
      <c r="T5" s="515"/>
      <c r="U5" s="515"/>
      <c r="V5" s="515">
        <f>'1.Медичні огляди ДОДАТКОВІ'!D17</f>
        <v>38</v>
      </c>
      <c r="W5" s="529"/>
      <c r="X5" s="384">
        <f t="shared" ref="X5:X33" si="0">SUM(D5:W5)</f>
        <v>203.44</v>
      </c>
      <c r="Y5" s="384">
        <f t="shared" ref="Y5:Y33" si="1">ROUND(X5,0)</f>
        <v>203</v>
      </c>
      <c r="Z5" s="781">
        <f>'1.Медичні огляди ДОДАТКОВІ'!D4</f>
        <v>203</v>
      </c>
      <c r="AA5" s="775">
        <f>Y5-Z5</f>
        <v>0</v>
      </c>
      <c r="AB5" s="767" t="str">
        <f>'1.Медичні огляди ДОДАТКОВІ'!C4</f>
        <v>Медичний огляд для отримання дозволу (ліцензії) на об'єкт дозвільної системи (жінки)</v>
      </c>
      <c r="AC5" s="782"/>
      <c r="AD5" s="782"/>
      <c r="AE5" s="782"/>
      <c r="AF5" s="782"/>
      <c r="AG5" s="782"/>
      <c r="AH5" s="782"/>
      <c r="AI5" s="782"/>
      <c r="AJ5" s="782"/>
      <c r="AK5" s="782"/>
      <c r="AL5" s="782"/>
      <c r="AM5" s="782"/>
      <c r="AN5" s="782"/>
      <c r="AO5" s="783"/>
      <c r="AP5" s="783"/>
      <c r="AQ5" s="783"/>
      <c r="AR5" s="783"/>
      <c r="AS5" s="783"/>
      <c r="AT5" s="783"/>
      <c r="AU5" s="783"/>
      <c r="AV5" s="783"/>
      <c r="AW5" s="783"/>
      <c r="AX5" s="783"/>
      <c r="AY5" s="783"/>
      <c r="AZ5" s="783"/>
      <c r="BA5" s="783"/>
      <c r="BB5" s="783"/>
      <c r="BC5" s="783"/>
      <c r="BD5" s="783"/>
      <c r="BE5" s="783"/>
      <c r="BF5" s="783"/>
      <c r="BG5" s="783"/>
      <c r="BH5" s="783"/>
      <c r="BI5" s="783"/>
      <c r="BJ5" s="783"/>
      <c r="BK5" s="783"/>
      <c r="BL5" s="783"/>
      <c r="BM5" s="783"/>
      <c r="BN5" s="783"/>
      <c r="BO5" s="783"/>
    </row>
    <row r="6" spans="1:67" s="6" customFormat="1" x14ac:dyDescent="0.45">
      <c r="A6" s="517"/>
      <c r="B6" s="381" t="s">
        <v>884</v>
      </c>
      <c r="C6" s="385" t="s">
        <v>885</v>
      </c>
      <c r="D6" s="383">
        <f>'1.Медичні огляди'!D29</f>
        <v>11.5</v>
      </c>
      <c r="E6" s="383">
        <f>'1.Медичні огляди'!D30</f>
        <v>19.7</v>
      </c>
      <c r="F6" s="383">
        <f>'1.Медичні огляди'!D31</f>
        <v>9.8000000000000007</v>
      </c>
      <c r="G6" s="383">
        <f>'1.Медичні огляди'!D32</f>
        <v>9.5</v>
      </c>
      <c r="H6" s="383">
        <f>'1.Медичні огляди'!D33</f>
        <v>8.1999999999999993</v>
      </c>
      <c r="I6" s="383">
        <f>'1.Медичні огляди'!D34</f>
        <v>17</v>
      </c>
      <c r="J6" s="383">
        <f>'1.Медичні огляди'!D35</f>
        <v>44</v>
      </c>
      <c r="K6" s="383">
        <f>'1.Медичні огляди'!D36</f>
        <v>24</v>
      </c>
      <c r="L6" s="383">
        <f>'1.Медичні огляди'!D37</f>
        <v>24</v>
      </c>
      <c r="M6" s="383">
        <f>'1.Медичні огляди'!D38</f>
        <v>30</v>
      </c>
      <c r="N6" s="378"/>
      <c r="O6" s="378"/>
      <c r="P6" s="383">
        <f>'1.Медичні огляди'!D39</f>
        <v>5.94</v>
      </c>
      <c r="Q6" s="378"/>
      <c r="R6" s="383"/>
      <c r="S6" s="383"/>
      <c r="T6" s="383"/>
      <c r="U6" s="383"/>
      <c r="V6" s="383"/>
      <c r="W6" s="378"/>
      <c r="X6" s="384">
        <f t="shared" si="0"/>
        <v>203.64</v>
      </c>
      <c r="Y6" s="384">
        <f t="shared" si="1"/>
        <v>204</v>
      </c>
      <c r="Z6" s="757">
        <f>'1.Медичні огляди'!D25</f>
        <v>204</v>
      </c>
      <c r="AA6" s="758">
        <f t="shared" ref="AA6:AA29" si="2">Y6-Z6</f>
        <v>0</v>
      </c>
      <c r="AB6" s="755" t="str">
        <f>'1.Медичні огляди'!F5</f>
        <v>Попередній медичний огляд кандидатів у водії (водіїв) транспортних засобів</v>
      </c>
      <c r="AC6" s="748"/>
      <c r="AD6" s="748"/>
      <c r="AE6" s="748"/>
      <c r="AF6" s="748"/>
      <c r="AG6" s="748"/>
      <c r="AH6" s="748"/>
      <c r="AI6" s="748"/>
      <c r="AJ6" s="748"/>
      <c r="AK6" s="748"/>
      <c r="AL6" s="748"/>
      <c r="AM6" s="748"/>
      <c r="AN6" s="748"/>
      <c r="AO6" s="375"/>
      <c r="AP6" s="375"/>
      <c r="AQ6" s="375"/>
      <c r="AR6" s="375"/>
      <c r="AS6" s="375"/>
      <c r="AT6" s="375"/>
      <c r="AU6" s="375"/>
      <c r="AV6" s="375"/>
      <c r="AW6" s="375"/>
      <c r="AX6" s="375"/>
      <c r="AY6" s="375"/>
      <c r="AZ6" s="375"/>
      <c r="BA6" s="375"/>
      <c r="BB6" s="375"/>
      <c r="BC6" s="375"/>
      <c r="BD6" s="375"/>
      <c r="BE6" s="375"/>
      <c r="BF6" s="375"/>
      <c r="BG6" s="375"/>
      <c r="BH6" s="375"/>
      <c r="BI6" s="375"/>
      <c r="BJ6" s="375"/>
      <c r="BK6" s="375"/>
      <c r="BL6" s="375"/>
      <c r="BM6" s="375"/>
      <c r="BN6" s="375"/>
      <c r="BO6" s="375"/>
    </row>
    <row r="7" spans="1:67" s="556" customFormat="1" x14ac:dyDescent="0.45">
      <c r="A7" s="779"/>
      <c r="B7" s="780" t="s">
        <v>496</v>
      </c>
      <c r="C7" s="784" t="s">
        <v>499</v>
      </c>
      <c r="D7" s="515">
        <f>'1.Медичні огляди ДОДАТКОВІ'!D29</f>
        <v>11.5</v>
      </c>
      <c r="E7" s="515">
        <f>'1.Медичні огляди ДОДАТКОВІ'!D30</f>
        <v>19.7</v>
      </c>
      <c r="F7" s="515">
        <f>'1.Медичні огляди ДОДАТКОВІ'!D31</f>
        <v>9.8000000000000007</v>
      </c>
      <c r="G7" s="515">
        <f>'1.Медичні огляди ДОДАТКОВІ'!D32</f>
        <v>9.5</v>
      </c>
      <c r="H7" s="515">
        <f>'1.Медичні огляди ДОДАТКОВІ'!D33</f>
        <v>8.1999999999999993</v>
      </c>
      <c r="I7" s="515">
        <f>'1.Медичні огляди ДОДАТКОВІ'!D34</f>
        <v>17</v>
      </c>
      <c r="J7" s="515">
        <f>'1.Медичні огляди ДОДАТКОВІ'!D35</f>
        <v>44</v>
      </c>
      <c r="K7" s="515">
        <f>'1.Медичні огляди ДОДАТКОВІ'!D36</f>
        <v>24</v>
      </c>
      <c r="L7" s="515">
        <f>'1.Медичні огляди ДОДАТКОВІ'!D37</f>
        <v>24</v>
      </c>
      <c r="M7" s="515">
        <f>'1.Медичні огляди ДОДАТКОВІ'!D38</f>
        <v>30</v>
      </c>
      <c r="N7" s="529"/>
      <c r="O7" s="529"/>
      <c r="P7" s="515">
        <f>'1.Медичні огляди ДОДАТКОВІ'!D39</f>
        <v>5.94</v>
      </c>
      <c r="Q7" s="529"/>
      <c r="R7" s="515"/>
      <c r="S7" s="515"/>
      <c r="T7" s="515"/>
      <c r="U7" s="515"/>
      <c r="V7" s="515">
        <f>'1.Медичні огляди ДОДАТКОВІ'!D40</f>
        <v>38</v>
      </c>
      <c r="W7" s="529"/>
      <c r="X7" s="384">
        <f t="shared" si="0"/>
        <v>241.64</v>
      </c>
      <c r="Y7" s="384">
        <f t="shared" si="1"/>
        <v>242</v>
      </c>
      <c r="Z7" s="781">
        <f>'1.Медичні огляди ДОДАТКОВІ'!D25</f>
        <v>242</v>
      </c>
      <c r="AA7" s="775">
        <f>Y7-Z7</f>
        <v>0</v>
      </c>
      <c r="AB7" s="767" t="str">
        <f>'1.Медичні огляди ДОДАТКОВІ'!C25</f>
        <v>Попередній медичний огляд кандидатів у водії (водіїв) транспортних засобів (жінки)</v>
      </c>
      <c r="AC7" s="782"/>
      <c r="AD7" s="782"/>
      <c r="AE7" s="782"/>
      <c r="AF7" s="782"/>
      <c r="AG7" s="782"/>
      <c r="AH7" s="782"/>
      <c r="AI7" s="782"/>
      <c r="AJ7" s="782"/>
      <c r="AK7" s="782"/>
      <c r="AL7" s="782"/>
      <c r="AM7" s="782"/>
      <c r="AN7" s="782"/>
      <c r="AO7" s="783"/>
      <c r="AP7" s="783"/>
      <c r="AQ7" s="783"/>
      <c r="AR7" s="783"/>
      <c r="AS7" s="783"/>
      <c r="AT7" s="783"/>
      <c r="AU7" s="783"/>
      <c r="AV7" s="783"/>
      <c r="AW7" s="783"/>
      <c r="AX7" s="783"/>
      <c r="AY7" s="783"/>
      <c r="AZ7" s="783"/>
      <c r="BA7" s="783"/>
      <c r="BB7" s="783"/>
      <c r="BC7" s="783"/>
      <c r="BD7" s="783"/>
      <c r="BE7" s="783"/>
      <c r="BF7" s="783"/>
      <c r="BG7" s="783"/>
      <c r="BH7" s="783"/>
      <c r="BI7" s="783"/>
      <c r="BJ7" s="783"/>
      <c r="BK7" s="783"/>
      <c r="BL7" s="783"/>
      <c r="BM7" s="783"/>
      <c r="BN7" s="783"/>
      <c r="BO7" s="783"/>
    </row>
    <row r="8" spans="1:67" s="6" customFormat="1" x14ac:dyDescent="0.45">
      <c r="A8" s="517"/>
      <c r="B8" s="381" t="s">
        <v>886</v>
      </c>
      <c r="C8" s="385" t="s">
        <v>887</v>
      </c>
      <c r="D8" s="383">
        <f>'1.Медичні огляди'!D52</f>
        <v>11.5</v>
      </c>
      <c r="E8" s="383">
        <f>'1.Медичні огляди'!D53</f>
        <v>19.7</v>
      </c>
      <c r="F8" s="383">
        <f>'1.Медичні огляди'!D54</f>
        <v>9.8000000000000007</v>
      </c>
      <c r="G8" s="383">
        <f>'1.Медичні огляди'!D55</f>
        <v>9.5</v>
      </c>
      <c r="H8" s="383">
        <f>'1.Медичні огляди'!D56</f>
        <v>8.1999999999999993</v>
      </c>
      <c r="I8" s="383">
        <f>'1.Медичні огляди'!D57</f>
        <v>17</v>
      </c>
      <c r="J8" s="383">
        <f>'1.Медичні огляди'!D58</f>
        <v>44</v>
      </c>
      <c r="K8" s="383">
        <f>'1.Медичні огляди'!D59</f>
        <v>24</v>
      </c>
      <c r="L8" s="383">
        <f>'1.Медичні огляди'!D60</f>
        <v>24</v>
      </c>
      <c r="M8" s="383"/>
      <c r="N8" s="378"/>
      <c r="O8" s="378"/>
      <c r="P8" s="383">
        <f>'1.Медичні огляди'!D61</f>
        <v>5.94</v>
      </c>
      <c r="Q8" s="378"/>
      <c r="R8" s="383"/>
      <c r="S8" s="383"/>
      <c r="T8" s="383"/>
      <c r="U8" s="383"/>
      <c r="V8" s="383"/>
      <c r="W8" s="378"/>
      <c r="X8" s="384">
        <f t="shared" si="0"/>
        <v>173.64</v>
      </c>
      <c r="Y8" s="384">
        <f t="shared" si="1"/>
        <v>174</v>
      </c>
      <c r="Z8" s="757">
        <f>'1.Медичні огляди'!D48</f>
        <v>174</v>
      </c>
      <c r="AA8" s="758">
        <f t="shared" si="2"/>
        <v>0</v>
      </c>
      <c r="AB8" s="755" t="str">
        <f>'1.Медичні огляди'!F6</f>
        <v>Періодичний медичний огляд кандидатів у водії (водіїв) транспортних засобів</v>
      </c>
      <c r="AC8" s="748"/>
      <c r="AD8" s="748"/>
      <c r="AE8" s="748"/>
      <c r="AF8" s="748"/>
      <c r="AG8" s="748"/>
      <c r="AH8" s="748"/>
      <c r="AI8" s="748"/>
      <c r="AJ8" s="748"/>
      <c r="AK8" s="748"/>
      <c r="AL8" s="748"/>
      <c r="AM8" s="748"/>
      <c r="AN8" s="748"/>
      <c r="AO8" s="375"/>
      <c r="AP8" s="375"/>
      <c r="AQ8" s="375"/>
      <c r="AR8" s="375"/>
      <c r="AS8" s="375"/>
      <c r="AT8" s="375"/>
      <c r="AU8" s="375"/>
      <c r="AV8" s="375"/>
      <c r="AW8" s="375"/>
      <c r="AX8" s="375"/>
      <c r="AY8" s="375"/>
      <c r="AZ8" s="375"/>
      <c r="BA8" s="375"/>
      <c r="BB8" s="375"/>
      <c r="BC8" s="375"/>
      <c r="BD8" s="375"/>
      <c r="BE8" s="375"/>
      <c r="BF8" s="375"/>
      <c r="BG8" s="375"/>
      <c r="BH8" s="375"/>
      <c r="BI8" s="375"/>
      <c r="BJ8" s="375"/>
      <c r="BK8" s="375"/>
      <c r="BL8" s="375"/>
      <c r="BM8" s="375"/>
      <c r="BN8" s="375"/>
      <c r="BO8" s="375"/>
    </row>
    <row r="9" spans="1:67" s="556" customFormat="1" x14ac:dyDescent="0.45">
      <c r="A9" s="779"/>
      <c r="B9" s="780" t="s">
        <v>497</v>
      </c>
      <c r="C9" s="784" t="s">
        <v>500</v>
      </c>
      <c r="D9" s="515">
        <f>'1.Медичні огляди ДОДАТКОВІ'!D52</f>
        <v>11.5</v>
      </c>
      <c r="E9" s="515">
        <f>'1.Медичні огляди ДОДАТКОВІ'!D53</f>
        <v>19.7</v>
      </c>
      <c r="F9" s="515">
        <f>'1.Медичні огляди ДОДАТКОВІ'!D54</f>
        <v>9.8000000000000007</v>
      </c>
      <c r="G9" s="515">
        <f>'1.Медичні огляди ДОДАТКОВІ'!D55</f>
        <v>9.5</v>
      </c>
      <c r="H9" s="515">
        <f>'1.Медичні огляди ДОДАТКОВІ'!D56</f>
        <v>8.1999999999999993</v>
      </c>
      <c r="I9" s="515">
        <f>'1.Медичні огляди ДОДАТКОВІ'!D57</f>
        <v>17</v>
      </c>
      <c r="J9" s="515">
        <f>'1.Медичні огляди ДОДАТКОВІ'!D58</f>
        <v>44</v>
      </c>
      <c r="K9" s="515">
        <f>'1.Медичні огляди ДОДАТКОВІ'!D59</f>
        <v>24</v>
      </c>
      <c r="L9" s="515">
        <f>'1.Медичні огляди ДОДАТКОВІ'!D60</f>
        <v>24</v>
      </c>
      <c r="M9" s="515"/>
      <c r="N9" s="529"/>
      <c r="O9" s="529"/>
      <c r="P9" s="515">
        <f>'1.Медичні огляди ДОДАТКОВІ'!D61</f>
        <v>5.94</v>
      </c>
      <c r="Q9" s="529"/>
      <c r="R9" s="515"/>
      <c r="S9" s="515"/>
      <c r="T9" s="515"/>
      <c r="U9" s="515"/>
      <c r="V9" s="515">
        <f>'1.Медичні огляди ДОДАТКОВІ'!D62</f>
        <v>38</v>
      </c>
      <c r="W9" s="529"/>
      <c r="X9" s="384">
        <f t="shared" si="0"/>
        <v>211.64</v>
      </c>
      <c r="Y9" s="384">
        <f t="shared" si="1"/>
        <v>212</v>
      </c>
      <c r="Z9" s="781">
        <f>'1.Медичні огляди ДОДАТКОВІ'!D48</f>
        <v>212</v>
      </c>
      <c r="AA9" s="775">
        <f>Y9-Z9</f>
        <v>0</v>
      </c>
      <c r="AB9" s="767" t="str">
        <f>'1.Медичні огляди ДОДАТКОВІ'!C48</f>
        <v>Періодичний медичний огляд кандидатів у водії (водіїв) транспортних засобів (жінки)</v>
      </c>
      <c r="AC9" s="782"/>
      <c r="AD9" s="782"/>
      <c r="AE9" s="782"/>
      <c r="AF9" s="782"/>
      <c r="AG9" s="782"/>
      <c r="AH9" s="782"/>
      <c r="AI9" s="782"/>
      <c r="AJ9" s="782"/>
      <c r="AK9" s="782"/>
      <c r="AL9" s="782"/>
      <c r="AM9" s="782"/>
      <c r="AN9" s="782"/>
      <c r="AO9" s="783"/>
      <c r="AP9" s="783"/>
      <c r="AQ9" s="783"/>
      <c r="AR9" s="783"/>
      <c r="AS9" s="783"/>
      <c r="AT9" s="783"/>
      <c r="AU9" s="783"/>
      <c r="AV9" s="783"/>
      <c r="AW9" s="783"/>
      <c r="AX9" s="783"/>
      <c r="AY9" s="783"/>
      <c r="AZ9" s="783"/>
      <c r="BA9" s="783"/>
      <c r="BB9" s="783"/>
      <c r="BC9" s="783"/>
      <c r="BD9" s="783"/>
      <c r="BE9" s="783"/>
      <c r="BF9" s="783"/>
      <c r="BG9" s="783"/>
      <c r="BH9" s="783"/>
      <c r="BI9" s="783"/>
      <c r="BJ9" s="783"/>
      <c r="BK9" s="783"/>
      <c r="BL9" s="783"/>
      <c r="BM9" s="783"/>
      <c r="BN9" s="783"/>
      <c r="BO9" s="783"/>
    </row>
    <row r="10" spans="1:67" s="6" customFormat="1" x14ac:dyDescent="0.45">
      <c r="A10" s="517"/>
      <c r="B10" s="381" t="s">
        <v>888</v>
      </c>
      <c r="C10" s="385" t="s">
        <v>889</v>
      </c>
      <c r="D10" s="383">
        <f>'1.Медичні огляди'!D74</f>
        <v>11.5</v>
      </c>
      <c r="E10" s="383">
        <f>'1.Медичні огляди'!D97</f>
        <v>19.7</v>
      </c>
      <c r="F10" s="383">
        <f>'1.Медичні огляди'!D98</f>
        <v>9.8000000000000007</v>
      </c>
      <c r="G10" s="383">
        <f>'1.Медичні огляди'!D99</f>
        <v>9.5</v>
      </c>
      <c r="H10" s="383">
        <f>'1.Медичні огляди'!D100</f>
        <v>8.1999999999999993</v>
      </c>
      <c r="I10" s="383"/>
      <c r="J10" s="383">
        <f>'1.Медичні огляди'!D105</f>
        <v>44</v>
      </c>
      <c r="K10" s="383">
        <f>'1.Медичні огляди'!D106</f>
        <v>24</v>
      </c>
      <c r="L10" s="383"/>
      <c r="M10" s="378"/>
      <c r="N10" s="383">
        <f>'1.Медичні огляди'!D104</f>
        <v>34</v>
      </c>
      <c r="O10" s="383"/>
      <c r="P10" s="383"/>
      <c r="Q10" s="383"/>
      <c r="R10" s="383">
        <f>'1.Медичні огляди'!D79</f>
        <v>11.5</v>
      </c>
      <c r="S10" s="383">
        <f>'1.Медичні огляди'!D80</f>
        <v>9.9</v>
      </c>
      <c r="T10" s="383"/>
      <c r="U10" s="383"/>
      <c r="V10" s="383"/>
      <c r="W10" s="378"/>
      <c r="X10" s="384">
        <f t="shared" si="0"/>
        <v>182.1</v>
      </c>
      <c r="Y10" s="384">
        <f t="shared" si="1"/>
        <v>182</v>
      </c>
      <c r="Z10" s="757">
        <f>'1.Медичні огляди'!D70</f>
        <v>182</v>
      </c>
      <c r="AA10" s="758">
        <f t="shared" si="2"/>
        <v>0</v>
      </c>
      <c r="AB10" s="755" t="str">
        <f>'1.Медичні огляди'!F7</f>
        <v>Попередній медичний огляд працівників певних категорій</v>
      </c>
      <c r="AC10" s="748"/>
      <c r="AD10" s="748"/>
      <c r="AE10" s="748"/>
      <c r="AF10" s="748"/>
      <c r="AG10" s="748"/>
      <c r="AH10" s="748"/>
      <c r="AI10" s="748"/>
      <c r="AJ10" s="748"/>
      <c r="AK10" s="748"/>
      <c r="AL10" s="748"/>
      <c r="AM10" s="748"/>
      <c r="AN10" s="748"/>
      <c r="AO10" s="375"/>
      <c r="AP10" s="375"/>
      <c r="AQ10" s="375"/>
      <c r="AR10" s="375"/>
      <c r="AS10" s="375"/>
      <c r="AT10" s="375"/>
      <c r="AU10" s="375"/>
      <c r="AV10" s="375"/>
      <c r="AW10" s="375"/>
      <c r="AX10" s="375"/>
      <c r="AY10" s="375"/>
      <c r="AZ10" s="375"/>
      <c r="BA10" s="375"/>
      <c r="BB10" s="375"/>
      <c r="BC10" s="375"/>
      <c r="BD10" s="375"/>
      <c r="BE10" s="375"/>
      <c r="BF10" s="375"/>
      <c r="BG10" s="375"/>
      <c r="BH10" s="375"/>
      <c r="BI10" s="375"/>
      <c r="BJ10" s="375"/>
      <c r="BK10" s="375"/>
      <c r="BL10" s="375"/>
      <c r="BM10" s="375"/>
      <c r="BN10" s="375"/>
      <c r="BO10" s="375"/>
    </row>
    <row r="11" spans="1:67" s="6" customFormat="1" x14ac:dyDescent="0.45">
      <c r="A11" s="517"/>
      <c r="B11" s="381" t="s">
        <v>890</v>
      </c>
      <c r="C11" s="385" t="s">
        <v>891</v>
      </c>
      <c r="D11" s="383">
        <f>'1.Медичні огляди'!D96</f>
        <v>11.5</v>
      </c>
      <c r="E11" s="383">
        <f>'1.Медичні огляди'!D97</f>
        <v>19.7</v>
      </c>
      <c r="F11" s="383">
        <f>'1.Медичні огляди'!D98</f>
        <v>9.8000000000000007</v>
      </c>
      <c r="G11" s="383">
        <f>'1.Медичні огляди'!D99</f>
        <v>9.5</v>
      </c>
      <c r="H11" s="383">
        <f>'1.Медичні огляди'!D100</f>
        <v>8.1999999999999993</v>
      </c>
      <c r="I11" s="383"/>
      <c r="J11" s="383">
        <f>'1.Медичні огляди'!D105</f>
        <v>44</v>
      </c>
      <c r="K11" s="383">
        <f>'1.Медичні огляди'!D106</f>
        <v>24</v>
      </c>
      <c r="L11" s="383"/>
      <c r="M11" s="378"/>
      <c r="N11" s="383">
        <f>'1.Медичні огляди'!D104</f>
        <v>34</v>
      </c>
      <c r="O11" s="383"/>
      <c r="P11" s="383"/>
      <c r="Q11" s="383"/>
      <c r="R11" s="383">
        <f>'1.Медичні огляди'!D101</f>
        <v>11.5</v>
      </c>
      <c r="S11" s="383">
        <f>'1.Медичні огляди'!D102</f>
        <v>9.9</v>
      </c>
      <c r="T11" s="383"/>
      <c r="U11" s="383"/>
      <c r="V11" s="383">
        <f>'1.Медичні огляди'!D103</f>
        <v>38</v>
      </c>
      <c r="W11" s="378"/>
      <c r="X11" s="384">
        <f t="shared" si="0"/>
        <v>220.1</v>
      </c>
      <c r="Y11" s="384">
        <f t="shared" si="1"/>
        <v>220</v>
      </c>
      <c r="Z11" s="757">
        <f>'1.Медичні огляди'!D92</f>
        <v>220</v>
      </c>
      <c r="AA11" s="758">
        <f t="shared" si="2"/>
        <v>0</v>
      </c>
      <c r="AB11" s="755" t="str">
        <f>'1.Медичні огляди'!F8</f>
        <v>Попередній медичний огляд працівників певних категорій жінки</v>
      </c>
      <c r="AC11" s="748"/>
      <c r="AD11" s="748"/>
      <c r="AE11" s="748"/>
      <c r="AF11" s="748"/>
      <c r="AG11" s="748"/>
      <c r="AH11" s="748"/>
      <c r="AI11" s="748"/>
      <c r="AJ11" s="748"/>
      <c r="AK11" s="748"/>
      <c r="AL11" s="748"/>
      <c r="AM11" s="748"/>
      <c r="AN11" s="748"/>
      <c r="AO11" s="375"/>
      <c r="AP11" s="375"/>
      <c r="AQ11" s="375"/>
      <c r="AR11" s="375"/>
      <c r="AS11" s="375"/>
      <c r="AT11" s="375"/>
      <c r="AU11" s="375"/>
      <c r="AV11" s="375"/>
      <c r="AW11" s="375"/>
      <c r="AX11" s="375"/>
      <c r="AY11" s="375"/>
      <c r="AZ11" s="375"/>
      <c r="BA11" s="375"/>
      <c r="BB11" s="375"/>
      <c r="BC11" s="375"/>
      <c r="BD11" s="375"/>
      <c r="BE11" s="375"/>
      <c r="BF11" s="375"/>
      <c r="BG11" s="375"/>
      <c r="BH11" s="375"/>
      <c r="BI11" s="375"/>
      <c r="BJ11" s="375"/>
      <c r="BK11" s="375"/>
      <c r="BL11" s="375"/>
      <c r="BM11" s="375"/>
      <c r="BN11" s="375"/>
      <c r="BO11" s="375"/>
    </row>
    <row r="12" spans="1:67" s="6" customFormat="1" ht="69" x14ac:dyDescent="0.45">
      <c r="A12" s="517"/>
      <c r="B12" s="381" t="s">
        <v>892</v>
      </c>
      <c r="C12" s="385" t="s">
        <v>310</v>
      </c>
      <c r="D12" s="383">
        <f>'1.Медичні огляди'!D119</f>
        <v>11.5</v>
      </c>
      <c r="E12" s="383">
        <f>'1.Медичні огляди'!D120</f>
        <v>19.7</v>
      </c>
      <c r="F12" s="378"/>
      <c r="G12" s="378"/>
      <c r="H12" s="378"/>
      <c r="I12" s="378"/>
      <c r="J12" s="378"/>
      <c r="K12" s="378"/>
      <c r="L12" s="378"/>
      <c r="M12" s="383"/>
      <c r="N12" s="383">
        <f>'1.Медичні огляди'!D123</f>
        <v>34</v>
      </c>
      <c r="O12" s="383"/>
      <c r="P12" s="383"/>
      <c r="Q12" s="383">
        <f>'1.Медичні огляди'!D124</f>
        <v>79</v>
      </c>
      <c r="R12" s="378"/>
      <c r="S12" s="378"/>
      <c r="T12" s="383">
        <f>'1.Медичні огляди'!D122</f>
        <v>8.9</v>
      </c>
      <c r="U12" s="383">
        <f>'1.Медичні огляди'!D121</f>
        <v>21.3</v>
      </c>
      <c r="V12" s="378"/>
      <c r="W12" s="383">
        <f>'1.Медичні огляди'!D125</f>
        <v>16</v>
      </c>
      <c r="X12" s="384">
        <f t="shared" si="0"/>
        <v>190.4</v>
      </c>
      <c r="Y12" s="384">
        <f t="shared" si="1"/>
        <v>190</v>
      </c>
      <c r="Z12" s="757">
        <f>'1.Медичні огляди'!D115</f>
        <v>190</v>
      </c>
      <c r="AA12" s="758">
        <f t="shared" si="2"/>
        <v>0</v>
      </c>
      <c r="AB12" s="755" t="str">
        <f>'1.Медичні огляди'!F9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Харчова та переробна промисловість</v>
      </c>
      <c r="AC12" s="748"/>
      <c r="AD12" s="748"/>
      <c r="AE12" s="748"/>
      <c r="AF12" s="748"/>
      <c r="AG12" s="748"/>
      <c r="AH12" s="748"/>
      <c r="AI12" s="748"/>
      <c r="AJ12" s="748"/>
      <c r="AK12" s="748"/>
      <c r="AL12" s="748"/>
      <c r="AM12" s="748"/>
      <c r="AN12" s="748"/>
      <c r="AO12" s="375"/>
      <c r="AP12" s="375"/>
      <c r="AQ12" s="375"/>
      <c r="AR12" s="375"/>
      <c r="AS12" s="375"/>
      <c r="AT12" s="375"/>
      <c r="AU12" s="375"/>
      <c r="AV12" s="375"/>
      <c r="AW12" s="375"/>
      <c r="AX12" s="375"/>
      <c r="AY12" s="375"/>
      <c r="AZ12" s="375"/>
      <c r="BA12" s="375"/>
      <c r="BB12" s="375"/>
      <c r="BC12" s="375"/>
      <c r="BD12" s="375"/>
      <c r="BE12" s="375"/>
      <c r="BF12" s="375"/>
      <c r="BG12" s="375"/>
      <c r="BH12" s="375"/>
      <c r="BI12" s="375"/>
      <c r="BJ12" s="375"/>
      <c r="BK12" s="375"/>
      <c r="BL12" s="375"/>
      <c r="BM12" s="375"/>
      <c r="BN12" s="375"/>
      <c r="BO12" s="375"/>
    </row>
    <row r="13" spans="1:67" s="6" customFormat="1" ht="69" x14ac:dyDescent="0.45">
      <c r="A13" s="517"/>
      <c r="B13" s="381" t="s">
        <v>894</v>
      </c>
      <c r="C13" s="385" t="s">
        <v>311</v>
      </c>
      <c r="D13" s="383">
        <f>'1.Медичні огляди'!D138</f>
        <v>11.5</v>
      </c>
      <c r="E13" s="383">
        <f>'1.Медичні огляди'!D139</f>
        <v>19.7</v>
      </c>
      <c r="F13" s="378"/>
      <c r="G13" s="378"/>
      <c r="H13" s="378"/>
      <c r="I13" s="383"/>
      <c r="J13" s="378"/>
      <c r="K13" s="378"/>
      <c r="L13" s="378"/>
      <c r="M13" s="383"/>
      <c r="N13" s="383">
        <f>'1.Медичні огляди'!D143</f>
        <v>34</v>
      </c>
      <c r="O13" s="383"/>
      <c r="P13" s="383"/>
      <c r="Q13" s="383">
        <f>'1.Медичні огляди'!D144</f>
        <v>79</v>
      </c>
      <c r="R13" s="378"/>
      <c r="S13" s="378"/>
      <c r="T13" s="383">
        <f>'1.Медичні огляди'!D141</f>
        <v>8.9</v>
      </c>
      <c r="U13" s="383">
        <f>'1.Медичні огляди'!D140</f>
        <v>21.3</v>
      </c>
      <c r="V13" s="383">
        <f>'1.Медичні огляди'!D142</f>
        <v>38</v>
      </c>
      <c r="W13" s="383">
        <f>'1.Медичні огляди'!D145</f>
        <v>16</v>
      </c>
      <c r="X13" s="384">
        <f t="shared" si="0"/>
        <v>228.4</v>
      </c>
      <c r="Y13" s="384">
        <f t="shared" si="1"/>
        <v>228</v>
      </c>
      <c r="Z13" s="757">
        <f>'1.Медичні огляди'!D134</f>
        <v>228</v>
      </c>
      <c r="AA13" s="758">
        <f t="shared" si="2"/>
        <v>0</v>
      </c>
      <c r="AB13" s="755" t="str">
        <f>'1.Медичні огляди'!F10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Харчова та переробна промисловість (жінки)</v>
      </c>
      <c r="AC13" s="748"/>
      <c r="AD13" s="748"/>
      <c r="AE13" s="748"/>
      <c r="AF13" s="748"/>
      <c r="AG13" s="748"/>
      <c r="AH13" s="748"/>
      <c r="AI13" s="748"/>
      <c r="AJ13" s="748"/>
      <c r="AK13" s="748"/>
      <c r="AL13" s="748"/>
      <c r="AM13" s="748"/>
      <c r="AN13" s="748"/>
      <c r="AO13" s="375"/>
      <c r="AP13" s="375"/>
      <c r="AQ13" s="375"/>
      <c r="AR13" s="375"/>
      <c r="AS13" s="375"/>
      <c r="AT13" s="375"/>
      <c r="AU13" s="375"/>
      <c r="AV13" s="375"/>
      <c r="AW13" s="375"/>
      <c r="AX13" s="375"/>
      <c r="AY13" s="375"/>
      <c r="AZ13" s="375"/>
      <c r="BA13" s="375"/>
      <c r="BB13" s="375"/>
      <c r="BC13" s="375"/>
      <c r="BD13" s="375"/>
      <c r="BE13" s="375"/>
      <c r="BF13" s="375"/>
      <c r="BG13" s="375"/>
      <c r="BH13" s="375"/>
      <c r="BI13" s="375"/>
      <c r="BJ13" s="375"/>
      <c r="BK13" s="375"/>
      <c r="BL13" s="375"/>
      <c r="BM13" s="375"/>
      <c r="BN13" s="375"/>
      <c r="BO13" s="375"/>
    </row>
    <row r="14" spans="1:67" s="478" customFormat="1" ht="69" x14ac:dyDescent="0.45">
      <c r="A14" s="518"/>
      <c r="B14" s="776" t="s">
        <v>166</v>
      </c>
      <c r="C14" s="777" t="s">
        <v>312</v>
      </c>
      <c r="D14" s="778">
        <f>'1.Медичні огляди ДОДАТКОВІ'!D74</f>
        <v>11.5</v>
      </c>
      <c r="E14" s="778">
        <f>'1.Медичні огляди ДОДАТКОВІ'!D75</f>
        <v>19.7</v>
      </c>
      <c r="F14" s="405"/>
      <c r="G14" s="405"/>
      <c r="H14" s="405"/>
      <c r="I14" s="405"/>
      <c r="J14" s="405"/>
      <c r="K14" s="405"/>
      <c r="L14" s="405"/>
      <c r="M14" s="399"/>
      <c r="N14" s="399"/>
      <c r="O14" s="399"/>
      <c r="P14" s="399"/>
      <c r="Q14" s="399"/>
      <c r="R14" s="405"/>
      <c r="S14" s="405"/>
      <c r="T14" s="778">
        <f>'1.Медичні огляди ДОДАТКОВІ'!D77</f>
        <v>8.9</v>
      </c>
      <c r="U14" s="778">
        <f>'1.Медичні огляди ДОДАТКОВІ'!D76</f>
        <v>21.3</v>
      </c>
      <c r="V14" s="405"/>
      <c r="W14" s="399"/>
      <c r="X14" s="384">
        <f t="shared" si="0"/>
        <v>61.400000000000006</v>
      </c>
      <c r="Y14" s="384">
        <f t="shared" si="1"/>
        <v>61</v>
      </c>
      <c r="Z14" s="759">
        <f>'1.Медичні огляди ДОДАТКОВІ'!D70</f>
        <v>61</v>
      </c>
      <c r="AA14" s="760">
        <f t="shared" si="2"/>
        <v>0</v>
      </c>
      <c r="AB14" s="761" t="str">
        <f>'1.Медичні огляди'!F10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Харчова та переробна промисловість (жінки)</v>
      </c>
      <c r="AC14" s="749"/>
      <c r="AD14" s="749"/>
      <c r="AE14" s="749"/>
      <c r="AF14" s="749"/>
      <c r="AG14" s="749"/>
      <c r="AH14" s="749"/>
      <c r="AI14" s="749"/>
      <c r="AJ14" s="749"/>
      <c r="AK14" s="749"/>
      <c r="AL14" s="749"/>
      <c r="AM14" s="749"/>
      <c r="AN14" s="749"/>
      <c r="AO14" s="477"/>
      <c r="AP14" s="477"/>
      <c r="AQ14" s="477"/>
      <c r="AR14" s="477"/>
      <c r="AS14" s="477"/>
      <c r="AT14" s="477"/>
      <c r="AU14" s="477"/>
      <c r="AV14" s="477"/>
      <c r="AW14" s="477"/>
      <c r="AX14" s="477"/>
      <c r="AY14" s="477"/>
      <c r="AZ14" s="477"/>
      <c r="BA14" s="477"/>
      <c r="BB14" s="477"/>
      <c r="BC14" s="477"/>
      <c r="BD14" s="477"/>
      <c r="BE14" s="477"/>
      <c r="BF14" s="477"/>
      <c r="BG14" s="477"/>
      <c r="BH14" s="477"/>
      <c r="BI14" s="477"/>
      <c r="BJ14" s="477"/>
      <c r="BK14" s="477"/>
      <c r="BL14" s="477"/>
      <c r="BM14" s="477"/>
      <c r="BN14" s="477"/>
      <c r="BO14" s="477"/>
    </row>
    <row r="15" spans="1:67" s="6" customFormat="1" ht="102.6" x14ac:dyDescent="0.45">
      <c r="A15" s="517"/>
      <c r="B15" s="381" t="s">
        <v>896</v>
      </c>
      <c r="C15" s="385" t="s">
        <v>313</v>
      </c>
      <c r="D15" s="383">
        <f>'1.Медичні огляди'!D158</f>
        <v>11.5</v>
      </c>
      <c r="E15" s="383">
        <f>'1.Медичні огляди'!D159</f>
        <v>19.7</v>
      </c>
      <c r="F15" s="378"/>
      <c r="G15" s="378"/>
      <c r="H15" s="378"/>
      <c r="I15" s="378"/>
      <c r="J15" s="378"/>
      <c r="K15" s="378"/>
      <c r="L15" s="378"/>
      <c r="M15" s="383"/>
      <c r="N15" s="383">
        <f>'1.Медичні огляди'!D162</f>
        <v>34</v>
      </c>
      <c r="O15" s="383"/>
      <c r="P15" s="383"/>
      <c r="Q15" s="383">
        <f>'1.Медичні огляди'!D163</f>
        <v>79</v>
      </c>
      <c r="R15" s="378"/>
      <c r="S15" s="378"/>
      <c r="T15" s="383">
        <f>'1.Медичні огляди'!D161</f>
        <v>8.9</v>
      </c>
      <c r="U15" s="383">
        <f>'1.Медичні огляди'!D160</f>
        <v>21.3</v>
      </c>
      <c r="V15" s="378"/>
      <c r="W15" s="383">
        <f>'1.Медичні огляди'!D164</f>
        <v>16</v>
      </c>
      <c r="X15" s="384">
        <f t="shared" si="0"/>
        <v>190.4</v>
      </c>
      <c r="Y15" s="384">
        <f t="shared" si="1"/>
        <v>190</v>
      </c>
      <c r="Z15" s="757">
        <f>'1.Медичні огляди'!D154</f>
        <v>190</v>
      </c>
      <c r="AA15" s="758">
        <f t="shared" si="2"/>
        <v>0</v>
      </c>
      <c r="AB15" s="755" t="str">
        <f>'1.Медичні огляди'!F11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Підприємства продовольчої торгівлі, у тому числі роздрібної, а також ті, що розташовані на території ринків.</v>
      </c>
      <c r="AC15" s="748"/>
      <c r="AD15" s="748"/>
      <c r="AE15" s="748"/>
      <c r="AF15" s="748"/>
      <c r="AG15" s="748"/>
      <c r="AH15" s="748"/>
      <c r="AI15" s="748"/>
      <c r="AJ15" s="748"/>
      <c r="AK15" s="748"/>
      <c r="AL15" s="748"/>
      <c r="AM15" s="748"/>
      <c r="AN15" s="748"/>
      <c r="AO15" s="375"/>
      <c r="AP15" s="375"/>
      <c r="AQ15" s="375"/>
      <c r="AR15" s="375"/>
      <c r="AS15" s="375"/>
      <c r="AT15" s="375"/>
      <c r="AU15" s="375"/>
      <c r="AV15" s="375"/>
      <c r="AW15" s="375"/>
      <c r="AX15" s="375"/>
      <c r="AY15" s="375"/>
      <c r="AZ15" s="375"/>
      <c r="BA15" s="375"/>
      <c r="BB15" s="375"/>
      <c r="BC15" s="375"/>
      <c r="BD15" s="375"/>
      <c r="BE15" s="375"/>
      <c r="BF15" s="375"/>
      <c r="BG15" s="375"/>
      <c r="BH15" s="375"/>
      <c r="BI15" s="375"/>
      <c r="BJ15" s="375"/>
      <c r="BK15" s="375"/>
      <c r="BL15" s="375"/>
      <c r="BM15" s="375"/>
      <c r="BN15" s="375"/>
      <c r="BO15" s="375"/>
    </row>
    <row r="16" spans="1:67" s="6" customFormat="1" ht="102.6" x14ac:dyDescent="0.45">
      <c r="A16" s="517"/>
      <c r="B16" s="381" t="s">
        <v>898</v>
      </c>
      <c r="C16" s="385" t="s">
        <v>314</v>
      </c>
      <c r="D16" s="383">
        <f>'1.Медичні огляди'!D176</f>
        <v>11.5</v>
      </c>
      <c r="E16" s="383">
        <f>'1.Медичні огляди'!D177</f>
        <v>19.7</v>
      </c>
      <c r="F16" s="378"/>
      <c r="G16" s="378"/>
      <c r="H16" s="378"/>
      <c r="I16" s="383"/>
      <c r="J16" s="378"/>
      <c r="K16" s="378"/>
      <c r="L16" s="378"/>
      <c r="M16" s="383"/>
      <c r="N16" s="383">
        <f>'1.Медичні огляди'!D181</f>
        <v>34</v>
      </c>
      <c r="O16" s="383"/>
      <c r="P16" s="383"/>
      <c r="Q16" s="383">
        <f>'1.Медичні огляди'!D182</f>
        <v>79</v>
      </c>
      <c r="R16" s="378"/>
      <c r="S16" s="378"/>
      <c r="T16" s="383">
        <f>'1.Медичні огляди'!D179</f>
        <v>8.9</v>
      </c>
      <c r="U16" s="383">
        <f>'1.Медичні огляди'!D178</f>
        <v>21.3</v>
      </c>
      <c r="V16" s="383">
        <f>'1.Медичні огляди'!D180</f>
        <v>38</v>
      </c>
      <c r="W16" s="383">
        <f>'1.Медичні огляди'!D183</f>
        <v>16</v>
      </c>
      <c r="X16" s="384">
        <f t="shared" si="0"/>
        <v>228.4</v>
      </c>
      <c r="Y16" s="384">
        <f t="shared" si="1"/>
        <v>228</v>
      </c>
      <c r="Z16" s="757">
        <f>'1.Медичні огляди'!D172</f>
        <v>228</v>
      </c>
      <c r="AA16" s="758">
        <f t="shared" si="2"/>
        <v>0</v>
      </c>
      <c r="AB16" s="755" t="str">
        <f>'1.Медичні огляди'!F12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Підприємства продовольчої торгівлі, у тому числі роздрібної, а також ті, що розташовані на території ринків (жінки)</v>
      </c>
      <c r="AC16" s="748"/>
      <c r="AD16" s="748"/>
      <c r="AE16" s="748"/>
      <c r="AF16" s="748"/>
      <c r="AG16" s="748"/>
      <c r="AH16" s="748"/>
      <c r="AI16" s="748"/>
      <c r="AJ16" s="748"/>
      <c r="AK16" s="748"/>
      <c r="AL16" s="748"/>
      <c r="AM16" s="748"/>
      <c r="AN16" s="748"/>
      <c r="AO16" s="375"/>
      <c r="AP16" s="375"/>
      <c r="AQ16" s="375"/>
      <c r="AR16" s="375"/>
      <c r="AS16" s="375"/>
      <c r="AT16" s="375"/>
      <c r="AU16" s="375"/>
      <c r="AV16" s="375"/>
      <c r="AW16" s="375"/>
      <c r="AX16" s="375"/>
      <c r="AY16" s="375"/>
      <c r="AZ16" s="375"/>
      <c r="BA16" s="375"/>
      <c r="BB16" s="375"/>
      <c r="BC16" s="375"/>
      <c r="BD16" s="375"/>
      <c r="BE16" s="375"/>
      <c r="BF16" s="375"/>
      <c r="BG16" s="375"/>
      <c r="BH16" s="375"/>
      <c r="BI16" s="375"/>
      <c r="BJ16" s="375"/>
      <c r="BK16" s="375"/>
      <c r="BL16" s="375"/>
      <c r="BM16" s="375"/>
      <c r="BN16" s="375"/>
      <c r="BO16" s="375"/>
    </row>
    <row r="17" spans="1:67" s="478" customFormat="1" ht="102.6" x14ac:dyDescent="0.45">
      <c r="A17" s="518"/>
      <c r="B17" s="776" t="s">
        <v>167</v>
      </c>
      <c r="C17" s="777" t="s">
        <v>315</v>
      </c>
      <c r="D17" s="778">
        <f>'1.Медичні огляди ДОДАТКОВІ'!D90</f>
        <v>11.5</v>
      </c>
      <c r="E17" s="778">
        <f>'1.Медичні огляди ДОДАТКОВІ'!D91</f>
        <v>19.7</v>
      </c>
      <c r="F17" s="405"/>
      <c r="G17" s="405"/>
      <c r="H17" s="405"/>
      <c r="I17" s="399"/>
      <c r="J17" s="405"/>
      <c r="K17" s="405"/>
      <c r="L17" s="405"/>
      <c r="M17" s="399"/>
      <c r="N17" s="399"/>
      <c r="O17" s="399"/>
      <c r="P17" s="399"/>
      <c r="Q17" s="399"/>
      <c r="R17" s="405"/>
      <c r="S17" s="405"/>
      <c r="T17" s="399"/>
      <c r="U17" s="778">
        <f>'1.Медичні огляди ДОДАТКОВІ'!D92</f>
        <v>21.3</v>
      </c>
      <c r="V17" s="399"/>
      <c r="W17" s="399"/>
      <c r="X17" s="384">
        <f t="shared" si="0"/>
        <v>52.5</v>
      </c>
      <c r="Y17" s="384">
        <f t="shared" si="1"/>
        <v>53</v>
      </c>
      <c r="Z17" s="759">
        <f>'1.Медичні огляди ДОДАТКОВІ'!D86</f>
        <v>53</v>
      </c>
      <c r="AA17" s="760">
        <f t="shared" si="2"/>
        <v>0</v>
      </c>
      <c r="AB17" s="761" t="str">
        <f>'1.Медичні огляди'!F12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Підприємства продовольчої торгівлі, у тому числі роздрібної, а також ті, що розташовані на території ринків (жінки)</v>
      </c>
      <c r="AC17" s="749"/>
      <c r="AD17" s="749"/>
      <c r="AE17" s="749"/>
      <c r="AF17" s="749"/>
      <c r="AG17" s="749"/>
      <c r="AH17" s="749"/>
      <c r="AI17" s="749"/>
      <c r="AJ17" s="749"/>
      <c r="AK17" s="749"/>
      <c r="AL17" s="749"/>
      <c r="AM17" s="749"/>
      <c r="AN17" s="749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7"/>
      <c r="BN17" s="477"/>
      <c r="BO17" s="477"/>
    </row>
    <row r="18" spans="1:67" s="6" customFormat="1" ht="85.8" x14ac:dyDescent="0.45">
      <c r="A18" s="517"/>
      <c r="B18" s="381" t="s">
        <v>900</v>
      </c>
      <c r="C18" s="385" t="s">
        <v>202</v>
      </c>
      <c r="D18" s="383">
        <f>'1.Медичні огляди'!D196</f>
        <v>11.5</v>
      </c>
      <c r="E18" s="383">
        <f>'1.Медичні огляди'!D197</f>
        <v>19.7</v>
      </c>
      <c r="F18" s="378"/>
      <c r="G18" s="378"/>
      <c r="H18" s="378"/>
      <c r="I18" s="378"/>
      <c r="J18" s="378"/>
      <c r="K18" s="378"/>
      <c r="L18" s="378"/>
      <c r="M18" s="383"/>
      <c r="N18" s="383">
        <f>'1.Медичні огляди'!D200</f>
        <v>34</v>
      </c>
      <c r="O18" s="383"/>
      <c r="P18" s="383"/>
      <c r="Q18" s="383">
        <f>'1.Медичні огляди'!D201</f>
        <v>79</v>
      </c>
      <c r="R18" s="378"/>
      <c r="S18" s="378"/>
      <c r="T18" s="383">
        <f>'1.Медичні огляди'!D199</f>
        <v>8.9</v>
      </c>
      <c r="U18" s="383">
        <f>'1.Медичні огляди'!D198</f>
        <v>21.3</v>
      </c>
      <c r="V18" s="378"/>
      <c r="W18" s="383">
        <f>'1.Медичні огляди'!D202</f>
        <v>16</v>
      </c>
      <c r="X18" s="384">
        <f t="shared" si="0"/>
        <v>190.4</v>
      </c>
      <c r="Y18" s="384">
        <f t="shared" si="1"/>
        <v>190</v>
      </c>
      <c r="Z18" s="757">
        <f>'1.Медичні огляди'!D192</f>
        <v>190</v>
      </c>
      <c r="AA18" s="758">
        <f t="shared" si="2"/>
        <v>0</v>
      </c>
      <c r="AB18" s="755" t="str">
        <f>'1.Медичні огляди'!F13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Дошкільні навчальні заклади (дитячі ясла, дитячі садки, дитячі ясла-садки, будинки дитини, дитячі будинки, інші типи дошкільних навчальних закладів)</v>
      </c>
      <c r="AC18" s="748"/>
      <c r="AD18" s="748"/>
      <c r="AE18" s="748"/>
      <c r="AF18" s="748"/>
      <c r="AG18" s="748"/>
      <c r="AH18" s="748"/>
      <c r="AI18" s="748"/>
      <c r="AJ18" s="748"/>
      <c r="AK18" s="748"/>
      <c r="AL18" s="748"/>
      <c r="AM18" s="748"/>
      <c r="AN18" s="748"/>
      <c r="AO18" s="375"/>
      <c r="AP18" s="375"/>
      <c r="AQ18" s="375"/>
      <c r="AR18" s="375"/>
      <c r="AS18" s="375"/>
      <c r="AT18" s="375"/>
      <c r="AU18" s="375"/>
      <c r="AV18" s="375"/>
      <c r="AW18" s="375"/>
      <c r="AX18" s="375"/>
      <c r="AY18" s="375"/>
      <c r="AZ18" s="375"/>
      <c r="BA18" s="375"/>
      <c r="BB18" s="375"/>
      <c r="BC18" s="375"/>
      <c r="BD18" s="375"/>
      <c r="BE18" s="375"/>
      <c r="BF18" s="375"/>
      <c r="BG18" s="375"/>
      <c r="BH18" s="375"/>
      <c r="BI18" s="375"/>
      <c r="BJ18" s="375"/>
      <c r="BK18" s="375"/>
      <c r="BL18" s="375"/>
      <c r="BM18" s="375"/>
      <c r="BN18" s="375"/>
      <c r="BO18" s="375"/>
    </row>
    <row r="19" spans="1:67" s="6" customFormat="1" ht="85.8" x14ac:dyDescent="0.45">
      <c r="A19" s="517"/>
      <c r="B19" s="381" t="s">
        <v>902</v>
      </c>
      <c r="C19" s="385" t="s">
        <v>203</v>
      </c>
      <c r="D19" s="383">
        <f>'1.Медичні огляди'!D214</f>
        <v>11.5</v>
      </c>
      <c r="E19" s="383">
        <f>'1.Медичні огляди'!D215</f>
        <v>19.7</v>
      </c>
      <c r="F19" s="378"/>
      <c r="G19" s="378"/>
      <c r="H19" s="378"/>
      <c r="I19" s="383"/>
      <c r="J19" s="378"/>
      <c r="K19" s="378"/>
      <c r="L19" s="378"/>
      <c r="M19" s="383"/>
      <c r="N19" s="383">
        <f>'1.Медичні огляди'!D219</f>
        <v>34</v>
      </c>
      <c r="O19" s="383"/>
      <c r="P19" s="383"/>
      <c r="Q19" s="383">
        <f>'1.Медичні огляди'!D220</f>
        <v>79</v>
      </c>
      <c r="R19" s="378"/>
      <c r="S19" s="378"/>
      <c r="T19" s="383">
        <f>'1.Медичні огляди'!D217</f>
        <v>8.9</v>
      </c>
      <c r="U19" s="383">
        <f>'1.Медичні огляди'!D216</f>
        <v>21.3</v>
      </c>
      <c r="V19" s="383">
        <f>'1.Медичні огляди'!D218</f>
        <v>38</v>
      </c>
      <c r="W19" s="383">
        <f>'1.Медичні огляди'!D221</f>
        <v>16</v>
      </c>
      <c r="X19" s="384">
        <f t="shared" si="0"/>
        <v>228.4</v>
      </c>
      <c r="Y19" s="384">
        <f t="shared" si="1"/>
        <v>228</v>
      </c>
      <c r="Z19" s="757">
        <f>'1.Медичні огляди'!D210</f>
        <v>228</v>
      </c>
      <c r="AA19" s="758">
        <f t="shared" si="2"/>
        <v>0</v>
      </c>
      <c r="AB19" s="755" t="str">
        <f>'1.Медичні огляди'!F14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Дошкільні навчальні заклади (дитячі ясла, дитячі садки, дитячі ясла-садки, будинки дитини, дитячі будинки, інші типи дошкільних навчальних закладів) (жінки)</v>
      </c>
      <c r="AC19" s="748"/>
      <c r="AD19" s="748"/>
      <c r="AE19" s="748"/>
      <c r="AF19" s="748"/>
      <c r="AG19" s="748"/>
      <c r="AH19" s="748"/>
      <c r="AI19" s="748"/>
      <c r="AJ19" s="748"/>
      <c r="AK19" s="748"/>
      <c r="AL19" s="748"/>
      <c r="AM19" s="748"/>
      <c r="AN19" s="748"/>
      <c r="AO19" s="375"/>
      <c r="AP19" s="375"/>
      <c r="AQ19" s="375"/>
      <c r="AR19" s="375"/>
      <c r="AS19" s="375"/>
      <c r="AT19" s="375"/>
      <c r="AU19" s="375"/>
      <c r="AV19" s="375"/>
      <c r="AW19" s="375"/>
      <c r="AX19" s="375"/>
      <c r="AY19" s="375"/>
      <c r="AZ19" s="375"/>
      <c r="BA19" s="375"/>
      <c r="BB19" s="375"/>
      <c r="BC19" s="375"/>
      <c r="BD19" s="375"/>
      <c r="BE19" s="375"/>
      <c r="BF19" s="375"/>
      <c r="BG19" s="375"/>
      <c r="BH19" s="375"/>
      <c r="BI19" s="375"/>
      <c r="BJ19" s="375"/>
      <c r="BK19" s="375"/>
      <c r="BL19" s="375"/>
      <c r="BM19" s="375"/>
      <c r="BN19" s="375"/>
      <c r="BO19" s="375"/>
    </row>
    <row r="20" spans="1:67" s="478" customFormat="1" ht="85.8" x14ac:dyDescent="0.45">
      <c r="A20" s="518"/>
      <c r="B20" s="776" t="s">
        <v>168</v>
      </c>
      <c r="C20" s="777" t="s">
        <v>204</v>
      </c>
      <c r="D20" s="778">
        <f>'1.Медичні огляди ДОДАТКОВІ'!D105</f>
        <v>11.5</v>
      </c>
      <c r="E20" s="399"/>
      <c r="F20" s="405"/>
      <c r="G20" s="405"/>
      <c r="H20" s="405"/>
      <c r="I20" s="399"/>
      <c r="J20" s="405"/>
      <c r="K20" s="405"/>
      <c r="L20" s="405"/>
      <c r="M20" s="399"/>
      <c r="N20" s="399"/>
      <c r="O20" s="399"/>
      <c r="P20" s="399"/>
      <c r="Q20" s="778">
        <f>'1.Медичні огляди ДОДАТКОВІ'!D108</f>
        <v>79</v>
      </c>
      <c r="R20" s="405"/>
      <c r="S20" s="405"/>
      <c r="T20" s="399"/>
      <c r="U20" s="778">
        <f>'1.Медичні огляди ДОДАТКОВІ'!D106</f>
        <v>21.3</v>
      </c>
      <c r="V20" s="778">
        <f>'1.Медичні огляди ДОДАТКОВІ'!D107</f>
        <v>38</v>
      </c>
      <c r="W20" s="778">
        <f>'1.Медичні огляди ДОДАТКОВІ'!D109</f>
        <v>16</v>
      </c>
      <c r="X20" s="384">
        <f t="shared" si="0"/>
        <v>165.8</v>
      </c>
      <c r="Y20" s="384">
        <f t="shared" si="1"/>
        <v>166</v>
      </c>
      <c r="Z20" s="759">
        <f>'1.Медичні огляди ДОДАТКОВІ'!D101</f>
        <v>166</v>
      </c>
      <c r="AA20" s="760">
        <f>Y20-Z20</f>
        <v>0</v>
      </c>
      <c r="AB20" s="761" t="str">
        <f>'1.Медичні огляди'!F15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Загальноосвітні навчальні заклади</v>
      </c>
      <c r="AC20" s="749"/>
      <c r="AD20" s="749"/>
      <c r="AE20" s="749"/>
      <c r="AF20" s="749"/>
      <c r="AG20" s="749"/>
      <c r="AH20" s="749"/>
      <c r="AI20" s="749"/>
      <c r="AJ20" s="749"/>
      <c r="AK20" s="749"/>
      <c r="AL20" s="749"/>
      <c r="AM20" s="749"/>
      <c r="AN20" s="749"/>
      <c r="AO20" s="477"/>
      <c r="AP20" s="477"/>
      <c r="AQ20" s="477"/>
      <c r="AR20" s="477"/>
      <c r="AS20" s="477"/>
      <c r="AT20" s="477"/>
      <c r="AU20" s="477"/>
      <c r="AV20" s="477"/>
      <c r="AW20" s="477"/>
      <c r="AX20" s="477"/>
      <c r="AY20" s="477"/>
      <c r="AZ20" s="477"/>
      <c r="BA20" s="477"/>
      <c r="BB20" s="477"/>
      <c r="BC20" s="477"/>
      <c r="BD20" s="477"/>
      <c r="BE20" s="477"/>
      <c r="BF20" s="477"/>
      <c r="BG20" s="477"/>
      <c r="BH20" s="477"/>
      <c r="BI20" s="477"/>
      <c r="BJ20" s="477"/>
      <c r="BK20" s="477"/>
      <c r="BL20" s="477"/>
      <c r="BM20" s="477"/>
      <c r="BN20" s="477"/>
      <c r="BO20" s="477"/>
    </row>
    <row r="21" spans="1:67" s="6" customFormat="1" ht="52.2" x14ac:dyDescent="0.45">
      <c r="A21" s="517"/>
      <c r="B21" s="381" t="s">
        <v>904</v>
      </c>
      <c r="C21" s="385" t="s">
        <v>205</v>
      </c>
      <c r="D21" s="383">
        <f>'1.Медичні огляди'!D233</f>
        <v>11.5</v>
      </c>
      <c r="E21" s="383">
        <f>'1.Медичні огляди'!D234</f>
        <v>19.7</v>
      </c>
      <c r="F21" s="378"/>
      <c r="G21" s="378"/>
      <c r="H21" s="378"/>
      <c r="I21" s="378"/>
      <c r="J21" s="378"/>
      <c r="K21" s="378"/>
      <c r="L21" s="378"/>
      <c r="M21" s="383"/>
      <c r="N21" s="383">
        <f>'1.Медичні огляди'!D237</f>
        <v>34</v>
      </c>
      <c r="O21" s="383"/>
      <c r="P21" s="383"/>
      <c r="Q21" s="383">
        <f>'1.Медичні огляди'!D238</f>
        <v>79</v>
      </c>
      <c r="R21" s="378"/>
      <c r="S21" s="378"/>
      <c r="T21" s="383">
        <f>'1.Медичні огляди'!D236</f>
        <v>8.9</v>
      </c>
      <c r="U21" s="383">
        <f>'1.Медичні огляди'!D235</f>
        <v>21.3</v>
      </c>
      <c r="V21" s="378"/>
      <c r="W21" s="383">
        <f>'1.Медичні огляди'!D239</f>
        <v>16</v>
      </c>
      <c r="X21" s="384">
        <f t="shared" si="0"/>
        <v>190.4</v>
      </c>
      <c r="Y21" s="384">
        <f t="shared" si="1"/>
        <v>190</v>
      </c>
      <c r="Z21" s="757">
        <f>'1.Медичні огляди'!D229</f>
        <v>190</v>
      </c>
      <c r="AA21" s="758">
        <f t="shared" si="2"/>
        <v>0</v>
      </c>
      <c r="AB21" s="755" t="str">
        <f>'1.Медичні огляди'!F15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Загальноосвітні навчальні заклади</v>
      </c>
      <c r="AC21" s="748"/>
      <c r="AD21" s="748"/>
      <c r="AE21" s="748"/>
      <c r="AF21" s="748"/>
      <c r="AG21" s="748"/>
      <c r="AH21" s="748"/>
      <c r="AI21" s="748"/>
      <c r="AJ21" s="748"/>
      <c r="AK21" s="748"/>
      <c r="AL21" s="748"/>
      <c r="AM21" s="748"/>
      <c r="AN21" s="748"/>
      <c r="AO21" s="375"/>
      <c r="AP21" s="375"/>
      <c r="AQ21" s="375"/>
      <c r="AR21" s="375"/>
      <c r="AS21" s="375"/>
      <c r="AT21" s="375"/>
      <c r="AU21" s="375"/>
      <c r="AV21" s="375"/>
      <c r="AW21" s="375"/>
      <c r="AX21" s="375"/>
      <c r="AY21" s="375"/>
      <c r="AZ21" s="375"/>
      <c r="BA21" s="375"/>
      <c r="BB21" s="375"/>
      <c r="BC21" s="375"/>
      <c r="BD21" s="375"/>
      <c r="BE21" s="375"/>
      <c r="BF21" s="375"/>
      <c r="BG21" s="375"/>
      <c r="BH21" s="375"/>
      <c r="BI21" s="375"/>
      <c r="BJ21" s="375"/>
      <c r="BK21" s="375"/>
      <c r="BL21" s="375"/>
      <c r="BM21" s="375"/>
      <c r="BN21" s="375"/>
      <c r="BO21" s="375"/>
    </row>
    <row r="22" spans="1:67" s="6" customFormat="1" ht="52.2" x14ac:dyDescent="0.45">
      <c r="A22" s="517"/>
      <c r="B22" s="381" t="s">
        <v>906</v>
      </c>
      <c r="C22" s="385" t="s">
        <v>206</v>
      </c>
      <c r="D22" s="383">
        <f>'1.Медичні огляди'!D251</f>
        <v>11.5</v>
      </c>
      <c r="E22" s="383">
        <f>'1.Медичні огляди'!D252</f>
        <v>19.7</v>
      </c>
      <c r="F22" s="378"/>
      <c r="G22" s="378"/>
      <c r="H22" s="378"/>
      <c r="I22" s="383"/>
      <c r="J22" s="378"/>
      <c r="K22" s="378"/>
      <c r="L22" s="378"/>
      <c r="M22" s="383"/>
      <c r="N22" s="383">
        <f>'1.Медичні огляди'!D256</f>
        <v>34</v>
      </c>
      <c r="O22" s="383"/>
      <c r="P22" s="383"/>
      <c r="Q22" s="383">
        <f>'1.Медичні огляди'!D257</f>
        <v>79</v>
      </c>
      <c r="R22" s="378"/>
      <c r="S22" s="378"/>
      <c r="T22" s="383">
        <f>'1.Медичні огляди'!D254</f>
        <v>8.9</v>
      </c>
      <c r="U22" s="383">
        <f>'1.Медичні огляди'!D253</f>
        <v>21.3</v>
      </c>
      <c r="V22" s="383">
        <f>'1.Медичні огляди'!D255</f>
        <v>38</v>
      </c>
      <c r="W22" s="383">
        <f>'1.Медичні огляди'!D258</f>
        <v>16</v>
      </c>
      <c r="X22" s="384">
        <f t="shared" si="0"/>
        <v>228.4</v>
      </c>
      <c r="Y22" s="384">
        <f t="shared" si="1"/>
        <v>228</v>
      </c>
      <c r="Z22" s="757">
        <f>'1.Медичні огляди'!D247</f>
        <v>228</v>
      </c>
      <c r="AA22" s="758">
        <f t="shared" si="2"/>
        <v>0</v>
      </c>
      <c r="AB22" s="755" t="str">
        <f>'1.Медичні огляди'!F16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Загальноосвітні навчальні заклади (жінки)</v>
      </c>
      <c r="AC22" s="748"/>
      <c r="AD22" s="748"/>
      <c r="AE22" s="748"/>
      <c r="AF22" s="748"/>
      <c r="AG22" s="748"/>
      <c r="AH22" s="748"/>
      <c r="AI22" s="748"/>
      <c r="AJ22" s="748"/>
      <c r="AK22" s="748"/>
      <c r="AL22" s="748"/>
      <c r="AM22" s="748"/>
      <c r="AN22" s="748"/>
      <c r="AO22" s="375"/>
      <c r="AP22" s="375"/>
      <c r="AQ22" s="375"/>
      <c r="AR22" s="375"/>
      <c r="AS22" s="375"/>
      <c r="AT22" s="375"/>
      <c r="AU22" s="375"/>
      <c r="AV22" s="375"/>
      <c r="AW22" s="375"/>
      <c r="AX22" s="375"/>
      <c r="AY22" s="375"/>
      <c r="AZ22" s="375"/>
      <c r="BA22" s="375"/>
      <c r="BB22" s="375"/>
      <c r="BC22" s="375"/>
      <c r="BD22" s="375"/>
      <c r="BE22" s="375"/>
      <c r="BF22" s="375"/>
      <c r="BG22" s="375"/>
      <c r="BH22" s="375"/>
      <c r="BI22" s="375"/>
      <c r="BJ22" s="375"/>
      <c r="BK22" s="375"/>
      <c r="BL22" s="375"/>
      <c r="BM22" s="375"/>
      <c r="BN22" s="375"/>
      <c r="BO22" s="375"/>
    </row>
    <row r="23" spans="1:67" s="6" customFormat="1" ht="52.2" x14ac:dyDescent="0.45">
      <c r="A23" s="517"/>
      <c r="B23" s="381" t="s">
        <v>908</v>
      </c>
      <c r="C23" s="385" t="s">
        <v>207</v>
      </c>
      <c r="D23" s="383">
        <f>'1.Медичні огляди'!D270</f>
        <v>11.5</v>
      </c>
      <c r="E23" s="383">
        <f>'1.Медичні огляди'!D271</f>
        <v>19.7</v>
      </c>
      <c r="F23" s="378"/>
      <c r="G23" s="378"/>
      <c r="H23" s="378"/>
      <c r="I23" s="378"/>
      <c r="J23" s="378"/>
      <c r="K23" s="378"/>
      <c r="L23" s="378"/>
      <c r="M23" s="383"/>
      <c r="N23" s="383">
        <f>'1.Медичні огляди'!D274</f>
        <v>34</v>
      </c>
      <c r="O23" s="383"/>
      <c r="P23" s="383"/>
      <c r="Q23" s="383">
        <f>'1.Медичні огляди'!D275</f>
        <v>79</v>
      </c>
      <c r="R23" s="378"/>
      <c r="S23" s="378"/>
      <c r="T23" s="383">
        <f>'1.Медичні огляди'!D273</f>
        <v>8.9</v>
      </c>
      <c r="U23" s="383">
        <f>'1.Медичні огляди'!D272</f>
        <v>21.3</v>
      </c>
      <c r="V23" s="378"/>
      <c r="W23" s="383">
        <f>'1.Медичні огляди'!D276</f>
        <v>16</v>
      </c>
      <c r="X23" s="384">
        <f t="shared" si="0"/>
        <v>190.4</v>
      </c>
      <c r="Y23" s="384">
        <f t="shared" si="1"/>
        <v>190</v>
      </c>
      <c r="Z23" s="757">
        <f>'1.Медичні огляди'!D266</f>
        <v>190</v>
      </c>
      <c r="AA23" s="758">
        <f t="shared" si="2"/>
        <v>0</v>
      </c>
      <c r="AB23" s="755" t="str">
        <f>'1.Медичні огляди'!F17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Позашкільні навчальні заклади</v>
      </c>
      <c r="AC23" s="748"/>
      <c r="AD23" s="748"/>
      <c r="AE23" s="748"/>
      <c r="AF23" s="748"/>
      <c r="AG23" s="748"/>
      <c r="AH23" s="748"/>
      <c r="AI23" s="748"/>
      <c r="AJ23" s="748"/>
      <c r="AK23" s="748"/>
      <c r="AL23" s="748"/>
      <c r="AM23" s="748"/>
      <c r="AN23" s="748"/>
      <c r="AO23" s="375"/>
      <c r="AP23" s="375"/>
      <c r="AQ23" s="375"/>
      <c r="AR23" s="375"/>
      <c r="AS23" s="375"/>
      <c r="AT23" s="375"/>
      <c r="AU23" s="375"/>
      <c r="AV23" s="375"/>
      <c r="AW23" s="375"/>
      <c r="AX23" s="375"/>
      <c r="AY23" s="375"/>
      <c r="AZ23" s="375"/>
      <c r="BA23" s="375"/>
      <c r="BB23" s="375"/>
      <c r="BC23" s="375"/>
      <c r="BD23" s="375"/>
      <c r="BE23" s="375"/>
      <c r="BF23" s="375"/>
      <c r="BG23" s="375"/>
      <c r="BH23" s="375"/>
      <c r="BI23" s="375"/>
      <c r="BJ23" s="375"/>
      <c r="BK23" s="375"/>
      <c r="BL23" s="375"/>
      <c r="BM23" s="375"/>
      <c r="BN23" s="375"/>
      <c r="BO23" s="375"/>
    </row>
    <row r="24" spans="1:67" s="6" customFormat="1" ht="52.2" x14ac:dyDescent="0.45">
      <c r="A24" s="517"/>
      <c r="B24" s="381" t="s">
        <v>910</v>
      </c>
      <c r="C24" s="385" t="s">
        <v>208</v>
      </c>
      <c r="D24" s="383">
        <f>'1.Медичні огляди'!D290</f>
        <v>11.5</v>
      </c>
      <c r="E24" s="383">
        <f>'1.Медичні огляди'!D291</f>
        <v>19.7</v>
      </c>
      <c r="F24" s="378"/>
      <c r="G24" s="378"/>
      <c r="H24" s="378"/>
      <c r="I24" s="383"/>
      <c r="J24" s="378"/>
      <c r="K24" s="378"/>
      <c r="L24" s="378"/>
      <c r="M24" s="383"/>
      <c r="N24" s="383">
        <f>'1.Медичні огляди'!D295</f>
        <v>34</v>
      </c>
      <c r="O24" s="383"/>
      <c r="P24" s="383"/>
      <c r="Q24" s="383">
        <f>'1.Медичні огляди'!D296</f>
        <v>79</v>
      </c>
      <c r="R24" s="378"/>
      <c r="S24" s="378"/>
      <c r="T24" s="383">
        <f>'1.Медичні огляди'!D293</f>
        <v>8.9</v>
      </c>
      <c r="U24" s="383">
        <f>'1.Медичні огляди'!D292</f>
        <v>21.3</v>
      </c>
      <c r="V24" s="383">
        <f>'1.Медичні огляди'!D294</f>
        <v>38</v>
      </c>
      <c r="W24" s="383">
        <f>'1.Медичні огляди'!D297</f>
        <v>16</v>
      </c>
      <c r="X24" s="384">
        <f t="shared" si="0"/>
        <v>228.4</v>
      </c>
      <c r="Y24" s="384">
        <f t="shared" si="1"/>
        <v>228</v>
      </c>
      <c r="Z24" s="757">
        <f>'1.Медичні огляди'!D286</f>
        <v>228</v>
      </c>
      <c r="AA24" s="758">
        <f t="shared" si="2"/>
        <v>0</v>
      </c>
      <c r="AB24" s="755" t="str">
        <f>'1.Медичні огляди'!F18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Позашкільні навчальні заклади (жінки)</v>
      </c>
      <c r="AC24" s="748"/>
      <c r="AD24" s="748"/>
      <c r="AE24" s="748"/>
      <c r="AF24" s="748"/>
      <c r="AG24" s="748"/>
      <c r="AH24" s="748"/>
      <c r="AI24" s="748"/>
      <c r="AJ24" s="748"/>
      <c r="AK24" s="748"/>
      <c r="AL24" s="748"/>
      <c r="AM24" s="748"/>
      <c r="AN24" s="748"/>
      <c r="AO24" s="375"/>
      <c r="AP24" s="375"/>
      <c r="AQ24" s="375"/>
      <c r="AR24" s="375"/>
      <c r="AS24" s="375"/>
      <c r="AT24" s="375"/>
      <c r="AU24" s="375"/>
      <c r="AV24" s="375"/>
      <c r="AW24" s="375"/>
      <c r="AX24" s="375"/>
      <c r="AY24" s="375"/>
      <c r="AZ24" s="375"/>
      <c r="BA24" s="375"/>
      <c r="BB24" s="375"/>
      <c r="BC24" s="375"/>
      <c r="BD24" s="375"/>
      <c r="BE24" s="375"/>
      <c r="BF24" s="375"/>
      <c r="BG24" s="375"/>
      <c r="BH24" s="375"/>
      <c r="BI24" s="375"/>
      <c r="BJ24" s="375"/>
      <c r="BK24" s="375"/>
      <c r="BL24" s="375"/>
      <c r="BM24" s="375"/>
      <c r="BN24" s="375"/>
      <c r="BO24" s="375"/>
    </row>
    <row r="25" spans="1:67" s="6" customFormat="1" ht="69" x14ac:dyDescent="0.45">
      <c r="A25" s="517"/>
      <c r="B25" s="381" t="s">
        <v>912</v>
      </c>
      <c r="C25" s="385" t="s">
        <v>209</v>
      </c>
      <c r="D25" s="383">
        <f>'1.Медичні огляди'!D309</f>
        <v>11.5</v>
      </c>
      <c r="E25" s="383">
        <f>'1.Медичні огляди'!D310</f>
        <v>19.7</v>
      </c>
      <c r="F25" s="378"/>
      <c r="G25" s="378"/>
      <c r="H25" s="378"/>
      <c r="I25" s="378"/>
      <c r="J25" s="378"/>
      <c r="K25" s="378"/>
      <c r="L25" s="378"/>
      <c r="M25" s="383"/>
      <c r="N25" s="383">
        <f>'1.Медичні огляди'!D313</f>
        <v>34</v>
      </c>
      <c r="O25" s="383"/>
      <c r="P25" s="383"/>
      <c r="Q25" s="383">
        <f>'1.Медичні огляди'!D314</f>
        <v>79</v>
      </c>
      <c r="R25" s="378"/>
      <c r="S25" s="378"/>
      <c r="T25" s="383">
        <f>'1.Медичні огляди'!D312</f>
        <v>8.9</v>
      </c>
      <c r="U25" s="383">
        <f>'1.Медичні огляди'!D311</f>
        <v>21.3</v>
      </c>
      <c r="V25" s="378"/>
      <c r="W25" s="383">
        <f>'1.Медичні огляди'!D315</f>
        <v>16</v>
      </c>
      <c r="X25" s="384">
        <f t="shared" si="0"/>
        <v>190.4</v>
      </c>
      <c r="Y25" s="384">
        <f t="shared" si="1"/>
        <v>190</v>
      </c>
      <c r="Z25" s="757">
        <f>'1.Медичні огляди'!D305</f>
        <v>190</v>
      </c>
      <c r="AA25" s="758">
        <f t="shared" si="2"/>
        <v>0</v>
      </c>
      <c r="AB25" s="755" t="str">
        <f>'1.Медичні огляди'!F19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Суб'єкти господарювання, що займаються розведенням, вирощуванням і реалізацією тварин</v>
      </c>
      <c r="AC25" s="748"/>
      <c r="AD25" s="748"/>
      <c r="AE25" s="748"/>
      <c r="AF25" s="748"/>
      <c r="AG25" s="748"/>
      <c r="AH25" s="748"/>
      <c r="AI25" s="748"/>
      <c r="AJ25" s="748"/>
      <c r="AK25" s="748"/>
      <c r="AL25" s="748"/>
      <c r="AM25" s="748"/>
      <c r="AN25" s="748"/>
      <c r="AO25" s="375"/>
      <c r="AP25" s="375"/>
      <c r="AQ25" s="375"/>
      <c r="AR25" s="375"/>
      <c r="AS25" s="375"/>
      <c r="AT25" s="375"/>
      <c r="AU25" s="375"/>
      <c r="AV25" s="375"/>
      <c r="AW25" s="375"/>
      <c r="AX25" s="375"/>
      <c r="AY25" s="375"/>
      <c r="AZ25" s="375"/>
      <c r="BA25" s="375"/>
      <c r="BB25" s="375"/>
      <c r="BC25" s="375"/>
      <c r="BD25" s="375"/>
      <c r="BE25" s="375"/>
      <c r="BF25" s="375"/>
      <c r="BG25" s="375"/>
      <c r="BH25" s="375"/>
      <c r="BI25" s="375"/>
      <c r="BJ25" s="375"/>
      <c r="BK25" s="375"/>
      <c r="BL25" s="375"/>
      <c r="BM25" s="375"/>
      <c r="BN25" s="375"/>
      <c r="BO25" s="375"/>
    </row>
    <row r="26" spans="1:67" s="6" customFormat="1" ht="69" x14ac:dyDescent="0.45">
      <c r="A26" s="517"/>
      <c r="B26" s="381" t="s">
        <v>914</v>
      </c>
      <c r="C26" s="385" t="s">
        <v>210</v>
      </c>
      <c r="D26" s="383">
        <f>'1.Медичні огляди'!D327</f>
        <v>11.5</v>
      </c>
      <c r="E26" s="383">
        <f>'1.Медичні огляди'!D328</f>
        <v>19.7</v>
      </c>
      <c r="F26" s="378"/>
      <c r="G26" s="378"/>
      <c r="H26" s="378"/>
      <c r="I26" s="383"/>
      <c r="J26" s="378"/>
      <c r="K26" s="378"/>
      <c r="L26" s="378"/>
      <c r="M26" s="383"/>
      <c r="N26" s="383">
        <f>'1.Медичні огляди'!D332</f>
        <v>34</v>
      </c>
      <c r="O26" s="383"/>
      <c r="P26" s="383"/>
      <c r="Q26" s="383">
        <f>'1.Медичні огляди'!D333</f>
        <v>79</v>
      </c>
      <c r="R26" s="378"/>
      <c r="S26" s="378"/>
      <c r="T26" s="383">
        <f>'1.Медичні огляди'!D330</f>
        <v>8.9</v>
      </c>
      <c r="U26" s="383">
        <f>'1.Медичні огляди'!D329</f>
        <v>21.3</v>
      </c>
      <c r="V26" s="383">
        <f>'1.Медичні огляди'!D331</f>
        <v>38</v>
      </c>
      <c r="W26" s="383">
        <f>'1.Медичні огляди'!D334</f>
        <v>16</v>
      </c>
      <c r="X26" s="384">
        <f t="shared" si="0"/>
        <v>228.4</v>
      </c>
      <c r="Y26" s="384">
        <f t="shared" si="1"/>
        <v>228</v>
      </c>
      <c r="Z26" s="757">
        <f>'1.Медичні огляди'!D323</f>
        <v>228</v>
      </c>
      <c r="AA26" s="758">
        <f t="shared" si="2"/>
        <v>0</v>
      </c>
      <c r="AB26" s="755" t="str">
        <f>'1.Медичні огляди'!F20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Суб'єкти господарювання, що займаються розведенням, вирощуванням і реалізацією тварин (жінки)</v>
      </c>
      <c r="AC26" s="748"/>
      <c r="AD26" s="748"/>
      <c r="AE26" s="748"/>
      <c r="AF26" s="748"/>
      <c r="AG26" s="748"/>
      <c r="AH26" s="748"/>
      <c r="AI26" s="748"/>
      <c r="AJ26" s="748"/>
      <c r="AK26" s="748"/>
      <c r="AL26" s="748"/>
      <c r="AM26" s="748"/>
      <c r="AN26" s="748"/>
      <c r="AO26" s="375"/>
      <c r="AP26" s="375"/>
      <c r="AQ26" s="375"/>
      <c r="AR26" s="375"/>
      <c r="AS26" s="375"/>
      <c r="AT26" s="375"/>
      <c r="AU26" s="375"/>
      <c r="AV26" s="375"/>
      <c r="AW26" s="375"/>
      <c r="AX26" s="375"/>
      <c r="AY26" s="375"/>
      <c r="AZ26" s="375"/>
      <c r="BA26" s="375"/>
      <c r="BB26" s="375"/>
      <c r="BC26" s="375"/>
      <c r="BD26" s="375"/>
      <c r="BE26" s="375"/>
      <c r="BF26" s="375"/>
      <c r="BG26" s="375"/>
      <c r="BH26" s="375"/>
      <c r="BI26" s="375"/>
      <c r="BJ26" s="375"/>
      <c r="BK26" s="375"/>
      <c r="BL26" s="375"/>
      <c r="BM26" s="375"/>
      <c r="BN26" s="375"/>
      <c r="BO26" s="375"/>
    </row>
    <row r="27" spans="1:67" s="6" customFormat="1" x14ac:dyDescent="0.45">
      <c r="A27" s="517"/>
      <c r="B27" s="381" t="s">
        <v>916</v>
      </c>
      <c r="C27" s="385" t="s">
        <v>917</v>
      </c>
      <c r="D27" s="378"/>
      <c r="E27" s="378"/>
      <c r="F27" s="378"/>
      <c r="G27" s="378"/>
      <c r="H27" s="378"/>
      <c r="I27" s="378"/>
      <c r="J27" s="378"/>
      <c r="K27" s="378"/>
      <c r="L27" s="378"/>
      <c r="M27" s="378"/>
      <c r="N27" s="378"/>
      <c r="O27" s="383">
        <f>'1.Медичні огляди'!D346</f>
        <v>24</v>
      </c>
      <c r="P27" s="383">
        <f>'1.Медичні огляди'!D347</f>
        <v>5.94</v>
      </c>
      <c r="Q27" s="378"/>
      <c r="R27" s="378"/>
      <c r="S27" s="383">
        <f>'1.Медичні огляди'!D345</f>
        <v>24.3</v>
      </c>
      <c r="T27" s="378"/>
      <c r="U27" s="378"/>
      <c r="V27" s="378"/>
      <c r="W27" s="378"/>
      <c r="X27" s="384">
        <f t="shared" si="0"/>
        <v>54.24</v>
      </c>
      <c r="Y27" s="384">
        <f t="shared" si="1"/>
        <v>54</v>
      </c>
      <c r="Z27" s="757">
        <f>'1.Медичні огляди'!D341</f>
        <v>54</v>
      </c>
      <c r="AA27" s="758">
        <f t="shared" si="2"/>
        <v>0</v>
      </c>
      <c r="AB27" s="755" t="str">
        <f>'1.Медичні огляди'!F21</f>
        <v>Попередній або періодичний медичний огляд лікаря-нарколога з видачею сертифіката</v>
      </c>
      <c r="AC27" s="748"/>
      <c r="AD27" s="748"/>
      <c r="AE27" s="748"/>
      <c r="AF27" s="748"/>
      <c r="AG27" s="748"/>
      <c r="AH27" s="748"/>
      <c r="AI27" s="748"/>
      <c r="AJ27" s="748"/>
      <c r="AK27" s="748"/>
      <c r="AL27" s="748"/>
      <c r="AM27" s="748"/>
      <c r="AN27" s="748"/>
      <c r="AO27" s="375"/>
      <c r="AP27" s="375"/>
      <c r="AQ27" s="375"/>
      <c r="AR27" s="375"/>
      <c r="AS27" s="375"/>
      <c r="AT27" s="375"/>
      <c r="AU27" s="375"/>
      <c r="AV27" s="375"/>
      <c r="AW27" s="375"/>
      <c r="AX27" s="375"/>
      <c r="AY27" s="375"/>
      <c r="AZ27" s="375"/>
      <c r="BA27" s="375"/>
      <c r="BB27" s="375"/>
      <c r="BC27" s="375"/>
      <c r="BD27" s="375"/>
      <c r="BE27" s="375"/>
      <c r="BF27" s="375"/>
      <c r="BG27" s="375"/>
      <c r="BH27" s="375"/>
      <c r="BI27" s="375"/>
      <c r="BJ27" s="375"/>
      <c r="BK27" s="375"/>
      <c r="BL27" s="375"/>
      <c r="BM27" s="375"/>
      <c r="BN27" s="375"/>
      <c r="BO27" s="375"/>
    </row>
    <row r="28" spans="1:67" s="6" customFormat="1" x14ac:dyDescent="0.45">
      <c r="A28" s="517"/>
      <c r="B28" s="381" t="s">
        <v>916</v>
      </c>
      <c r="C28" s="385" t="s">
        <v>917</v>
      </c>
      <c r="D28" s="378"/>
      <c r="E28" s="378"/>
      <c r="F28" s="378"/>
      <c r="G28" s="378"/>
      <c r="H28" s="378"/>
      <c r="I28" s="378"/>
      <c r="J28" s="378"/>
      <c r="K28" s="378"/>
      <c r="L28" s="378"/>
      <c r="M28" s="378"/>
      <c r="N28" s="378"/>
      <c r="O28" s="383">
        <f>O27</f>
        <v>24</v>
      </c>
      <c r="P28" s="383">
        <f>P27</f>
        <v>5.94</v>
      </c>
      <c r="Q28" s="378"/>
      <c r="R28" s="378"/>
      <c r="S28" s="383">
        <f>S27</f>
        <v>24.3</v>
      </c>
      <c r="T28" s="378"/>
      <c r="U28" s="378"/>
      <c r="V28" s="378"/>
      <c r="W28" s="378"/>
      <c r="X28" s="384">
        <f t="shared" si="0"/>
        <v>54.24</v>
      </c>
      <c r="Y28" s="384">
        <f t="shared" si="1"/>
        <v>54</v>
      </c>
      <c r="Z28" s="757">
        <f>Z27</f>
        <v>54</v>
      </c>
      <c r="AA28" s="758">
        <f>Y28-Z28</f>
        <v>0</v>
      </c>
      <c r="AB28" s="755" t="str">
        <f>'1.Медичні огляди'!F22</f>
        <v>Попередній або періодичний медичний огляд лікаря-психіатра з видачею сертифіката</v>
      </c>
      <c r="AC28" s="748"/>
      <c r="AD28" s="748"/>
      <c r="AE28" s="748"/>
      <c r="AF28" s="748"/>
      <c r="AG28" s="748"/>
      <c r="AH28" s="748"/>
      <c r="AI28" s="748"/>
      <c r="AJ28" s="748"/>
      <c r="AK28" s="748"/>
      <c r="AL28" s="748"/>
      <c r="AM28" s="748"/>
      <c r="AN28" s="748"/>
      <c r="AO28" s="375"/>
      <c r="AP28" s="375"/>
      <c r="AQ28" s="375"/>
      <c r="AR28" s="375"/>
      <c r="AS28" s="375"/>
      <c r="AT28" s="375"/>
      <c r="AU28" s="375"/>
      <c r="AV28" s="375"/>
      <c r="AW28" s="375"/>
      <c r="AX28" s="375"/>
      <c r="AY28" s="375"/>
      <c r="AZ28" s="375"/>
      <c r="BA28" s="375"/>
      <c r="BB28" s="375"/>
      <c r="BC28" s="375"/>
      <c r="BD28" s="375"/>
      <c r="BE28" s="375"/>
      <c r="BF28" s="375"/>
      <c r="BG28" s="375"/>
      <c r="BH28" s="375"/>
      <c r="BI28" s="375"/>
      <c r="BJ28" s="375"/>
      <c r="BK28" s="375"/>
      <c r="BL28" s="375"/>
      <c r="BM28" s="375"/>
      <c r="BN28" s="375"/>
      <c r="BO28" s="375"/>
    </row>
    <row r="29" spans="1:67" s="602" customFormat="1" x14ac:dyDescent="0.45">
      <c r="A29" s="948"/>
      <c r="B29" s="949" t="s">
        <v>918</v>
      </c>
      <c r="C29" s="950" t="s">
        <v>919</v>
      </c>
      <c r="D29" s="951"/>
      <c r="E29" s="951"/>
      <c r="F29" s="951"/>
      <c r="G29" s="951"/>
      <c r="H29" s="951"/>
      <c r="I29" s="951"/>
      <c r="J29" s="951"/>
      <c r="K29" s="951"/>
      <c r="L29" s="951"/>
      <c r="M29" s="951"/>
      <c r="N29" s="951"/>
      <c r="O29" s="951"/>
      <c r="P29" s="952">
        <f>'1.Медичні огляди'!D359</f>
        <v>5.94</v>
      </c>
      <c r="Q29" s="951"/>
      <c r="R29" s="952">
        <f>'1.Медичні огляди'!D358</f>
        <v>37.6</v>
      </c>
      <c r="S29" s="951"/>
      <c r="T29" s="951"/>
      <c r="U29" s="951"/>
      <c r="V29" s="951"/>
      <c r="W29" s="951"/>
      <c r="X29" s="931">
        <f t="shared" si="0"/>
        <v>43.54</v>
      </c>
      <c r="Y29" s="931">
        <f t="shared" si="1"/>
        <v>44</v>
      </c>
      <c r="Z29" s="953">
        <f>'1.Медичні огляди'!D354</f>
        <v>44</v>
      </c>
      <c r="AA29" s="954">
        <f t="shared" si="2"/>
        <v>0</v>
      </c>
      <c r="AB29" s="955">
        <f>'1.Медичні огляди'!F23</f>
        <v>0</v>
      </c>
      <c r="AC29" s="956"/>
      <c r="AD29" s="956"/>
      <c r="AE29" s="956"/>
      <c r="AF29" s="956"/>
      <c r="AG29" s="956"/>
      <c r="AH29" s="956"/>
      <c r="AI29" s="956"/>
      <c r="AJ29" s="956"/>
      <c r="AK29" s="956"/>
      <c r="AL29" s="956"/>
      <c r="AM29" s="956"/>
      <c r="AN29" s="956"/>
      <c r="AO29" s="957"/>
      <c r="AP29" s="957"/>
      <c r="AQ29" s="957"/>
      <c r="AR29" s="957"/>
      <c r="AS29" s="957"/>
      <c r="AT29" s="957"/>
      <c r="AU29" s="957"/>
      <c r="AV29" s="957"/>
      <c r="AW29" s="957"/>
      <c r="AX29" s="957"/>
      <c r="AY29" s="957"/>
      <c r="AZ29" s="957"/>
      <c r="BA29" s="957"/>
      <c r="BB29" s="957"/>
      <c r="BC29" s="957"/>
      <c r="BD29" s="957"/>
      <c r="BE29" s="957"/>
      <c r="BF29" s="957"/>
      <c r="BG29" s="957"/>
      <c r="BH29" s="957"/>
      <c r="BI29" s="957"/>
      <c r="BJ29" s="957"/>
      <c r="BK29" s="957"/>
      <c r="BL29" s="957"/>
      <c r="BM29" s="957"/>
      <c r="BN29" s="957"/>
      <c r="BO29" s="957"/>
    </row>
    <row r="30" spans="1:67" s="602" customFormat="1" x14ac:dyDescent="0.45">
      <c r="A30" s="948"/>
      <c r="B30" s="949" t="s">
        <v>918</v>
      </c>
      <c r="C30" s="950" t="s">
        <v>919</v>
      </c>
      <c r="D30" s="951"/>
      <c r="E30" s="951"/>
      <c r="F30" s="951"/>
      <c r="G30" s="951"/>
      <c r="H30" s="951"/>
      <c r="I30" s="951"/>
      <c r="J30" s="951"/>
      <c r="K30" s="951"/>
      <c r="L30" s="951"/>
      <c r="M30" s="951"/>
      <c r="N30" s="951"/>
      <c r="O30" s="951"/>
      <c r="P30" s="952">
        <f>P29</f>
        <v>5.94</v>
      </c>
      <c r="Q30" s="951"/>
      <c r="R30" s="952">
        <f>R29</f>
        <v>37.6</v>
      </c>
      <c r="S30" s="951"/>
      <c r="T30" s="951"/>
      <c r="U30" s="951"/>
      <c r="V30" s="951"/>
      <c r="W30" s="951"/>
      <c r="X30" s="931">
        <f t="shared" si="0"/>
        <v>43.54</v>
      </c>
      <c r="Y30" s="931">
        <f t="shared" si="1"/>
        <v>44</v>
      </c>
      <c r="Z30" s="953">
        <f>Z29</f>
        <v>44</v>
      </c>
      <c r="AA30" s="954">
        <f>Y30-Z30</f>
        <v>0</v>
      </c>
      <c r="AB30" s="955">
        <f>'1.Медичні огляди'!F24</f>
        <v>0</v>
      </c>
      <c r="AC30" s="956"/>
      <c r="AD30" s="956"/>
      <c r="AE30" s="956"/>
      <c r="AF30" s="956"/>
      <c r="AG30" s="956"/>
      <c r="AH30" s="956"/>
      <c r="AI30" s="956"/>
      <c r="AJ30" s="956"/>
      <c r="AK30" s="956"/>
      <c r="AL30" s="956"/>
      <c r="AM30" s="956"/>
      <c r="AN30" s="956"/>
      <c r="AO30" s="957"/>
      <c r="AP30" s="957"/>
      <c r="AQ30" s="957"/>
      <c r="AR30" s="957"/>
      <c r="AS30" s="957"/>
      <c r="AT30" s="957"/>
      <c r="AU30" s="957"/>
      <c r="AV30" s="957"/>
      <c r="AW30" s="957"/>
      <c r="AX30" s="957"/>
      <c r="AY30" s="957"/>
      <c r="AZ30" s="957"/>
      <c r="BA30" s="957"/>
      <c r="BB30" s="957"/>
      <c r="BC30" s="957"/>
      <c r="BD30" s="957"/>
      <c r="BE30" s="957"/>
      <c r="BF30" s="957"/>
      <c r="BG30" s="957"/>
      <c r="BH30" s="957"/>
      <c r="BI30" s="957"/>
      <c r="BJ30" s="957"/>
      <c r="BK30" s="957"/>
      <c r="BL30" s="957"/>
      <c r="BM30" s="957"/>
      <c r="BN30" s="957"/>
      <c r="BO30" s="957"/>
    </row>
    <row r="31" spans="1:67" s="478" customFormat="1" ht="69" x14ac:dyDescent="0.45">
      <c r="A31" s="518"/>
      <c r="B31" s="924" t="s">
        <v>169</v>
      </c>
      <c r="C31" s="925" t="s">
        <v>307</v>
      </c>
      <c r="D31" s="399">
        <f>'1.Медичні огляди ДОДАТКОВІ'!D122</f>
        <v>11.5</v>
      </c>
      <c r="E31" s="399">
        <f>'1.Медичні огляди ДОДАТКОВІ'!D123</f>
        <v>19.7</v>
      </c>
      <c r="F31" s="405"/>
      <c r="G31" s="405"/>
      <c r="H31" s="405"/>
      <c r="I31" s="405"/>
      <c r="J31" s="405"/>
      <c r="K31" s="405"/>
      <c r="L31" s="405"/>
      <c r="M31" s="399"/>
      <c r="N31" s="399">
        <f>'1.Медичні огляди ДОДАТКОВІ'!D126</f>
        <v>34</v>
      </c>
      <c r="O31" s="399"/>
      <c r="P31" s="399"/>
      <c r="Q31" s="399">
        <f>'1.Медичні огляди ДОДАТКОВІ'!D127</f>
        <v>79</v>
      </c>
      <c r="R31" s="405"/>
      <c r="S31" s="405"/>
      <c r="T31" s="399">
        <f>'1.Медичні огляди ДОДАТКОВІ'!D125</f>
        <v>8.9</v>
      </c>
      <c r="U31" s="399">
        <f>'1.Медичні огляди ДОДАТКОВІ'!D124</f>
        <v>21.3</v>
      </c>
      <c r="V31" s="405"/>
      <c r="W31" s="399">
        <f>'1.Медичні огляди ДОДАТКОВІ'!D128</f>
        <v>16</v>
      </c>
      <c r="X31" s="384">
        <f t="shared" si="0"/>
        <v>190.4</v>
      </c>
      <c r="Y31" s="384">
        <f t="shared" si="1"/>
        <v>190</v>
      </c>
      <c r="Z31" s="759">
        <f>'1.Медичні огляди ДОДАТКОВІ'!D118</f>
        <v>190</v>
      </c>
      <c r="AA31" s="760">
        <f>Y31-Z31</f>
        <v>0</v>
      </c>
      <c r="AB31" s="761">
        <f>'1.Медичні огляди'!F25</f>
        <v>0</v>
      </c>
      <c r="AC31" s="749"/>
      <c r="AD31" s="749"/>
      <c r="AE31" s="749"/>
      <c r="AF31" s="749"/>
      <c r="AG31" s="749"/>
      <c r="AH31" s="749"/>
      <c r="AI31" s="749"/>
      <c r="AJ31" s="749"/>
      <c r="AK31" s="749"/>
      <c r="AL31" s="749"/>
      <c r="AM31" s="749"/>
      <c r="AN31" s="749"/>
      <c r="AO31" s="477"/>
      <c r="AP31" s="477"/>
      <c r="AQ31" s="477"/>
      <c r="AR31" s="477"/>
      <c r="AS31" s="477"/>
      <c r="AT31" s="477"/>
      <c r="AU31" s="477"/>
      <c r="AV31" s="477"/>
      <c r="AW31" s="477"/>
      <c r="AX31" s="477"/>
      <c r="AY31" s="477"/>
      <c r="AZ31" s="477"/>
      <c r="BA31" s="477"/>
      <c r="BB31" s="477"/>
      <c r="BC31" s="477"/>
      <c r="BD31" s="477"/>
      <c r="BE31" s="477"/>
      <c r="BF31" s="477"/>
      <c r="BG31" s="477"/>
      <c r="BH31" s="477"/>
      <c r="BI31" s="477"/>
      <c r="BJ31" s="477"/>
      <c r="BK31" s="477"/>
      <c r="BL31" s="477"/>
      <c r="BM31" s="477"/>
      <c r="BN31" s="477"/>
      <c r="BO31" s="477"/>
    </row>
    <row r="32" spans="1:67" s="478" customFormat="1" ht="69" x14ac:dyDescent="0.45">
      <c r="A32" s="518"/>
      <c r="B32" s="924" t="s">
        <v>170</v>
      </c>
      <c r="C32" s="925" t="s">
        <v>171</v>
      </c>
      <c r="D32" s="399">
        <f>'1.Медичні огляди ДОДАТКОВІ'!D141</f>
        <v>11.5</v>
      </c>
      <c r="E32" s="399">
        <f>'1.Медичні огляди ДОДАТКОВІ'!D142</f>
        <v>19.7</v>
      </c>
      <c r="F32" s="405"/>
      <c r="G32" s="405"/>
      <c r="H32" s="405"/>
      <c r="I32" s="405"/>
      <c r="J32" s="405"/>
      <c r="K32" s="405"/>
      <c r="L32" s="405"/>
      <c r="M32" s="399"/>
      <c r="N32" s="399">
        <f>'1.Медичні огляди ДОДАТКОВІ'!D146</f>
        <v>34</v>
      </c>
      <c r="O32" s="399"/>
      <c r="P32" s="399"/>
      <c r="Q32" s="399">
        <f>'1.Медичні огляди ДОДАТКОВІ'!D147</f>
        <v>79</v>
      </c>
      <c r="R32" s="405"/>
      <c r="S32" s="405"/>
      <c r="T32" s="399">
        <f>'1.Медичні огляди ДОДАТКОВІ'!D144</f>
        <v>8.9</v>
      </c>
      <c r="U32" s="399">
        <f>'1.Медичні огляди ДОДАТКОВІ'!D143</f>
        <v>21.3</v>
      </c>
      <c r="V32" s="399">
        <f>'1.Медичні огляди ДОДАТКОВІ'!D145</f>
        <v>38</v>
      </c>
      <c r="W32" s="399">
        <f>'1.Медичні огляди ДОДАТКОВІ'!D148</f>
        <v>16</v>
      </c>
      <c r="X32" s="384">
        <f t="shared" si="0"/>
        <v>228.4</v>
      </c>
      <c r="Y32" s="384">
        <f t="shared" si="1"/>
        <v>228</v>
      </c>
      <c r="Z32" s="759">
        <f>'1.Медичні огляди ДОДАТКОВІ'!D137</f>
        <v>228</v>
      </c>
      <c r="AA32" s="760">
        <f>Y32-Z32</f>
        <v>0</v>
      </c>
      <c r="AB32" s="761">
        <f>'1.Медичні огляди'!F26</f>
        <v>0</v>
      </c>
      <c r="AC32" s="749"/>
      <c r="AD32" s="749"/>
      <c r="AE32" s="749"/>
      <c r="AF32" s="749"/>
      <c r="AG32" s="749"/>
      <c r="AH32" s="749"/>
      <c r="AI32" s="749"/>
      <c r="AJ32" s="749"/>
      <c r="AK32" s="749"/>
      <c r="AL32" s="749"/>
      <c r="AM32" s="749"/>
      <c r="AN32" s="749"/>
      <c r="AO32" s="477"/>
      <c r="AP32" s="477"/>
      <c r="AQ32" s="477"/>
      <c r="AR32" s="477"/>
      <c r="AS32" s="477"/>
      <c r="AT32" s="477"/>
      <c r="AU32" s="477"/>
      <c r="AV32" s="477"/>
      <c r="AW32" s="477"/>
      <c r="AX32" s="477"/>
      <c r="AY32" s="477"/>
      <c r="AZ32" s="477"/>
      <c r="BA32" s="477"/>
      <c r="BB32" s="477"/>
      <c r="BC32" s="477"/>
      <c r="BD32" s="477"/>
      <c r="BE32" s="477"/>
      <c r="BF32" s="477"/>
      <c r="BG32" s="477"/>
      <c r="BH32" s="477"/>
      <c r="BI32" s="477"/>
      <c r="BJ32" s="477"/>
      <c r="BK32" s="477"/>
      <c r="BL32" s="477"/>
      <c r="BM32" s="477"/>
      <c r="BN32" s="477"/>
      <c r="BO32" s="477"/>
    </row>
    <row r="33" spans="1:67" s="478" customFormat="1" ht="69" x14ac:dyDescent="0.45">
      <c r="A33" s="518"/>
      <c r="B33" s="924" t="s">
        <v>172</v>
      </c>
      <c r="C33" s="925" t="s">
        <v>308</v>
      </c>
      <c r="D33" s="399">
        <f>'1.Медичні огляди ДОДАТКОВІ'!D161</f>
        <v>11.5</v>
      </c>
      <c r="E33" s="399">
        <f>'1.Медичні огляди ДОДАТКОВІ'!D162</f>
        <v>19.7</v>
      </c>
      <c r="F33" s="405"/>
      <c r="G33" s="405"/>
      <c r="H33" s="405"/>
      <c r="I33" s="405"/>
      <c r="J33" s="405"/>
      <c r="K33" s="405"/>
      <c r="L33" s="405"/>
      <c r="M33" s="399"/>
      <c r="N33" s="399"/>
      <c r="O33" s="399"/>
      <c r="P33" s="399"/>
      <c r="Q33" s="399"/>
      <c r="R33" s="405"/>
      <c r="S33" s="405"/>
      <c r="T33" s="399">
        <f>'1.Медичні огляди ДОДАТКОВІ'!D164</f>
        <v>8.9</v>
      </c>
      <c r="U33" s="399">
        <f>'1.Медичні огляди ДОДАТКОВІ'!D163</f>
        <v>21.3</v>
      </c>
      <c r="V33" s="405"/>
      <c r="W33" s="399"/>
      <c r="X33" s="384">
        <f t="shared" si="0"/>
        <v>61.400000000000006</v>
      </c>
      <c r="Y33" s="384">
        <f t="shared" si="1"/>
        <v>61</v>
      </c>
      <c r="Z33" s="759">
        <f>'1.Медичні огляди ДОДАТКОВІ'!D157</f>
        <v>61</v>
      </c>
      <c r="AA33" s="760">
        <f>Y33-Z33</f>
        <v>0</v>
      </c>
      <c r="AB33" s="761">
        <f>'1.Медичні огляди'!F27</f>
        <v>0</v>
      </c>
      <c r="AC33" s="749"/>
      <c r="AD33" s="749"/>
      <c r="AE33" s="749"/>
      <c r="AF33" s="749"/>
      <c r="AG33" s="749"/>
      <c r="AH33" s="749"/>
      <c r="AI33" s="749"/>
      <c r="AJ33" s="749"/>
      <c r="AK33" s="749"/>
      <c r="AL33" s="749"/>
      <c r="AM33" s="749"/>
      <c r="AN33" s="749"/>
      <c r="AO33" s="477"/>
      <c r="AP33" s="477"/>
      <c r="AQ33" s="477"/>
      <c r="AR33" s="477"/>
      <c r="AS33" s="477"/>
      <c r="AT33" s="477"/>
      <c r="AU33" s="477"/>
      <c r="AV33" s="477"/>
      <c r="AW33" s="477"/>
      <c r="AX33" s="477"/>
      <c r="AY33" s="477"/>
      <c r="AZ33" s="477"/>
      <c r="BA33" s="477"/>
      <c r="BB33" s="477"/>
      <c r="BC33" s="477"/>
      <c r="BD33" s="477"/>
      <c r="BE33" s="477"/>
      <c r="BF33" s="477"/>
      <c r="BG33" s="477"/>
      <c r="BH33" s="477"/>
      <c r="BI33" s="477"/>
      <c r="BJ33" s="477"/>
      <c r="BK33" s="477"/>
      <c r="BL33" s="477"/>
      <c r="BM33" s="477"/>
      <c r="BN33" s="477"/>
      <c r="BO33" s="477"/>
    </row>
    <row r="34" spans="1:67" s="937" customFormat="1" ht="35.4" x14ac:dyDescent="0.45">
      <c r="A34" s="926"/>
      <c r="B34" s="927" t="s">
        <v>294</v>
      </c>
      <c r="C34" s="928" t="s">
        <v>295</v>
      </c>
      <c r="D34" s="929"/>
      <c r="E34" s="929"/>
      <c r="F34" s="930"/>
      <c r="G34" s="930"/>
      <c r="H34" s="930"/>
      <c r="I34" s="930"/>
      <c r="J34" s="930"/>
      <c r="K34" s="929">
        <f>'МО довідка ф №10-2о '!C8</f>
        <v>198</v>
      </c>
      <c r="L34" s="930"/>
      <c r="M34" s="929"/>
      <c r="N34" s="929"/>
      <c r="O34" s="929">
        <f>'МО довідка ф №10-2о '!C7</f>
        <v>24</v>
      </c>
      <c r="P34" s="929">
        <f>'МО довідка ф №10-2о '!C9+'МО довідка ф №10-2о '!C10</f>
        <v>9.5</v>
      </c>
      <c r="Q34" s="929"/>
      <c r="R34" s="929">
        <f>'МО довідка ф №10-2о '!C6</f>
        <v>11.5</v>
      </c>
      <c r="S34" s="930"/>
      <c r="T34" s="929"/>
      <c r="U34" s="929"/>
      <c r="V34" s="929"/>
      <c r="W34" s="929"/>
      <c r="X34" s="931">
        <f>SUM(D34:W34)</f>
        <v>243</v>
      </c>
      <c r="Y34" s="931">
        <f>ROUND(X34,0)</f>
        <v>243</v>
      </c>
      <c r="Z34" s="932">
        <f>'1.Медичні огляди ДОДАТКОВІ'!D139</f>
        <v>0</v>
      </c>
      <c r="AA34" s="933">
        <f>Y34-Z34</f>
        <v>243</v>
      </c>
      <c r="AB34" s="934">
        <f>'1.Медичні огляди'!F28</f>
        <v>0</v>
      </c>
      <c r="AC34" s="935"/>
      <c r="AD34" s="935"/>
      <c r="AE34" s="935"/>
      <c r="AF34" s="935"/>
      <c r="AG34" s="935"/>
      <c r="AH34" s="935"/>
      <c r="AI34" s="935"/>
      <c r="AJ34" s="935"/>
      <c r="AK34" s="935"/>
      <c r="AL34" s="935"/>
      <c r="AM34" s="935"/>
      <c r="AN34" s="935"/>
      <c r="AO34" s="936"/>
      <c r="AP34" s="936"/>
      <c r="AQ34" s="936"/>
      <c r="AR34" s="936"/>
      <c r="AS34" s="936"/>
      <c r="AT34" s="936"/>
      <c r="AU34" s="936"/>
      <c r="AV34" s="936"/>
      <c r="AW34" s="936"/>
      <c r="AX34" s="936"/>
      <c r="AY34" s="936"/>
      <c r="AZ34" s="936"/>
      <c r="BA34" s="936"/>
      <c r="BB34" s="936"/>
      <c r="BC34" s="936"/>
      <c r="BD34" s="936"/>
      <c r="BE34" s="936"/>
      <c r="BF34" s="936"/>
      <c r="BG34" s="936"/>
      <c r="BH34" s="936"/>
      <c r="BI34" s="936"/>
      <c r="BJ34" s="936"/>
      <c r="BK34" s="936"/>
      <c r="BL34" s="936"/>
      <c r="BM34" s="936"/>
      <c r="BN34" s="936"/>
      <c r="BO34" s="936"/>
    </row>
    <row r="35" spans="1:67" s="6" customFormat="1" x14ac:dyDescent="0.45">
      <c r="A35" s="517"/>
      <c r="B35" s="376"/>
      <c r="C35" s="376"/>
      <c r="D35" s="378"/>
      <c r="E35" s="378"/>
      <c r="F35" s="378"/>
      <c r="G35" s="378"/>
      <c r="H35" s="380"/>
      <c r="I35" s="378"/>
      <c r="J35" s="378"/>
      <c r="K35" s="378"/>
      <c r="L35" s="378"/>
      <c r="M35" s="380"/>
      <c r="N35" s="380"/>
      <c r="O35" s="378"/>
      <c r="P35" s="380"/>
      <c r="Q35" s="380"/>
      <c r="R35" s="380"/>
      <c r="S35" s="378"/>
      <c r="T35" s="378"/>
      <c r="U35" s="378"/>
      <c r="V35" s="378"/>
      <c r="W35" s="378"/>
      <c r="X35" s="380"/>
      <c r="Y35" s="380"/>
      <c r="Z35" s="754"/>
      <c r="AA35" s="755"/>
      <c r="AB35" s="755"/>
      <c r="AC35" s="748"/>
      <c r="AD35" s="748"/>
      <c r="AE35" s="748"/>
      <c r="AF35" s="748"/>
      <c r="AG35" s="748"/>
      <c r="AH35" s="748"/>
      <c r="AI35" s="748"/>
      <c r="AJ35" s="748"/>
      <c r="AK35" s="748"/>
      <c r="AL35" s="748"/>
      <c r="AM35" s="748"/>
      <c r="AN35" s="748"/>
      <c r="AO35" s="375"/>
      <c r="AP35" s="375"/>
      <c r="AQ35" s="375"/>
      <c r="AR35" s="375"/>
      <c r="AS35" s="375"/>
      <c r="AT35" s="375"/>
      <c r="AU35" s="375"/>
      <c r="AV35" s="375"/>
      <c r="AW35" s="375"/>
      <c r="AX35" s="375"/>
      <c r="AY35" s="375"/>
      <c r="AZ35" s="375"/>
      <c r="BA35" s="375"/>
      <c r="BB35" s="375"/>
      <c r="BC35" s="375"/>
      <c r="BD35" s="375"/>
      <c r="BE35" s="375"/>
      <c r="BF35" s="375"/>
      <c r="BG35" s="375"/>
      <c r="BH35" s="375"/>
      <c r="BI35" s="375"/>
      <c r="BJ35" s="375"/>
      <c r="BK35" s="375"/>
      <c r="BL35" s="375"/>
      <c r="BM35" s="375"/>
      <c r="BN35" s="375"/>
      <c r="BO35" s="375"/>
    </row>
    <row r="36" spans="1:67" s="6" customFormat="1" ht="18" customHeight="1" x14ac:dyDescent="0.45">
      <c r="A36" s="517"/>
      <c r="B36" s="376">
        <v>2</v>
      </c>
      <c r="C36" s="377" t="s">
        <v>160</v>
      </c>
      <c r="D36" s="386" t="s">
        <v>1118</v>
      </c>
      <c r="E36" s="387">
        <v>0.22</v>
      </c>
      <c r="F36" s="386" t="s">
        <v>1119</v>
      </c>
      <c r="G36" s="386" t="s">
        <v>1125</v>
      </c>
      <c r="H36" s="388" t="s">
        <v>1120</v>
      </c>
      <c r="I36" s="386" t="s">
        <v>1121</v>
      </c>
      <c r="J36" s="386" t="s">
        <v>1122</v>
      </c>
      <c r="K36" s="386" t="s">
        <v>1126</v>
      </c>
      <c r="L36" s="386" t="s">
        <v>1123</v>
      </c>
      <c r="M36" s="388" t="s">
        <v>1127</v>
      </c>
      <c r="N36" s="388" t="s">
        <v>988</v>
      </c>
      <c r="O36" s="386" t="s">
        <v>1181</v>
      </c>
      <c r="P36" s="388" t="s">
        <v>998</v>
      </c>
      <c r="Q36" s="388"/>
      <c r="R36" s="388"/>
      <c r="S36" s="388"/>
      <c r="T36" s="388"/>
      <c r="U36" s="388"/>
      <c r="V36" s="388"/>
      <c r="W36" s="388"/>
      <c r="X36" s="388"/>
      <c r="Y36" s="388"/>
      <c r="Z36" s="762"/>
      <c r="AA36" s="755"/>
      <c r="AB36" s="755"/>
      <c r="AC36" s="748"/>
      <c r="AD36" s="748"/>
      <c r="AE36" s="748"/>
      <c r="AF36" s="748"/>
      <c r="AG36" s="748"/>
      <c r="AH36" s="748"/>
      <c r="AI36" s="748"/>
      <c r="AJ36" s="748"/>
      <c r="AK36" s="748"/>
      <c r="AL36" s="748"/>
      <c r="AM36" s="748"/>
      <c r="AN36" s="748"/>
      <c r="AO36" s="375"/>
      <c r="AP36" s="375"/>
      <c r="AQ36" s="375"/>
      <c r="AR36" s="375"/>
      <c r="AS36" s="375"/>
      <c r="AT36" s="375"/>
      <c r="AU36" s="375"/>
      <c r="AV36" s="375"/>
      <c r="AW36" s="375"/>
      <c r="AX36" s="375"/>
      <c r="AY36" s="375"/>
      <c r="AZ36" s="375"/>
      <c r="BA36" s="375"/>
      <c r="BB36" s="375"/>
      <c r="BC36" s="375"/>
      <c r="BD36" s="375"/>
      <c r="BE36" s="375"/>
      <c r="BF36" s="375"/>
      <c r="BG36" s="375"/>
      <c r="BH36" s="375"/>
      <c r="BI36" s="375"/>
      <c r="BJ36" s="375"/>
      <c r="BK36" s="375"/>
      <c r="BL36" s="375"/>
      <c r="BM36" s="375"/>
      <c r="BN36" s="375"/>
      <c r="BO36" s="375"/>
    </row>
    <row r="37" spans="1:67" s="6" customFormat="1" x14ac:dyDescent="0.45">
      <c r="A37" s="517"/>
      <c r="B37" s="381" t="s">
        <v>729</v>
      </c>
      <c r="C37" s="385" t="s">
        <v>730</v>
      </c>
      <c r="D37" s="383">
        <f>'2.Лабораторія'!F13+'2.Лабораторія'!F14</f>
        <v>12.48</v>
      </c>
      <c r="E37" s="383">
        <f>'2.Лабораторія'!F16</f>
        <v>2.75</v>
      </c>
      <c r="F37" s="383">
        <f>'2.Лабораторія'!G36</f>
        <v>6.8299999999999992</v>
      </c>
      <c r="G37" s="383">
        <f>'2.Лабораторія'!H41</f>
        <v>0.48</v>
      </c>
      <c r="H37" s="384">
        <f>SUM(D37:G37)</f>
        <v>22.54</v>
      </c>
      <c r="I37" s="383">
        <f>'2.Лабораторія'!H47+'2.Лабораторія'!H52</f>
        <v>1.32</v>
      </c>
      <c r="J37" s="383">
        <f>'2.Лабораторія'!H48+'2.Лабораторія'!H53</f>
        <v>0</v>
      </c>
      <c r="K37" s="383">
        <f>'2.Лабораторія'!H49+'2.Лабораторія'!H54</f>
        <v>0</v>
      </c>
      <c r="L37" s="383">
        <f>'2.Лабораторія'!H50+'2.Лабораторія'!H55</f>
        <v>0.24</v>
      </c>
      <c r="M37" s="384">
        <f>SUM(I37:L37)</f>
        <v>1.56</v>
      </c>
      <c r="N37" s="384">
        <f>H37+M37</f>
        <v>24.099999999999998</v>
      </c>
      <c r="O37" s="383"/>
      <c r="P37" s="384">
        <f>ROUND(N37,0)</f>
        <v>24</v>
      </c>
      <c r="Q37" s="384">
        <f>'2.Лабораторія'!F4</f>
        <v>24</v>
      </c>
      <c r="R37" s="384">
        <f>P37-Q37</f>
        <v>0</v>
      </c>
      <c r="S37" s="384"/>
      <c r="T37" s="384"/>
      <c r="U37" s="384"/>
      <c r="V37" s="384"/>
      <c r="W37" s="384"/>
      <c r="X37" s="384"/>
      <c r="Y37" s="384"/>
      <c r="Z37" s="763" t="str">
        <f>'2.Лабораторія'!M9</f>
        <v>Загальні аналіз сечі</v>
      </c>
      <c r="AA37" s="764"/>
      <c r="AB37" s="755"/>
      <c r="AC37" s="748"/>
      <c r="AD37" s="748"/>
      <c r="AE37" s="748"/>
      <c r="AF37" s="748"/>
      <c r="AG37" s="748"/>
      <c r="AH37" s="748"/>
      <c r="AI37" s="748"/>
      <c r="AJ37" s="748"/>
      <c r="AK37" s="748"/>
      <c r="AL37" s="748"/>
      <c r="AM37" s="748"/>
      <c r="AN37" s="748"/>
      <c r="AO37" s="375"/>
      <c r="AP37" s="375"/>
      <c r="AQ37" s="375"/>
      <c r="AR37" s="375"/>
      <c r="AS37" s="375"/>
      <c r="AT37" s="375"/>
      <c r="AU37" s="375"/>
      <c r="AV37" s="375"/>
      <c r="AW37" s="375"/>
      <c r="AX37" s="375"/>
      <c r="AY37" s="375"/>
      <c r="AZ37" s="375"/>
      <c r="BA37" s="375"/>
      <c r="BB37" s="375"/>
      <c r="BC37" s="375"/>
      <c r="BD37" s="375"/>
      <c r="BE37" s="375"/>
      <c r="BF37" s="375"/>
      <c r="BG37" s="375"/>
      <c r="BH37" s="375"/>
      <c r="BI37" s="375"/>
      <c r="BJ37" s="375"/>
      <c r="BK37" s="375"/>
      <c r="BL37" s="375"/>
      <c r="BM37" s="375"/>
      <c r="BN37" s="375"/>
      <c r="BO37" s="375"/>
    </row>
    <row r="38" spans="1:67" s="6" customFormat="1" x14ac:dyDescent="0.45">
      <c r="A38" s="517"/>
      <c r="B38" s="381" t="s">
        <v>731</v>
      </c>
      <c r="C38" s="385" t="s">
        <v>732</v>
      </c>
      <c r="D38" s="383">
        <f>'2.Лабораторія'!F73+'2.Лабораторія'!F74</f>
        <v>18.18</v>
      </c>
      <c r="E38" s="383">
        <f>'2.Лабораторія'!F76</f>
        <v>4</v>
      </c>
      <c r="F38" s="383">
        <f>'2.Лабораторія'!G93</f>
        <v>5.64</v>
      </c>
      <c r="G38" s="383">
        <f>'2.Лабораторія'!H98</f>
        <v>0.72</v>
      </c>
      <c r="H38" s="384">
        <f>SUM(D38:G38)</f>
        <v>28.54</v>
      </c>
      <c r="I38" s="383">
        <f>'2.Лабораторія'!H104+'2.Лабораторія'!H109</f>
        <v>1.98</v>
      </c>
      <c r="J38" s="383">
        <f>'2.Лабораторія'!H105+'2.Лабораторія'!H110</f>
        <v>0</v>
      </c>
      <c r="K38" s="383">
        <f>'2.Лабораторія'!H106+'2.Лабораторія'!H111</f>
        <v>0</v>
      </c>
      <c r="L38" s="383">
        <f>'2.Лабораторія'!H107+'2.Лабораторія'!H112</f>
        <v>0.36</v>
      </c>
      <c r="M38" s="384">
        <f t="shared" ref="M38:M93" si="3">SUM(I38:L38)</f>
        <v>2.34</v>
      </c>
      <c r="N38" s="384">
        <f t="shared" ref="N38:N93" si="4">H38+M38</f>
        <v>30.88</v>
      </c>
      <c r="O38" s="383"/>
      <c r="P38" s="384">
        <f t="shared" ref="P38:P93" si="5">ROUND(N38,0)</f>
        <v>31</v>
      </c>
      <c r="Q38" s="384">
        <f>'2.Лабораторія'!F64</f>
        <v>31</v>
      </c>
      <c r="R38" s="384">
        <f t="shared" ref="R38:R93" si="6">P38-Q38</f>
        <v>0</v>
      </c>
      <c r="S38" s="384"/>
      <c r="T38" s="384"/>
      <c r="U38" s="384"/>
      <c r="V38" s="384"/>
      <c r="W38" s="384"/>
      <c r="X38" s="384"/>
      <c r="Y38" s="384"/>
      <c r="Z38" s="763" t="str">
        <f>'2.Лабораторія'!M10</f>
        <v>Аналіз сечі Нечипоренко</v>
      </c>
      <c r="AA38" s="764"/>
      <c r="AB38" s="755"/>
      <c r="AC38" s="748"/>
      <c r="AD38" s="748"/>
      <c r="AE38" s="748"/>
      <c r="AF38" s="748"/>
      <c r="AG38" s="748"/>
      <c r="AH38" s="748"/>
      <c r="AI38" s="748"/>
      <c r="AJ38" s="748"/>
      <c r="AK38" s="748"/>
      <c r="AL38" s="748"/>
      <c r="AM38" s="748"/>
      <c r="AN38" s="748"/>
      <c r="AO38" s="375"/>
      <c r="AP38" s="375"/>
      <c r="AQ38" s="375"/>
      <c r="AR38" s="375"/>
      <c r="AS38" s="375"/>
      <c r="AT38" s="375"/>
      <c r="AU38" s="375"/>
      <c r="AV38" s="375"/>
      <c r="AW38" s="375"/>
      <c r="AX38" s="375"/>
      <c r="AY38" s="375"/>
      <c r="AZ38" s="375"/>
      <c r="BA38" s="375"/>
      <c r="BB38" s="375"/>
      <c r="BC38" s="375"/>
      <c r="BD38" s="375"/>
      <c r="BE38" s="375"/>
      <c r="BF38" s="375"/>
      <c r="BG38" s="375"/>
      <c r="BH38" s="375"/>
      <c r="BI38" s="375"/>
      <c r="BJ38" s="375"/>
      <c r="BK38" s="375"/>
      <c r="BL38" s="375"/>
      <c r="BM38" s="375"/>
      <c r="BN38" s="375"/>
      <c r="BO38" s="375"/>
    </row>
    <row r="39" spans="1:67" s="6" customFormat="1" x14ac:dyDescent="0.45">
      <c r="A39" s="517"/>
      <c r="B39" s="381" t="s">
        <v>733</v>
      </c>
      <c r="C39" s="385" t="s">
        <v>734</v>
      </c>
      <c r="D39" s="383">
        <f>'2.Лабораторія'!F130+'2.Лабораторія'!F131</f>
        <v>8.68</v>
      </c>
      <c r="E39" s="383">
        <f>'2.Лабораторія'!F133</f>
        <v>1.91</v>
      </c>
      <c r="F39" s="383">
        <f>'2.Лабораторія'!G147</f>
        <v>4.1500000000000004</v>
      </c>
      <c r="G39" s="383">
        <f>'2.Лабораторія'!H152</f>
        <v>0.32</v>
      </c>
      <c r="H39" s="384">
        <f t="shared" ref="H39:H93" si="7">SUM(D39:G39)</f>
        <v>15.06</v>
      </c>
      <c r="I39" s="383">
        <f>'2.Лабораторія'!H158+'2.Лабораторія'!H163</f>
        <v>0.88000000000000012</v>
      </c>
      <c r="J39" s="383">
        <f>'2.Лабораторія'!H159+'2.Лабораторія'!H164</f>
        <v>0</v>
      </c>
      <c r="K39" s="383">
        <f>'2.Лабораторія'!H160+'2.Лабораторія'!H165</f>
        <v>0</v>
      </c>
      <c r="L39" s="383">
        <f>'2.Лабораторія'!H161+'2.Лабораторія'!H166</f>
        <v>0.16</v>
      </c>
      <c r="M39" s="384">
        <f t="shared" si="3"/>
        <v>1.04</v>
      </c>
      <c r="N39" s="384">
        <f t="shared" si="4"/>
        <v>16.100000000000001</v>
      </c>
      <c r="O39" s="383"/>
      <c r="P39" s="384">
        <f t="shared" si="5"/>
        <v>16</v>
      </c>
      <c r="Q39" s="384">
        <f>'2.Лабораторія'!F121</f>
        <v>16</v>
      </c>
      <c r="R39" s="384">
        <f t="shared" si="6"/>
        <v>0</v>
      </c>
      <c r="S39" s="384"/>
      <c r="T39" s="384"/>
      <c r="U39" s="384"/>
      <c r="V39" s="384"/>
      <c r="W39" s="384"/>
      <c r="X39" s="384"/>
      <c r="Y39" s="384"/>
      <c r="Z39" s="763" t="str">
        <f>'2.Лабораторія'!M11</f>
        <v>Дослідження калу на гельмінтози</v>
      </c>
      <c r="AA39" s="764"/>
      <c r="AB39" s="755"/>
      <c r="AC39" s="748"/>
      <c r="AD39" s="748"/>
      <c r="AE39" s="748"/>
      <c r="AF39" s="748"/>
      <c r="AG39" s="748"/>
      <c r="AH39" s="748"/>
      <c r="AI39" s="748"/>
      <c r="AJ39" s="748"/>
      <c r="AK39" s="748"/>
      <c r="AL39" s="748"/>
      <c r="AM39" s="748"/>
      <c r="AN39" s="748"/>
      <c r="AO39" s="375"/>
      <c r="AP39" s="375"/>
      <c r="AQ39" s="375"/>
      <c r="AR39" s="375"/>
      <c r="AS39" s="375"/>
      <c r="AT39" s="375"/>
      <c r="AU39" s="375"/>
      <c r="AV39" s="375"/>
      <c r="AW39" s="375"/>
      <c r="AX39" s="375"/>
      <c r="AY39" s="375"/>
      <c r="AZ39" s="375"/>
      <c r="BA39" s="375"/>
      <c r="BB39" s="375"/>
      <c r="BC39" s="375"/>
      <c r="BD39" s="375"/>
      <c r="BE39" s="375"/>
      <c r="BF39" s="375"/>
      <c r="BG39" s="375"/>
      <c r="BH39" s="375"/>
      <c r="BI39" s="375"/>
      <c r="BJ39" s="375"/>
      <c r="BK39" s="375"/>
      <c r="BL39" s="375"/>
      <c r="BM39" s="375"/>
      <c r="BN39" s="375"/>
      <c r="BO39" s="375"/>
    </row>
    <row r="40" spans="1:67" s="6" customFormat="1" x14ac:dyDescent="0.45">
      <c r="A40" s="517"/>
      <c r="B40" s="381" t="s">
        <v>735</v>
      </c>
      <c r="C40" s="385" t="s">
        <v>736</v>
      </c>
      <c r="D40" s="383">
        <f>'2.Лабораторія'!F184+'2.Лабораторія'!F185</f>
        <v>10.58</v>
      </c>
      <c r="E40" s="383">
        <f>'2.Лабораторія'!F187</f>
        <v>2.33</v>
      </c>
      <c r="F40" s="383">
        <f>'2.Лабораторія'!G203</f>
        <v>5.21</v>
      </c>
      <c r="G40" s="383">
        <f>'2.Лабораторія'!H208</f>
        <v>0.4</v>
      </c>
      <c r="H40" s="384">
        <f t="shared" si="7"/>
        <v>18.52</v>
      </c>
      <c r="I40" s="383">
        <f>'2.Лабораторія'!H214+'2.Лабораторія'!H219</f>
        <v>1.1000000000000001</v>
      </c>
      <c r="J40" s="383">
        <f>'2.Лабораторія'!H215+'2.Лабораторія'!H220</f>
        <v>0</v>
      </c>
      <c r="K40" s="383">
        <f>'2.Лабораторія'!H216+'2.Лабораторія'!H221</f>
        <v>0</v>
      </c>
      <c r="L40" s="383">
        <f>'2.Лабораторія'!H217+'2.Лабораторія'!H222</f>
        <v>0.2</v>
      </c>
      <c r="M40" s="384">
        <f t="shared" si="3"/>
        <v>1.3</v>
      </c>
      <c r="N40" s="384">
        <f t="shared" si="4"/>
        <v>19.82</v>
      </c>
      <c r="O40" s="383"/>
      <c r="P40" s="384">
        <f t="shared" si="5"/>
        <v>20</v>
      </c>
      <c r="Q40" s="384">
        <f>'2.Лабораторія'!F175</f>
        <v>20</v>
      </c>
      <c r="R40" s="384">
        <f t="shared" si="6"/>
        <v>0</v>
      </c>
      <c r="S40" s="384"/>
      <c r="T40" s="384"/>
      <c r="U40" s="384"/>
      <c r="V40" s="384"/>
      <c r="W40" s="384"/>
      <c r="X40" s="384"/>
      <c r="Y40" s="384"/>
      <c r="Z40" s="763" t="str">
        <f>'2.Лабораторія'!M12</f>
        <v>Мікроскопія калу - копрограма</v>
      </c>
      <c r="AA40" s="764"/>
      <c r="AB40" s="755"/>
      <c r="AC40" s="748"/>
      <c r="AD40" s="748"/>
      <c r="AE40" s="748"/>
      <c r="AF40" s="748"/>
      <c r="AG40" s="748"/>
      <c r="AH40" s="748"/>
      <c r="AI40" s="748"/>
      <c r="AJ40" s="748"/>
      <c r="AK40" s="748"/>
      <c r="AL40" s="748"/>
      <c r="AM40" s="748"/>
      <c r="AN40" s="748"/>
      <c r="AO40" s="375"/>
      <c r="AP40" s="375"/>
      <c r="AQ40" s="375"/>
      <c r="AR40" s="375"/>
      <c r="AS40" s="375"/>
      <c r="AT40" s="375"/>
      <c r="AU40" s="375"/>
      <c r="AV40" s="375"/>
      <c r="AW40" s="375"/>
      <c r="AX40" s="375"/>
      <c r="AY40" s="375"/>
      <c r="AZ40" s="375"/>
      <c r="BA40" s="375"/>
      <c r="BB40" s="375"/>
      <c r="BC40" s="375"/>
      <c r="BD40" s="375"/>
      <c r="BE40" s="375"/>
      <c r="BF40" s="375"/>
      <c r="BG40" s="375"/>
      <c r="BH40" s="375"/>
      <c r="BI40" s="375"/>
      <c r="BJ40" s="375"/>
      <c r="BK40" s="375"/>
      <c r="BL40" s="375"/>
      <c r="BM40" s="375"/>
      <c r="BN40" s="375"/>
      <c r="BO40" s="375"/>
    </row>
    <row r="41" spans="1:67" s="6" customFormat="1" x14ac:dyDescent="0.45">
      <c r="A41" s="517"/>
      <c r="B41" s="381" t="s">
        <v>737</v>
      </c>
      <c r="C41" s="385" t="s">
        <v>738</v>
      </c>
      <c r="D41" s="383">
        <f>'2.Лабораторія'!F240+'2.Лабораторія'!F241</f>
        <v>8.68</v>
      </c>
      <c r="E41" s="383">
        <f>'2.Лабораторія'!F243</f>
        <v>1.91</v>
      </c>
      <c r="F41" s="383">
        <f>'2.Лабораторія'!G257</f>
        <v>4.1500000000000004</v>
      </c>
      <c r="G41" s="383">
        <f>'2.Лабораторія'!H262</f>
        <v>0.32</v>
      </c>
      <c r="H41" s="384">
        <f t="shared" si="7"/>
        <v>15.06</v>
      </c>
      <c r="I41" s="383">
        <f>'2.Лабораторія'!H268+'2.Лабораторія'!H273</f>
        <v>0.88000000000000012</v>
      </c>
      <c r="J41" s="383">
        <f>'2.Лабораторія'!H269+'2.Лабораторія'!H274</f>
        <v>0</v>
      </c>
      <c r="K41" s="383">
        <f>'2.Лабораторія'!H270+'2.Лабораторія'!H275</f>
        <v>0</v>
      </c>
      <c r="L41" s="383">
        <f>'2.Лабораторія'!H271+'2.Лабораторія'!H276</f>
        <v>0.16</v>
      </c>
      <c r="M41" s="384">
        <f t="shared" si="3"/>
        <v>1.04</v>
      </c>
      <c r="N41" s="384">
        <f t="shared" si="4"/>
        <v>16.100000000000001</v>
      </c>
      <c r="O41" s="383"/>
      <c r="P41" s="384">
        <f t="shared" si="5"/>
        <v>16</v>
      </c>
      <c r="Q41" s="384">
        <f>'2.Лабораторія'!F231</f>
        <v>16</v>
      </c>
      <c r="R41" s="384">
        <f t="shared" si="6"/>
        <v>0</v>
      </c>
      <c r="S41" s="384"/>
      <c r="T41" s="384"/>
      <c r="U41" s="384"/>
      <c r="V41" s="384"/>
      <c r="W41" s="384"/>
      <c r="X41" s="384"/>
      <c r="Y41" s="384"/>
      <c r="Z41" s="763" t="str">
        <f>'2.Лабораторія'!M13</f>
        <v>Дослідження зішкрібка на гостриці</v>
      </c>
      <c r="AA41" s="764"/>
      <c r="AB41" s="755"/>
      <c r="AC41" s="748"/>
      <c r="AD41" s="748"/>
      <c r="AE41" s="748"/>
      <c r="AF41" s="748"/>
      <c r="AG41" s="748"/>
      <c r="AH41" s="748"/>
      <c r="AI41" s="748"/>
      <c r="AJ41" s="748"/>
      <c r="AK41" s="748"/>
      <c r="AL41" s="748"/>
      <c r="AM41" s="748"/>
      <c r="AN41" s="748"/>
      <c r="AO41" s="375"/>
      <c r="AP41" s="375"/>
      <c r="AQ41" s="375"/>
      <c r="AR41" s="375"/>
      <c r="AS41" s="375"/>
      <c r="AT41" s="375"/>
      <c r="AU41" s="375"/>
      <c r="AV41" s="375"/>
      <c r="AW41" s="375"/>
      <c r="AX41" s="375"/>
      <c r="AY41" s="375"/>
      <c r="AZ41" s="375"/>
      <c r="BA41" s="375"/>
      <c r="BB41" s="375"/>
      <c r="BC41" s="375"/>
      <c r="BD41" s="375"/>
      <c r="BE41" s="375"/>
      <c r="BF41" s="375"/>
      <c r="BG41" s="375"/>
      <c r="BH41" s="375"/>
      <c r="BI41" s="375"/>
      <c r="BJ41" s="375"/>
      <c r="BK41" s="375"/>
      <c r="BL41" s="375"/>
      <c r="BM41" s="375"/>
      <c r="BN41" s="375"/>
      <c r="BO41" s="375"/>
    </row>
    <row r="42" spans="1:67" s="6" customFormat="1" x14ac:dyDescent="0.45">
      <c r="A42" s="517"/>
      <c r="B42" s="381" t="s">
        <v>739</v>
      </c>
      <c r="C42" s="385" t="s">
        <v>740</v>
      </c>
      <c r="D42" s="383">
        <f>'2.Лабораторія'!F294+'2.Лабораторія'!F295</f>
        <v>13.43</v>
      </c>
      <c r="E42" s="383">
        <f>'2.Лабораторія'!F297</f>
        <v>2.95</v>
      </c>
      <c r="F42" s="383">
        <f>'2.Лабораторія'!G312</f>
        <v>14.049999999999999</v>
      </c>
      <c r="G42" s="383">
        <f>'2.Лабораторія'!H317</f>
        <v>0.52</v>
      </c>
      <c r="H42" s="384">
        <f t="shared" si="7"/>
        <v>30.95</v>
      </c>
      <c r="I42" s="383">
        <f>'2.Лабораторія'!H323+'2.Лабораторія'!H328</f>
        <v>1.4300000000000002</v>
      </c>
      <c r="J42" s="383">
        <f>'2.Лабораторія'!H324+'2.Лабораторія'!H329</f>
        <v>0</v>
      </c>
      <c r="K42" s="383">
        <f>'2.Лабораторія'!H325+'2.Лабораторія'!H330</f>
        <v>0</v>
      </c>
      <c r="L42" s="383">
        <f>'2.Лабораторія'!H326+'2.Лабораторія'!H331</f>
        <v>0.26</v>
      </c>
      <c r="M42" s="384">
        <f t="shared" si="3"/>
        <v>1.6900000000000002</v>
      </c>
      <c r="N42" s="384">
        <f t="shared" si="4"/>
        <v>32.64</v>
      </c>
      <c r="O42" s="383"/>
      <c r="P42" s="384">
        <f t="shared" si="5"/>
        <v>33</v>
      </c>
      <c r="Q42" s="384">
        <f>'2.Лабораторія'!F285</f>
        <v>33</v>
      </c>
      <c r="R42" s="384">
        <f t="shared" si="6"/>
        <v>0</v>
      </c>
      <c r="S42" s="384"/>
      <c r="T42" s="384"/>
      <c r="U42" s="384"/>
      <c r="V42" s="384"/>
      <c r="W42" s="384"/>
      <c r="X42" s="384"/>
      <c r="Y42" s="384"/>
      <c r="Z42" s="763" t="str">
        <f>'2.Лабораторія'!M14</f>
        <v>Мікроскопія харкотиння</v>
      </c>
      <c r="AA42" s="764"/>
      <c r="AB42" s="755"/>
      <c r="AC42" s="748"/>
      <c r="AD42" s="748"/>
      <c r="AE42" s="748"/>
      <c r="AF42" s="748"/>
      <c r="AG42" s="748"/>
      <c r="AH42" s="748"/>
      <c r="AI42" s="748"/>
      <c r="AJ42" s="748"/>
      <c r="AK42" s="748"/>
      <c r="AL42" s="748"/>
      <c r="AM42" s="748"/>
      <c r="AN42" s="748"/>
      <c r="AO42" s="375"/>
      <c r="AP42" s="375"/>
      <c r="AQ42" s="375"/>
      <c r="AR42" s="375"/>
      <c r="AS42" s="375"/>
      <c r="AT42" s="375"/>
      <c r="AU42" s="375"/>
      <c r="AV42" s="375"/>
      <c r="AW42" s="375"/>
      <c r="AX42" s="375"/>
      <c r="AY42" s="375"/>
      <c r="AZ42" s="375"/>
      <c r="BA42" s="375"/>
      <c r="BB42" s="375"/>
      <c r="BC42" s="375"/>
      <c r="BD42" s="375"/>
      <c r="BE42" s="375"/>
      <c r="BF42" s="375"/>
      <c r="BG42" s="375"/>
      <c r="BH42" s="375"/>
      <c r="BI42" s="375"/>
      <c r="BJ42" s="375"/>
      <c r="BK42" s="375"/>
      <c r="BL42" s="375"/>
      <c r="BM42" s="375"/>
      <c r="BN42" s="375"/>
      <c r="BO42" s="375"/>
    </row>
    <row r="43" spans="1:67" s="6" customFormat="1" x14ac:dyDescent="0.45">
      <c r="A43" s="517"/>
      <c r="B43" s="381" t="s">
        <v>741</v>
      </c>
      <c r="C43" s="385" t="s">
        <v>742</v>
      </c>
      <c r="D43" s="383">
        <f>'2.Лабораторія'!F350+'2.Лабораторія'!F351</f>
        <v>18.18</v>
      </c>
      <c r="E43" s="383">
        <f>'2.Лабораторія'!F353</f>
        <v>4</v>
      </c>
      <c r="F43" s="383">
        <f>'2.Лабораторія'!G368</f>
        <v>15.940000000000001</v>
      </c>
      <c r="G43" s="383">
        <f>'2.Лабораторія'!H373</f>
        <v>0.72</v>
      </c>
      <c r="H43" s="384">
        <f t="shared" si="7"/>
        <v>38.840000000000003</v>
      </c>
      <c r="I43" s="383">
        <f>'2.Лабораторія'!H379+'2.Лабораторія'!H384</f>
        <v>1.98</v>
      </c>
      <c r="J43" s="383">
        <f>'2.Лабораторія'!H380+'2.Лабораторія'!H385</f>
        <v>0</v>
      </c>
      <c r="K43" s="383">
        <f>'2.Лабораторія'!H381+'2.Лабораторія'!H386</f>
        <v>0</v>
      </c>
      <c r="L43" s="383">
        <f>'2.Лабораторія'!H382+'2.Лабораторія'!H387</f>
        <v>0.36</v>
      </c>
      <c r="M43" s="384">
        <f t="shared" si="3"/>
        <v>2.34</v>
      </c>
      <c r="N43" s="384">
        <f t="shared" si="4"/>
        <v>41.180000000000007</v>
      </c>
      <c r="O43" s="383"/>
      <c r="P43" s="384">
        <f t="shared" si="5"/>
        <v>41</v>
      </c>
      <c r="Q43" s="384">
        <f>'2.Лабораторія'!F341</f>
        <v>41</v>
      </c>
      <c r="R43" s="384">
        <f t="shared" si="6"/>
        <v>0</v>
      </c>
      <c r="S43" s="384"/>
      <c r="T43" s="384"/>
      <c r="U43" s="384"/>
      <c r="V43" s="384"/>
      <c r="W43" s="384"/>
      <c r="X43" s="384"/>
      <c r="Y43" s="384"/>
      <c r="Z43" s="763" t="str">
        <f>'2.Лабораторія'!M15</f>
        <v>Бактеріоскопія харкотиння (Мікобактерії туберкульозу)</v>
      </c>
      <c r="AA43" s="764"/>
      <c r="AB43" s="755"/>
      <c r="AC43" s="748"/>
      <c r="AD43" s="748"/>
      <c r="AE43" s="748"/>
      <c r="AF43" s="748"/>
      <c r="AG43" s="748"/>
      <c r="AH43" s="748"/>
      <c r="AI43" s="748"/>
      <c r="AJ43" s="748"/>
      <c r="AK43" s="748"/>
      <c r="AL43" s="748"/>
      <c r="AM43" s="748"/>
      <c r="AN43" s="748"/>
      <c r="AO43" s="375"/>
      <c r="AP43" s="375"/>
      <c r="AQ43" s="375"/>
      <c r="AR43" s="375"/>
      <c r="AS43" s="375"/>
      <c r="AT43" s="375"/>
      <c r="AU43" s="375"/>
      <c r="AV43" s="375"/>
      <c r="AW43" s="375"/>
      <c r="AX43" s="375"/>
      <c r="AY43" s="375"/>
      <c r="AZ43" s="375"/>
      <c r="BA43" s="375"/>
      <c r="BB43" s="375"/>
      <c r="BC43" s="375"/>
      <c r="BD43" s="375"/>
      <c r="BE43" s="375"/>
      <c r="BF43" s="375"/>
      <c r="BG43" s="375"/>
      <c r="BH43" s="375"/>
      <c r="BI43" s="375"/>
      <c r="BJ43" s="375"/>
      <c r="BK43" s="375"/>
      <c r="BL43" s="375"/>
      <c r="BM43" s="375"/>
      <c r="BN43" s="375"/>
      <c r="BO43" s="375"/>
    </row>
    <row r="44" spans="1:67" s="6" customFormat="1" x14ac:dyDescent="0.45">
      <c r="A44" s="517"/>
      <c r="B44" s="381" t="s">
        <v>743</v>
      </c>
      <c r="C44" s="385" t="s">
        <v>744</v>
      </c>
      <c r="D44" s="383">
        <f>'2.Лабораторія'!F405+'2.Лабораторія'!F406</f>
        <v>27.68</v>
      </c>
      <c r="E44" s="383">
        <f>'2.Лабораторія'!F408</f>
        <v>6.09</v>
      </c>
      <c r="F44" s="383">
        <f>'2.Лабораторія'!G428</f>
        <v>5.96</v>
      </c>
      <c r="G44" s="383">
        <f>'2.Лабораторія'!H433</f>
        <v>1.1200000000000001</v>
      </c>
      <c r="H44" s="384">
        <f t="shared" si="7"/>
        <v>40.849999999999994</v>
      </c>
      <c r="I44" s="383">
        <f>'2.Лабораторія'!H439+'2.Лабораторія'!H444</f>
        <v>3.08</v>
      </c>
      <c r="J44" s="383">
        <f>'2.Лабораторія'!H440+'2.Лабораторія'!H445</f>
        <v>0</v>
      </c>
      <c r="K44" s="383">
        <f>'2.Лабораторія'!H441+'2.Лабораторія'!H446</f>
        <v>0</v>
      </c>
      <c r="L44" s="383">
        <f>'2.Лабораторія'!H442+'2.Лабораторія'!H447</f>
        <v>0.56000000000000005</v>
      </c>
      <c r="M44" s="384">
        <f t="shared" si="3"/>
        <v>3.64</v>
      </c>
      <c r="N44" s="384">
        <f t="shared" si="4"/>
        <v>44.489999999999995</v>
      </c>
      <c r="O44" s="383"/>
      <c r="P44" s="384">
        <f t="shared" si="5"/>
        <v>44</v>
      </c>
      <c r="Q44" s="384">
        <f>'2.Лабораторія'!F396</f>
        <v>44</v>
      </c>
      <c r="R44" s="384">
        <f t="shared" si="6"/>
        <v>0</v>
      </c>
      <c r="S44" s="384"/>
      <c r="T44" s="384"/>
      <c r="U44" s="384"/>
      <c r="V44" s="384"/>
      <c r="W44" s="384"/>
      <c r="X44" s="384"/>
      <c r="Y44" s="384"/>
      <c r="Z44" s="763" t="str">
        <f>'2.Лабораторія'!M16</f>
        <v>Загальний аналіз крові</v>
      </c>
      <c r="AA44" s="764"/>
      <c r="AB44" s="755"/>
      <c r="AC44" s="748"/>
      <c r="AD44" s="748"/>
      <c r="AE44" s="748"/>
      <c r="AF44" s="748"/>
      <c r="AG44" s="748"/>
      <c r="AH44" s="748"/>
      <c r="AI44" s="748"/>
      <c r="AJ44" s="748"/>
      <c r="AK44" s="748"/>
      <c r="AL44" s="748"/>
      <c r="AM44" s="748"/>
      <c r="AN44" s="748"/>
      <c r="AO44" s="375"/>
      <c r="AP44" s="375"/>
      <c r="AQ44" s="375"/>
      <c r="AR44" s="375"/>
      <c r="AS44" s="375"/>
      <c r="AT44" s="375"/>
      <c r="AU44" s="375"/>
      <c r="AV44" s="375"/>
      <c r="AW44" s="375"/>
      <c r="AX44" s="375"/>
      <c r="AY44" s="375"/>
      <c r="AZ44" s="375"/>
      <c r="BA44" s="375"/>
      <c r="BB44" s="375"/>
      <c r="BC44" s="375"/>
      <c r="BD44" s="375"/>
      <c r="BE44" s="375"/>
      <c r="BF44" s="375"/>
      <c r="BG44" s="375"/>
      <c r="BH44" s="375"/>
      <c r="BI44" s="375"/>
      <c r="BJ44" s="375"/>
      <c r="BK44" s="375"/>
      <c r="BL44" s="375"/>
      <c r="BM44" s="375"/>
      <c r="BN44" s="375"/>
      <c r="BO44" s="375"/>
    </row>
    <row r="45" spans="1:67" s="6" customFormat="1" x14ac:dyDescent="0.45">
      <c r="A45" s="517"/>
      <c r="B45" s="381" t="s">
        <v>745</v>
      </c>
      <c r="C45" s="385" t="s">
        <v>746</v>
      </c>
      <c r="D45" s="383">
        <f>'2.Лабораторія'!F465+'2.Лабораторія'!F466</f>
        <v>57.11</v>
      </c>
      <c r="E45" s="383">
        <f>'2.Лабораторія'!F468</f>
        <v>12.56</v>
      </c>
      <c r="F45" s="383">
        <f>'2.Лабораторія'!G492</f>
        <v>6.5200000000000005</v>
      </c>
      <c r="G45" s="383">
        <f>'2.Лабораторія'!H497</f>
        <v>1.76</v>
      </c>
      <c r="H45" s="384">
        <f t="shared" si="7"/>
        <v>77.95</v>
      </c>
      <c r="I45" s="383">
        <f>'2.Лабораторія'!H503+'2.Лабораторія'!H508</f>
        <v>4.8499999999999996</v>
      </c>
      <c r="J45" s="383">
        <f>'2.Лабораторія'!H504+'2.Лабораторія'!H509</f>
        <v>0</v>
      </c>
      <c r="K45" s="383">
        <f>'2.Лабораторія'!H505+'2.Лабораторія'!H510</f>
        <v>0</v>
      </c>
      <c r="L45" s="383">
        <f>'2.Лабораторія'!H506+'2.Лабораторія'!H511</f>
        <v>0.88</v>
      </c>
      <c r="M45" s="384">
        <f t="shared" si="3"/>
        <v>5.7299999999999995</v>
      </c>
      <c r="N45" s="384">
        <f t="shared" si="4"/>
        <v>83.68</v>
      </c>
      <c r="O45" s="383"/>
      <c r="P45" s="384">
        <f t="shared" si="5"/>
        <v>84</v>
      </c>
      <c r="Q45" s="384">
        <f>'2.Лабораторія'!F456</f>
        <v>84</v>
      </c>
      <c r="R45" s="384">
        <f t="shared" si="6"/>
        <v>0</v>
      </c>
      <c r="S45" s="384"/>
      <c r="T45" s="384"/>
      <c r="U45" s="384"/>
      <c r="V45" s="384"/>
      <c r="W45" s="384"/>
      <c r="X45" s="384"/>
      <c r="Y45" s="384"/>
      <c r="Z45" s="763" t="str">
        <f>'2.Лабораторія'!M17</f>
        <v>Розгорнутий аналіз крові (визначення лейкоцитарної формули)</v>
      </c>
      <c r="AA45" s="764"/>
      <c r="AB45" s="755"/>
      <c r="AC45" s="748"/>
      <c r="AD45" s="748"/>
      <c r="AE45" s="748"/>
      <c r="AF45" s="748"/>
      <c r="AG45" s="748"/>
      <c r="AH45" s="748"/>
      <c r="AI45" s="748"/>
      <c r="AJ45" s="748"/>
      <c r="AK45" s="748"/>
      <c r="AL45" s="748"/>
      <c r="AM45" s="748"/>
      <c r="AN45" s="748"/>
      <c r="AO45" s="375"/>
      <c r="AP45" s="375"/>
      <c r="AQ45" s="375"/>
      <c r="AR45" s="375"/>
      <c r="AS45" s="375"/>
      <c r="AT45" s="375"/>
      <c r="AU45" s="375"/>
      <c r="AV45" s="375"/>
      <c r="AW45" s="375"/>
      <c r="AX45" s="375"/>
      <c r="AY45" s="375"/>
      <c r="AZ45" s="375"/>
      <c r="BA45" s="375"/>
      <c r="BB45" s="375"/>
      <c r="BC45" s="375"/>
      <c r="BD45" s="375"/>
      <c r="BE45" s="375"/>
      <c r="BF45" s="375"/>
      <c r="BG45" s="375"/>
      <c r="BH45" s="375"/>
      <c r="BI45" s="375"/>
      <c r="BJ45" s="375"/>
      <c r="BK45" s="375"/>
      <c r="BL45" s="375"/>
      <c r="BM45" s="375"/>
      <c r="BN45" s="375"/>
      <c r="BO45" s="375"/>
    </row>
    <row r="46" spans="1:67" s="6" customFormat="1" x14ac:dyDescent="0.45">
      <c r="A46" s="517"/>
      <c r="B46" s="381" t="s">
        <v>747</v>
      </c>
      <c r="C46" s="385" t="s">
        <v>749</v>
      </c>
      <c r="D46" s="383">
        <f>'2.Лабораторія'!F529+'2.Лабораторія'!F530</f>
        <v>13.43</v>
      </c>
      <c r="E46" s="383">
        <f>'2.Лабораторія'!F532</f>
        <v>2.95</v>
      </c>
      <c r="F46" s="383">
        <f>'2.Лабораторія'!G548</f>
        <v>5.74</v>
      </c>
      <c r="G46" s="383">
        <f>'2.Лабораторія'!H553</f>
        <v>0.52</v>
      </c>
      <c r="H46" s="384">
        <f t="shared" si="7"/>
        <v>22.639999999999997</v>
      </c>
      <c r="I46" s="383">
        <f>'2.Лабораторія'!H559+'2.Лабораторія'!H564</f>
        <v>1.4300000000000002</v>
      </c>
      <c r="J46" s="383">
        <f>'2.Лабораторія'!H560+'2.Лабораторія'!H565</f>
        <v>0</v>
      </c>
      <c r="K46" s="383">
        <f>'2.Лабораторія'!H561+'2.Лабораторія'!H566</f>
        <v>0</v>
      </c>
      <c r="L46" s="383">
        <f>'2.Лабораторія'!H562+'2.Лабораторія'!H567</f>
        <v>0.26</v>
      </c>
      <c r="M46" s="384">
        <f t="shared" si="3"/>
        <v>1.6900000000000002</v>
      </c>
      <c r="N46" s="384">
        <f t="shared" si="4"/>
        <v>24.33</v>
      </c>
      <c r="O46" s="383"/>
      <c r="P46" s="384">
        <f t="shared" si="5"/>
        <v>24</v>
      </c>
      <c r="Q46" s="384">
        <f>'2.Лабораторія'!F520</f>
        <v>24</v>
      </c>
      <c r="R46" s="384">
        <f t="shared" si="6"/>
        <v>0</v>
      </c>
      <c r="S46" s="384"/>
      <c r="T46" s="384"/>
      <c r="U46" s="384"/>
      <c r="V46" s="384"/>
      <c r="W46" s="384"/>
      <c r="X46" s="384"/>
      <c r="Y46" s="384"/>
      <c r="Z46" s="763" t="str">
        <f>'2.Лабораторія'!M18</f>
        <v>Аналіз крові на глюкозу</v>
      </c>
      <c r="AA46" s="764"/>
      <c r="AB46" s="755"/>
      <c r="AC46" s="748"/>
      <c r="AD46" s="748"/>
      <c r="AE46" s="748"/>
      <c r="AF46" s="748"/>
      <c r="AG46" s="748"/>
      <c r="AH46" s="748"/>
      <c r="AI46" s="748"/>
      <c r="AJ46" s="748"/>
      <c r="AK46" s="748"/>
      <c r="AL46" s="748"/>
      <c r="AM46" s="748"/>
      <c r="AN46" s="748"/>
      <c r="AO46" s="375"/>
      <c r="AP46" s="375"/>
      <c r="AQ46" s="375"/>
      <c r="AR46" s="375"/>
      <c r="AS46" s="375"/>
      <c r="AT46" s="375"/>
      <c r="AU46" s="375"/>
      <c r="AV46" s="375"/>
      <c r="AW46" s="375"/>
      <c r="AX46" s="375"/>
      <c r="AY46" s="375"/>
      <c r="AZ46" s="375"/>
      <c r="BA46" s="375"/>
      <c r="BB46" s="375"/>
      <c r="BC46" s="375"/>
      <c r="BD46" s="375"/>
      <c r="BE46" s="375"/>
      <c r="BF46" s="375"/>
      <c r="BG46" s="375"/>
      <c r="BH46" s="375"/>
      <c r="BI46" s="375"/>
      <c r="BJ46" s="375"/>
      <c r="BK46" s="375"/>
      <c r="BL46" s="375"/>
      <c r="BM46" s="375"/>
      <c r="BN46" s="375"/>
      <c r="BO46" s="375"/>
    </row>
    <row r="47" spans="1:67" s="6" customFormat="1" x14ac:dyDescent="0.45">
      <c r="A47" s="517"/>
      <c r="B47" s="381" t="s">
        <v>748</v>
      </c>
      <c r="C47" s="385" t="s">
        <v>751</v>
      </c>
      <c r="D47" s="383">
        <f>'2.Лабораторія'!F585+'2.Лабораторія'!F586</f>
        <v>15.33</v>
      </c>
      <c r="E47" s="383">
        <f>'2.Лабораторія'!F588</f>
        <v>3.37</v>
      </c>
      <c r="F47" s="383">
        <f>'2.Лабораторія'!G605</f>
        <v>8.6700000000000017</v>
      </c>
      <c r="G47" s="383">
        <f>'2.Лабораторія'!H610</f>
        <v>0.6</v>
      </c>
      <c r="H47" s="384">
        <f t="shared" si="7"/>
        <v>27.970000000000002</v>
      </c>
      <c r="I47" s="383">
        <f>'2.Лабораторія'!H616+'2.Лабораторія'!H621</f>
        <v>1.6500000000000001</v>
      </c>
      <c r="J47" s="383">
        <f>'2.Лабораторія'!H617+'2.Лабораторія'!H622</f>
        <v>0</v>
      </c>
      <c r="K47" s="383">
        <f>'2.Лабораторія'!H618+'2.Лабораторія'!H623</f>
        <v>0</v>
      </c>
      <c r="L47" s="383">
        <f>'2.Лабораторія'!H619+'2.Лабораторія'!H624</f>
        <v>0.3</v>
      </c>
      <c r="M47" s="384">
        <f t="shared" si="3"/>
        <v>1.9500000000000002</v>
      </c>
      <c r="N47" s="384">
        <f t="shared" si="4"/>
        <v>29.92</v>
      </c>
      <c r="O47" s="383"/>
      <c r="P47" s="384">
        <f t="shared" si="5"/>
        <v>30</v>
      </c>
      <c r="Q47" s="384">
        <f>'2.Лабораторія'!F576</f>
        <v>30</v>
      </c>
      <c r="R47" s="384">
        <f t="shared" si="6"/>
        <v>0</v>
      </c>
      <c r="S47" s="384"/>
      <c r="T47" s="384"/>
      <c r="U47" s="384"/>
      <c r="V47" s="384"/>
      <c r="W47" s="384"/>
      <c r="X47" s="384"/>
      <c r="Y47" s="384"/>
      <c r="Z47" s="763" t="str">
        <f>'2.Лабораторія'!M19</f>
        <v>Аналіз крові на визначення групи та резусу</v>
      </c>
      <c r="AA47" s="764"/>
      <c r="AB47" s="755"/>
      <c r="AC47" s="748"/>
      <c r="AD47" s="748"/>
      <c r="AE47" s="748"/>
      <c r="AF47" s="748"/>
      <c r="AG47" s="748"/>
      <c r="AH47" s="748"/>
      <c r="AI47" s="748"/>
      <c r="AJ47" s="748"/>
      <c r="AK47" s="748"/>
      <c r="AL47" s="748"/>
      <c r="AM47" s="748"/>
      <c r="AN47" s="748"/>
      <c r="AO47" s="375"/>
      <c r="AP47" s="375"/>
      <c r="AQ47" s="375"/>
      <c r="AR47" s="375"/>
      <c r="AS47" s="375"/>
      <c r="AT47" s="375"/>
      <c r="AU47" s="375"/>
      <c r="AV47" s="375"/>
      <c r="AW47" s="375"/>
      <c r="AX47" s="375"/>
      <c r="AY47" s="375"/>
      <c r="AZ47" s="375"/>
      <c r="BA47" s="375"/>
      <c r="BB47" s="375"/>
      <c r="BC47" s="375"/>
      <c r="BD47" s="375"/>
      <c r="BE47" s="375"/>
      <c r="BF47" s="375"/>
      <c r="BG47" s="375"/>
      <c r="BH47" s="375"/>
      <c r="BI47" s="375"/>
      <c r="BJ47" s="375"/>
      <c r="BK47" s="375"/>
      <c r="BL47" s="375"/>
      <c r="BM47" s="375"/>
      <c r="BN47" s="375"/>
      <c r="BO47" s="375"/>
    </row>
    <row r="48" spans="1:67" s="6" customFormat="1" x14ac:dyDescent="0.45">
      <c r="A48" s="517"/>
      <c r="B48" s="381" t="s">
        <v>750</v>
      </c>
      <c r="C48" s="385" t="s">
        <v>754</v>
      </c>
      <c r="D48" s="383">
        <f>'2.Лабораторія'!F642+'2.Лабораторія'!F643</f>
        <v>13.43</v>
      </c>
      <c r="E48" s="383">
        <f>'2.Лабораторія'!F645</f>
        <v>2.95</v>
      </c>
      <c r="F48" s="383">
        <f>'2.Лабораторія'!G661</f>
        <v>12.419999999999998</v>
      </c>
      <c r="G48" s="383">
        <f>'2.Лабораторія'!H666</f>
        <v>0.52</v>
      </c>
      <c r="H48" s="384">
        <f t="shared" si="7"/>
        <v>29.319999999999997</v>
      </c>
      <c r="I48" s="383">
        <f>'2.Лабораторія'!H672+'2.Лабораторія'!H677</f>
        <v>1.4300000000000002</v>
      </c>
      <c r="J48" s="383">
        <f>'2.Лабораторія'!H673+'2.Лабораторія'!H678</f>
        <v>0</v>
      </c>
      <c r="K48" s="383">
        <f>'2.Лабораторія'!H674+'2.Лабораторія'!H679</f>
        <v>0</v>
      </c>
      <c r="L48" s="383">
        <f>'2.Лабораторія'!H675+'2.Лабораторія'!H680</f>
        <v>0.26</v>
      </c>
      <c r="M48" s="384">
        <f t="shared" si="3"/>
        <v>1.6900000000000002</v>
      </c>
      <c r="N48" s="384">
        <f t="shared" si="4"/>
        <v>31.009999999999998</v>
      </c>
      <c r="O48" s="383"/>
      <c r="P48" s="384">
        <f t="shared" si="5"/>
        <v>31</v>
      </c>
      <c r="Q48" s="384">
        <f>'2.Лабораторія'!F633</f>
        <v>31</v>
      </c>
      <c r="R48" s="384">
        <f t="shared" si="6"/>
        <v>0</v>
      </c>
      <c r="S48" s="384"/>
      <c r="T48" s="384"/>
      <c r="U48" s="384"/>
      <c r="V48" s="384"/>
      <c r="W48" s="384"/>
      <c r="X48" s="384"/>
      <c r="Y48" s="384"/>
      <c r="Z48" s="763" t="str">
        <f>'2.Лабораторія'!M20</f>
        <v>Біохімічні дослідження крові (ниркові проби)</v>
      </c>
      <c r="AA48" s="764"/>
      <c r="AB48" s="755"/>
      <c r="AC48" s="748"/>
      <c r="AD48" s="748"/>
      <c r="AE48" s="748"/>
      <c r="AF48" s="748"/>
      <c r="AG48" s="748"/>
      <c r="AH48" s="748"/>
      <c r="AI48" s="748"/>
      <c r="AJ48" s="748"/>
      <c r="AK48" s="748"/>
      <c r="AL48" s="748"/>
      <c r="AM48" s="748"/>
      <c r="AN48" s="748"/>
      <c r="AO48" s="375"/>
      <c r="AP48" s="375"/>
      <c r="AQ48" s="375"/>
      <c r="AR48" s="375"/>
      <c r="AS48" s="375"/>
      <c r="AT48" s="375"/>
      <c r="AU48" s="375"/>
      <c r="AV48" s="375"/>
      <c r="AW48" s="375"/>
      <c r="AX48" s="375"/>
      <c r="AY48" s="375"/>
      <c r="AZ48" s="375"/>
      <c r="BA48" s="375"/>
      <c r="BB48" s="375"/>
      <c r="BC48" s="375"/>
      <c r="BD48" s="375"/>
      <c r="BE48" s="375"/>
      <c r="BF48" s="375"/>
      <c r="BG48" s="375"/>
      <c r="BH48" s="375"/>
      <c r="BI48" s="375"/>
      <c r="BJ48" s="375"/>
      <c r="BK48" s="375"/>
      <c r="BL48" s="375"/>
      <c r="BM48" s="375"/>
      <c r="BN48" s="375"/>
      <c r="BO48" s="375"/>
    </row>
    <row r="49" spans="1:67" s="6" customFormat="1" x14ac:dyDescent="0.45">
      <c r="A49" s="517"/>
      <c r="B49" s="381" t="s">
        <v>752</v>
      </c>
      <c r="C49" s="385" t="s">
        <v>756</v>
      </c>
      <c r="D49" s="383">
        <f>'2.Лабораторія'!F698+'2.Лабораторія'!F699</f>
        <v>27.68</v>
      </c>
      <c r="E49" s="383">
        <f>'2.Лабораторія'!F701</f>
        <v>6.09</v>
      </c>
      <c r="F49" s="383">
        <f>'2.Лабораторія'!G719</f>
        <v>8.9700000000000024</v>
      </c>
      <c r="G49" s="383">
        <f>'2.Лабораторія'!H724</f>
        <v>1.1200000000000001</v>
      </c>
      <c r="H49" s="384">
        <f t="shared" si="7"/>
        <v>43.859999999999992</v>
      </c>
      <c r="I49" s="383">
        <f>'2.Лабораторія'!H730+'2.Лабораторія'!H735</f>
        <v>3.08</v>
      </c>
      <c r="J49" s="383">
        <f>'2.Лабораторія'!H731+'2.Лабораторія'!H736</f>
        <v>0</v>
      </c>
      <c r="K49" s="383">
        <f>'2.Лабораторія'!H732+'2.Лабораторія'!H737</f>
        <v>0</v>
      </c>
      <c r="L49" s="383">
        <f>'2.Лабораторія'!H733+'2.Лабораторія'!H738</f>
        <v>0.56000000000000005</v>
      </c>
      <c r="M49" s="384">
        <f t="shared" si="3"/>
        <v>3.64</v>
      </c>
      <c r="N49" s="384">
        <f t="shared" si="4"/>
        <v>47.499999999999993</v>
      </c>
      <c r="O49" s="383"/>
      <c r="P49" s="384">
        <f t="shared" si="5"/>
        <v>48</v>
      </c>
      <c r="Q49" s="384">
        <f>'2.Лабораторія'!F689</f>
        <v>48</v>
      </c>
      <c r="R49" s="384">
        <f t="shared" si="6"/>
        <v>0</v>
      </c>
      <c r="S49" s="384"/>
      <c r="T49" s="384"/>
      <c r="U49" s="384"/>
      <c r="V49" s="384"/>
      <c r="W49" s="384"/>
      <c r="X49" s="384"/>
      <c r="Y49" s="384"/>
      <c r="Z49" s="763" t="str">
        <f>'2.Лабораторія'!M21</f>
        <v>Біохімічні дослідження крові (печінкові проби)</v>
      </c>
      <c r="AA49" s="764"/>
      <c r="AB49" s="755"/>
      <c r="AC49" s="748"/>
      <c r="AD49" s="748"/>
      <c r="AE49" s="748"/>
      <c r="AF49" s="748"/>
      <c r="AG49" s="748"/>
      <c r="AH49" s="748"/>
      <c r="AI49" s="748"/>
      <c r="AJ49" s="748"/>
      <c r="AK49" s="748"/>
      <c r="AL49" s="748"/>
      <c r="AM49" s="748"/>
      <c r="AN49" s="748"/>
      <c r="AO49" s="375"/>
      <c r="AP49" s="375"/>
      <c r="AQ49" s="375"/>
      <c r="AR49" s="375"/>
      <c r="AS49" s="375"/>
      <c r="AT49" s="375"/>
      <c r="AU49" s="375"/>
      <c r="AV49" s="375"/>
      <c r="AW49" s="375"/>
      <c r="AX49" s="375"/>
      <c r="AY49" s="375"/>
      <c r="AZ49" s="375"/>
      <c r="BA49" s="375"/>
      <c r="BB49" s="375"/>
      <c r="BC49" s="375"/>
      <c r="BD49" s="375"/>
      <c r="BE49" s="375"/>
      <c r="BF49" s="375"/>
      <c r="BG49" s="375"/>
      <c r="BH49" s="375"/>
      <c r="BI49" s="375"/>
      <c r="BJ49" s="375"/>
      <c r="BK49" s="375"/>
      <c r="BL49" s="375"/>
      <c r="BM49" s="375"/>
      <c r="BN49" s="375"/>
      <c r="BO49" s="375"/>
    </row>
    <row r="50" spans="1:67" s="6" customFormat="1" x14ac:dyDescent="0.45">
      <c r="A50" s="517"/>
      <c r="B50" s="381" t="s">
        <v>753</v>
      </c>
      <c r="C50" s="385" t="s">
        <v>758</v>
      </c>
      <c r="D50" s="383">
        <f>'2.Лабораторія'!F756+'2.Лабораторія'!F757</f>
        <v>8.68</v>
      </c>
      <c r="E50" s="383">
        <f>'2.Лабораторія'!F759</f>
        <v>1.91</v>
      </c>
      <c r="F50" s="383">
        <f>'2.Лабораторія'!G776</f>
        <v>9.5400000000000009</v>
      </c>
      <c r="G50" s="383">
        <f>'2.Лабораторія'!H781</f>
        <v>0.32</v>
      </c>
      <c r="H50" s="384">
        <f t="shared" si="7"/>
        <v>20.450000000000003</v>
      </c>
      <c r="I50" s="383">
        <f>'2.Лабораторія'!H787+'2.Лабораторія'!H792</f>
        <v>0.88000000000000012</v>
      </c>
      <c r="J50" s="383">
        <f>'2.Лабораторія'!H788+'2.Лабораторія'!H793</f>
        <v>0</v>
      </c>
      <c r="K50" s="383">
        <f>'2.Лабораторія'!H789+'2.Лабораторія'!H794</f>
        <v>0</v>
      </c>
      <c r="L50" s="383">
        <f>'2.Лабораторія'!H790+'2.Лабораторія'!H795</f>
        <v>0.16</v>
      </c>
      <c r="M50" s="384">
        <f t="shared" si="3"/>
        <v>1.04</v>
      </c>
      <c r="N50" s="384">
        <f t="shared" si="4"/>
        <v>21.490000000000002</v>
      </c>
      <c r="O50" s="383"/>
      <c r="P50" s="384">
        <f t="shared" si="5"/>
        <v>21</v>
      </c>
      <c r="Q50" s="384">
        <f>'2.Лабораторія'!F747</f>
        <v>21</v>
      </c>
      <c r="R50" s="384">
        <f t="shared" si="6"/>
        <v>0</v>
      </c>
      <c r="S50" s="384"/>
      <c r="T50" s="384"/>
      <c r="U50" s="384"/>
      <c r="V50" s="384"/>
      <c r="W50" s="384"/>
      <c r="X50" s="384"/>
      <c r="Y50" s="384"/>
      <c r="Z50" s="763" t="str">
        <f>'2.Лабораторія'!M22</f>
        <v>Біохімічні дослідження крові (ревмо проби)</v>
      </c>
      <c r="AA50" s="764"/>
      <c r="AB50" s="755"/>
      <c r="AC50" s="748"/>
      <c r="AD50" s="748"/>
      <c r="AE50" s="748"/>
      <c r="AF50" s="748"/>
      <c r="AG50" s="748"/>
      <c r="AH50" s="748"/>
      <c r="AI50" s="748"/>
      <c r="AJ50" s="748"/>
      <c r="AK50" s="748"/>
      <c r="AL50" s="748"/>
      <c r="AM50" s="748"/>
      <c r="AN50" s="748"/>
      <c r="AO50" s="375"/>
      <c r="AP50" s="375"/>
      <c r="AQ50" s="375"/>
      <c r="AR50" s="375"/>
      <c r="AS50" s="375"/>
      <c r="AT50" s="375"/>
      <c r="AU50" s="375"/>
      <c r="AV50" s="375"/>
      <c r="AW50" s="375"/>
      <c r="AX50" s="375"/>
      <c r="AY50" s="375"/>
      <c r="AZ50" s="375"/>
      <c r="BA50" s="375"/>
      <c r="BB50" s="375"/>
      <c r="BC50" s="375"/>
      <c r="BD50" s="375"/>
      <c r="BE50" s="375"/>
      <c r="BF50" s="375"/>
      <c r="BG50" s="375"/>
      <c r="BH50" s="375"/>
      <c r="BI50" s="375"/>
      <c r="BJ50" s="375"/>
      <c r="BK50" s="375"/>
      <c r="BL50" s="375"/>
      <c r="BM50" s="375"/>
      <c r="BN50" s="375"/>
      <c r="BO50" s="375"/>
    </row>
    <row r="51" spans="1:67" s="6" customFormat="1" x14ac:dyDescent="0.45">
      <c r="A51" s="517"/>
      <c r="B51" s="381" t="s">
        <v>755</v>
      </c>
      <c r="C51" s="385" t="s">
        <v>760</v>
      </c>
      <c r="D51" s="383">
        <f>'2.Лабораторія'!F813+'2.Лабораторія'!F814</f>
        <v>17.23</v>
      </c>
      <c r="E51" s="383">
        <f>'2.Лабораторія'!F816</f>
        <v>3.79</v>
      </c>
      <c r="F51" s="383">
        <f>'2.Лабораторія'!G832</f>
        <v>13.01</v>
      </c>
      <c r="G51" s="383">
        <f>'2.Лабораторія'!H837</f>
        <v>0.68</v>
      </c>
      <c r="H51" s="384">
        <f t="shared" si="7"/>
        <v>34.71</v>
      </c>
      <c r="I51" s="383">
        <f>'2.Лабораторія'!H843+'2.Лабораторія'!H848</f>
        <v>1.87</v>
      </c>
      <c r="J51" s="383">
        <f>'2.Лабораторія'!H844+'2.Лабораторія'!H849</f>
        <v>0</v>
      </c>
      <c r="K51" s="383">
        <f>'2.Лабораторія'!H845+'2.Лабораторія'!H850</f>
        <v>0</v>
      </c>
      <c r="L51" s="383">
        <f>'2.Лабораторія'!H846+'2.Лабораторія'!H851</f>
        <v>0.34</v>
      </c>
      <c r="M51" s="384">
        <f t="shared" si="3"/>
        <v>2.21</v>
      </c>
      <c r="N51" s="384">
        <f t="shared" si="4"/>
        <v>36.92</v>
      </c>
      <c r="O51" s="383"/>
      <c r="P51" s="384">
        <f t="shared" si="5"/>
        <v>37</v>
      </c>
      <c r="Q51" s="384">
        <f>'2.Лабораторія'!F804</f>
        <v>37</v>
      </c>
      <c r="R51" s="384">
        <f t="shared" si="6"/>
        <v>0</v>
      </c>
      <c r="S51" s="384"/>
      <c r="T51" s="384"/>
      <c r="U51" s="384"/>
      <c r="V51" s="384"/>
      <c r="W51" s="384"/>
      <c r="X51" s="384"/>
      <c r="Y51" s="384"/>
      <c r="Z51" s="763" t="str">
        <f>'2.Лабораторія'!M23</f>
        <v>Біохімічні дослідження крові (Ліпідограма)</v>
      </c>
      <c r="AA51" s="764"/>
      <c r="AB51" s="755"/>
      <c r="AC51" s="748"/>
      <c r="AD51" s="748"/>
      <c r="AE51" s="748"/>
      <c r="AF51" s="748"/>
      <c r="AG51" s="748"/>
      <c r="AH51" s="748"/>
      <c r="AI51" s="748"/>
      <c r="AJ51" s="748"/>
      <c r="AK51" s="748"/>
      <c r="AL51" s="748"/>
      <c r="AM51" s="748"/>
      <c r="AN51" s="748"/>
      <c r="AO51" s="375"/>
      <c r="AP51" s="375"/>
      <c r="AQ51" s="375"/>
      <c r="AR51" s="375"/>
      <c r="AS51" s="375"/>
      <c r="AT51" s="375"/>
      <c r="AU51" s="375"/>
      <c r="AV51" s="375"/>
      <c r="AW51" s="375"/>
      <c r="AX51" s="375"/>
      <c r="AY51" s="375"/>
      <c r="AZ51" s="375"/>
      <c r="BA51" s="375"/>
      <c r="BB51" s="375"/>
      <c r="BC51" s="375"/>
      <c r="BD51" s="375"/>
      <c r="BE51" s="375"/>
      <c r="BF51" s="375"/>
      <c r="BG51" s="375"/>
      <c r="BH51" s="375"/>
      <c r="BI51" s="375"/>
      <c r="BJ51" s="375"/>
      <c r="BK51" s="375"/>
      <c r="BL51" s="375"/>
      <c r="BM51" s="375"/>
      <c r="BN51" s="375"/>
      <c r="BO51" s="375"/>
    </row>
    <row r="52" spans="1:67" s="6" customFormat="1" x14ac:dyDescent="0.45">
      <c r="A52" s="517"/>
      <c r="B52" s="381" t="s">
        <v>757</v>
      </c>
      <c r="C52" s="385" t="s">
        <v>762</v>
      </c>
      <c r="D52" s="383">
        <f>'2.Лабораторія'!F869+'2.Лабораторія'!F870</f>
        <v>34.18</v>
      </c>
      <c r="E52" s="383">
        <f>'2.Лабораторія'!F872</f>
        <v>7.52</v>
      </c>
      <c r="F52" s="383">
        <f>'2.Лабораторія'!G890</f>
        <v>7.5200000000000005</v>
      </c>
      <c r="G52" s="383">
        <f>'2.Лабораторія'!H895</f>
        <v>1.06</v>
      </c>
      <c r="H52" s="384">
        <f t="shared" si="7"/>
        <v>50.280000000000008</v>
      </c>
      <c r="I52" s="383">
        <f>'2.Лабораторія'!H901+'2.Лабораторія'!H906</f>
        <v>2.92</v>
      </c>
      <c r="J52" s="383">
        <f>'2.Лабораторія'!H902+'2.Лабораторія'!H907</f>
        <v>0</v>
      </c>
      <c r="K52" s="383">
        <f>'2.Лабораторія'!H903+'2.Лабораторія'!H908</f>
        <v>0</v>
      </c>
      <c r="L52" s="383">
        <f>'2.Лабораторія'!H904+'2.Лабораторія'!H909</f>
        <v>0.53</v>
      </c>
      <c r="M52" s="384">
        <f t="shared" si="3"/>
        <v>3.45</v>
      </c>
      <c r="N52" s="384">
        <f t="shared" si="4"/>
        <v>53.730000000000011</v>
      </c>
      <c r="O52" s="383"/>
      <c r="P52" s="384">
        <f t="shared" si="5"/>
        <v>54</v>
      </c>
      <c r="Q52" s="384">
        <f>'2.Лабораторія'!F860</f>
        <v>54</v>
      </c>
      <c r="R52" s="384">
        <f t="shared" si="6"/>
        <v>0</v>
      </c>
      <c r="S52" s="384"/>
      <c r="T52" s="384"/>
      <c r="U52" s="384"/>
      <c r="V52" s="384"/>
      <c r="W52" s="384"/>
      <c r="X52" s="384"/>
      <c r="Y52" s="384"/>
      <c r="Z52" s="763" t="str">
        <f>'2.Лабораторія'!M24</f>
        <v>Біохімічні дослідження крові (Коагулогрмаа)</v>
      </c>
      <c r="AA52" s="764"/>
      <c r="AB52" s="755"/>
      <c r="AC52" s="748"/>
      <c r="AD52" s="748"/>
      <c r="AE52" s="748"/>
      <c r="AF52" s="748"/>
      <c r="AG52" s="748"/>
      <c r="AH52" s="748"/>
      <c r="AI52" s="748"/>
      <c r="AJ52" s="748"/>
      <c r="AK52" s="748"/>
      <c r="AL52" s="748"/>
      <c r="AM52" s="748"/>
      <c r="AN52" s="748"/>
      <c r="AO52" s="375"/>
      <c r="AP52" s="375"/>
      <c r="AQ52" s="375"/>
      <c r="AR52" s="375"/>
      <c r="AS52" s="375"/>
      <c r="AT52" s="375"/>
      <c r="AU52" s="375"/>
      <c r="AV52" s="375"/>
      <c r="AW52" s="375"/>
      <c r="AX52" s="375"/>
      <c r="AY52" s="375"/>
      <c r="AZ52" s="375"/>
      <c r="BA52" s="375"/>
      <c r="BB52" s="375"/>
      <c r="BC52" s="375"/>
      <c r="BD52" s="375"/>
      <c r="BE52" s="375"/>
      <c r="BF52" s="375"/>
      <c r="BG52" s="375"/>
      <c r="BH52" s="375"/>
      <c r="BI52" s="375"/>
      <c r="BJ52" s="375"/>
      <c r="BK52" s="375"/>
      <c r="BL52" s="375"/>
      <c r="BM52" s="375"/>
      <c r="BN52" s="375"/>
      <c r="BO52" s="375"/>
    </row>
    <row r="53" spans="1:67" s="6" customFormat="1" x14ac:dyDescent="0.45">
      <c r="A53" s="517"/>
      <c r="B53" s="381" t="s">
        <v>759</v>
      </c>
      <c r="C53" s="385" t="s">
        <v>764</v>
      </c>
      <c r="D53" s="383">
        <f>'2.Лабораторія'!F927+'2.Лабораторія'!F928</f>
        <v>22.93</v>
      </c>
      <c r="E53" s="383">
        <f>'2.Лабораторія'!F930</f>
        <v>5.04</v>
      </c>
      <c r="F53" s="383">
        <f>'2.Лабораторія'!G945</f>
        <v>7.67</v>
      </c>
      <c r="G53" s="383">
        <f>'2.Лабораторія'!H950</f>
        <v>0.92</v>
      </c>
      <c r="H53" s="384">
        <f t="shared" si="7"/>
        <v>36.56</v>
      </c>
      <c r="I53" s="383">
        <f>'2.Лабораторія'!H956+'2.Лабораторія'!H961</f>
        <v>2.5300000000000002</v>
      </c>
      <c r="J53" s="383">
        <f>'2.Лабораторія'!H957+'2.Лабораторія'!H962</f>
        <v>0</v>
      </c>
      <c r="K53" s="383">
        <f>'2.Лабораторія'!H958+'2.Лабораторія'!H963</f>
        <v>0</v>
      </c>
      <c r="L53" s="383">
        <f>'2.Лабораторія'!H959+'2.Лабораторія'!H964</f>
        <v>0.46</v>
      </c>
      <c r="M53" s="384">
        <f t="shared" si="3"/>
        <v>2.99</v>
      </c>
      <c r="N53" s="384">
        <f t="shared" si="4"/>
        <v>39.550000000000004</v>
      </c>
      <c r="O53" s="383"/>
      <c r="P53" s="384">
        <f t="shared" si="5"/>
        <v>40</v>
      </c>
      <c r="Q53" s="384">
        <f>'2.Лабораторія'!F918</f>
        <v>40</v>
      </c>
      <c r="R53" s="384">
        <f t="shared" si="6"/>
        <v>0</v>
      </c>
      <c r="S53" s="384"/>
      <c r="T53" s="384"/>
      <c r="U53" s="384"/>
      <c r="V53" s="384"/>
      <c r="W53" s="384"/>
      <c r="X53" s="384"/>
      <c r="Y53" s="384"/>
      <c r="Z53" s="763" t="str">
        <f>'2.Лабораторія'!M25</f>
        <v>Біохімічні дослідження крові (Сечова кислота)</v>
      </c>
      <c r="AA53" s="764"/>
      <c r="AB53" s="755"/>
      <c r="AC53" s="748"/>
      <c r="AD53" s="748"/>
      <c r="AE53" s="748"/>
      <c r="AF53" s="748"/>
      <c r="AG53" s="748"/>
      <c r="AH53" s="748"/>
      <c r="AI53" s="748"/>
      <c r="AJ53" s="748"/>
      <c r="AK53" s="748"/>
      <c r="AL53" s="748"/>
      <c r="AM53" s="748"/>
      <c r="AN53" s="748"/>
      <c r="AO53" s="375"/>
      <c r="AP53" s="375"/>
      <c r="AQ53" s="375"/>
      <c r="AR53" s="375"/>
      <c r="AS53" s="375"/>
      <c r="AT53" s="375"/>
      <c r="AU53" s="375"/>
      <c r="AV53" s="375"/>
      <c r="AW53" s="375"/>
      <c r="AX53" s="375"/>
      <c r="AY53" s="375"/>
      <c r="AZ53" s="375"/>
      <c r="BA53" s="375"/>
      <c r="BB53" s="375"/>
      <c r="BC53" s="375"/>
      <c r="BD53" s="375"/>
      <c r="BE53" s="375"/>
      <c r="BF53" s="375"/>
      <c r="BG53" s="375"/>
      <c r="BH53" s="375"/>
      <c r="BI53" s="375"/>
      <c r="BJ53" s="375"/>
      <c r="BK53" s="375"/>
      <c r="BL53" s="375"/>
      <c r="BM53" s="375"/>
      <c r="BN53" s="375"/>
      <c r="BO53" s="375"/>
    </row>
    <row r="54" spans="1:67" s="6" customFormat="1" x14ac:dyDescent="0.45">
      <c r="A54" s="517"/>
      <c r="B54" s="381" t="s">
        <v>761</v>
      </c>
      <c r="C54" s="385" t="s">
        <v>766</v>
      </c>
      <c r="D54" s="383">
        <f>'2.Лабораторія'!F982+'2.Лабораторія'!F983</f>
        <v>15.33</v>
      </c>
      <c r="E54" s="383">
        <f>'2.Лабораторія'!F985</f>
        <v>3.37</v>
      </c>
      <c r="F54" s="383">
        <f>'2.Лабораторія'!G1000</f>
        <v>18.490000000000002</v>
      </c>
      <c r="G54" s="383">
        <f>'2.Лабораторія'!H1005</f>
        <v>0.6</v>
      </c>
      <c r="H54" s="384">
        <f t="shared" si="7"/>
        <v>37.79</v>
      </c>
      <c r="I54" s="383">
        <f>'2.Лабораторія'!H1011+'2.Лабораторія'!H1016</f>
        <v>1.6500000000000001</v>
      </c>
      <c r="J54" s="383">
        <f>'2.Лабораторія'!H1012+'2.Лабораторія'!H1017</f>
        <v>0</v>
      </c>
      <c r="K54" s="383">
        <f>'2.Лабораторія'!H1013+'2.Лабораторія'!H1018</f>
        <v>0</v>
      </c>
      <c r="L54" s="383">
        <f>'2.Лабораторія'!H1014+'2.Лабораторія'!H1019</f>
        <v>0.3</v>
      </c>
      <c r="M54" s="384">
        <f t="shared" si="3"/>
        <v>1.9500000000000002</v>
      </c>
      <c r="N54" s="384">
        <f t="shared" si="4"/>
        <v>39.74</v>
      </c>
      <c r="O54" s="383"/>
      <c r="P54" s="384">
        <f t="shared" si="5"/>
        <v>40</v>
      </c>
      <c r="Q54" s="384">
        <f>'2.Лабораторія'!F973</f>
        <v>40</v>
      </c>
      <c r="R54" s="384">
        <f t="shared" si="6"/>
        <v>0</v>
      </c>
      <c r="S54" s="384"/>
      <c r="T54" s="384"/>
      <c r="U54" s="384"/>
      <c r="V54" s="384"/>
      <c r="W54" s="384"/>
      <c r="X54" s="384"/>
      <c r="Y54" s="384"/>
      <c r="Z54" s="763" t="str">
        <f>'2.Лабораторія'!M26</f>
        <v>Біохімічні дослідження крові (Електроліти)</v>
      </c>
      <c r="AA54" s="764"/>
      <c r="AB54" s="755"/>
      <c r="AC54" s="748"/>
      <c r="AD54" s="748"/>
      <c r="AE54" s="748"/>
      <c r="AF54" s="748"/>
      <c r="AG54" s="748"/>
      <c r="AH54" s="748"/>
      <c r="AI54" s="748"/>
      <c r="AJ54" s="748"/>
      <c r="AK54" s="748"/>
      <c r="AL54" s="748"/>
      <c r="AM54" s="748"/>
      <c r="AN54" s="748"/>
      <c r="AO54" s="375"/>
      <c r="AP54" s="375"/>
      <c r="AQ54" s="375"/>
      <c r="AR54" s="375"/>
      <c r="AS54" s="375"/>
      <c r="AT54" s="375"/>
      <c r="AU54" s="375"/>
      <c r="AV54" s="375"/>
      <c r="AW54" s="375"/>
      <c r="AX54" s="375"/>
      <c r="AY54" s="375"/>
      <c r="AZ54" s="375"/>
      <c r="BA54" s="375"/>
      <c r="BB54" s="375"/>
      <c r="BC54" s="375"/>
      <c r="BD54" s="375"/>
      <c r="BE54" s="375"/>
      <c r="BF54" s="375"/>
      <c r="BG54" s="375"/>
      <c r="BH54" s="375"/>
      <c r="BI54" s="375"/>
      <c r="BJ54" s="375"/>
      <c r="BK54" s="375"/>
      <c r="BL54" s="375"/>
      <c r="BM54" s="375"/>
      <c r="BN54" s="375"/>
      <c r="BO54" s="375"/>
    </row>
    <row r="55" spans="1:67" s="6" customFormat="1" x14ac:dyDescent="0.45">
      <c r="A55" s="517"/>
      <c r="B55" s="381" t="s">
        <v>763</v>
      </c>
      <c r="C55" s="385" t="s">
        <v>768</v>
      </c>
      <c r="D55" s="383">
        <f>'2.Лабораторія'!F1037+'2.Лабораторія'!F1038</f>
        <v>11.53</v>
      </c>
      <c r="E55" s="383">
        <f>'2.Лабораторія'!F1040</f>
        <v>2.54</v>
      </c>
      <c r="F55" s="383">
        <f>'2.Лабораторія'!G1055</f>
        <v>8.34</v>
      </c>
      <c r="G55" s="383">
        <f>'2.Лабораторія'!H1060</f>
        <v>0.44</v>
      </c>
      <c r="H55" s="384">
        <f t="shared" si="7"/>
        <v>22.85</v>
      </c>
      <c r="I55" s="383">
        <f>'2.Лабораторія'!H1066+'2.Лабораторія'!H1071</f>
        <v>1.21</v>
      </c>
      <c r="J55" s="383">
        <f>'2.Лабораторія'!H1067+'2.Лабораторія'!H1072</f>
        <v>0</v>
      </c>
      <c r="K55" s="383">
        <f>'2.Лабораторія'!H1068+'2.Лабораторія'!H1073</f>
        <v>0</v>
      </c>
      <c r="L55" s="383">
        <f>'2.Лабораторія'!H1069+'2.Лабораторія'!H1074</f>
        <v>0.22</v>
      </c>
      <c r="M55" s="384">
        <f t="shared" si="3"/>
        <v>1.43</v>
      </c>
      <c r="N55" s="384">
        <f t="shared" si="4"/>
        <v>24.28</v>
      </c>
      <c r="O55" s="383"/>
      <c r="P55" s="384">
        <f t="shared" si="5"/>
        <v>24</v>
      </c>
      <c r="Q55" s="384">
        <f>'2.Лабораторія'!F1028</f>
        <v>24</v>
      </c>
      <c r="R55" s="384">
        <f t="shared" si="6"/>
        <v>0</v>
      </c>
      <c r="S55" s="384"/>
      <c r="T55" s="384"/>
      <c r="U55" s="384"/>
      <c r="V55" s="384"/>
      <c r="W55" s="384"/>
      <c r="X55" s="384"/>
      <c r="Y55" s="384"/>
      <c r="Z55" s="763" t="str">
        <f>'2.Лабораторія'!M27</f>
        <v>Біохімічні дослідження крові (ГГТ)</v>
      </c>
      <c r="AA55" s="764"/>
      <c r="AB55" s="755"/>
      <c r="AC55" s="748"/>
      <c r="AD55" s="748"/>
      <c r="AE55" s="748"/>
      <c r="AF55" s="748"/>
      <c r="AG55" s="748"/>
      <c r="AH55" s="748"/>
      <c r="AI55" s="748"/>
      <c r="AJ55" s="748"/>
      <c r="AK55" s="748"/>
      <c r="AL55" s="748"/>
      <c r="AM55" s="748"/>
      <c r="AN55" s="748"/>
      <c r="AO55" s="375"/>
      <c r="AP55" s="375"/>
      <c r="AQ55" s="375"/>
      <c r="AR55" s="375"/>
      <c r="AS55" s="375"/>
      <c r="AT55" s="375"/>
      <c r="AU55" s="375"/>
      <c r="AV55" s="375"/>
      <c r="AW55" s="375"/>
      <c r="AX55" s="375"/>
      <c r="AY55" s="375"/>
      <c r="AZ55" s="375"/>
      <c r="BA55" s="375"/>
      <c r="BB55" s="375"/>
      <c r="BC55" s="375"/>
      <c r="BD55" s="375"/>
      <c r="BE55" s="375"/>
      <c r="BF55" s="375"/>
      <c r="BG55" s="375"/>
      <c r="BH55" s="375"/>
      <c r="BI55" s="375"/>
      <c r="BJ55" s="375"/>
      <c r="BK55" s="375"/>
      <c r="BL55" s="375"/>
      <c r="BM55" s="375"/>
      <c r="BN55" s="375"/>
      <c r="BO55" s="375"/>
    </row>
    <row r="56" spans="1:67" s="6" customFormat="1" x14ac:dyDescent="0.45">
      <c r="A56" s="517"/>
      <c r="B56" s="381" t="s">
        <v>765</v>
      </c>
      <c r="C56" s="385" t="s">
        <v>770</v>
      </c>
      <c r="D56" s="383">
        <f>'2.Лабораторія'!F1092+'2.Лабораторія'!F1093</f>
        <v>11.53</v>
      </c>
      <c r="E56" s="383">
        <f>'2.Лабораторія'!F1095</f>
        <v>2.54</v>
      </c>
      <c r="F56" s="383">
        <f>'2.Лабораторія'!G1111</f>
        <v>8.61</v>
      </c>
      <c r="G56" s="383">
        <f>'2.Лабораторія'!H1116</f>
        <v>0.44</v>
      </c>
      <c r="H56" s="384">
        <f t="shared" si="7"/>
        <v>23.12</v>
      </c>
      <c r="I56" s="383">
        <f>'2.Лабораторія'!H1122+'2.Лабораторія'!H1127</f>
        <v>1.21</v>
      </c>
      <c r="J56" s="383">
        <f>'2.Лабораторія'!H1123+'2.Лабораторія'!H1128</f>
        <v>0</v>
      </c>
      <c r="K56" s="383">
        <f>'2.Лабораторія'!H1124+'2.Лабораторія'!H1129</f>
        <v>0</v>
      </c>
      <c r="L56" s="383">
        <f>'2.Лабораторія'!H1125+'2.Лабораторія'!H1130</f>
        <v>0.22</v>
      </c>
      <c r="M56" s="384">
        <f t="shared" si="3"/>
        <v>1.43</v>
      </c>
      <c r="N56" s="384">
        <f t="shared" si="4"/>
        <v>24.55</v>
      </c>
      <c r="O56" s="383"/>
      <c r="P56" s="384">
        <f t="shared" si="5"/>
        <v>25</v>
      </c>
      <c r="Q56" s="384">
        <f>'2.Лабораторія'!F1083</f>
        <v>25</v>
      </c>
      <c r="R56" s="384">
        <f t="shared" si="6"/>
        <v>0</v>
      </c>
      <c r="S56" s="384"/>
      <c r="T56" s="384"/>
      <c r="U56" s="384"/>
      <c r="V56" s="384"/>
      <c r="W56" s="384"/>
      <c r="X56" s="384"/>
      <c r="Y56" s="384"/>
      <c r="Z56" s="763" t="str">
        <f>'2.Лабораторія'!M28</f>
        <v>Мікрореакція преципітації для діагностики сифілісу</v>
      </c>
      <c r="AA56" s="764"/>
      <c r="AB56" s="755"/>
      <c r="AC56" s="748"/>
      <c r="AD56" s="748"/>
      <c r="AE56" s="748"/>
      <c r="AF56" s="748"/>
      <c r="AG56" s="748"/>
      <c r="AH56" s="748"/>
      <c r="AI56" s="748"/>
      <c r="AJ56" s="748"/>
      <c r="AK56" s="748"/>
      <c r="AL56" s="748"/>
      <c r="AM56" s="748"/>
      <c r="AN56" s="748"/>
      <c r="AO56" s="375"/>
      <c r="AP56" s="375"/>
      <c r="AQ56" s="375"/>
      <c r="AR56" s="375"/>
      <c r="AS56" s="375"/>
      <c r="AT56" s="375"/>
      <c r="AU56" s="375"/>
      <c r="AV56" s="375"/>
      <c r="AW56" s="375"/>
      <c r="AX56" s="375"/>
      <c r="AY56" s="375"/>
      <c r="AZ56" s="375"/>
      <c r="BA56" s="375"/>
      <c r="BB56" s="375"/>
      <c r="BC56" s="375"/>
      <c r="BD56" s="375"/>
      <c r="BE56" s="375"/>
      <c r="BF56" s="375"/>
      <c r="BG56" s="375"/>
      <c r="BH56" s="375"/>
      <c r="BI56" s="375"/>
      <c r="BJ56" s="375"/>
      <c r="BK56" s="375"/>
      <c r="BL56" s="375"/>
      <c r="BM56" s="375"/>
      <c r="BN56" s="375"/>
      <c r="BO56" s="375"/>
    </row>
    <row r="57" spans="1:67" s="414" customFormat="1" x14ac:dyDescent="0.45">
      <c r="A57" s="519"/>
      <c r="B57" s="397" t="s">
        <v>767</v>
      </c>
      <c r="C57" s="382" t="s">
        <v>772</v>
      </c>
      <c r="D57" s="398">
        <f>'2.Лабораторія'!F1148+'2.Лабораторія'!F1149</f>
        <v>34.18</v>
      </c>
      <c r="E57" s="398">
        <f>'2.Лабораторія'!F1151</f>
        <v>7.52</v>
      </c>
      <c r="F57" s="398">
        <f>'2.Лабораторія'!G1168</f>
        <v>32.5</v>
      </c>
      <c r="G57" s="398">
        <f>'2.Лабораторія'!H1173</f>
        <v>1.06</v>
      </c>
      <c r="H57" s="399">
        <f t="shared" si="7"/>
        <v>75.260000000000005</v>
      </c>
      <c r="I57" s="398">
        <f>'2.Лабораторія'!H1179+'2.Лабораторія'!H1184</f>
        <v>2.92</v>
      </c>
      <c r="J57" s="398">
        <f>'2.Лабораторія'!H1180+'2.Лабораторія'!H1185</f>
        <v>0</v>
      </c>
      <c r="K57" s="398">
        <f>'2.Лабораторія'!H1181+'2.Лабораторія'!H1186</f>
        <v>0</v>
      </c>
      <c r="L57" s="398">
        <f>'2.Лабораторія'!H1182+'2.Лабораторія'!H1187</f>
        <v>0.53</v>
      </c>
      <c r="M57" s="399">
        <f t="shared" si="3"/>
        <v>3.45</v>
      </c>
      <c r="N57" s="399">
        <f t="shared" si="4"/>
        <v>78.710000000000008</v>
      </c>
      <c r="O57" s="398"/>
      <c r="P57" s="384">
        <f t="shared" si="5"/>
        <v>79</v>
      </c>
      <c r="Q57" s="399">
        <f>'2.Лабораторія'!F1139</f>
        <v>79</v>
      </c>
      <c r="R57" s="399">
        <f t="shared" si="6"/>
        <v>0</v>
      </c>
      <c r="S57" s="399"/>
      <c r="T57" s="399"/>
      <c r="U57" s="399"/>
      <c r="V57" s="399"/>
      <c r="W57" s="399"/>
      <c r="X57" s="399"/>
      <c r="Y57" s="399"/>
      <c r="Z57" s="765" t="str">
        <f>'2.Лабораторія'!M29</f>
        <v xml:space="preserve">Дослідження крові на сифіліс </v>
      </c>
      <c r="AA57" s="766"/>
      <c r="AB57" s="761"/>
      <c r="AC57" s="750"/>
      <c r="AD57" s="750"/>
      <c r="AE57" s="750"/>
      <c r="AF57" s="750"/>
      <c r="AG57" s="750"/>
      <c r="AH57" s="750"/>
      <c r="AI57" s="750"/>
      <c r="AJ57" s="750"/>
      <c r="AK57" s="750"/>
      <c r="AL57" s="750"/>
      <c r="AM57" s="750"/>
      <c r="AN57" s="750"/>
      <c r="AO57" s="413"/>
      <c r="AP57" s="413"/>
      <c r="AQ57" s="413"/>
      <c r="AR57" s="413"/>
      <c r="AS57" s="413"/>
      <c r="AT57" s="413"/>
      <c r="AU57" s="413"/>
      <c r="AV57" s="413"/>
      <c r="AW57" s="413"/>
      <c r="AX57" s="413"/>
      <c r="AY57" s="413"/>
      <c r="AZ57" s="413"/>
      <c r="BA57" s="413"/>
      <c r="BB57" s="413"/>
      <c r="BC57" s="413"/>
      <c r="BD57" s="413"/>
      <c r="BE57" s="413"/>
      <c r="BF57" s="413"/>
      <c r="BG57" s="413"/>
      <c r="BH57" s="413"/>
      <c r="BI57" s="413"/>
      <c r="BJ57" s="413"/>
      <c r="BK57" s="413"/>
      <c r="BL57" s="413"/>
      <c r="BM57" s="413"/>
      <c r="BN57" s="413"/>
      <c r="BO57" s="413"/>
    </row>
    <row r="58" spans="1:67" s="6" customFormat="1" x14ac:dyDescent="0.45">
      <c r="A58" s="517"/>
      <c r="B58" s="381" t="s">
        <v>769</v>
      </c>
      <c r="C58" s="385" t="s">
        <v>774</v>
      </c>
      <c r="D58" s="383">
        <f>'2.Лабораторія'!F1205+'2.Лабораторія'!F1206</f>
        <v>8.68</v>
      </c>
      <c r="E58" s="383">
        <f>'2.Лабораторія'!F1208</f>
        <v>1.91</v>
      </c>
      <c r="F58" s="383">
        <f>'2.Лабораторія'!G1222</f>
        <v>4.5</v>
      </c>
      <c r="G58" s="383">
        <f>'2.Лабораторія'!H1227</f>
        <v>0.32</v>
      </c>
      <c r="H58" s="384">
        <f t="shared" si="7"/>
        <v>15.41</v>
      </c>
      <c r="I58" s="383">
        <f>'2.Лабораторія'!H1233+'2.Лабораторія'!H1238</f>
        <v>0.88000000000000012</v>
      </c>
      <c r="J58" s="383">
        <f>'2.Лабораторія'!H1234+'2.Лабораторія'!H1239</f>
        <v>0</v>
      </c>
      <c r="K58" s="383">
        <f>'2.Лабораторія'!H1235+'2.Лабораторія'!H1240</f>
        <v>0</v>
      </c>
      <c r="L58" s="383">
        <f>'2.Лабораторія'!H1236+'2.Лабораторія'!H1241</f>
        <v>0.16</v>
      </c>
      <c r="M58" s="384">
        <f t="shared" si="3"/>
        <v>1.04</v>
      </c>
      <c r="N58" s="384">
        <f t="shared" si="4"/>
        <v>16.45</v>
      </c>
      <c r="O58" s="383"/>
      <c r="P58" s="384">
        <f t="shared" si="5"/>
        <v>16</v>
      </c>
      <c r="Q58" s="384">
        <f>'2.Лабораторія'!F1196</f>
        <v>16</v>
      </c>
      <c r="R58" s="384">
        <f t="shared" si="6"/>
        <v>0</v>
      </c>
      <c r="S58" s="384"/>
      <c r="T58" s="384"/>
      <c r="U58" s="384"/>
      <c r="V58" s="384"/>
      <c r="W58" s="384"/>
      <c r="X58" s="384"/>
      <c r="Y58" s="384"/>
      <c r="Z58" s="763" t="str">
        <f>'2.Лабораторія'!M30</f>
        <v>Мазок на флору</v>
      </c>
      <c r="AA58" s="764"/>
      <c r="AB58" s="755"/>
      <c r="AC58" s="748"/>
      <c r="AD58" s="748"/>
      <c r="AE58" s="748"/>
      <c r="AF58" s="748"/>
      <c r="AG58" s="748"/>
      <c r="AH58" s="748"/>
      <c r="AI58" s="748"/>
      <c r="AJ58" s="748"/>
      <c r="AK58" s="748"/>
      <c r="AL58" s="748"/>
      <c r="AM58" s="748"/>
      <c r="AN58" s="748"/>
      <c r="AO58" s="375"/>
      <c r="AP58" s="375"/>
      <c r="AQ58" s="375"/>
      <c r="AR58" s="375"/>
      <c r="AS58" s="375"/>
      <c r="AT58" s="375"/>
      <c r="AU58" s="375"/>
      <c r="AV58" s="375"/>
      <c r="AW58" s="375"/>
      <c r="AX58" s="375"/>
      <c r="AY58" s="375"/>
      <c r="AZ58" s="375"/>
      <c r="BA58" s="375"/>
      <c r="BB58" s="375"/>
      <c r="BC58" s="375"/>
      <c r="BD58" s="375"/>
      <c r="BE58" s="375"/>
      <c r="BF58" s="375"/>
      <c r="BG58" s="375"/>
      <c r="BH58" s="375"/>
      <c r="BI58" s="375"/>
      <c r="BJ58" s="375"/>
      <c r="BK58" s="375"/>
      <c r="BL58" s="375"/>
      <c r="BM58" s="375"/>
      <c r="BN58" s="375"/>
      <c r="BO58" s="375"/>
    </row>
    <row r="59" spans="1:67" s="6" customFormat="1" x14ac:dyDescent="0.45">
      <c r="A59" s="517"/>
      <c r="B59" s="381" t="s">
        <v>771</v>
      </c>
      <c r="C59" s="385" t="s">
        <v>776</v>
      </c>
      <c r="D59" s="383">
        <f>'2.Лабораторія'!F1259+'2.Лабораторія'!F1260</f>
        <v>13.43</v>
      </c>
      <c r="E59" s="383">
        <f>'2.Лабораторія'!F1262</f>
        <v>2.95</v>
      </c>
      <c r="F59" s="383">
        <f>'2.Лабораторія'!G1275</f>
        <v>4.3699999999999992</v>
      </c>
      <c r="G59" s="383">
        <f>'2.Лабораторія'!H1280</f>
        <v>0.52</v>
      </c>
      <c r="H59" s="384">
        <f t="shared" si="7"/>
        <v>21.27</v>
      </c>
      <c r="I59" s="383">
        <f>'2.Лабораторія'!H1286+'2.Лабораторія'!H1291</f>
        <v>1.4300000000000002</v>
      </c>
      <c r="J59" s="383">
        <f>'2.Лабораторія'!H1287+'2.Лабораторія'!H1292</f>
        <v>0</v>
      </c>
      <c r="K59" s="383">
        <f>'2.Лабораторія'!H1288+'2.Лабораторія'!H1293</f>
        <v>0</v>
      </c>
      <c r="L59" s="383">
        <f>'2.Лабораторія'!H1289+'2.Лабораторія'!H1294</f>
        <v>0.26</v>
      </c>
      <c r="M59" s="384">
        <f t="shared" si="3"/>
        <v>1.6900000000000002</v>
      </c>
      <c r="N59" s="384">
        <f t="shared" si="4"/>
        <v>22.96</v>
      </c>
      <c r="O59" s="383"/>
      <c r="P59" s="384">
        <f t="shared" si="5"/>
        <v>23</v>
      </c>
      <c r="Q59" s="384">
        <f>'2.Лабораторія'!F1250</f>
        <v>23</v>
      </c>
      <c r="R59" s="384">
        <f t="shared" si="6"/>
        <v>0</v>
      </c>
      <c r="S59" s="384"/>
      <c r="T59" s="384"/>
      <c r="U59" s="384"/>
      <c r="V59" s="384"/>
      <c r="W59" s="384"/>
      <c r="X59" s="384"/>
      <c r="Y59" s="384"/>
      <c r="Z59" s="763" t="str">
        <f>'2.Лабораторія'!M31</f>
        <v>Зішкрібок на хламідії</v>
      </c>
      <c r="AA59" s="764"/>
      <c r="AB59" s="755"/>
      <c r="AC59" s="748"/>
      <c r="AD59" s="748"/>
      <c r="AE59" s="748"/>
      <c r="AF59" s="748"/>
      <c r="AG59" s="748"/>
      <c r="AH59" s="748"/>
      <c r="AI59" s="748"/>
      <c r="AJ59" s="748"/>
      <c r="AK59" s="748"/>
      <c r="AL59" s="748"/>
      <c r="AM59" s="748"/>
      <c r="AN59" s="748"/>
      <c r="AO59" s="375"/>
      <c r="AP59" s="375"/>
      <c r="AQ59" s="375"/>
      <c r="AR59" s="375"/>
      <c r="AS59" s="375"/>
      <c r="AT59" s="375"/>
      <c r="AU59" s="375"/>
      <c r="AV59" s="375"/>
      <c r="AW59" s="375"/>
      <c r="AX59" s="375"/>
      <c r="AY59" s="375"/>
      <c r="AZ59" s="375"/>
      <c r="BA59" s="375"/>
      <c r="BB59" s="375"/>
      <c r="BC59" s="375"/>
      <c r="BD59" s="375"/>
      <c r="BE59" s="375"/>
      <c r="BF59" s="375"/>
      <c r="BG59" s="375"/>
      <c r="BH59" s="375"/>
      <c r="BI59" s="375"/>
      <c r="BJ59" s="375"/>
      <c r="BK59" s="375"/>
      <c r="BL59" s="375"/>
      <c r="BM59" s="375"/>
      <c r="BN59" s="375"/>
      <c r="BO59" s="375"/>
    </row>
    <row r="60" spans="1:67" s="6" customFormat="1" ht="35.4" x14ac:dyDescent="0.45">
      <c r="A60" s="517"/>
      <c r="B60" s="381" t="s">
        <v>773</v>
      </c>
      <c r="C60" s="385" t="s">
        <v>778</v>
      </c>
      <c r="D60" s="383">
        <f>'2.Лабораторія'!F1313+'2.Лабораторія'!F1314</f>
        <v>22.93</v>
      </c>
      <c r="E60" s="383">
        <f>'2.Лабораторія'!F1316</f>
        <v>5.04</v>
      </c>
      <c r="F60" s="383">
        <f>'2.Лабораторія'!G1332</f>
        <v>12.100000000000001</v>
      </c>
      <c r="G60" s="383">
        <f>'2.Лабораторія'!H1337</f>
        <v>4.83</v>
      </c>
      <c r="H60" s="384">
        <f t="shared" si="7"/>
        <v>44.9</v>
      </c>
      <c r="I60" s="383">
        <f>'2.Лабораторія'!H1343+'2.Лабораторія'!H1348</f>
        <v>2.5300000000000002</v>
      </c>
      <c r="J60" s="383">
        <f>'2.Лабораторія'!H1344+'2.Лабораторія'!H1349</f>
        <v>0</v>
      </c>
      <c r="K60" s="383">
        <f>'2.Лабораторія'!H1345+'2.Лабораторія'!H1350</f>
        <v>0</v>
      </c>
      <c r="L60" s="383">
        <f>'2.Лабораторія'!H1346+'2.Лабораторія'!H1351</f>
        <v>0.46</v>
      </c>
      <c r="M60" s="384">
        <f t="shared" si="3"/>
        <v>2.99</v>
      </c>
      <c r="N60" s="384">
        <f t="shared" si="4"/>
        <v>47.89</v>
      </c>
      <c r="O60" s="383"/>
      <c r="P60" s="384">
        <f t="shared" si="5"/>
        <v>48</v>
      </c>
      <c r="Q60" s="384">
        <f>'2.Лабораторія'!F1304</f>
        <v>48</v>
      </c>
      <c r="R60" s="384">
        <f t="shared" si="6"/>
        <v>0</v>
      </c>
      <c r="S60" s="384"/>
      <c r="T60" s="384"/>
      <c r="U60" s="384"/>
      <c r="V60" s="384"/>
      <c r="W60" s="384"/>
      <c r="X60" s="384"/>
      <c r="Y60" s="384"/>
      <c r="Z60" s="763" t="str">
        <f>'2.Лабораторія'!M32</f>
        <v>Розгорнутий аналіз крові на гематологічному аналізаторі</v>
      </c>
      <c r="AA60" s="764"/>
      <c r="AB60" s="755"/>
      <c r="AC60" s="748"/>
      <c r="AD60" s="748"/>
      <c r="AE60" s="748"/>
      <c r="AF60" s="748"/>
      <c r="AG60" s="748"/>
      <c r="AH60" s="748"/>
      <c r="AI60" s="748"/>
      <c r="AJ60" s="748"/>
      <c r="AK60" s="748"/>
      <c r="AL60" s="748"/>
      <c r="AM60" s="748"/>
      <c r="AN60" s="748"/>
      <c r="AO60" s="375"/>
      <c r="AP60" s="375"/>
      <c r="AQ60" s="375"/>
      <c r="AR60" s="375"/>
      <c r="AS60" s="375"/>
      <c r="AT60" s="375"/>
      <c r="AU60" s="375"/>
      <c r="AV60" s="375"/>
      <c r="AW60" s="375"/>
      <c r="AX60" s="375"/>
      <c r="AY60" s="375"/>
      <c r="AZ60" s="375"/>
      <c r="BA60" s="375"/>
      <c r="BB60" s="375"/>
      <c r="BC60" s="375"/>
      <c r="BD60" s="375"/>
      <c r="BE60" s="375"/>
      <c r="BF60" s="375"/>
      <c r="BG60" s="375"/>
      <c r="BH60" s="375"/>
      <c r="BI60" s="375"/>
      <c r="BJ60" s="375"/>
      <c r="BK60" s="375"/>
      <c r="BL60" s="375"/>
      <c r="BM60" s="375"/>
      <c r="BN60" s="375"/>
      <c r="BO60" s="375"/>
    </row>
    <row r="61" spans="1:67" s="6" customFormat="1" ht="35.4" x14ac:dyDescent="0.45">
      <c r="A61" s="517"/>
      <c r="B61" s="381" t="s">
        <v>775</v>
      </c>
      <c r="C61" s="385" t="s">
        <v>99</v>
      </c>
      <c r="D61" s="383">
        <f>'2.Лабораторія'!F1369+'2.Лабораторія'!F1370</f>
        <v>22.93</v>
      </c>
      <c r="E61" s="383">
        <f>'2.Лабораторія'!F1372</f>
        <v>5.04</v>
      </c>
      <c r="F61" s="383">
        <f>'2.Лабораторія'!G1388</f>
        <v>12.100000000000001</v>
      </c>
      <c r="G61" s="383">
        <f>'2.Лабораторія'!H1393</f>
        <v>2.5299999999999998</v>
      </c>
      <c r="H61" s="384">
        <f t="shared" si="7"/>
        <v>42.6</v>
      </c>
      <c r="I61" s="383">
        <f>'2.Лабораторія'!H1399+'2.Лабораторія'!H1404</f>
        <v>2.5300000000000002</v>
      </c>
      <c r="J61" s="383">
        <f>'2.Лабораторія'!H1400+'2.Лабораторія'!H1405</f>
        <v>0</v>
      </c>
      <c r="K61" s="383">
        <f>'2.Лабораторія'!H1401+'2.Лабораторія'!H1406</f>
        <v>0</v>
      </c>
      <c r="L61" s="383">
        <f>'2.Лабораторія'!H1402+'2.Лабораторія'!H1407</f>
        <v>0.46</v>
      </c>
      <c r="M61" s="384">
        <f t="shared" si="3"/>
        <v>2.99</v>
      </c>
      <c r="N61" s="384">
        <f t="shared" si="4"/>
        <v>45.59</v>
      </c>
      <c r="O61" s="383"/>
      <c r="P61" s="384">
        <f t="shared" si="5"/>
        <v>46</v>
      </c>
      <c r="Q61" s="384">
        <f>'2.Лабораторія'!F1360</f>
        <v>46</v>
      </c>
      <c r="R61" s="384">
        <f t="shared" si="6"/>
        <v>0</v>
      </c>
      <c r="S61" s="384"/>
      <c r="T61" s="384"/>
      <c r="U61" s="384"/>
      <c r="V61" s="384"/>
      <c r="W61" s="384"/>
      <c r="X61" s="384"/>
      <c r="Y61" s="384"/>
      <c r="Z61" s="763" t="str">
        <f>'2.Лабораторія'!M33</f>
        <v>Розгорутий аналіз крові на гематологічному аналізаторі</v>
      </c>
      <c r="AA61" s="764"/>
      <c r="AB61" s="755"/>
      <c r="AC61" s="748"/>
      <c r="AD61" s="748"/>
      <c r="AE61" s="748"/>
      <c r="AF61" s="748"/>
      <c r="AG61" s="748"/>
      <c r="AH61" s="748"/>
      <c r="AI61" s="748"/>
      <c r="AJ61" s="748"/>
      <c r="AK61" s="748"/>
      <c r="AL61" s="748"/>
      <c r="AM61" s="748"/>
      <c r="AN61" s="748"/>
      <c r="AO61" s="375"/>
      <c r="AP61" s="375"/>
      <c r="AQ61" s="375"/>
      <c r="AR61" s="375"/>
      <c r="AS61" s="375"/>
      <c r="AT61" s="375"/>
      <c r="AU61" s="375"/>
      <c r="AV61" s="375"/>
      <c r="AW61" s="375"/>
      <c r="AX61" s="375"/>
      <c r="AY61" s="375"/>
      <c r="AZ61" s="375"/>
      <c r="BA61" s="375"/>
      <c r="BB61" s="375"/>
      <c r="BC61" s="375"/>
      <c r="BD61" s="375"/>
      <c r="BE61" s="375"/>
      <c r="BF61" s="375"/>
      <c r="BG61" s="375"/>
      <c r="BH61" s="375"/>
      <c r="BI61" s="375"/>
      <c r="BJ61" s="375"/>
      <c r="BK61" s="375"/>
      <c r="BL61" s="375"/>
      <c r="BM61" s="375"/>
      <c r="BN61" s="375"/>
      <c r="BO61" s="375"/>
    </row>
    <row r="62" spans="1:67" s="6" customFormat="1" x14ac:dyDescent="0.45">
      <c r="A62" s="517"/>
      <c r="B62" s="381" t="s">
        <v>777</v>
      </c>
      <c r="C62" s="385" t="s">
        <v>782</v>
      </c>
      <c r="D62" s="383">
        <f>'2.Лабораторія'!F1425+'2.Лабораторія'!F1426</f>
        <v>33.9</v>
      </c>
      <c r="E62" s="383">
        <f>'2.Лабораторія'!F1428</f>
        <v>7.46</v>
      </c>
      <c r="F62" s="383">
        <f>'2.Лабораторія'!G1444</f>
        <v>7.74</v>
      </c>
      <c r="G62" s="383">
        <f>'2.Лабораторія'!H1449</f>
        <v>0</v>
      </c>
      <c r="H62" s="384">
        <f t="shared" si="7"/>
        <v>49.1</v>
      </c>
      <c r="I62" s="383">
        <f>'2.Лабораторія'!H1455+'2.Лабораторія'!H1460</f>
        <v>3.3</v>
      </c>
      <c r="J62" s="383">
        <f>'2.Лабораторія'!H1456+'2.Лабораторія'!H1461</f>
        <v>0</v>
      </c>
      <c r="K62" s="383">
        <f>'2.Лабораторія'!H1457+'2.Лабораторія'!H1462</f>
        <v>0</v>
      </c>
      <c r="L62" s="383">
        <f>'2.Лабораторія'!H1458+'2.Лабораторія'!H1463</f>
        <v>0.6</v>
      </c>
      <c r="M62" s="384">
        <f t="shared" si="3"/>
        <v>3.9</v>
      </c>
      <c r="N62" s="384">
        <f t="shared" si="4"/>
        <v>53</v>
      </c>
      <c r="O62" s="383"/>
      <c r="P62" s="384">
        <f t="shared" si="5"/>
        <v>53</v>
      </c>
      <c r="Q62" s="384">
        <f>'2.Лабораторія'!F1416</f>
        <v>53</v>
      </c>
      <c r="R62" s="384">
        <f t="shared" si="6"/>
        <v>0</v>
      </c>
      <c r="S62" s="384"/>
      <c r="T62" s="384"/>
      <c r="U62" s="384"/>
      <c r="V62" s="384"/>
      <c r="W62" s="384"/>
      <c r="X62" s="384"/>
      <c r="Y62" s="384"/>
      <c r="Z62" s="763" t="str">
        <f>'2.Лабораторія'!M34</f>
        <v>Біохімічні дослідження крові (ниркові проби) на біохімічному аналізаторі</v>
      </c>
      <c r="AA62" s="764"/>
      <c r="AB62" s="755"/>
      <c r="AC62" s="748"/>
      <c r="AD62" s="748"/>
      <c r="AE62" s="748"/>
      <c r="AF62" s="748"/>
      <c r="AG62" s="748"/>
      <c r="AH62" s="748"/>
      <c r="AI62" s="748"/>
      <c r="AJ62" s="748"/>
      <c r="AK62" s="748"/>
      <c r="AL62" s="748"/>
      <c r="AM62" s="748"/>
      <c r="AN62" s="748"/>
      <c r="AO62" s="375"/>
      <c r="AP62" s="375"/>
      <c r="AQ62" s="375"/>
      <c r="AR62" s="375"/>
      <c r="AS62" s="375"/>
      <c r="AT62" s="375"/>
      <c r="AU62" s="375"/>
      <c r="AV62" s="375"/>
      <c r="AW62" s="375"/>
      <c r="AX62" s="375"/>
      <c r="AY62" s="375"/>
      <c r="AZ62" s="375"/>
      <c r="BA62" s="375"/>
      <c r="BB62" s="375"/>
      <c r="BC62" s="375"/>
      <c r="BD62" s="375"/>
      <c r="BE62" s="375"/>
      <c r="BF62" s="375"/>
      <c r="BG62" s="375"/>
      <c r="BH62" s="375"/>
      <c r="BI62" s="375"/>
      <c r="BJ62" s="375"/>
      <c r="BK62" s="375"/>
      <c r="BL62" s="375"/>
      <c r="BM62" s="375"/>
      <c r="BN62" s="375"/>
      <c r="BO62" s="375"/>
    </row>
    <row r="63" spans="1:67" s="6" customFormat="1" x14ac:dyDescent="0.45">
      <c r="A63" s="517"/>
      <c r="B63" s="381" t="s">
        <v>779</v>
      </c>
      <c r="C63" s="385" t="s">
        <v>784</v>
      </c>
      <c r="D63" s="383">
        <f>'2.Лабораторія'!F1481+'2.Лабораторія'!F1482</f>
        <v>33.9</v>
      </c>
      <c r="E63" s="383">
        <f>'2.Лабораторія'!F1484</f>
        <v>7.46</v>
      </c>
      <c r="F63" s="383">
        <f>'2.Лабораторія'!G1501</f>
        <v>6.2500000000000009</v>
      </c>
      <c r="G63" s="383">
        <f>'2.Лабораторія'!H1506</f>
        <v>0</v>
      </c>
      <c r="H63" s="384">
        <f t="shared" si="7"/>
        <v>47.61</v>
      </c>
      <c r="I63" s="383">
        <f>'2.Лабораторія'!H1512+'2.Лабораторія'!H1517</f>
        <v>3.3</v>
      </c>
      <c r="J63" s="383">
        <f>'2.Лабораторія'!H1513+'2.Лабораторія'!H1518</f>
        <v>0</v>
      </c>
      <c r="K63" s="383">
        <f>'2.Лабораторія'!H1514+'2.Лабораторія'!H1519</f>
        <v>0</v>
      </c>
      <c r="L63" s="383">
        <f>'2.Лабораторія'!H1515+'2.Лабораторія'!H1520</f>
        <v>0.6</v>
      </c>
      <c r="M63" s="384">
        <f t="shared" si="3"/>
        <v>3.9</v>
      </c>
      <c r="N63" s="384">
        <f t="shared" si="4"/>
        <v>51.51</v>
      </c>
      <c r="O63" s="383"/>
      <c r="P63" s="384">
        <f t="shared" si="5"/>
        <v>52</v>
      </c>
      <c r="Q63" s="384">
        <f>'2.Лабораторія'!F1472</f>
        <v>52</v>
      </c>
      <c r="R63" s="384">
        <f t="shared" si="6"/>
        <v>0</v>
      </c>
      <c r="S63" s="384"/>
      <c r="T63" s="384"/>
      <c r="U63" s="384"/>
      <c r="V63" s="384"/>
      <c r="W63" s="384"/>
      <c r="X63" s="384"/>
      <c r="Y63" s="384"/>
      <c r="Z63" s="763" t="str">
        <f>'2.Лабораторія'!M35</f>
        <v>Біохімічні дослідження крові (печінкові проби) на біохімічному аналізаторі</v>
      </c>
      <c r="AA63" s="764"/>
      <c r="AB63" s="755"/>
      <c r="AC63" s="748"/>
      <c r="AD63" s="748"/>
      <c r="AE63" s="748"/>
      <c r="AF63" s="748"/>
      <c r="AG63" s="748"/>
      <c r="AH63" s="748"/>
      <c r="AI63" s="748"/>
      <c r="AJ63" s="748"/>
      <c r="AK63" s="748"/>
      <c r="AL63" s="748"/>
      <c r="AM63" s="748"/>
      <c r="AN63" s="748"/>
      <c r="AO63" s="375"/>
      <c r="AP63" s="375"/>
      <c r="AQ63" s="375"/>
      <c r="AR63" s="375"/>
      <c r="AS63" s="375"/>
      <c r="AT63" s="375"/>
      <c r="AU63" s="375"/>
      <c r="AV63" s="375"/>
      <c r="AW63" s="375"/>
      <c r="AX63" s="375"/>
      <c r="AY63" s="375"/>
      <c r="AZ63" s="375"/>
      <c r="BA63" s="375"/>
      <c r="BB63" s="375"/>
      <c r="BC63" s="375"/>
      <c r="BD63" s="375"/>
      <c r="BE63" s="375"/>
      <c r="BF63" s="375"/>
      <c r="BG63" s="375"/>
      <c r="BH63" s="375"/>
      <c r="BI63" s="375"/>
      <c r="BJ63" s="375"/>
      <c r="BK63" s="375"/>
      <c r="BL63" s="375"/>
      <c r="BM63" s="375"/>
      <c r="BN63" s="375"/>
      <c r="BO63" s="375"/>
    </row>
    <row r="64" spans="1:67" s="6" customFormat="1" x14ac:dyDescent="0.45">
      <c r="A64" s="517"/>
      <c r="B64" s="381" t="s">
        <v>781</v>
      </c>
      <c r="C64" s="385" t="s">
        <v>785</v>
      </c>
      <c r="D64" s="383">
        <f>'2.Лабораторія'!F1538+'2.Лабораторія'!F1539</f>
        <v>33.9</v>
      </c>
      <c r="E64" s="383">
        <f>'2.Лабораторія'!F1541</f>
        <v>7.46</v>
      </c>
      <c r="F64" s="383">
        <f>'2.Лабораторія'!G1556</f>
        <v>6.38</v>
      </c>
      <c r="G64" s="383">
        <f>'2.Лабораторія'!H1561</f>
        <v>0</v>
      </c>
      <c r="H64" s="384">
        <f t="shared" si="7"/>
        <v>47.74</v>
      </c>
      <c r="I64" s="383">
        <f>'2.Лабораторія'!H1567+'2.Лабораторія'!H1572</f>
        <v>3.3</v>
      </c>
      <c r="J64" s="383">
        <f>'2.Лабораторія'!H1568+'2.Лабораторія'!H1573</f>
        <v>0</v>
      </c>
      <c r="K64" s="383">
        <f>'2.Лабораторія'!H1569+'2.Лабораторія'!H1574</f>
        <v>0</v>
      </c>
      <c r="L64" s="383">
        <f>'2.Лабораторія'!H1570+'2.Лабораторія'!H1575</f>
        <v>0.6</v>
      </c>
      <c r="M64" s="384">
        <f t="shared" si="3"/>
        <v>3.9</v>
      </c>
      <c r="N64" s="384">
        <f t="shared" si="4"/>
        <v>51.64</v>
      </c>
      <c r="O64" s="383"/>
      <c r="P64" s="384">
        <f t="shared" si="5"/>
        <v>52</v>
      </c>
      <c r="Q64" s="384">
        <f>'2.Лабораторія'!F1529</f>
        <v>52</v>
      </c>
      <c r="R64" s="384">
        <f t="shared" si="6"/>
        <v>0</v>
      </c>
      <c r="S64" s="384"/>
      <c r="T64" s="384"/>
      <c r="U64" s="384"/>
      <c r="V64" s="384"/>
      <c r="W64" s="384"/>
      <c r="X64" s="384"/>
      <c r="Y64" s="384"/>
      <c r="Z64" s="763" t="str">
        <f>'2.Лабораторія'!M36</f>
        <v>Біохімічні дослідження крові (Ліпідограма) на біохімічному аналізаторі</v>
      </c>
      <c r="AA64" s="764"/>
      <c r="AB64" s="755"/>
      <c r="AC64" s="748"/>
      <c r="AD64" s="748"/>
      <c r="AE64" s="748"/>
      <c r="AF64" s="748"/>
      <c r="AG64" s="748"/>
      <c r="AH64" s="748"/>
      <c r="AI64" s="748"/>
      <c r="AJ64" s="748"/>
      <c r="AK64" s="748"/>
      <c r="AL64" s="748"/>
      <c r="AM64" s="748"/>
      <c r="AN64" s="748"/>
      <c r="AO64" s="375"/>
      <c r="AP64" s="375"/>
      <c r="AQ64" s="375"/>
      <c r="AR64" s="375"/>
      <c r="AS64" s="375"/>
      <c r="AT64" s="375"/>
      <c r="AU64" s="375"/>
      <c r="AV64" s="375"/>
      <c r="AW64" s="375"/>
      <c r="AX64" s="375"/>
      <c r="AY64" s="375"/>
      <c r="AZ64" s="375"/>
      <c r="BA64" s="375"/>
      <c r="BB64" s="375"/>
      <c r="BC64" s="375"/>
      <c r="BD64" s="375"/>
      <c r="BE64" s="375"/>
      <c r="BF64" s="375"/>
      <c r="BG64" s="375"/>
      <c r="BH64" s="375"/>
      <c r="BI64" s="375"/>
      <c r="BJ64" s="375"/>
      <c r="BK64" s="375"/>
      <c r="BL64" s="375"/>
      <c r="BM64" s="375"/>
      <c r="BN64" s="375"/>
      <c r="BO64" s="375"/>
    </row>
    <row r="65" spans="1:67" s="6" customFormat="1" x14ac:dyDescent="0.45">
      <c r="A65" s="517"/>
      <c r="B65" s="381" t="s">
        <v>783</v>
      </c>
      <c r="C65" s="385" t="s">
        <v>1081</v>
      </c>
      <c r="D65" s="383">
        <f>'2.Лабораторія'!F1593+'2.Лабораторія'!F1594</f>
        <v>21.08</v>
      </c>
      <c r="E65" s="383">
        <f>'2.Лабораторія'!F1596</f>
        <v>4.6399999999999997</v>
      </c>
      <c r="F65" s="383">
        <f>'2.Лабораторія'!G1612</f>
        <v>9.82</v>
      </c>
      <c r="G65" s="383">
        <f>'2.Лабораторія'!H1617</f>
        <v>3.15</v>
      </c>
      <c r="H65" s="384">
        <f t="shared" si="7"/>
        <v>38.69</v>
      </c>
      <c r="I65" s="383">
        <f>'2.Лабораторія'!H1623+'2.Лабораторія'!H1628</f>
        <v>1.8199999999999998</v>
      </c>
      <c r="J65" s="383">
        <f>'2.Лабораторія'!H1624+'2.Лабораторія'!H1629</f>
        <v>0</v>
      </c>
      <c r="K65" s="383">
        <f>'2.Лабораторія'!H1625+'2.Лабораторія'!H1630</f>
        <v>0</v>
      </c>
      <c r="L65" s="383">
        <f>'2.Лабораторія'!H1626+'2.Лабораторія'!H1631</f>
        <v>0.32999999999999996</v>
      </c>
      <c r="M65" s="384">
        <f t="shared" si="3"/>
        <v>2.15</v>
      </c>
      <c r="N65" s="384">
        <f t="shared" si="4"/>
        <v>40.839999999999996</v>
      </c>
      <c r="O65" s="383"/>
      <c r="P65" s="384">
        <f t="shared" si="5"/>
        <v>41</v>
      </c>
      <c r="Q65" s="384">
        <f>'2.Лабораторія'!F1584</f>
        <v>41</v>
      </c>
      <c r="R65" s="384">
        <f t="shared" si="6"/>
        <v>0</v>
      </c>
      <c r="S65" s="384"/>
      <c r="T65" s="384"/>
      <c r="U65" s="384"/>
      <c r="V65" s="384"/>
      <c r="W65" s="384"/>
      <c r="X65" s="384"/>
      <c r="Y65" s="384"/>
      <c r="Z65" s="763" t="str">
        <f>'2.Лабораторія'!M37</f>
        <v>Біохімічні дослідження крові (Коагулогрма) на коагулометр</v>
      </c>
      <c r="AA65" s="764"/>
      <c r="AB65" s="755"/>
      <c r="AC65" s="748"/>
      <c r="AD65" s="748"/>
      <c r="AE65" s="748"/>
      <c r="AF65" s="748"/>
      <c r="AG65" s="748"/>
      <c r="AH65" s="748"/>
      <c r="AI65" s="748"/>
      <c r="AJ65" s="748"/>
      <c r="AK65" s="748"/>
      <c r="AL65" s="748"/>
      <c r="AM65" s="748"/>
      <c r="AN65" s="748"/>
      <c r="AO65" s="375"/>
      <c r="AP65" s="375"/>
      <c r="AQ65" s="375"/>
      <c r="AR65" s="375"/>
      <c r="AS65" s="375"/>
      <c r="AT65" s="375"/>
      <c r="AU65" s="375"/>
      <c r="AV65" s="375"/>
      <c r="AW65" s="375"/>
      <c r="AX65" s="375"/>
      <c r="AY65" s="375"/>
      <c r="AZ65" s="375"/>
      <c r="BA65" s="375"/>
      <c r="BB65" s="375"/>
      <c r="BC65" s="375"/>
      <c r="BD65" s="375"/>
      <c r="BE65" s="375"/>
      <c r="BF65" s="375"/>
      <c r="BG65" s="375"/>
      <c r="BH65" s="375"/>
      <c r="BI65" s="375"/>
      <c r="BJ65" s="375"/>
      <c r="BK65" s="375"/>
      <c r="BL65" s="375"/>
      <c r="BM65" s="375"/>
      <c r="BN65" s="375"/>
      <c r="BO65" s="375"/>
    </row>
    <row r="66" spans="1:67" s="6" customFormat="1" x14ac:dyDescent="0.45">
      <c r="A66" s="517"/>
      <c r="B66" s="381" t="s">
        <v>80</v>
      </c>
      <c r="C66" s="389" t="s">
        <v>104</v>
      </c>
      <c r="D66" s="390">
        <f>'ІФА COVID'!F13+'ІФА COVID'!F14</f>
        <v>40.729999999999997</v>
      </c>
      <c r="E66" s="391">
        <f>'ІФА COVID'!F16</f>
        <v>8.9600000000000009</v>
      </c>
      <c r="F66" s="383">
        <f>'ІФА COVID'!G33</f>
        <v>68.789999999999992</v>
      </c>
      <c r="G66" s="383">
        <f>'ІФА COVID'!F35</f>
        <v>1.58</v>
      </c>
      <c r="H66" s="384">
        <f t="shared" si="7"/>
        <v>120.05999999999999</v>
      </c>
      <c r="I66" s="383">
        <f>'ІФА COVID'!H44+'ІФА COVID'!H49</f>
        <v>3.4699999999999998</v>
      </c>
      <c r="J66" s="383">
        <f>'ІФА COVID'!H45+'ІФА COVID'!H50</f>
        <v>0</v>
      </c>
      <c r="K66" s="383">
        <f>'ІФА COVID'!H46+'ІФА COVID'!H51</f>
        <v>0</v>
      </c>
      <c r="L66" s="383">
        <f>'ІФА COVID'!H47+'ІФА COVID'!H52</f>
        <v>0.63</v>
      </c>
      <c r="M66" s="384">
        <f t="shared" si="3"/>
        <v>4.0999999999999996</v>
      </c>
      <c r="N66" s="384">
        <f t="shared" si="4"/>
        <v>124.15999999999998</v>
      </c>
      <c r="O66" s="383"/>
      <c r="P66" s="384">
        <f t="shared" si="5"/>
        <v>124</v>
      </c>
      <c r="Q66" s="384">
        <f>'ІФА COVID'!F4</f>
        <v>124</v>
      </c>
      <c r="R66" s="384">
        <f t="shared" si="6"/>
        <v>0</v>
      </c>
      <c r="S66" s="383"/>
      <c r="T66" s="383"/>
      <c r="U66" s="383"/>
      <c r="V66" s="383"/>
      <c r="W66" s="383"/>
      <c r="X66" s="384"/>
      <c r="Y66" s="384"/>
      <c r="Z66" s="763" t="str">
        <f>'ІФА COVID'!M8</f>
        <v>Дослідження крові  "EQUI SARS-CoV-2 IgМ" (ІФА)</v>
      </c>
      <c r="AA66" s="764"/>
      <c r="AB66" s="755"/>
      <c r="AC66" s="748"/>
      <c r="AD66" s="748"/>
      <c r="AE66" s="748"/>
      <c r="AF66" s="748"/>
      <c r="AG66" s="748"/>
      <c r="AH66" s="748"/>
      <c r="AI66" s="748"/>
      <c r="AJ66" s="748"/>
      <c r="AK66" s="748"/>
      <c r="AL66" s="748"/>
      <c r="AM66" s="748"/>
      <c r="AN66" s="748"/>
      <c r="AO66" s="375"/>
      <c r="AP66" s="375"/>
      <c r="AQ66" s="375"/>
      <c r="AR66" s="375"/>
      <c r="AS66" s="375"/>
      <c r="AT66" s="375"/>
      <c r="AU66" s="375"/>
      <c r="AV66" s="375"/>
      <c r="AW66" s="375"/>
      <c r="AX66" s="375"/>
      <c r="AY66" s="375"/>
      <c r="AZ66" s="375"/>
      <c r="BA66" s="375"/>
      <c r="BB66" s="375"/>
      <c r="BC66" s="375"/>
      <c r="BD66" s="375"/>
      <c r="BE66" s="375"/>
      <c r="BF66" s="375"/>
      <c r="BG66" s="375"/>
      <c r="BH66" s="375"/>
      <c r="BI66" s="375"/>
      <c r="BJ66" s="375"/>
      <c r="BK66" s="375"/>
      <c r="BL66" s="375"/>
      <c r="BM66" s="375"/>
      <c r="BN66" s="375"/>
      <c r="BO66" s="375"/>
    </row>
    <row r="67" spans="1:67" s="6" customFormat="1" x14ac:dyDescent="0.45">
      <c r="A67" s="517"/>
      <c r="B67" s="381" t="s">
        <v>81</v>
      </c>
      <c r="C67" s="389" t="s">
        <v>77</v>
      </c>
      <c r="D67" s="390">
        <f>'ІФА COVID'!F70+'ІФА COVID'!F71</f>
        <v>40.729999999999997</v>
      </c>
      <c r="E67" s="391">
        <f>'ІФА COVID'!F73</f>
        <v>8.9600000000000009</v>
      </c>
      <c r="F67" s="383">
        <f>'ІФА COVID'!G90</f>
        <v>52.96</v>
      </c>
      <c r="G67" s="383">
        <f>'ІФА COVID'!F92</f>
        <v>1.58</v>
      </c>
      <c r="H67" s="384">
        <f t="shared" si="7"/>
        <v>104.23</v>
      </c>
      <c r="I67" s="383">
        <f>'ІФА COVID'!H101+'ІФА COVID'!H106</f>
        <v>3.4699999999999998</v>
      </c>
      <c r="J67" s="383">
        <f>'ІФА COVID'!H102+'ІФА COVID'!H107</f>
        <v>0</v>
      </c>
      <c r="K67" s="383">
        <f>'ІФА COVID'!H103+'ІФА COVID'!H108</f>
        <v>0</v>
      </c>
      <c r="L67" s="383">
        <f>'ІФА COVID'!H104+'ІФА COVID'!H109</f>
        <v>0.63</v>
      </c>
      <c r="M67" s="384">
        <f t="shared" si="3"/>
        <v>4.0999999999999996</v>
      </c>
      <c r="N67" s="384">
        <f t="shared" si="4"/>
        <v>108.33</v>
      </c>
      <c r="O67" s="378"/>
      <c r="P67" s="384">
        <f t="shared" si="5"/>
        <v>108</v>
      </c>
      <c r="Q67" s="384">
        <f>'ІФА COVID'!F61</f>
        <v>108</v>
      </c>
      <c r="R67" s="384">
        <f t="shared" si="6"/>
        <v>0</v>
      </c>
      <c r="S67" s="378"/>
      <c r="T67" s="378"/>
      <c r="U67" s="378"/>
      <c r="V67" s="378"/>
      <c r="W67" s="378"/>
      <c r="X67" s="380"/>
      <c r="Y67" s="380"/>
      <c r="Z67" s="763" t="str">
        <f>'ІФА COVID'!M9</f>
        <v>Дослідження крові "EQUI SARS-CoV-2 IgG" (ІФА)</v>
      </c>
      <c r="AA67" s="755"/>
      <c r="AB67" s="755"/>
      <c r="AC67" s="748"/>
      <c r="AD67" s="748"/>
      <c r="AE67" s="748"/>
      <c r="AF67" s="748"/>
      <c r="AG67" s="748"/>
      <c r="AH67" s="748"/>
      <c r="AI67" s="748"/>
      <c r="AJ67" s="748"/>
      <c r="AK67" s="748"/>
      <c r="AL67" s="748"/>
      <c r="AM67" s="748"/>
      <c r="AN67" s="748"/>
      <c r="AO67" s="375"/>
      <c r="AP67" s="375"/>
      <c r="AQ67" s="375"/>
      <c r="AR67" s="375"/>
      <c r="AS67" s="375"/>
      <c r="AT67" s="375"/>
      <c r="AU67" s="375"/>
      <c r="AV67" s="375"/>
      <c r="AW67" s="375"/>
      <c r="AX67" s="375"/>
      <c r="AY67" s="375"/>
      <c r="AZ67" s="375"/>
      <c r="BA67" s="375"/>
      <c r="BB67" s="375"/>
      <c r="BC67" s="375"/>
      <c r="BD67" s="375"/>
      <c r="BE67" s="375"/>
      <c r="BF67" s="375"/>
      <c r="BG67" s="375"/>
      <c r="BH67" s="375"/>
      <c r="BI67" s="375"/>
      <c r="BJ67" s="375"/>
      <c r="BK67" s="375"/>
      <c r="BL67" s="375"/>
      <c r="BM67" s="375"/>
      <c r="BN67" s="375"/>
      <c r="BO67" s="375"/>
    </row>
    <row r="68" spans="1:67" s="6" customFormat="1" x14ac:dyDescent="0.45">
      <c r="A68" s="517"/>
      <c r="B68" s="381" t="s">
        <v>103</v>
      </c>
      <c r="C68" s="389" t="s">
        <v>82</v>
      </c>
      <c r="D68" s="390">
        <f>'ІФА COVID'!F127+'ІФА COVID'!F128</f>
        <v>40.729999999999997</v>
      </c>
      <c r="E68" s="391">
        <f>'ІФА COVID'!F130</f>
        <v>8.9600000000000009</v>
      </c>
      <c r="F68" s="383">
        <f>'ІФА COVID'!G147</f>
        <v>52.96</v>
      </c>
      <c r="G68" s="383">
        <f>'ІФА COVID'!F149</f>
        <v>1.58</v>
      </c>
      <c r="H68" s="384">
        <f t="shared" si="7"/>
        <v>104.23</v>
      </c>
      <c r="I68" s="383">
        <f>'ІФА COVID'!H158+'ІФА COVID'!H163</f>
        <v>3.4699999999999998</v>
      </c>
      <c r="J68" s="383">
        <f>'ІФА COVID'!H159+'ІФА COVID'!H164</f>
        <v>0</v>
      </c>
      <c r="K68" s="383">
        <f>'ІФА COVID'!H160+'ІФА COVID'!H165</f>
        <v>0</v>
      </c>
      <c r="L68" s="383">
        <f>'ІФА COVID'!H161+'ІФА COVID'!H166</f>
        <v>0.63</v>
      </c>
      <c r="M68" s="384">
        <f t="shared" si="3"/>
        <v>4.0999999999999996</v>
      </c>
      <c r="N68" s="384">
        <f t="shared" si="4"/>
        <v>108.33</v>
      </c>
      <c r="O68" s="383"/>
      <c r="P68" s="384">
        <f t="shared" si="5"/>
        <v>108</v>
      </c>
      <c r="Q68" s="384">
        <f>'ІФА COVID'!F118</f>
        <v>108</v>
      </c>
      <c r="R68" s="384">
        <f t="shared" si="6"/>
        <v>0</v>
      </c>
      <c r="S68" s="383"/>
      <c r="T68" s="383"/>
      <c r="U68" s="383"/>
      <c r="V68" s="383"/>
      <c r="W68" s="383"/>
      <c r="X68" s="384"/>
      <c r="Y68" s="384"/>
      <c r="Z68" s="763" t="str">
        <f>'ІФА COVID'!M10</f>
        <v>Дослідження крові "EQUI SARS-CoV-2 IgA" (ІФА)</v>
      </c>
      <c r="AA68" s="764"/>
      <c r="AB68" s="755"/>
      <c r="AC68" s="748"/>
      <c r="AD68" s="748"/>
      <c r="AE68" s="748"/>
      <c r="AF68" s="748"/>
      <c r="AG68" s="748"/>
      <c r="AH68" s="748"/>
      <c r="AI68" s="748"/>
      <c r="AJ68" s="748"/>
      <c r="AK68" s="748"/>
      <c r="AL68" s="748"/>
      <c r="AM68" s="748"/>
      <c r="AN68" s="748"/>
      <c r="AO68" s="375"/>
      <c r="AP68" s="375"/>
      <c r="AQ68" s="375"/>
      <c r="AR68" s="375"/>
      <c r="AS68" s="375"/>
      <c r="AT68" s="375"/>
      <c r="AU68" s="375"/>
      <c r="AV68" s="375"/>
      <c r="AW68" s="375"/>
      <c r="AX68" s="375"/>
      <c r="AY68" s="375"/>
      <c r="AZ68" s="375"/>
      <c r="BA68" s="375"/>
      <c r="BB68" s="375"/>
      <c r="BC68" s="375"/>
      <c r="BD68" s="375"/>
      <c r="BE68" s="375"/>
      <c r="BF68" s="375"/>
      <c r="BG68" s="375"/>
      <c r="BH68" s="375"/>
      <c r="BI68" s="375"/>
      <c r="BJ68" s="375"/>
      <c r="BK68" s="375"/>
      <c r="BL68" s="375"/>
      <c r="BM68" s="375"/>
      <c r="BN68" s="375"/>
      <c r="BO68" s="375"/>
    </row>
    <row r="69" spans="1:67" s="516" customFormat="1" x14ac:dyDescent="0.45">
      <c r="A69" s="788"/>
      <c r="B69" s="789" t="s">
        <v>173</v>
      </c>
      <c r="C69" s="790" t="str">
        <f>'2.Лабораторія ДОДАТКОВІ'!C4:E4</f>
        <v>Аналіз сечі за Зимницьким</v>
      </c>
      <c r="D69" s="828">
        <f>'2.Лабораторія ДОДАТКОВІ'!F13+'2.Лабораторія ДОДАТКОВІ'!F14</f>
        <v>18.18</v>
      </c>
      <c r="E69" s="829">
        <f>'2.Лабораторія ДОДАТКОВІ'!F16</f>
        <v>4</v>
      </c>
      <c r="F69" s="791">
        <f>'2.Лабораторія ДОДАТКОВІ'!F18</f>
        <v>4.5</v>
      </c>
      <c r="G69" s="791">
        <f>'2.Лабораторія ДОДАТКОВІ'!F31</f>
        <v>0.72</v>
      </c>
      <c r="H69" s="793">
        <f t="shared" si="7"/>
        <v>27.4</v>
      </c>
      <c r="I69" s="791">
        <f>'2.Лабораторія ДОДАТКОВІ'!H40+'2.Лабораторія ДОДАТКОВІ'!H45</f>
        <v>1.98</v>
      </c>
      <c r="J69" s="791">
        <f>'2.Лабораторія ДОДАТКОВІ'!H41+'2.Лабораторія ДОДАТКОВІ'!H46</f>
        <v>0</v>
      </c>
      <c r="K69" s="791">
        <f>'2.Лабораторія ДОДАТКОВІ'!H42+'2.Лабораторія ДОДАТКОВІ'!H47</f>
        <v>0</v>
      </c>
      <c r="L69" s="791">
        <f>'2.Лабораторія ДОДАТКОВІ'!H43+'2.Лабораторія ДОДАТКОВІ'!H48</f>
        <v>0.36</v>
      </c>
      <c r="M69" s="793">
        <f t="shared" si="3"/>
        <v>2.34</v>
      </c>
      <c r="N69" s="793">
        <f t="shared" si="4"/>
        <v>29.74</v>
      </c>
      <c r="O69" s="791"/>
      <c r="P69" s="793">
        <f t="shared" si="5"/>
        <v>30</v>
      </c>
      <c r="Q69" s="793">
        <f>'2.Лабораторія ДОДАТКОВІ'!F4</f>
        <v>30</v>
      </c>
      <c r="R69" s="793">
        <f t="shared" si="6"/>
        <v>0</v>
      </c>
      <c r="S69" s="791"/>
      <c r="T69" s="791"/>
      <c r="U69" s="791"/>
      <c r="V69" s="791"/>
      <c r="W69" s="791"/>
      <c r="X69" s="793"/>
      <c r="Y69" s="793"/>
      <c r="Z69" s="795" t="str">
        <f>'2.Лабораторія ДОДАТКОВІ'!M8</f>
        <v>Аналіз сечі за Зимницьким</v>
      </c>
      <c r="AA69" s="830"/>
      <c r="AB69" s="796"/>
      <c r="AC69" s="797"/>
      <c r="AD69" s="797"/>
      <c r="AE69" s="797"/>
      <c r="AF69" s="797"/>
      <c r="AG69" s="797"/>
      <c r="AH69" s="797"/>
      <c r="AI69" s="797"/>
      <c r="AJ69" s="797"/>
      <c r="AK69" s="797"/>
      <c r="AL69" s="797"/>
      <c r="AM69" s="797"/>
      <c r="AN69" s="797"/>
      <c r="AO69" s="798"/>
      <c r="AP69" s="798"/>
      <c r="AQ69" s="798"/>
      <c r="AR69" s="798"/>
      <c r="AS69" s="798"/>
      <c r="AT69" s="798"/>
      <c r="AU69" s="798"/>
      <c r="AV69" s="798"/>
      <c r="AW69" s="798"/>
      <c r="AX69" s="798"/>
      <c r="AY69" s="798"/>
      <c r="AZ69" s="798"/>
      <c r="BA69" s="798"/>
      <c r="BB69" s="798"/>
      <c r="BC69" s="798"/>
      <c r="BD69" s="798"/>
      <c r="BE69" s="798"/>
      <c r="BF69" s="798"/>
      <c r="BG69" s="798"/>
      <c r="BH69" s="798"/>
      <c r="BI69" s="798"/>
      <c r="BJ69" s="798"/>
      <c r="BK69" s="798"/>
      <c r="BL69" s="798"/>
      <c r="BM69" s="798"/>
      <c r="BN69" s="798"/>
      <c r="BO69" s="798"/>
    </row>
    <row r="70" spans="1:67" s="516" customFormat="1" x14ac:dyDescent="0.45">
      <c r="A70" s="788"/>
      <c r="B70" s="789" t="s">
        <v>174</v>
      </c>
      <c r="C70" s="790" t="str">
        <f>'2.Лабораторія ДОДАТКОВІ'!C58:E58</f>
        <v>Аналіз сечі на кетони (ацетон)</v>
      </c>
      <c r="D70" s="828">
        <f>'2.Лабораторія ДОДАТКОВІ'!F67+'2.Лабораторія ДОДАТКОВІ'!F68</f>
        <v>18.18</v>
      </c>
      <c r="E70" s="829">
        <f>'2.Лабораторія ДОДАТКОВІ'!F70</f>
        <v>4</v>
      </c>
      <c r="F70" s="791">
        <f>'2.Лабораторія ДОДАТКОВІ'!F72</f>
        <v>7.51</v>
      </c>
      <c r="G70" s="791">
        <f>'2.Лабораторія ДОДАТКОВІ'!F87</f>
        <v>0.72</v>
      </c>
      <c r="H70" s="793">
        <f t="shared" si="7"/>
        <v>30.409999999999997</v>
      </c>
      <c r="I70" s="791">
        <f>'2.Лабораторія ДОДАТКОВІ'!H96+'2.Лабораторія ДОДАТКОВІ'!H101</f>
        <v>1.98</v>
      </c>
      <c r="J70" s="791">
        <f>'2.Лабораторія ДОДАТКОВІ'!H97+'2.Лабораторія ДОДАТКОВІ'!H102</f>
        <v>0</v>
      </c>
      <c r="K70" s="791">
        <f>'2.Лабораторія ДОДАТКОВІ'!H98+'2.Лабораторія ДОДАТКОВІ'!H103</f>
        <v>0</v>
      </c>
      <c r="L70" s="791">
        <f>'2.Лабораторія ДОДАТКОВІ'!H99+'2.Лабораторія ДОДАТКОВІ'!H104</f>
        <v>0.36</v>
      </c>
      <c r="M70" s="793">
        <f t="shared" si="3"/>
        <v>2.34</v>
      </c>
      <c r="N70" s="793">
        <f t="shared" si="4"/>
        <v>32.75</v>
      </c>
      <c r="O70" s="791"/>
      <c r="P70" s="793">
        <f t="shared" si="5"/>
        <v>33</v>
      </c>
      <c r="Q70" s="793">
        <f>'2.Лабораторія ДОДАТКОВІ'!F58</f>
        <v>33</v>
      </c>
      <c r="R70" s="793">
        <f t="shared" si="6"/>
        <v>0</v>
      </c>
      <c r="S70" s="791"/>
      <c r="T70" s="791"/>
      <c r="U70" s="791"/>
      <c r="V70" s="791"/>
      <c r="W70" s="791"/>
      <c r="X70" s="793"/>
      <c r="Y70" s="793"/>
      <c r="Z70" s="795" t="str">
        <f>'2.Лабораторія ДОДАТКОВІ'!M9</f>
        <v>Аналіз сечі на кетони (ацетон)</v>
      </c>
      <c r="AA70" s="830"/>
      <c r="AB70" s="796"/>
      <c r="AC70" s="797"/>
      <c r="AD70" s="797"/>
      <c r="AE70" s="797"/>
      <c r="AF70" s="797"/>
      <c r="AG70" s="797"/>
      <c r="AH70" s="797"/>
      <c r="AI70" s="797"/>
      <c r="AJ70" s="797"/>
      <c r="AK70" s="797"/>
      <c r="AL70" s="797"/>
      <c r="AM70" s="797"/>
      <c r="AN70" s="797"/>
      <c r="AO70" s="798"/>
      <c r="AP70" s="798"/>
      <c r="AQ70" s="798"/>
      <c r="AR70" s="798"/>
      <c r="AS70" s="798"/>
      <c r="AT70" s="798"/>
      <c r="AU70" s="798"/>
      <c r="AV70" s="798"/>
      <c r="AW70" s="798"/>
      <c r="AX70" s="798"/>
      <c r="AY70" s="798"/>
      <c r="AZ70" s="798"/>
      <c r="BA70" s="798"/>
      <c r="BB70" s="798"/>
      <c r="BC70" s="798"/>
      <c r="BD70" s="798"/>
      <c r="BE70" s="798"/>
      <c r="BF70" s="798"/>
      <c r="BG70" s="798"/>
      <c r="BH70" s="798"/>
      <c r="BI70" s="798"/>
      <c r="BJ70" s="798"/>
      <c r="BK70" s="798"/>
      <c r="BL70" s="798"/>
      <c r="BM70" s="798"/>
      <c r="BN70" s="798"/>
      <c r="BO70" s="798"/>
    </row>
    <row r="71" spans="1:67" s="516" customFormat="1" x14ac:dyDescent="0.45">
      <c r="A71" s="788"/>
      <c r="B71" s="789" t="s">
        <v>175</v>
      </c>
      <c r="C71" s="790" t="str">
        <f>'2.Лабораторія ДОДАТКОВІ'!C113:E113</f>
        <v>Дослідження калу на лямблії</v>
      </c>
      <c r="D71" s="828">
        <f>'2.Лабораторія ДОДАТКОВІ'!F122+'2.Лабораторія ДОДАТКОВІ'!F123</f>
        <v>8.68</v>
      </c>
      <c r="E71" s="829">
        <f>'2.Лабораторія ДОДАТКОВІ'!F125</f>
        <v>1.91</v>
      </c>
      <c r="F71" s="791">
        <f>'2.Лабораторія ДОДАТКОВІ'!F127</f>
        <v>5.0999999999999996</v>
      </c>
      <c r="G71" s="791">
        <f>'2.Лабораторія ДОДАТКОВІ'!F141</f>
        <v>0.32</v>
      </c>
      <c r="H71" s="793">
        <f t="shared" si="7"/>
        <v>16.009999999999998</v>
      </c>
      <c r="I71" s="791">
        <f>'2.Лабораторія ДОДАТКОВІ'!H150+'2.Лабораторія ДОДАТКОВІ'!H155</f>
        <v>0.88000000000000012</v>
      </c>
      <c r="J71" s="791">
        <f>'2.Лабораторія ДОДАТКОВІ'!H151+'2.Лабораторія ДОДАТКОВІ'!H156</f>
        <v>0</v>
      </c>
      <c r="K71" s="791">
        <f>'2.Лабораторія ДОДАТКОВІ'!H152+'2.Лабораторія ДОДАТКОВІ'!H157</f>
        <v>0</v>
      </c>
      <c r="L71" s="791">
        <f>'2.Лабораторія ДОДАТКОВІ'!H153+'2.Лабораторія ДОДАТКОВІ'!H158</f>
        <v>0.16</v>
      </c>
      <c r="M71" s="793">
        <f t="shared" si="3"/>
        <v>1.04</v>
      </c>
      <c r="N71" s="793">
        <f t="shared" si="4"/>
        <v>17.049999999999997</v>
      </c>
      <c r="O71" s="791"/>
      <c r="P71" s="793">
        <f t="shared" si="5"/>
        <v>17</v>
      </c>
      <c r="Q71" s="793">
        <f>'2.Лабораторія ДОДАТКОВІ'!F113</f>
        <v>17</v>
      </c>
      <c r="R71" s="793">
        <f t="shared" si="6"/>
        <v>0</v>
      </c>
      <c r="S71" s="791"/>
      <c r="T71" s="791"/>
      <c r="U71" s="791"/>
      <c r="V71" s="791"/>
      <c r="W71" s="791"/>
      <c r="X71" s="793"/>
      <c r="Y71" s="793"/>
      <c r="Z71" s="795" t="str">
        <f>'2.Лабораторія ДОДАТКОВІ'!M10</f>
        <v>Дослідження калу на лямблії</v>
      </c>
      <c r="AA71" s="830"/>
      <c r="AB71" s="796"/>
      <c r="AC71" s="797"/>
      <c r="AD71" s="797"/>
      <c r="AE71" s="797"/>
      <c r="AF71" s="797"/>
      <c r="AG71" s="797"/>
      <c r="AH71" s="797"/>
      <c r="AI71" s="797"/>
      <c r="AJ71" s="797"/>
      <c r="AK71" s="797"/>
      <c r="AL71" s="797"/>
      <c r="AM71" s="797"/>
      <c r="AN71" s="797"/>
      <c r="AO71" s="798"/>
      <c r="AP71" s="798"/>
      <c r="AQ71" s="798"/>
      <c r="AR71" s="798"/>
      <c r="AS71" s="798"/>
      <c r="AT71" s="798"/>
      <c r="AU71" s="798"/>
      <c r="AV71" s="798"/>
      <c r="AW71" s="798"/>
      <c r="AX71" s="798"/>
      <c r="AY71" s="798"/>
      <c r="AZ71" s="798"/>
      <c r="BA71" s="798"/>
      <c r="BB71" s="798"/>
      <c r="BC71" s="798"/>
      <c r="BD71" s="798"/>
      <c r="BE71" s="798"/>
      <c r="BF71" s="798"/>
      <c r="BG71" s="798"/>
      <c r="BH71" s="798"/>
      <c r="BI71" s="798"/>
      <c r="BJ71" s="798"/>
      <c r="BK71" s="798"/>
      <c r="BL71" s="798"/>
      <c r="BM71" s="798"/>
      <c r="BN71" s="798"/>
      <c r="BO71" s="798"/>
    </row>
    <row r="72" spans="1:67" s="516" customFormat="1" x14ac:dyDescent="0.45">
      <c r="A72" s="788"/>
      <c r="B72" s="789" t="s">
        <v>177</v>
      </c>
      <c r="C72" s="790" t="str">
        <f>'2.Лабораторія ДОДАТКОВІ'!C167:E167</f>
        <v>Мазок на генітальні інфекції</v>
      </c>
      <c r="D72" s="828">
        <f>'2.Лабораторія ДОДАТКОВІ'!F176+'2.Лабораторія ДОДАТКОВІ'!F177</f>
        <v>24.4</v>
      </c>
      <c r="E72" s="829">
        <f>'2.Лабораторія ДОДАТКОВІ'!F179</f>
        <v>5.37</v>
      </c>
      <c r="F72" s="791">
        <f>'2.Лабораторія ДОДАТКОВІ'!F181</f>
        <v>6.43</v>
      </c>
      <c r="G72" s="791">
        <f>'2.Лабораторія ДОДАТКОВІ'!F199</f>
        <v>0.8</v>
      </c>
      <c r="H72" s="793">
        <f t="shared" si="7"/>
        <v>37</v>
      </c>
      <c r="I72" s="791">
        <f>'2.Лабораторія ДОДАТКОВІ'!H208+'2.Лабораторія ДОДАТКОВІ'!H213</f>
        <v>2.2000000000000002</v>
      </c>
      <c r="J72" s="791">
        <f>'2.Лабораторія ДОДАТКОВІ'!H209+'2.Лабораторія ДОДАТКОВІ'!H214</f>
        <v>0</v>
      </c>
      <c r="K72" s="791">
        <f>'2.Лабораторія ДОДАТКОВІ'!H210+'2.Лабораторія ДОДАТКОВІ'!H215</f>
        <v>0</v>
      </c>
      <c r="L72" s="791">
        <f>'2.Лабораторія ДОДАТКОВІ'!H211+'2.Лабораторія ДОДАТКОВІ'!H216</f>
        <v>0.4</v>
      </c>
      <c r="M72" s="793">
        <f t="shared" si="3"/>
        <v>2.6</v>
      </c>
      <c r="N72" s="793">
        <f t="shared" si="4"/>
        <v>39.6</v>
      </c>
      <c r="O72" s="791"/>
      <c r="P72" s="793">
        <f t="shared" si="5"/>
        <v>40</v>
      </c>
      <c r="Q72" s="793">
        <f>'2.Лабораторія ДОДАТКОВІ'!F167</f>
        <v>40</v>
      </c>
      <c r="R72" s="793">
        <f t="shared" si="6"/>
        <v>0</v>
      </c>
      <c r="S72" s="791"/>
      <c r="T72" s="791"/>
      <c r="U72" s="791"/>
      <c r="V72" s="791"/>
      <c r="W72" s="791"/>
      <c r="X72" s="793"/>
      <c r="Y72" s="793"/>
      <c r="Z72" s="795" t="str">
        <f>'2.Лабораторія ДОДАТКОВІ'!M11</f>
        <v>Мазок на генітальні інфекції</v>
      </c>
      <c r="AA72" s="830"/>
      <c r="AB72" s="796"/>
      <c r="AC72" s="797"/>
      <c r="AD72" s="797"/>
      <c r="AE72" s="797"/>
      <c r="AF72" s="797"/>
      <c r="AG72" s="797"/>
      <c r="AH72" s="797"/>
      <c r="AI72" s="797"/>
      <c r="AJ72" s="797"/>
      <c r="AK72" s="797"/>
      <c r="AL72" s="797"/>
      <c r="AM72" s="797"/>
      <c r="AN72" s="797"/>
      <c r="AO72" s="798"/>
      <c r="AP72" s="798"/>
      <c r="AQ72" s="798"/>
      <c r="AR72" s="798"/>
      <c r="AS72" s="798"/>
      <c r="AT72" s="798"/>
      <c r="AU72" s="798"/>
      <c r="AV72" s="798"/>
      <c r="AW72" s="798"/>
      <c r="AX72" s="798"/>
      <c r="AY72" s="798"/>
      <c r="AZ72" s="798"/>
      <c r="BA72" s="798"/>
      <c r="BB72" s="798"/>
      <c r="BC72" s="798"/>
      <c r="BD72" s="798"/>
      <c r="BE72" s="798"/>
      <c r="BF72" s="798"/>
      <c r="BG72" s="798"/>
      <c r="BH72" s="798"/>
      <c r="BI72" s="798"/>
      <c r="BJ72" s="798"/>
      <c r="BK72" s="798"/>
      <c r="BL72" s="798"/>
      <c r="BM72" s="798"/>
      <c r="BN72" s="798"/>
      <c r="BO72" s="798"/>
    </row>
    <row r="73" spans="1:67" s="516" customFormat="1" x14ac:dyDescent="0.45">
      <c r="A73" s="788"/>
      <c r="B73" s="789" t="s">
        <v>178</v>
      </c>
      <c r="C73" s="790" t="str">
        <f>'2.Лабораторія ДОДАТКОВІ'!C225:E225</f>
        <v>Мікроскопічне дослідження на Демодекс</v>
      </c>
      <c r="D73" s="828">
        <f>'2.Лабораторія ДОДАТКОВІ'!F234+'2.Лабораторія ДОДАТКОВІ'!F235</f>
        <v>24.4</v>
      </c>
      <c r="E73" s="829">
        <f>'2.Лабораторія ДОДАТКОВІ'!F237</f>
        <v>5.37</v>
      </c>
      <c r="F73" s="791">
        <f>'2.Лабораторія ДОДАТКОВІ'!F239</f>
        <v>55.389999999999993</v>
      </c>
      <c r="G73" s="791">
        <f>'2.Лабораторія ДОДАТКОВІ'!F254</f>
        <v>0.8</v>
      </c>
      <c r="H73" s="793">
        <f t="shared" si="7"/>
        <v>85.96</v>
      </c>
      <c r="I73" s="791">
        <f>'2.Лабораторія ДОДАТКОВІ'!H263+'2.Лабораторія ДОДАТКОВІ'!H268</f>
        <v>2.2000000000000002</v>
      </c>
      <c r="J73" s="791">
        <f>'2.Лабораторія ДОДАТКОВІ'!H264+'2.Лабораторія ДОДАТКОВІ'!H269</f>
        <v>0</v>
      </c>
      <c r="K73" s="791">
        <f>'2.Лабораторія ДОДАТКОВІ'!H265+'2.Лабораторія ДОДАТКОВІ'!H270</f>
        <v>0</v>
      </c>
      <c r="L73" s="791">
        <f>'2.Лабораторія ДОДАТКОВІ'!H266+'2.Лабораторія ДОДАТКОВІ'!H271</f>
        <v>0.4</v>
      </c>
      <c r="M73" s="793">
        <f t="shared" si="3"/>
        <v>2.6</v>
      </c>
      <c r="N73" s="793">
        <f t="shared" si="4"/>
        <v>88.559999999999988</v>
      </c>
      <c r="O73" s="791"/>
      <c r="P73" s="793">
        <f t="shared" si="5"/>
        <v>89</v>
      </c>
      <c r="Q73" s="793">
        <f>'2.Лабораторія ДОДАТКОВІ'!F225</f>
        <v>89</v>
      </c>
      <c r="R73" s="793">
        <f t="shared" si="6"/>
        <v>0</v>
      </c>
      <c r="S73" s="791"/>
      <c r="T73" s="791"/>
      <c r="U73" s="791"/>
      <c r="V73" s="791"/>
      <c r="W73" s="791"/>
      <c r="X73" s="793"/>
      <c r="Y73" s="793"/>
      <c r="Z73" s="795" t="str">
        <f>'2.Лабораторія ДОДАТКОВІ'!M12</f>
        <v>Мікроскопічне дослідження на Демодекс</v>
      </c>
      <c r="AA73" s="830"/>
      <c r="AB73" s="796"/>
      <c r="AC73" s="797"/>
      <c r="AD73" s="797"/>
      <c r="AE73" s="797"/>
      <c r="AF73" s="797"/>
      <c r="AG73" s="797"/>
      <c r="AH73" s="797"/>
      <c r="AI73" s="797"/>
      <c r="AJ73" s="797"/>
      <c r="AK73" s="797"/>
      <c r="AL73" s="797"/>
      <c r="AM73" s="797"/>
      <c r="AN73" s="797"/>
      <c r="AO73" s="798"/>
      <c r="AP73" s="798"/>
      <c r="AQ73" s="798"/>
      <c r="AR73" s="798"/>
      <c r="AS73" s="798"/>
      <c r="AT73" s="798"/>
      <c r="AU73" s="798"/>
      <c r="AV73" s="798"/>
      <c r="AW73" s="798"/>
      <c r="AX73" s="798"/>
      <c r="AY73" s="798"/>
      <c r="AZ73" s="798"/>
      <c r="BA73" s="798"/>
      <c r="BB73" s="798"/>
      <c r="BC73" s="798"/>
      <c r="BD73" s="798"/>
      <c r="BE73" s="798"/>
      <c r="BF73" s="798"/>
      <c r="BG73" s="798"/>
      <c r="BH73" s="798"/>
      <c r="BI73" s="798"/>
      <c r="BJ73" s="798"/>
      <c r="BK73" s="798"/>
      <c r="BL73" s="798"/>
      <c r="BM73" s="798"/>
      <c r="BN73" s="798"/>
      <c r="BO73" s="798"/>
    </row>
    <row r="74" spans="1:67" s="516" customFormat="1" x14ac:dyDescent="0.45">
      <c r="A74" s="788"/>
      <c r="B74" s="789" t="s">
        <v>179</v>
      </c>
      <c r="C74" s="790" t="str">
        <f>'2.Лабораторія ДОДАТКОВІ'!C281:E281</f>
        <v>Мікроскопічне дослідження на патологічні грибки</v>
      </c>
      <c r="D74" s="828">
        <f>'2.Лабораторія ДОДАТКОВІ'!F290+'2.Лабораторія ДОДАТКОВІ'!F291</f>
        <v>24.4</v>
      </c>
      <c r="E74" s="829">
        <f>'2.Лабораторія ДОДАТКОВІ'!F293</f>
        <v>5.37</v>
      </c>
      <c r="F74" s="791">
        <f>'2.Лабораторія ДОДАТКОВІ'!F295</f>
        <v>54.689999999999991</v>
      </c>
      <c r="G74" s="791">
        <f>'2.Лабораторія ДОДАТКОВІ'!F310</f>
        <v>0.8</v>
      </c>
      <c r="H74" s="793">
        <f t="shared" si="7"/>
        <v>85.259999999999991</v>
      </c>
      <c r="I74" s="791">
        <f>'2.Лабораторія ДОДАТКОВІ'!H319+'2.Лабораторія ДОДАТКОВІ'!H324</f>
        <v>2.2000000000000002</v>
      </c>
      <c r="J74" s="791">
        <f>'2.Лабораторія ДОДАТКОВІ'!H320+'2.Лабораторія ДОДАТКОВІ'!H325</f>
        <v>0</v>
      </c>
      <c r="K74" s="791">
        <f>'2.Лабораторія ДОДАТКОВІ'!H321+'2.Лабораторія ДОДАТКОВІ'!H326</f>
        <v>0</v>
      </c>
      <c r="L74" s="791">
        <f>'2.Лабораторія ДОДАТКОВІ'!H322+'2.Лабораторія ДОДАТКОВІ'!H327</f>
        <v>0.4</v>
      </c>
      <c r="M74" s="793">
        <f t="shared" si="3"/>
        <v>2.6</v>
      </c>
      <c r="N74" s="793">
        <f t="shared" si="4"/>
        <v>87.859999999999985</v>
      </c>
      <c r="O74" s="791"/>
      <c r="P74" s="793">
        <f t="shared" si="5"/>
        <v>88</v>
      </c>
      <c r="Q74" s="793">
        <f>'2.Лабораторія ДОДАТКОВІ'!F281</f>
        <v>88</v>
      </c>
      <c r="R74" s="793">
        <f t="shared" si="6"/>
        <v>0</v>
      </c>
      <c r="S74" s="791"/>
      <c r="T74" s="791"/>
      <c r="U74" s="791"/>
      <c r="V74" s="791"/>
      <c r="W74" s="791"/>
      <c r="X74" s="793"/>
      <c r="Y74" s="793"/>
      <c r="Z74" s="795" t="str">
        <f>'2.Лабораторія ДОДАТКОВІ'!M13</f>
        <v>Мікроскопічне дослідження на патологічні грибки</v>
      </c>
      <c r="AA74" s="830"/>
      <c r="AB74" s="796"/>
      <c r="AC74" s="797"/>
      <c r="AD74" s="797"/>
      <c r="AE74" s="797"/>
      <c r="AF74" s="797"/>
      <c r="AG74" s="797"/>
      <c r="AH74" s="797"/>
      <c r="AI74" s="797"/>
      <c r="AJ74" s="797"/>
      <c r="AK74" s="797"/>
      <c r="AL74" s="797"/>
      <c r="AM74" s="797"/>
      <c r="AN74" s="797"/>
      <c r="AO74" s="798"/>
      <c r="AP74" s="798"/>
      <c r="AQ74" s="798"/>
      <c r="AR74" s="798"/>
      <c r="AS74" s="798"/>
      <c r="AT74" s="798"/>
      <c r="AU74" s="798"/>
      <c r="AV74" s="798"/>
      <c r="AW74" s="798"/>
      <c r="AX74" s="798"/>
      <c r="AY74" s="798"/>
      <c r="AZ74" s="798"/>
      <c r="BA74" s="798"/>
      <c r="BB74" s="798"/>
      <c r="BC74" s="798"/>
      <c r="BD74" s="798"/>
      <c r="BE74" s="798"/>
      <c r="BF74" s="798"/>
      <c r="BG74" s="798"/>
      <c r="BH74" s="798"/>
      <c r="BI74" s="798"/>
      <c r="BJ74" s="798"/>
      <c r="BK74" s="798"/>
      <c r="BL74" s="798"/>
      <c r="BM74" s="798"/>
      <c r="BN74" s="798"/>
      <c r="BO74" s="798"/>
    </row>
    <row r="75" spans="1:67" s="516" customFormat="1" x14ac:dyDescent="0.45">
      <c r="A75" s="788"/>
      <c r="B75" s="789" t="s">
        <v>180</v>
      </c>
      <c r="C75" s="790" t="str">
        <f>'2.Лабораторія ДОДАТКОВІ'!C337:E337</f>
        <v>Дослідження мікрофлори ротової порожнини</v>
      </c>
      <c r="D75" s="828">
        <f>'2.Лабораторія ДОДАТКОВІ'!F346+'2.Лабораторія ДОДАТКОВІ'!F347</f>
        <v>17.850000000000001</v>
      </c>
      <c r="E75" s="829">
        <f>'2.Лабораторія ДОДАТКОВІ'!F349</f>
        <v>3.93</v>
      </c>
      <c r="F75" s="791">
        <f>'2.Лабораторія ДОДАТКОВІ'!F351</f>
        <v>5.5</v>
      </c>
      <c r="G75" s="791">
        <f>'2.Лабораторія ДОДАТКОВІ'!F365</f>
        <v>0.6</v>
      </c>
      <c r="H75" s="793">
        <f t="shared" si="7"/>
        <v>27.880000000000003</v>
      </c>
      <c r="I75" s="791">
        <f>'2.Лабораторія ДОДАТКОВІ'!H374+'2.Лабораторія ДОДАТКОВІ'!H379</f>
        <v>1.6500000000000001</v>
      </c>
      <c r="J75" s="791">
        <f>'2.Лабораторія ДОДАТКОВІ'!H375+'2.Лабораторія ДОДАТКОВІ'!H380</f>
        <v>0</v>
      </c>
      <c r="K75" s="791">
        <f>'2.Лабораторія ДОДАТКОВІ'!H376+'2.Лабораторія ДОДАТКОВІ'!H381</f>
        <v>0</v>
      </c>
      <c r="L75" s="791">
        <f>'2.Лабораторія ДОДАТКОВІ'!H377+'2.Лабораторія ДОДАТКОВІ'!H382</f>
        <v>0.30000000000000004</v>
      </c>
      <c r="M75" s="793">
        <f t="shared" si="3"/>
        <v>1.9500000000000002</v>
      </c>
      <c r="N75" s="793">
        <f t="shared" si="4"/>
        <v>29.830000000000002</v>
      </c>
      <c r="O75" s="791"/>
      <c r="P75" s="793">
        <f t="shared" si="5"/>
        <v>30</v>
      </c>
      <c r="Q75" s="793">
        <f>'2.Лабораторія ДОДАТКОВІ'!F337</f>
        <v>30</v>
      </c>
      <c r="R75" s="793">
        <f t="shared" si="6"/>
        <v>0</v>
      </c>
      <c r="S75" s="791"/>
      <c r="T75" s="791"/>
      <c r="U75" s="791"/>
      <c r="V75" s="791"/>
      <c r="W75" s="791"/>
      <c r="X75" s="793"/>
      <c r="Y75" s="793"/>
      <c r="Z75" s="795" t="str">
        <f>'2.Лабораторія ДОДАТКОВІ'!M14</f>
        <v>Дослідження мікрофлори ротової порожнини</v>
      </c>
      <c r="AA75" s="830"/>
      <c r="AB75" s="796"/>
      <c r="AC75" s="797"/>
      <c r="AD75" s="797"/>
      <c r="AE75" s="797"/>
      <c r="AF75" s="797"/>
      <c r="AG75" s="797"/>
      <c r="AH75" s="797"/>
      <c r="AI75" s="797"/>
      <c r="AJ75" s="797"/>
      <c r="AK75" s="797"/>
      <c r="AL75" s="797"/>
      <c r="AM75" s="797"/>
      <c r="AN75" s="797"/>
      <c r="AO75" s="798"/>
      <c r="AP75" s="798"/>
      <c r="AQ75" s="798"/>
      <c r="AR75" s="798"/>
      <c r="AS75" s="798"/>
      <c r="AT75" s="798"/>
      <c r="AU75" s="798"/>
      <c r="AV75" s="798"/>
      <c r="AW75" s="798"/>
      <c r="AX75" s="798"/>
      <c r="AY75" s="798"/>
      <c r="AZ75" s="798"/>
      <c r="BA75" s="798"/>
      <c r="BB75" s="798"/>
      <c r="BC75" s="798"/>
      <c r="BD75" s="798"/>
      <c r="BE75" s="798"/>
      <c r="BF75" s="798"/>
      <c r="BG75" s="798"/>
      <c r="BH75" s="798"/>
      <c r="BI75" s="798"/>
      <c r="BJ75" s="798"/>
      <c r="BK75" s="798"/>
      <c r="BL75" s="798"/>
      <c r="BM75" s="798"/>
      <c r="BN75" s="798"/>
      <c r="BO75" s="798"/>
    </row>
    <row r="76" spans="1:67" s="516" customFormat="1" x14ac:dyDescent="0.45">
      <c r="A76" s="788"/>
      <c r="B76" s="789" t="s">
        <v>181</v>
      </c>
      <c r="C76" s="790" t="str">
        <f>'2.Лабораторія ДОДАТКОВІ'!C391:E391</f>
        <v>Обстеження на загальний білок</v>
      </c>
      <c r="D76" s="828">
        <f>'2.Лабораторія ДОДАТКОВІ'!F400+'2.Лабораторія ДОДАТКОВІ'!F401</f>
        <v>29.05</v>
      </c>
      <c r="E76" s="829">
        <f>'2.Лабораторія ДОДАТКОВІ'!F403</f>
        <v>6.39</v>
      </c>
      <c r="F76" s="791">
        <f>'2.Лабораторія ДОДАТКОВІ'!F405</f>
        <v>6.91</v>
      </c>
      <c r="G76" s="791">
        <f>'2.Лабораторія ДОДАТКОВІ'!F420</f>
        <v>0.92</v>
      </c>
      <c r="H76" s="793">
        <f t="shared" si="7"/>
        <v>43.269999999999996</v>
      </c>
      <c r="I76" s="791">
        <f>'2.Лабораторія ДОДАТКОВІ'!H429+'2.Лабораторія ДОДАТКОВІ'!H434</f>
        <v>2.5300000000000002</v>
      </c>
      <c r="J76" s="791">
        <f>'2.Лабораторія ДОДАТКОВІ'!H430+'2.Лабораторія ДОДАТКОВІ'!H435</f>
        <v>0</v>
      </c>
      <c r="K76" s="791">
        <f>'2.Лабораторія ДОДАТКОВІ'!H431+'2.Лабораторія ДОДАТКОВІ'!H436</f>
        <v>0</v>
      </c>
      <c r="L76" s="791">
        <f>'2.Лабораторія ДОДАТКОВІ'!H432+'2.Лабораторія ДОДАТКОВІ'!H437</f>
        <v>0.46</v>
      </c>
      <c r="M76" s="793">
        <f t="shared" si="3"/>
        <v>2.99</v>
      </c>
      <c r="N76" s="793">
        <f t="shared" si="4"/>
        <v>46.26</v>
      </c>
      <c r="O76" s="791"/>
      <c r="P76" s="793">
        <f t="shared" si="5"/>
        <v>46</v>
      </c>
      <c r="Q76" s="793">
        <f>'2.Лабораторія ДОДАТКОВІ'!F391</f>
        <v>46</v>
      </c>
      <c r="R76" s="793">
        <f t="shared" si="6"/>
        <v>0</v>
      </c>
      <c r="S76" s="791"/>
      <c r="T76" s="791"/>
      <c r="U76" s="791"/>
      <c r="V76" s="791"/>
      <c r="W76" s="791"/>
      <c r="X76" s="793"/>
      <c r="Y76" s="793"/>
      <c r="Z76" s="795" t="str">
        <f>'2.Лабораторія ДОДАТКОВІ'!M15</f>
        <v>Обстеження на загальний білок</v>
      </c>
      <c r="AA76" s="830"/>
      <c r="AB76" s="796"/>
      <c r="AC76" s="797"/>
      <c r="AD76" s="797"/>
      <c r="AE76" s="797"/>
      <c r="AF76" s="797"/>
      <c r="AG76" s="797"/>
      <c r="AH76" s="797"/>
      <c r="AI76" s="797"/>
      <c r="AJ76" s="797"/>
      <c r="AK76" s="797"/>
      <c r="AL76" s="797"/>
      <c r="AM76" s="797"/>
      <c r="AN76" s="797"/>
      <c r="AO76" s="798"/>
      <c r="AP76" s="798"/>
      <c r="AQ76" s="798"/>
      <c r="AR76" s="798"/>
      <c r="AS76" s="798"/>
      <c r="AT76" s="798"/>
      <c r="AU76" s="798"/>
      <c r="AV76" s="798"/>
      <c r="AW76" s="798"/>
      <c r="AX76" s="798"/>
      <c r="AY76" s="798"/>
      <c r="AZ76" s="798"/>
      <c r="BA76" s="798"/>
      <c r="BB76" s="798"/>
      <c r="BC76" s="798"/>
      <c r="BD76" s="798"/>
      <c r="BE76" s="798"/>
      <c r="BF76" s="798"/>
      <c r="BG76" s="798"/>
      <c r="BH76" s="798"/>
      <c r="BI76" s="798"/>
      <c r="BJ76" s="798"/>
      <c r="BK76" s="798"/>
      <c r="BL76" s="798"/>
      <c r="BM76" s="798"/>
      <c r="BN76" s="798"/>
      <c r="BO76" s="798"/>
    </row>
    <row r="77" spans="1:67" s="516" customFormat="1" x14ac:dyDescent="0.45">
      <c r="A77" s="788"/>
      <c r="B77" s="789" t="s">
        <v>187</v>
      </c>
      <c r="C77" s="790" t="str">
        <f>'2.Лабораторія ДОДАТКОВІ'!C446:E446</f>
        <v>Аналіз крові на LE - клітини</v>
      </c>
      <c r="D77" s="828">
        <f>'2.Лабораторія ДОДАТКОВІ'!F455+'2.Лабораторія ДОДАТКОВІ'!F456</f>
        <v>57.11</v>
      </c>
      <c r="E77" s="829">
        <f>'2.Лабораторія ДОДАТКОВІ'!F458</f>
        <v>12.56</v>
      </c>
      <c r="F77" s="791">
        <f>'2.Лабораторія ДОДАТКОВІ'!F460</f>
        <v>4.42</v>
      </c>
      <c r="G77" s="791">
        <f>'2.Лабораторія ДОДАТКОВІ'!F479</f>
        <v>1.76</v>
      </c>
      <c r="H77" s="793">
        <f t="shared" si="7"/>
        <v>75.850000000000009</v>
      </c>
      <c r="I77" s="791">
        <f>'2.Лабораторія ДОДАТКОВІ'!H488+'2.Лабораторія ДОДАТКОВІ'!H493</f>
        <v>4.8499999999999996</v>
      </c>
      <c r="J77" s="791">
        <f>'2.Лабораторія ДОДАТКОВІ'!H489+'2.Лабораторія ДОДАТКОВІ'!H494</f>
        <v>0</v>
      </c>
      <c r="K77" s="791">
        <f>'2.Лабораторія ДОДАТКОВІ'!H490+'2.Лабораторія ДОДАТКОВІ'!H495</f>
        <v>0</v>
      </c>
      <c r="L77" s="791">
        <f>'2.Лабораторія ДОДАТКОВІ'!H491+'2.Лабораторія ДОДАТКОВІ'!H496</f>
        <v>0.88</v>
      </c>
      <c r="M77" s="793">
        <f t="shared" si="3"/>
        <v>5.7299999999999995</v>
      </c>
      <c r="N77" s="793">
        <f t="shared" si="4"/>
        <v>81.580000000000013</v>
      </c>
      <c r="O77" s="791"/>
      <c r="P77" s="793">
        <f t="shared" si="5"/>
        <v>82</v>
      </c>
      <c r="Q77" s="793">
        <f>'2.Лабораторія ДОДАТКОВІ'!F446</f>
        <v>82</v>
      </c>
      <c r="R77" s="793">
        <f t="shared" si="6"/>
        <v>0</v>
      </c>
      <c r="S77" s="791"/>
      <c r="T77" s="791"/>
      <c r="U77" s="791"/>
      <c r="V77" s="791"/>
      <c r="W77" s="791"/>
      <c r="X77" s="793"/>
      <c r="Y77" s="793"/>
      <c r="Z77" s="795" t="str">
        <f>'2.Лабораторія ДОДАТКОВІ'!M16</f>
        <v>Аналіз крові на LE - клітини</v>
      </c>
      <c r="AA77" s="830"/>
      <c r="AB77" s="796"/>
      <c r="AC77" s="797"/>
      <c r="AD77" s="797"/>
      <c r="AE77" s="797"/>
      <c r="AF77" s="797"/>
      <c r="AG77" s="797"/>
      <c r="AH77" s="797"/>
      <c r="AI77" s="797"/>
      <c r="AJ77" s="797"/>
      <c r="AK77" s="797"/>
      <c r="AL77" s="797"/>
      <c r="AM77" s="797"/>
      <c r="AN77" s="797"/>
      <c r="AO77" s="798"/>
      <c r="AP77" s="798"/>
      <c r="AQ77" s="798"/>
      <c r="AR77" s="798"/>
      <c r="AS77" s="798"/>
      <c r="AT77" s="798"/>
      <c r="AU77" s="798"/>
      <c r="AV77" s="798"/>
      <c r="AW77" s="798"/>
      <c r="AX77" s="798"/>
      <c r="AY77" s="798"/>
      <c r="AZ77" s="798"/>
      <c r="BA77" s="798"/>
      <c r="BB77" s="798"/>
      <c r="BC77" s="798"/>
      <c r="BD77" s="798"/>
      <c r="BE77" s="798"/>
      <c r="BF77" s="798"/>
      <c r="BG77" s="798"/>
      <c r="BH77" s="798"/>
      <c r="BI77" s="798"/>
      <c r="BJ77" s="798"/>
      <c r="BK77" s="798"/>
      <c r="BL77" s="798"/>
      <c r="BM77" s="798"/>
      <c r="BN77" s="798"/>
      <c r="BO77" s="798"/>
    </row>
    <row r="78" spans="1:67" s="516" customFormat="1" x14ac:dyDescent="0.45">
      <c r="A78" s="788"/>
      <c r="B78" s="789" t="s">
        <v>316</v>
      </c>
      <c r="C78" s="790" t="str">
        <f>'2.Лабораторія ДОДАТКОВІ'!M17</f>
        <v>СРБ (С- реактивний білок) (кількісні результати)</v>
      </c>
      <c r="D78" s="828">
        <f>'2.Лабораторія ДОДАТКОВІ'!F514+'2.Лабораторія ДОДАТКОВІ'!F515</f>
        <v>26.53</v>
      </c>
      <c r="E78" s="829">
        <f>'2.Лабораторія ДОДАТКОВІ'!F517</f>
        <v>5.84</v>
      </c>
      <c r="F78" s="791">
        <f>'2.Лабораторія ДОДАТКОВІ'!F519</f>
        <v>107.33999999999999</v>
      </c>
      <c r="G78" s="791">
        <f>'2.Лабораторія ДОДАТКОВІ'!F534</f>
        <v>0.46</v>
      </c>
      <c r="H78" s="793">
        <f t="shared" si="7"/>
        <v>140.16999999999999</v>
      </c>
      <c r="I78" s="791">
        <f>'2.Лабораторія ДОДАТКОВІ'!H543+'2.Лабораторія ДОДАТКОВІ'!H548</f>
        <v>2.5300000000000002</v>
      </c>
      <c r="J78" s="791">
        <f>'2.Лабораторія ДОДАТКОВІ'!H544+'2.Лабораторія ДОДАТКОВІ'!H549</f>
        <v>0</v>
      </c>
      <c r="K78" s="791">
        <f>'2.Лабораторія ДОДАТКОВІ'!H545+'2.Лабораторія ДОДАТКОВІ'!H550</f>
        <v>0</v>
      </c>
      <c r="L78" s="791">
        <f>'2.Лабораторія ДОДАТКОВІ'!H546+'2.Лабораторія ДОДАТКОВІ'!H551</f>
        <v>0.46</v>
      </c>
      <c r="M78" s="793">
        <f t="shared" si="3"/>
        <v>2.99</v>
      </c>
      <c r="N78" s="793">
        <f t="shared" si="4"/>
        <v>143.16</v>
      </c>
      <c r="O78" s="791"/>
      <c r="P78" s="793">
        <f t="shared" si="5"/>
        <v>143</v>
      </c>
      <c r="Q78" s="793">
        <f>'2.Лабораторія ДОДАТКОВІ'!F505</f>
        <v>143</v>
      </c>
      <c r="R78" s="793">
        <f t="shared" si="6"/>
        <v>0</v>
      </c>
      <c r="S78" s="791"/>
      <c r="T78" s="791"/>
      <c r="U78" s="791"/>
      <c r="V78" s="791"/>
      <c r="W78" s="791"/>
      <c r="X78" s="793"/>
      <c r="Y78" s="793"/>
      <c r="Z78" s="795" t="str">
        <f>'2.Лабораторія ДОДАТКОВІ'!M17</f>
        <v>СРБ (С- реактивний білок) (кількісні результати)</v>
      </c>
      <c r="AA78" s="830"/>
      <c r="AB78" s="796"/>
      <c r="AC78" s="797"/>
      <c r="AD78" s="797"/>
      <c r="AE78" s="797"/>
      <c r="AF78" s="797"/>
      <c r="AG78" s="797"/>
      <c r="AH78" s="797"/>
      <c r="AI78" s="797"/>
      <c r="AJ78" s="797"/>
      <c r="AK78" s="797"/>
      <c r="AL78" s="797"/>
      <c r="AM78" s="797"/>
      <c r="AN78" s="797"/>
      <c r="AO78" s="798"/>
      <c r="AP78" s="798"/>
      <c r="AQ78" s="798"/>
      <c r="AR78" s="798"/>
      <c r="AS78" s="798"/>
      <c r="AT78" s="798"/>
      <c r="AU78" s="798"/>
      <c r="AV78" s="798"/>
      <c r="AW78" s="798"/>
      <c r="AX78" s="798"/>
      <c r="AY78" s="798"/>
      <c r="AZ78" s="798"/>
      <c r="BA78" s="798"/>
      <c r="BB78" s="798"/>
      <c r="BC78" s="798"/>
      <c r="BD78" s="798"/>
      <c r="BE78" s="798"/>
      <c r="BF78" s="798"/>
      <c r="BG78" s="798"/>
      <c r="BH78" s="798"/>
      <c r="BI78" s="798"/>
      <c r="BJ78" s="798"/>
      <c r="BK78" s="798"/>
      <c r="BL78" s="798"/>
      <c r="BM78" s="798"/>
      <c r="BN78" s="798"/>
      <c r="BO78" s="798"/>
    </row>
    <row r="79" spans="1:67" s="516" customFormat="1" x14ac:dyDescent="0.45">
      <c r="A79" s="788"/>
      <c r="B79" s="789" t="s">
        <v>317</v>
      </c>
      <c r="C79" s="790" t="str">
        <f>'2.Лабораторія ДОДАТКОВІ'!M18</f>
        <v>Прокальцитонін (кількісні результати)</v>
      </c>
      <c r="D79" s="828">
        <f>'2.Лабораторія ДОДАТКОВІ'!F569+'2.Лабораторія ДОДАТКОВІ'!F570</f>
        <v>35.700000000000003</v>
      </c>
      <c r="E79" s="829">
        <f>'2.Лабораторія ДОДАТКОВІ'!F572</f>
        <v>7.85</v>
      </c>
      <c r="F79" s="791">
        <f>'2.Лабораторія ДОДАТКОВІ'!F574</f>
        <v>287.34000000000003</v>
      </c>
      <c r="G79" s="791">
        <f>'2.Лабораторія ДОДАТКОВІ'!F589</f>
        <v>0.6</v>
      </c>
      <c r="H79" s="793">
        <f t="shared" si="7"/>
        <v>331.49000000000007</v>
      </c>
      <c r="I79" s="791">
        <f>'2.Лабораторія ДОДАТКОВІ'!H598+'2.Лабораторія ДОДАТКОВІ'!H603</f>
        <v>3.3000000000000003</v>
      </c>
      <c r="J79" s="791">
        <f>'2.Лабораторія ДОДАТКОВІ'!H599+'2.Лабораторія ДОДАТКОВІ'!H604</f>
        <v>0</v>
      </c>
      <c r="K79" s="791">
        <f>'2.Лабораторія ДОДАТКОВІ'!H600+'2.Лабораторія ДОДАТКОВІ'!H605</f>
        <v>0</v>
      </c>
      <c r="L79" s="791">
        <f>'2.Лабораторія ДОДАТКОВІ'!H601+'2.Лабораторія ДОДАТКОВІ'!H606</f>
        <v>0.60000000000000009</v>
      </c>
      <c r="M79" s="793">
        <f t="shared" si="3"/>
        <v>3.9000000000000004</v>
      </c>
      <c r="N79" s="793">
        <f t="shared" si="4"/>
        <v>335.39000000000004</v>
      </c>
      <c r="O79" s="791"/>
      <c r="P79" s="793">
        <f t="shared" si="5"/>
        <v>335</v>
      </c>
      <c r="Q79" s="793">
        <f>'2.Лабораторія ДОДАТКОВІ'!F560</f>
        <v>335</v>
      </c>
      <c r="R79" s="793">
        <f t="shared" si="6"/>
        <v>0</v>
      </c>
      <c r="S79" s="791"/>
      <c r="T79" s="791"/>
      <c r="U79" s="791"/>
      <c r="V79" s="791"/>
      <c r="W79" s="791"/>
      <c r="X79" s="793"/>
      <c r="Y79" s="793"/>
      <c r="Z79" s="795" t="str">
        <f>'2.Лабораторія ДОДАТКОВІ'!M18</f>
        <v>Прокальцитонін (кількісні результати)</v>
      </c>
      <c r="AA79" s="830"/>
      <c r="AB79" s="796"/>
      <c r="AC79" s="797"/>
      <c r="AD79" s="797"/>
      <c r="AE79" s="797"/>
      <c r="AF79" s="797"/>
      <c r="AG79" s="797"/>
      <c r="AH79" s="797"/>
      <c r="AI79" s="797"/>
      <c r="AJ79" s="797"/>
      <c r="AK79" s="797"/>
      <c r="AL79" s="797"/>
      <c r="AM79" s="797"/>
      <c r="AN79" s="797"/>
      <c r="AO79" s="798"/>
      <c r="AP79" s="798"/>
      <c r="AQ79" s="798"/>
      <c r="AR79" s="798"/>
      <c r="AS79" s="798"/>
      <c r="AT79" s="798"/>
      <c r="AU79" s="798"/>
      <c r="AV79" s="798"/>
      <c r="AW79" s="798"/>
      <c r="AX79" s="798"/>
      <c r="AY79" s="798"/>
      <c r="AZ79" s="798"/>
      <c r="BA79" s="798"/>
      <c r="BB79" s="798"/>
      <c r="BC79" s="798"/>
      <c r="BD79" s="798"/>
      <c r="BE79" s="798"/>
      <c r="BF79" s="798"/>
      <c r="BG79" s="798"/>
      <c r="BH79" s="798"/>
      <c r="BI79" s="798"/>
      <c r="BJ79" s="798"/>
      <c r="BK79" s="798"/>
      <c r="BL79" s="798"/>
      <c r="BM79" s="798"/>
      <c r="BN79" s="798"/>
      <c r="BO79" s="798"/>
    </row>
    <row r="80" spans="1:67" s="516" customFormat="1" x14ac:dyDescent="0.45">
      <c r="A80" s="788"/>
      <c r="B80" s="789" t="s">
        <v>318</v>
      </c>
      <c r="C80" s="790" t="str">
        <f>'2.Лабораторія ДОДАТКОВІ'!M19</f>
        <v>D - димер (кількісні результати)</v>
      </c>
      <c r="D80" s="828">
        <f>'2.Лабораторія ДОДАТКОВІ'!F624+'2.Лабораторія ДОДАТКОВІ'!F625</f>
        <v>35.700000000000003</v>
      </c>
      <c r="E80" s="829">
        <f>'2.Лабораторія ДОДАТКОВІ'!F627</f>
        <v>7.85</v>
      </c>
      <c r="F80" s="791">
        <f>'2.Лабораторія ДОДАТКОВІ'!F629</f>
        <v>192.34</v>
      </c>
      <c r="G80" s="791">
        <f>'2.Лабораторія ДОДАТКОВІ'!F644</f>
        <v>0.6</v>
      </c>
      <c r="H80" s="793">
        <f t="shared" si="7"/>
        <v>236.49</v>
      </c>
      <c r="I80" s="791">
        <f>'2.Лабораторія ДОДАТКОВІ'!H653+'2.Лабораторія ДОДАТКОВІ'!H658</f>
        <v>3.3000000000000003</v>
      </c>
      <c r="J80" s="791">
        <f>'2.Лабораторія ДОДАТКОВІ'!H654+'2.Лабораторія ДОДАТКОВІ'!H659</f>
        <v>0</v>
      </c>
      <c r="K80" s="791">
        <f>'2.Лабораторія ДОДАТКОВІ'!H655+'2.Лабораторія ДОДАТКОВІ'!H660</f>
        <v>0</v>
      </c>
      <c r="L80" s="791">
        <f>'2.Лабораторія ДОДАТКОВІ'!H656+'2.Лабораторія ДОДАТКОВІ'!H661</f>
        <v>0.60000000000000009</v>
      </c>
      <c r="M80" s="793">
        <f t="shared" si="3"/>
        <v>3.9000000000000004</v>
      </c>
      <c r="N80" s="793">
        <f t="shared" si="4"/>
        <v>240.39000000000001</v>
      </c>
      <c r="O80" s="791"/>
      <c r="P80" s="793">
        <f t="shared" si="5"/>
        <v>240</v>
      </c>
      <c r="Q80" s="793">
        <f>'2.Лабораторія ДОДАТКОВІ'!F615</f>
        <v>240</v>
      </c>
      <c r="R80" s="793">
        <f t="shared" si="6"/>
        <v>0</v>
      </c>
      <c r="S80" s="791"/>
      <c r="T80" s="791"/>
      <c r="U80" s="791"/>
      <c r="V80" s="791"/>
      <c r="W80" s="791"/>
      <c r="X80" s="793"/>
      <c r="Y80" s="793"/>
      <c r="Z80" s="795" t="str">
        <f>'2.Лабораторія ДОДАТКОВІ'!M19</f>
        <v>D - димер (кількісні результати)</v>
      </c>
      <c r="AA80" s="830"/>
      <c r="AB80" s="796"/>
      <c r="AC80" s="797"/>
      <c r="AD80" s="797"/>
      <c r="AE80" s="797"/>
      <c r="AF80" s="797"/>
      <c r="AG80" s="797"/>
      <c r="AH80" s="797"/>
      <c r="AI80" s="797"/>
      <c r="AJ80" s="797"/>
      <c r="AK80" s="797"/>
      <c r="AL80" s="797"/>
      <c r="AM80" s="797"/>
      <c r="AN80" s="797"/>
      <c r="AO80" s="798"/>
      <c r="AP80" s="798"/>
      <c r="AQ80" s="798"/>
      <c r="AR80" s="798"/>
      <c r="AS80" s="798"/>
      <c r="AT80" s="798"/>
      <c r="AU80" s="798"/>
      <c r="AV80" s="798"/>
      <c r="AW80" s="798"/>
      <c r="AX80" s="798"/>
      <c r="AY80" s="798"/>
      <c r="AZ80" s="798"/>
      <c r="BA80" s="798"/>
      <c r="BB80" s="798"/>
      <c r="BC80" s="798"/>
      <c r="BD80" s="798"/>
      <c r="BE80" s="798"/>
      <c r="BF80" s="798"/>
      <c r="BG80" s="798"/>
      <c r="BH80" s="798"/>
      <c r="BI80" s="798"/>
      <c r="BJ80" s="798"/>
      <c r="BK80" s="798"/>
      <c r="BL80" s="798"/>
      <c r="BM80" s="798"/>
      <c r="BN80" s="798"/>
      <c r="BO80" s="798"/>
    </row>
    <row r="81" spans="1:67" s="516" customFormat="1" x14ac:dyDescent="0.45">
      <c r="A81" s="788"/>
      <c r="B81" s="789" t="s">
        <v>319</v>
      </c>
      <c r="C81" s="790" t="str">
        <f>'2.Лабораторія ДОДАТКОВІ'!M20</f>
        <v>Вітамін D ( 25 - OH - D3 ) (кількісні результати)</v>
      </c>
      <c r="D81" s="828">
        <f>'2.Лабораторія ДОДАТКОВІ'!F680+'2.Лабораторія ДОДАТКОВІ'!F681</f>
        <v>48.8</v>
      </c>
      <c r="E81" s="829">
        <f>'2.Лабораторія ДОДАТКОВІ'!F683</f>
        <v>10.74</v>
      </c>
      <c r="F81" s="791">
        <f>'2.Лабораторія ДОДАТКОВІ'!F685</f>
        <v>277.34000000000003</v>
      </c>
      <c r="G81" s="791">
        <f>'2.Лабораторія ДОДАТКОВІ'!F700</f>
        <v>0.8</v>
      </c>
      <c r="H81" s="793">
        <f t="shared" si="7"/>
        <v>337.68000000000006</v>
      </c>
      <c r="I81" s="791">
        <f>'2.Лабораторія ДОДАТКОВІ'!H709+'2.Лабораторія ДОДАТКОВІ'!H714</f>
        <v>4.4000000000000004</v>
      </c>
      <c r="J81" s="791">
        <f>'2.Лабораторія ДОДАТКОВІ'!H710+'2.Лабораторія ДОДАТКОВІ'!H715</f>
        <v>0</v>
      </c>
      <c r="K81" s="791">
        <f>'2.Лабораторія ДОДАТКОВІ'!H711+'2.Лабораторія ДОДАТКОВІ'!H716</f>
        <v>0</v>
      </c>
      <c r="L81" s="791">
        <f>'2.Лабораторія ДОДАТКОВІ'!H712+'2.Лабораторія ДОДАТКОВІ'!H717</f>
        <v>0.8</v>
      </c>
      <c r="M81" s="793">
        <f t="shared" si="3"/>
        <v>5.2</v>
      </c>
      <c r="N81" s="793">
        <f t="shared" si="4"/>
        <v>342.88000000000005</v>
      </c>
      <c r="O81" s="791"/>
      <c r="P81" s="793">
        <f t="shared" si="5"/>
        <v>343</v>
      </c>
      <c r="Q81" s="793">
        <f>'2.Лабораторія ДОДАТКОВІ'!F671</f>
        <v>343</v>
      </c>
      <c r="R81" s="793">
        <f t="shared" si="6"/>
        <v>0</v>
      </c>
      <c r="S81" s="791"/>
      <c r="T81" s="791"/>
      <c r="U81" s="791"/>
      <c r="V81" s="791"/>
      <c r="W81" s="791"/>
      <c r="X81" s="793"/>
      <c r="Y81" s="793"/>
      <c r="Z81" s="795" t="str">
        <f>'2.Лабораторія ДОДАТКОВІ'!M20</f>
        <v>Вітамін D ( 25 - OH - D3 ) (кількісні результати)</v>
      </c>
      <c r="AA81" s="830"/>
      <c r="AB81" s="796"/>
      <c r="AC81" s="797"/>
      <c r="AD81" s="797"/>
      <c r="AE81" s="797"/>
      <c r="AF81" s="797"/>
      <c r="AG81" s="797"/>
      <c r="AH81" s="797"/>
      <c r="AI81" s="797"/>
      <c r="AJ81" s="797"/>
      <c r="AK81" s="797"/>
      <c r="AL81" s="797"/>
      <c r="AM81" s="797"/>
      <c r="AN81" s="797"/>
      <c r="AO81" s="798"/>
      <c r="AP81" s="798"/>
      <c r="AQ81" s="798"/>
      <c r="AR81" s="798"/>
      <c r="AS81" s="798"/>
      <c r="AT81" s="798"/>
      <c r="AU81" s="798"/>
      <c r="AV81" s="798"/>
      <c r="AW81" s="798"/>
      <c r="AX81" s="798"/>
      <c r="AY81" s="798"/>
      <c r="AZ81" s="798"/>
      <c r="BA81" s="798"/>
      <c r="BB81" s="798"/>
      <c r="BC81" s="798"/>
      <c r="BD81" s="798"/>
      <c r="BE81" s="798"/>
      <c r="BF81" s="798"/>
      <c r="BG81" s="798"/>
      <c r="BH81" s="798"/>
      <c r="BI81" s="798"/>
      <c r="BJ81" s="798"/>
      <c r="BK81" s="798"/>
      <c r="BL81" s="798"/>
      <c r="BM81" s="798"/>
      <c r="BN81" s="798"/>
      <c r="BO81" s="798"/>
    </row>
    <row r="82" spans="1:67" s="516" customFormat="1" x14ac:dyDescent="0.45">
      <c r="A82" s="788"/>
      <c r="B82" s="789" t="s">
        <v>320</v>
      </c>
      <c r="C82" s="790" t="str">
        <f>'2.Лабораторія ДОДАТКОВІ'!M21</f>
        <v>ТТГ (тиреотропний гормон ) (кількісні результати)</v>
      </c>
      <c r="D82" s="828">
        <f>'2.Лабораторія ДОДАТКОВІ'!F736+'2.Лабораторія ДОДАТКОВІ'!F737</f>
        <v>42.25</v>
      </c>
      <c r="E82" s="829">
        <f>'2.Лабораторія ДОДАТКОВІ'!F739</f>
        <v>9.3000000000000007</v>
      </c>
      <c r="F82" s="791">
        <f>'2.Лабораторія ДОДАТКОВІ'!F741</f>
        <v>112.33999999999999</v>
      </c>
      <c r="G82" s="791">
        <f>'2.Лабораторія ДОДАТКОВІ'!F756</f>
        <v>0.7</v>
      </c>
      <c r="H82" s="793">
        <f t="shared" si="7"/>
        <v>164.58999999999997</v>
      </c>
      <c r="I82" s="791">
        <f>'2.Лабораторія ДОДАТКОВІ'!H765+'2.Лабораторія ДОДАТКОВІ'!H770</f>
        <v>3.85</v>
      </c>
      <c r="J82" s="791">
        <f>'2.Лабораторія ДОДАТКОВІ'!H766+'2.Лабораторія ДОДАТКОВІ'!H771</f>
        <v>0</v>
      </c>
      <c r="K82" s="791">
        <f>'2.Лабораторія ДОДАТКОВІ'!H767+'2.Лабораторія ДОДАТКОВІ'!H772</f>
        <v>0</v>
      </c>
      <c r="L82" s="791">
        <f>'2.Лабораторія ДОДАТКОВІ'!H768+'2.Лабораторія ДОДАТКОВІ'!H773</f>
        <v>0.7</v>
      </c>
      <c r="M82" s="793">
        <f t="shared" si="3"/>
        <v>4.55</v>
      </c>
      <c r="N82" s="793">
        <f t="shared" si="4"/>
        <v>169.14</v>
      </c>
      <c r="O82" s="791"/>
      <c r="P82" s="793">
        <f t="shared" si="5"/>
        <v>169</v>
      </c>
      <c r="Q82" s="793">
        <f>'2.Лабораторія ДОДАТКОВІ'!F727</f>
        <v>169</v>
      </c>
      <c r="R82" s="793">
        <f t="shared" si="6"/>
        <v>0</v>
      </c>
      <c r="S82" s="791"/>
      <c r="T82" s="791"/>
      <c r="U82" s="791"/>
      <c r="V82" s="791"/>
      <c r="W82" s="791"/>
      <c r="X82" s="793"/>
      <c r="Y82" s="793"/>
      <c r="Z82" s="795" t="str">
        <f>'2.Лабораторія ДОДАТКОВІ'!M21</f>
        <v>ТТГ (тиреотропний гормон ) (кількісні результати)</v>
      </c>
      <c r="AA82" s="830"/>
      <c r="AB82" s="796"/>
      <c r="AC82" s="797"/>
      <c r="AD82" s="797"/>
      <c r="AE82" s="797"/>
      <c r="AF82" s="797"/>
      <c r="AG82" s="797"/>
      <c r="AH82" s="797"/>
      <c r="AI82" s="797"/>
      <c r="AJ82" s="797"/>
      <c r="AK82" s="797"/>
      <c r="AL82" s="797"/>
      <c r="AM82" s="797"/>
      <c r="AN82" s="797"/>
      <c r="AO82" s="798"/>
      <c r="AP82" s="798"/>
      <c r="AQ82" s="798"/>
      <c r="AR82" s="798"/>
      <c r="AS82" s="798"/>
      <c r="AT82" s="798"/>
      <c r="AU82" s="798"/>
      <c r="AV82" s="798"/>
      <c r="AW82" s="798"/>
      <c r="AX82" s="798"/>
      <c r="AY82" s="798"/>
      <c r="AZ82" s="798"/>
      <c r="BA82" s="798"/>
      <c r="BB82" s="798"/>
      <c r="BC82" s="798"/>
      <c r="BD82" s="798"/>
      <c r="BE82" s="798"/>
      <c r="BF82" s="798"/>
      <c r="BG82" s="798"/>
      <c r="BH82" s="798"/>
      <c r="BI82" s="798"/>
      <c r="BJ82" s="798"/>
      <c r="BK82" s="798"/>
      <c r="BL82" s="798"/>
      <c r="BM82" s="798"/>
      <c r="BN82" s="798"/>
      <c r="BO82" s="798"/>
    </row>
    <row r="83" spans="1:67" s="516" customFormat="1" x14ac:dyDescent="0.45">
      <c r="A83" s="788"/>
      <c r="B83" s="789" t="s">
        <v>321</v>
      </c>
      <c r="C83" s="790" t="str">
        <f>'2.Лабораторія ДОДАТКОВІ'!M22</f>
        <v>Т3 (трийодтиронін) (кількісні результати)</v>
      </c>
      <c r="D83" s="828">
        <f>'2.Лабораторія ДОДАТКОВІ'!F792+'2.Лабораторія ДОДАТКОВІ'!F793</f>
        <v>42.25</v>
      </c>
      <c r="E83" s="829">
        <f>'2.Лабораторія ДОДАТКОВІ'!F795</f>
        <v>9.3000000000000007</v>
      </c>
      <c r="F83" s="791">
        <f>'2.Лабораторія ДОДАТКОВІ'!F797</f>
        <v>112.33999999999999</v>
      </c>
      <c r="G83" s="791">
        <f>'2.Лабораторія ДОДАТКОВІ'!F812</f>
        <v>0.7</v>
      </c>
      <c r="H83" s="793">
        <f t="shared" si="7"/>
        <v>164.58999999999997</v>
      </c>
      <c r="I83" s="791">
        <f>'2.Лабораторія ДОДАТКОВІ'!H821+'2.Лабораторія ДОДАТКОВІ'!H826</f>
        <v>3.85</v>
      </c>
      <c r="J83" s="791">
        <f>'2.Лабораторія ДОДАТКОВІ'!H822+'2.Лабораторія ДОДАТКОВІ'!H827</f>
        <v>0</v>
      </c>
      <c r="K83" s="791">
        <f>'2.Лабораторія ДОДАТКОВІ'!H823+'2.Лабораторія ДОДАТКОВІ'!H828</f>
        <v>0</v>
      </c>
      <c r="L83" s="791">
        <f>'2.Лабораторія ДОДАТКОВІ'!H824+'2.Лабораторія ДОДАТКОВІ'!H829</f>
        <v>0.7</v>
      </c>
      <c r="M83" s="793">
        <f t="shared" si="3"/>
        <v>4.55</v>
      </c>
      <c r="N83" s="793">
        <f t="shared" si="4"/>
        <v>169.14</v>
      </c>
      <c r="O83" s="791"/>
      <c r="P83" s="793">
        <f t="shared" si="5"/>
        <v>169</v>
      </c>
      <c r="Q83" s="793">
        <f>'2.Лабораторія ДОДАТКОВІ'!F783</f>
        <v>169</v>
      </c>
      <c r="R83" s="793">
        <f t="shared" si="6"/>
        <v>0</v>
      </c>
      <c r="S83" s="791"/>
      <c r="T83" s="791"/>
      <c r="U83" s="791"/>
      <c r="V83" s="791"/>
      <c r="W83" s="791"/>
      <c r="X83" s="793"/>
      <c r="Y83" s="793"/>
      <c r="Z83" s="795" t="str">
        <f>'2.Лабораторія ДОДАТКОВІ'!M22</f>
        <v>Т3 (трийодтиронін) (кількісні результати)</v>
      </c>
      <c r="AA83" s="830"/>
      <c r="AB83" s="796"/>
      <c r="AC83" s="797"/>
      <c r="AD83" s="797"/>
      <c r="AE83" s="797"/>
      <c r="AF83" s="797"/>
      <c r="AG83" s="797"/>
      <c r="AH83" s="797"/>
      <c r="AI83" s="797"/>
      <c r="AJ83" s="797"/>
      <c r="AK83" s="797"/>
      <c r="AL83" s="797"/>
      <c r="AM83" s="797"/>
      <c r="AN83" s="797"/>
      <c r="AO83" s="798"/>
      <c r="AP83" s="798"/>
      <c r="AQ83" s="798"/>
      <c r="AR83" s="798"/>
      <c r="AS83" s="798"/>
      <c r="AT83" s="798"/>
      <c r="AU83" s="798"/>
      <c r="AV83" s="798"/>
      <c r="AW83" s="798"/>
      <c r="AX83" s="798"/>
      <c r="AY83" s="798"/>
      <c r="AZ83" s="798"/>
      <c r="BA83" s="798"/>
      <c r="BB83" s="798"/>
      <c r="BC83" s="798"/>
      <c r="BD83" s="798"/>
      <c r="BE83" s="798"/>
      <c r="BF83" s="798"/>
      <c r="BG83" s="798"/>
      <c r="BH83" s="798"/>
      <c r="BI83" s="798"/>
      <c r="BJ83" s="798"/>
      <c r="BK83" s="798"/>
      <c r="BL83" s="798"/>
      <c r="BM83" s="798"/>
      <c r="BN83" s="798"/>
      <c r="BO83" s="798"/>
    </row>
    <row r="84" spans="1:67" s="516" customFormat="1" x14ac:dyDescent="0.45">
      <c r="A84" s="788"/>
      <c r="B84" s="789" t="s">
        <v>322</v>
      </c>
      <c r="C84" s="790" t="str">
        <f>'2.Лабораторія ДОДАТКОВІ'!M23</f>
        <v>Т4 (тироксин) (кількісні результати)</v>
      </c>
      <c r="D84" s="828">
        <f>'2.Лабораторія ДОДАТКОВІ'!F848+'2.Лабораторія ДОДАТКОВІ'!F849</f>
        <v>35.700000000000003</v>
      </c>
      <c r="E84" s="829">
        <f>'2.Лабораторія ДОДАТКОВІ'!F851</f>
        <v>7.85</v>
      </c>
      <c r="F84" s="791">
        <f>'2.Лабораторія ДОДАТКОВІ'!F853</f>
        <v>112.33999999999999</v>
      </c>
      <c r="G84" s="791">
        <f>'2.Лабораторія ДОДАТКОВІ'!F868</f>
        <v>0.6</v>
      </c>
      <c r="H84" s="793">
        <f t="shared" si="7"/>
        <v>156.48999999999998</v>
      </c>
      <c r="I84" s="791">
        <f>'2.Лабораторія ДОДАТКОВІ'!H877+'2.Лабораторія ДОДАТКОВІ'!H882</f>
        <v>3.3000000000000003</v>
      </c>
      <c r="J84" s="791">
        <f>'2.Лабораторія ДОДАТКОВІ'!H878+'2.Лабораторія ДОДАТКОВІ'!H883</f>
        <v>0</v>
      </c>
      <c r="K84" s="791">
        <f>'2.Лабораторія ДОДАТКОВІ'!H879+'2.Лабораторія ДОДАТКОВІ'!H884</f>
        <v>0</v>
      </c>
      <c r="L84" s="791">
        <f>'2.Лабораторія ДОДАТКОВІ'!H880+'2.Лабораторія ДОДАТКОВІ'!H885</f>
        <v>0.60000000000000009</v>
      </c>
      <c r="M84" s="793">
        <f t="shared" si="3"/>
        <v>3.9000000000000004</v>
      </c>
      <c r="N84" s="793">
        <f t="shared" si="4"/>
        <v>160.38999999999999</v>
      </c>
      <c r="O84" s="791"/>
      <c r="P84" s="793">
        <f t="shared" si="5"/>
        <v>160</v>
      </c>
      <c r="Q84" s="793">
        <f>'2.Лабораторія ДОДАТКОВІ'!F839</f>
        <v>160</v>
      </c>
      <c r="R84" s="793">
        <f t="shared" si="6"/>
        <v>0</v>
      </c>
      <c r="S84" s="791"/>
      <c r="T84" s="791"/>
      <c r="U84" s="791"/>
      <c r="V84" s="791"/>
      <c r="W84" s="791"/>
      <c r="X84" s="793"/>
      <c r="Y84" s="793"/>
      <c r="Z84" s="795" t="str">
        <f>'2.Лабораторія ДОДАТКОВІ'!M23</f>
        <v>Т4 (тироксин) (кількісні результати)</v>
      </c>
      <c r="AA84" s="830"/>
      <c r="AB84" s="796"/>
      <c r="AC84" s="797"/>
      <c r="AD84" s="797"/>
      <c r="AE84" s="797"/>
      <c r="AF84" s="797"/>
      <c r="AG84" s="797"/>
      <c r="AH84" s="797"/>
      <c r="AI84" s="797"/>
      <c r="AJ84" s="797"/>
      <c r="AK84" s="797"/>
      <c r="AL84" s="797"/>
      <c r="AM84" s="797"/>
      <c r="AN84" s="797"/>
      <c r="AO84" s="798"/>
      <c r="AP84" s="798"/>
      <c r="AQ84" s="798"/>
      <c r="AR84" s="798"/>
      <c r="AS84" s="798"/>
      <c r="AT84" s="798"/>
      <c r="AU84" s="798"/>
      <c r="AV84" s="798"/>
      <c r="AW84" s="798"/>
      <c r="AX84" s="798"/>
      <c r="AY84" s="798"/>
      <c r="AZ84" s="798"/>
      <c r="BA84" s="798"/>
      <c r="BB84" s="798"/>
      <c r="BC84" s="798"/>
      <c r="BD84" s="798"/>
      <c r="BE84" s="798"/>
      <c r="BF84" s="798"/>
      <c r="BG84" s="798"/>
      <c r="BH84" s="798"/>
      <c r="BI84" s="798"/>
      <c r="BJ84" s="798"/>
      <c r="BK84" s="798"/>
      <c r="BL84" s="798"/>
      <c r="BM84" s="798"/>
      <c r="BN84" s="798"/>
      <c r="BO84" s="798"/>
    </row>
    <row r="85" spans="1:67" s="516" customFormat="1" x14ac:dyDescent="0.45">
      <c r="A85" s="788"/>
      <c r="B85" s="789" t="s">
        <v>323</v>
      </c>
      <c r="C85" s="790" t="str">
        <f>'2.Лабораторія ДОДАТКОВІ'!M24</f>
        <v>ХГЛ (хоріонічний гонадотропін людини) (кількісні результати)</v>
      </c>
      <c r="D85" s="828">
        <f>'2.Лабораторія ДОДАТКОВІ'!F904+'2.Лабораторія ДОДАТКОВІ'!F905</f>
        <v>42.25</v>
      </c>
      <c r="E85" s="829">
        <f>'2.Лабораторія ДОДАТКОВІ'!F907</f>
        <v>9.3000000000000007</v>
      </c>
      <c r="F85" s="791">
        <f>'2.Лабораторія ДОДАТКОВІ'!F909</f>
        <v>112.33999999999999</v>
      </c>
      <c r="G85" s="791">
        <f>'2.Лабораторія ДОДАТКОВІ'!F924</f>
        <v>0.7</v>
      </c>
      <c r="H85" s="793">
        <f t="shared" si="7"/>
        <v>164.58999999999997</v>
      </c>
      <c r="I85" s="791">
        <f>'2.Лабораторія ДОДАТКОВІ'!H933+'2.Лабораторія ДОДАТКОВІ'!H938</f>
        <v>3.85</v>
      </c>
      <c r="J85" s="791">
        <f>'2.Лабораторія ДОДАТКОВІ'!H934+'2.Лабораторія ДОДАТКОВІ'!H939</f>
        <v>0</v>
      </c>
      <c r="K85" s="791">
        <f>'2.Лабораторія ДОДАТКОВІ'!H935+'2.Лабораторія ДОДАТКОВІ'!H940</f>
        <v>0</v>
      </c>
      <c r="L85" s="791">
        <f>'2.Лабораторія ДОДАТКОВІ'!H936+'2.Лабораторія ДОДАТКОВІ'!H941</f>
        <v>0.7</v>
      </c>
      <c r="M85" s="793">
        <f t="shared" si="3"/>
        <v>4.55</v>
      </c>
      <c r="N85" s="793">
        <f t="shared" si="4"/>
        <v>169.14</v>
      </c>
      <c r="O85" s="791"/>
      <c r="P85" s="793">
        <f t="shared" si="5"/>
        <v>169</v>
      </c>
      <c r="Q85" s="793">
        <f>'2.Лабораторія ДОДАТКОВІ'!F895</f>
        <v>169</v>
      </c>
      <c r="R85" s="793">
        <f t="shared" si="6"/>
        <v>0</v>
      </c>
      <c r="S85" s="791"/>
      <c r="T85" s="791"/>
      <c r="U85" s="791"/>
      <c r="V85" s="791"/>
      <c r="W85" s="791"/>
      <c r="X85" s="793"/>
      <c r="Y85" s="793"/>
      <c r="Z85" s="795" t="str">
        <f>'2.Лабораторія ДОДАТКОВІ'!M24</f>
        <v>ХГЛ (хоріонічний гонадотропін людини) (кількісні результати)</v>
      </c>
      <c r="AA85" s="830"/>
      <c r="AB85" s="796"/>
      <c r="AC85" s="797"/>
      <c r="AD85" s="797"/>
      <c r="AE85" s="797"/>
      <c r="AF85" s="797"/>
      <c r="AG85" s="797"/>
      <c r="AH85" s="797"/>
      <c r="AI85" s="797"/>
      <c r="AJ85" s="797"/>
      <c r="AK85" s="797"/>
      <c r="AL85" s="797"/>
      <c r="AM85" s="797"/>
      <c r="AN85" s="797"/>
      <c r="AO85" s="798"/>
      <c r="AP85" s="798"/>
      <c r="AQ85" s="798"/>
      <c r="AR85" s="798"/>
      <c r="AS85" s="798"/>
      <c r="AT85" s="798"/>
      <c r="AU85" s="798"/>
      <c r="AV85" s="798"/>
      <c r="AW85" s="798"/>
      <c r="AX85" s="798"/>
      <c r="AY85" s="798"/>
      <c r="AZ85" s="798"/>
      <c r="BA85" s="798"/>
      <c r="BB85" s="798"/>
      <c r="BC85" s="798"/>
      <c r="BD85" s="798"/>
      <c r="BE85" s="798"/>
      <c r="BF85" s="798"/>
      <c r="BG85" s="798"/>
      <c r="BH85" s="798"/>
      <c r="BI85" s="798"/>
      <c r="BJ85" s="798"/>
      <c r="BK85" s="798"/>
      <c r="BL85" s="798"/>
      <c r="BM85" s="798"/>
      <c r="BN85" s="798"/>
      <c r="BO85" s="798"/>
    </row>
    <row r="86" spans="1:67" s="516" customFormat="1" x14ac:dyDescent="0.45">
      <c r="A86" s="788"/>
      <c r="B86" s="789" t="s">
        <v>332</v>
      </c>
      <c r="C86" s="790" t="str">
        <f>'2.Лабораторія ДОДАТКОВІ'!M25</f>
        <v>ФСГ (фолікулостимулюючий гормон) (кількісні результати)</v>
      </c>
      <c r="D86" s="828">
        <f>'2.Лабораторія ДОДАТКОВІ'!F960+'2.Лабораторія ДОДАТКОВІ'!F961</f>
        <v>35.700000000000003</v>
      </c>
      <c r="E86" s="829">
        <f>'2.Лабораторія ДОДАТКОВІ'!F963</f>
        <v>7.85</v>
      </c>
      <c r="F86" s="791">
        <f>'2.Лабораторія ДОДАТКОВІ'!F965</f>
        <v>137.34</v>
      </c>
      <c r="G86" s="791">
        <f>'2.Лабораторія ДОДАТКОВІ'!F980</f>
        <v>0.6</v>
      </c>
      <c r="H86" s="793">
        <f t="shared" si="7"/>
        <v>181.49</v>
      </c>
      <c r="I86" s="791">
        <f>'2.Лабораторія ДОДАТКОВІ'!H989+'2.Лабораторія ДОДАТКОВІ'!H994</f>
        <v>3.3000000000000003</v>
      </c>
      <c r="J86" s="791">
        <f>'2.Лабораторія ДОДАТКОВІ'!H990+'2.Лабораторія ДОДАТКОВІ'!H995</f>
        <v>0</v>
      </c>
      <c r="K86" s="791">
        <f>'2.Лабораторія ДОДАТКОВІ'!H991+'2.Лабораторія ДОДАТКОВІ'!H996</f>
        <v>0</v>
      </c>
      <c r="L86" s="791">
        <f>'2.Лабораторія ДОДАТКОВІ'!H992+'2.Лабораторія ДОДАТКОВІ'!H997</f>
        <v>0.60000000000000009</v>
      </c>
      <c r="M86" s="793">
        <f t="shared" si="3"/>
        <v>3.9000000000000004</v>
      </c>
      <c r="N86" s="793">
        <f t="shared" si="4"/>
        <v>185.39000000000001</v>
      </c>
      <c r="O86" s="791"/>
      <c r="P86" s="793">
        <f t="shared" si="5"/>
        <v>185</v>
      </c>
      <c r="Q86" s="793">
        <f>'2.Лабораторія ДОДАТКОВІ'!F951</f>
        <v>185</v>
      </c>
      <c r="R86" s="793">
        <f t="shared" si="6"/>
        <v>0</v>
      </c>
      <c r="S86" s="791"/>
      <c r="T86" s="791"/>
      <c r="U86" s="791"/>
      <c r="V86" s="791"/>
      <c r="W86" s="791"/>
      <c r="X86" s="793"/>
      <c r="Y86" s="793"/>
      <c r="Z86" s="795" t="str">
        <f>'2.Лабораторія ДОДАТКОВІ'!M25</f>
        <v>ФСГ (фолікулостимулюючий гормон) (кількісні результати)</v>
      </c>
      <c r="AA86" s="830"/>
      <c r="AB86" s="796"/>
      <c r="AC86" s="797"/>
      <c r="AD86" s="797"/>
      <c r="AE86" s="797"/>
      <c r="AF86" s="797"/>
      <c r="AG86" s="797"/>
      <c r="AH86" s="797"/>
      <c r="AI86" s="797"/>
      <c r="AJ86" s="797"/>
      <c r="AK86" s="797"/>
      <c r="AL86" s="797"/>
      <c r="AM86" s="797"/>
      <c r="AN86" s="797"/>
      <c r="AO86" s="798"/>
      <c r="AP86" s="798"/>
      <c r="AQ86" s="798"/>
      <c r="AR86" s="798"/>
      <c r="AS86" s="798"/>
      <c r="AT86" s="798"/>
      <c r="AU86" s="798"/>
      <c r="AV86" s="798"/>
      <c r="AW86" s="798"/>
      <c r="AX86" s="798"/>
      <c r="AY86" s="798"/>
      <c r="AZ86" s="798"/>
      <c r="BA86" s="798"/>
      <c r="BB86" s="798"/>
      <c r="BC86" s="798"/>
      <c r="BD86" s="798"/>
      <c r="BE86" s="798"/>
      <c r="BF86" s="798"/>
      <c r="BG86" s="798"/>
      <c r="BH86" s="798"/>
      <c r="BI86" s="798"/>
      <c r="BJ86" s="798"/>
      <c r="BK86" s="798"/>
      <c r="BL86" s="798"/>
      <c r="BM86" s="798"/>
      <c r="BN86" s="798"/>
      <c r="BO86" s="798"/>
    </row>
    <row r="87" spans="1:67" s="516" customFormat="1" x14ac:dyDescent="0.45">
      <c r="A87" s="788"/>
      <c r="B87" s="789" t="s">
        <v>333</v>
      </c>
      <c r="C87" s="790" t="str">
        <f>'2.Лабораторія ДОДАТКОВІ'!M26</f>
        <v>Пролактин (кількісні результати)</v>
      </c>
      <c r="D87" s="828">
        <f>'2.Лабораторія ДОДАТКОВІ'!F1016+'2.Лабораторія ДОДАТКОВІ'!F1017</f>
        <v>35.700000000000003</v>
      </c>
      <c r="E87" s="829">
        <f>'2.Лабораторія ДОДАТКОВІ'!F1019</f>
        <v>7.85</v>
      </c>
      <c r="F87" s="791">
        <f>'2.Лабораторія ДОДАТКОВІ'!F1021</f>
        <v>137.34</v>
      </c>
      <c r="G87" s="791">
        <f>'2.Лабораторія ДОДАТКОВІ'!F1036</f>
        <v>0.6</v>
      </c>
      <c r="H87" s="793">
        <f t="shared" si="7"/>
        <v>181.49</v>
      </c>
      <c r="I87" s="791">
        <f>'2.Лабораторія ДОДАТКОВІ'!H1045+'2.Лабораторія ДОДАТКОВІ'!H1050</f>
        <v>3.3000000000000003</v>
      </c>
      <c r="J87" s="791">
        <f>'2.Лабораторія ДОДАТКОВІ'!H1046+'2.Лабораторія ДОДАТКОВІ'!H1051</f>
        <v>0</v>
      </c>
      <c r="K87" s="791">
        <f>'2.Лабораторія ДОДАТКОВІ'!H1047+'2.Лабораторія ДОДАТКОВІ'!H1052</f>
        <v>0</v>
      </c>
      <c r="L87" s="791">
        <f>'2.Лабораторія ДОДАТКОВІ'!H1048+'2.Лабораторія ДОДАТКОВІ'!H1053</f>
        <v>0.60000000000000009</v>
      </c>
      <c r="M87" s="793">
        <f t="shared" si="3"/>
        <v>3.9000000000000004</v>
      </c>
      <c r="N87" s="793">
        <f t="shared" si="4"/>
        <v>185.39000000000001</v>
      </c>
      <c r="O87" s="791"/>
      <c r="P87" s="793">
        <f t="shared" si="5"/>
        <v>185</v>
      </c>
      <c r="Q87" s="793">
        <f>'2.Лабораторія ДОДАТКОВІ'!F1007</f>
        <v>185</v>
      </c>
      <c r="R87" s="793">
        <f t="shared" si="6"/>
        <v>0</v>
      </c>
      <c r="S87" s="791"/>
      <c r="T87" s="791"/>
      <c r="U87" s="791"/>
      <c r="V87" s="791"/>
      <c r="W87" s="791"/>
      <c r="X87" s="793"/>
      <c r="Y87" s="793"/>
      <c r="Z87" s="795" t="str">
        <f>'2.Лабораторія ДОДАТКОВІ'!M26</f>
        <v>Пролактин (кількісні результати)</v>
      </c>
      <c r="AA87" s="830"/>
      <c r="AB87" s="796"/>
      <c r="AC87" s="797"/>
      <c r="AD87" s="797"/>
      <c r="AE87" s="797"/>
      <c r="AF87" s="797"/>
      <c r="AG87" s="797"/>
      <c r="AH87" s="797"/>
      <c r="AI87" s="797"/>
      <c r="AJ87" s="797"/>
      <c r="AK87" s="797"/>
      <c r="AL87" s="797"/>
      <c r="AM87" s="797"/>
      <c r="AN87" s="797"/>
      <c r="AO87" s="798"/>
      <c r="AP87" s="798"/>
      <c r="AQ87" s="798"/>
      <c r="AR87" s="798"/>
      <c r="AS87" s="798"/>
      <c r="AT87" s="798"/>
      <c r="AU87" s="798"/>
      <c r="AV87" s="798"/>
      <c r="AW87" s="798"/>
      <c r="AX87" s="798"/>
      <c r="AY87" s="798"/>
      <c r="AZ87" s="798"/>
      <c r="BA87" s="798"/>
      <c r="BB87" s="798"/>
      <c r="BC87" s="798"/>
      <c r="BD87" s="798"/>
      <c r="BE87" s="798"/>
      <c r="BF87" s="798"/>
      <c r="BG87" s="798"/>
      <c r="BH87" s="798"/>
      <c r="BI87" s="798"/>
      <c r="BJ87" s="798"/>
      <c r="BK87" s="798"/>
      <c r="BL87" s="798"/>
      <c r="BM87" s="798"/>
      <c r="BN87" s="798"/>
      <c r="BO87" s="798"/>
    </row>
    <row r="88" spans="1:67" s="516" customFormat="1" x14ac:dyDescent="0.45">
      <c r="A88" s="788"/>
      <c r="B88" s="789" t="s">
        <v>334</v>
      </c>
      <c r="C88" s="790" t="str">
        <f>'2.Лабораторія ДОДАТКОВІ'!M27</f>
        <v>АМГ (антимюллерів гормон ) (кількісні результати)</v>
      </c>
      <c r="D88" s="828">
        <f>'2.Лабораторія ДОДАТКОВІ'!F1072+'2.Лабораторія ДОДАТКОВІ'!F1073</f>
        <v>35.700000000000003</v>
      </c>
      <c r="E88" s="829">
        <f>'2.Лабораторія ДОДАТКОВІ'!F1075</f>
        <v>7.85</v>
      </c>
      <c r="F88" s="791">
        <f>'2.Лабораторія ДОДАТКОВІ'!F1077</f>
        <v>242.34</v>
      </c>
      <c r="G88" s="791">
        <f>'2.Лабораторія ДОДАТКОВІ'!F1092</f>
        <v>0.6</v>
      </c>
      <c r="H88" s="793">
        <f t="shared" si="7"/>
        <v>286.49</v>
      </c>
      <c r="I88" s="791">
        <f>'2.Лабораторія ДОДАТКОВІ'!H1101+'2.Лабораторія ДОДАТКОВІ'!H1106</f>
        <v>3.3000000000000003</v>
      </c>
      <c r="J88" s="791">
        <f>'2.Лабораторія ДОДАТКОВІ'!H1102+'2.Лабораторія ДОДАТКОВІ'!H1107</f>
        <v>0</v>
      </c>
      <c r="K88" s="791">
        <f>'2.Лабораторія ДОДАТКОВІ'!H1103+'2.Лабораторія ДОДАТКОВІ'!H1108</f>
        <v>0</v>
      </c>
      <c r="L88" s="791">
        <f>'2.Лабораторія ДОДАТКОВІ'!H1104+'2.Лабораторія ДОДАТКОВІ'!H1109</f>
        <v>0.60000000000000009</v>
      </c>
      <c r="M88" s="793">
        <f t="shared" si="3"/>
        <v>3.9000000000000004</v>
      </c>
      <c r="N88" s="793">
        <f t="shared" si="4"/>
        <v>290.39</v>
      </c>
      <c r="O88" s="791"/>
      <c r="P88" s="793">
        <f t="shared" si="5"/>
        <v>290</v>
      </c>
      <c r="Q88" s="793">
        <f>'2.Лабораторія ДОДАТКОВІ'!F1063</f>
        <v>290</v>
      </c>
      <c r="R88" s="793">
        <f t="shared" si="6"/>
        <v>0</v>
      </c>
      <c r="S88" s="791"/>
      <c r="T88" s="791"/>
      <c r="U88" s="791"/>
      <c r="V88" s="791"/>
      <c r="W88" s="791"/>
      <c r="X88" s="793"/>
      <c r="Y88" s="793"/>
      <c r="Z88" s="795" t="str">
        <f>'2.Лабораторія ДОДАТКОВІ'!M27</f>
        <v>АМГ (антимюллерів гормон ) (кількісні результати)</v>
      </c>
      <c r="AA88" s="830"/>
      <c r="AB88" s="796"/>
      <c r="AC88" s="797"/>
      <c r="AD88" s="797"/>
      <c r="AE88" s="797"/>
      <c r="AF88" s="797"/>
      <c r="AG88" s="797"/>
      <c r="AH88" s="797"/>
      <c r="AI88" s="797"/>
      <c r="AJ88" s="797"/>
      <c r="AK88" s="797"/>
      <c r="AL88" s="797"/>
      <c r="AM88" s="797"/>
      <c r="AN88" s="797"/>
      <c r="AO88" s="798"/>
      <c r="AP88" s="798"/>
      <c r="AQ88" s="798"/>
      <c r="AR88" s="798"/>
      <c r="AS88" s="798"/>
      <c r="AT88" s="798"/>
      <c r="AU88" s="798"/>
      <c r="AV88" s="798"/>
      <c r="AW88" s="798"/>
      <c r="AX88" s="798"/>
      <c r="AY88" s="798"/>
      <c r="AZ88" s="798"/>
      <c r="BA88" s="798"/>
      <c r="BB88" s="798"/>
      <c r="BC88" s="798"/>
      <c r="BD88" s="798"/>
      <c r="BE88" s="798"/>
      <c r="BF88" s="798"/>
      <c r="BG88" s="798"/>
      <c r="BH88" s="798"/>
      <c r="BI88" s="798"/>
      <c r="BJ88" s="798"/>
      <c r="BK88" s="798"/>
      <c r="BL88" s="798"/>
      <c r="BM88" s="798"/>
      <c r="BN88" s="798"/>
      <c r="BO88" s="798"/>
    </row>
    <row r="89" spans="1:67" s="516" customFormat="1" x14ac:dyDescent="0.45">
      <c r="A89" s="788"/>
      <c r="B89" s="789" t="s">
        <v>335</v>
      </c>
      <c r="C89" s="790" t="str">
        <f>'2.Лабораторія ДОДАТКОВІ'!M28</f>
        <v>Глікований гемоглобін (HbF1c ) (кількісні результати)</v>
      </c>
      <c r="D89" s="828">
        <f>'2.Лабораторія ДОДАТКОВІ'!F1128+'2.Лабораторія ДОДАТКОВІ'!F1129</f>
        <v>42.25</v>
      </c>
      <c r="E89" s="829">
        <f>'2.Лабораторія ДОДАТКОВІ'!F1131</f>
        <v>9.3000000000000007</v>
      </c>
      <c r="F89" s="791">
        <f>'2.Лабораторія ДОДАТКОВІ'!F1133</f>
        <v>102.33999999999999</v>
      </c>
      <c r="G89" s="791">
        <f>'2.Лабораторія ДОДАТКОВІ'!F1148</f>
        <v>0.7</v>
      </c>
      <c r="H89" s="793">
        <f t="shared" si="7"/>
        <v>154.58999999999997</v>
      </c>
      <c r="I89" s="791">
        <f>'2.Лабораторія ДОДАТКОВІ'!H1157+'2.Лабораторія ДОДАТКОВІ'!H1162</f>
        <v>3.85</v>
      </c>
      <c r="J89" s="791">
        <f>'2.Лабораторія ДОДАТКОВІ'!H1158+'2.Лабораторія ДОДАТКОВІ'!H1163</f>
        <v>0</v>
      </c>
      <c r="K89" s="791">
        <f>'2.Лабораторія ДОДАТКОВІ'!H1159+'2.Лабораторія ДОДАТКОВІ'!H1164</f>
        <v>0</v>
      </c>
      <c r="L89" s="791">
        <f>'2.Лабораторія ДОДАТКОВІ'!H1160+'2.Лабораторія ДОДАТКОВІ'!H1165</f>
        <v>0.7</v>
      </c>
      <c r="M89" s="793">
        <f t="shared" si="3"/>
        <v>4.55</v>
      </c>
      <c r="N89" s="793">
        <f t="shared" si="4"/>
        <v>159.13999999999999</v>
      </c>
      <c r="O89" s="791"/>
      <c r="P89" s="793">
        <f t="shared" si="5"/>
        <v>159</v>
      </c>
      <c r="Q89" s="793">
        <f>'2.Лабораторія ДОДАТКОВІ'!F1119</f>
        <v>159</v>
      </c>
      <c r="R89" s="793">
        <f t="shared" si="6"/>
        <v>0</v>
      </c>
      <c r="S89" s="791"/>
      <c r="T89" s="791"/>
      <c r="U89" s="791"/>
      <c r="V89" s="791"/>
      <c r="W89" s="791"/>
      <c r="X89" s="793"/>
      <c r="Y89" s="793"/>
      <c r="Z89" s="795" t="str">
        <f>'2.Лабораторія ДОДАТКОВІ'!M28</f>
        <v>Глікований гемоглобін (HbF1c ) (кількісні результати)</v>
      </c>
      <c r="AA89" s="830"/>
      <c r="AB89" s="796"/>
      <c r="AC89" s="797"/>
      <c r="AD89" s="797"/>
      <c r="AE89" s="797"/>
      <c r="AF89" s="797"/>
      <c r="AG89" s="797"/>
      <c r="AH89" s="797"/>
      <c r="AI89" s="797"/>
      <c r="AJ89" s="797"/>
      <c r="AK89" s="797"/>
      <c r="AL89" s="797"/>
      <c r="AM89" s="797"/>
      <c r="AN89" s="797"/>
      <c r="AO89" s="798"/>
      <c r="AP89" s="798"/>
      <c r="AQ89" s="798"/>
      <c r="AR89" s="798"/>
      <c r="AS89" s="798"/>
      <c r="AT89" s="798"/>
      <c r="AU89" s="798"/>
      <c r="AV89" s="798"/>
      <c r="AW89" s="798"/>
      <c r="AX89" s="798"/>
      <c r="AY89" s="798"/>
      <c r="AZ89" s="798"/>
      <c r="BA89" s="798"/>
      <c r="BB89" s="798"/>
      <c r="BC89" s="798"/>
      <c r="BD89" s="798"/>
      <c r="BE89" s="798"/>
      <c r="BF89" s="798"/>
      <c r="BG89" s="798"/>
      <c r="BH89" s="798"/>
      <c r="BI89" s="798"/>
      <c r="BJ89" s="798"/>
      <c r="BK89" s="798"/>
      <c r="BL89" s="798"/>
      <c r="BM89" s="798"/>
      <c r="BN89" s="798"/>
      <c r="BO89" s="798"/>
    </row>
    <row r="90" spans="1:67" s="516" customFormat="1" x14ac:dyDescent="0.45">
      <c r="A90" s="788"/>
      <c r="B90" s="789" t="s">
        <v>336</v>
      </c>
      <c r="C90" s="790" t="str">
        <f>'2.Лабораторія ДОДАТКОВІ'!M29</f>
        <v>ПСА (простато-специфічний антиген) (кількісні результати)</v>
      </c>
      <c r="D90" s="791">
        <f>'2.Лабораторія ДОДАТКОВІ'!F1184+'2.Лабораторія ДОДАТКОВІ'!F1185</f>
        <v>35.700000000000003</v>
      </c>
      <c r="E90" s="792">
        <f>'2.Лабораторія ДОДАТКОВІ'!F1187</f>
        <v>7.85</v>
      </c>
      <c r="F90" s="792">
        <f>'2.Лабораторія ДОДАТКОВІ'!F1189</f>
        <v>177.34</v>
      </c>
      <c r="G90" s="791">
        <f>'2.Лабораторія ДОДАТКОВІ'!F1204</f>
        <v>0.6</v>
      </c>
      <c r="H90" s="793">
        <f t="shared" si="7"/>
        <v>221.49</v>
      </c>
      <c r="I90" s="791">
        <f>'2.Лабораторія ДОДАТКОВІ'!H1213+'2.Лабораторія ДОДАТКОВІ'!H1218</f>
        <v>3.3000000000000003</v>
      </c>
      <c r="J90" s="791">
        <f>'2.Лабораторія ДОДАТКОВІ'!H1214+'2.Лабораторія ДОДАТКОВІ'!H1219</f>
        <v>0</v>
      </c>
      <c r="K90" s="791">
        <f>'2.Лабораторія ДОДАТКОВІ'!H1215+'2.Лабораторія ДОДАТКОВІ'!H1220</f>
        <v>0</v>
      </c>
      <c r="L90" s="791">
        <f>'2.Лабораторія ДОДАТКОВІ'!H1216+'2.Лабораторія ДОДАТКОВІ'!H1221</f>
        <v>0.60000000000000009</v>
      </c>
      <c r="M90" s="793">
        <f t="shared" si="3"/>
        <v>3.9000000000000004</v>
      </c>
      <c r="N90" s="793">
        <f t="shared" si="4"/>
        <v>225.39000000000001</v>
      </c>
      <c r="O90" s="792"/>
      <c r="P90" s="793">
        <f t="shared" si="5"/>
        <v>225</v>
      </c>
      <c r="Q90" s="793">
        <f>'2.Лабораторія ДОДАТКОВІ'!F1175</f>
        <v>225</v>
      </c>
      <c r="R90" s="793">
        <f t="shared" si="6"/>
        <v>0</v>
      </c>
      <c r="S90" s="792"/>
      <c r="T90" s="792"/>
      <c r="U90" s="792"/>
      <c r="V90" s="792"/>
      <c r="W90" s="792"/>
      <c r="X90" s="794"/>
      <c r="Y90" s="794"/>
      <c r="Z90" s="795" t="str">
        <f>'2.Лабораторія ДОДАТКОВІ'!M29</f>
        <v>ПСА (простато-специфічний антиген) (кількісні результати)</v>
      </c>
      <c r="AA90" s="796"/>
      <c r="AB90" s="796"/>
      <c r="AC90" s="797"/>
      <c r="AD90" s="797"/>
      <c r="AE90" s="797"/>
      <c r="AF90" s="797"/>
      <c r="AG90" s="797"/>
      <c r="AH90" s="797"/>
      <c r="AI90" s="797"/>
      <c r="AJ90" s="797"/>
      <c r="AK90" s="797"/>
      <c r="AL90" s="797"/>
      <c r="AM90" s="797"/>
      <c r="AN90" s="797"/>
      <c r="AO90" s="798"/>
      <c r="AP90" s="798"/>
      <c r="AQ90" s="798"/>
      <c r="AR90" s="798"/>
      <c r="AS90" s="798"/>
      <c r="AT90" s="798"/>
      <c r="AU90" s="798"/>
      <c r="AV90" s="798"/>
      <c r="AW90" s="798"/>
      <c r="AX90" s="798"/>
      <c r="AY90" s="798"/>
      <c r="AZ90" s="798"/>
      <c r="BA90" s="798"/>
      <c r="BB90" s="798"/>
      <c r="BC90" s="798"/>
      <c r="BD90" s="798"/>
      <c r="BE90" s="798"/>
      <c r="BF90" s="798"/>
      <c r="BG90" s="798"/>
      <c r="BH90" s="798"/>
      <c r="BI90" s="798"/>
      <c r="BJ90" s="798"/>
      <c r="BK90" s="798"/>
      <c r="BL90" s="798"/>
      <c r="BM90" s="798"/>
      <c r="BN90" s="798"/>
      <c r="BO90" s="798"/>
    </row>
    <row r="91" spans="1:67" s="516" customFormat="1" x14ac:dyDescent="0.45">
      <c r="A91" s="788"/>
      <c r="B91" s="789" t="s">
        <v>211</v>
      </c>
      <c r="C91" s="790" t="str">
        <f>'2.Лабораторія ДОДАТКОВІ'!M30</f>
        <v>Визначення нейтралізуючих антитіл до коронавірусу</v>
      </c>
      <c r="D91" s="791">
        <f>'2.Лабораторія ДОДАТКОВІ'!F1240+'2.Лабораторія ДОДАТКОВІ'!F1241</f>
        <v>29.15</v>
      </c>
      <c r="E91" s="792">
        <f>'2.Лабораторія ДОДАТКОВІ'!F1243</f>
        <v>6.41</v>
      </c>
      <c r="F91" s="791">
        <f>'2.Лабораторія ДОДАТКОВІ'!F1245</f>
        <v>327.34000000000003</v>
      </c>
      <c r="G91" s="791">
        <f>'2.Лабораторія ДОДАТКОВІ'!H1263</f>
        <v>0.5</v>
      </c>
      <c r="H91" s="793">
        <f t="shared" si="7"/>
        <v>363.40000000000003</v>
      </c>
      <c r="I91" s="791">
        <f>'2.Лабораторія ДОДАТКОВІ'!H1269+'2.Лабораторія ДОДАТКОВІ'!H1274</f>
        <v>2.75</v>
      </c>
      <c r="J91" s="791">
        <f>'2.Лабораторія ДОДАТКОВІ'!H1270+'2.Лабораторія ДОДАТКОВІ'!H1275</f>
        <v>0</v>
      </c>
      <c r="K91" s="791">
        <f>'2.Лабораторія ДОДАТКОВІ'!H1271+'2.Лабораторія ДОДАТКОВІ'!H1276</f>
        <v>0</v>
      </c>
      <c r="L91" s="791">
        <f>'2.Лабораторія ДОДАТКОВІ'!H1272+'2.Лабораторія ДОДАТКОВІ'!H1277</f>
        <v>0.5</v>
      </c>
      <c r="M91" s="793">
        <f t="shared" si="3"/>
        <v>3.25</v>
      </c>
      <c r="N91" s="793">
        <f t="shared" si="4"/>
        <v>366.65000000000003</v>
      </c>
      <c r="O91" s="792"/>
      <c r="P91" s="793">
        <f t="shared" si="5"/>
        <v>367</v>
      </c>
      <c r="Q91" s="793">
        <f>'2.Лабораторія ДОДАТКОВІ'!F1231</f>
        <v>367</v>
      </c>
      <c r="R91" s="793">
        <f t="shared" si="6"/>
        <v>0</v>
      </c>
      <c r="S91" s="792"/>
      <c r="T91" s="792"/>
      <c r="U91" s="792"/>
      <c r="V91" s="792"/>
      <c r="W91" s="792"/>
      <c r="X91" s="794"/>
      <c r="Y91" s="794"/>
      <c r="Z91" s="795" t="str">
        <f>'2.Лабораторія ДОДАТКОВІ'!M30</f>
        <v>Визначення нейтралізуючих антитіл до коронавірусу</v>
      </c>
      <c r="AA91" s="796"/>
      <c r="AB91" s="796"/>
      <c r="AC91" s="797"/>
      <c r="AD91" s="797"/>
      <c r="AE91" s="797"/>
      <c r="AF91" s="797"/>
      <c r="AG91" s="797"/>
      <c r="AH91" s="797"/>
      <c r="AI91" s="797"/>
      <c r="AJ91" s="797"/>
      <c r="AK91" s="797"/>
      <c r="AL91" s="797"/>
      <c r="AM91" s="797"/>
      <c r="AN91" s="797"/>
      <c r="AO91" s="798"/>
      <c r="AP91" s="798"/>
      <c r="AQ91" s="798"/>
      <c r="AR91" s="798"/>
      <c r="AS91" s="798"/>
      <c r="AT91" s="798"/>
      <c r="AU91" s="798"/>
      <c r="AV91" s="798"/>
      <c r="AW91" s="798"/>
      <c r="AX91" s="798"/>
      <c r="AY91" s="798"/>
      <c r="AZ91" s="798"/>
      <c r="BA91" s="798"/>
      <c r="BB91" s="798"/>
      <c r="BC91" s="798"/>
      <c r="BD91" s="798"/>
      <c r="BE91" s="798"/>
      <c r="BF91" s="798"/>
      <c r="BG91" s="798"/>
      <c r="BH91" s="798"/>
      <c r="BI91" s="798"/>
      <c r="BJ91" s="798"/>
      <c r="BK91" s="798"/>
      <c r="BL91" s="798"/>
      <c r="BM91" s="798"/>
      <c r="BN91" s="798"/>
      <c r="BO91" s="798"/>
    </row>
    <row r="92" spans="1:67" s="516" customFormat="1" x14ac:dyDescent="0.45">
      <c r="A92" s="788"/>
      <c r="B92" s="789" t="s">
        <v>215</v>
      </c>
      <c r="C92" s="790" t="str">
        <f>'2.Лабораторія ДОДАТКОВІ'!M31</f>
        <v>Визначення феритину</v>
      </c>
      <c r="D92" s="791">
        <f>'2.Лабораторія ДОДАТКОВІ'!F1296+'2.Лабораторія ДОДАТКОВІ'!F1297</f>
        <v>29.15</v>
      </c>
      <c r="E92" s="792">
        <f>'2.Лабораторія ДОДАТКОВІ'!F1299</f>
        <v>6.41</v>
      </c>
      <c r="F92" s="792">
        <f>'2.Лабораторія ДОДАТКОВІ'!F1301</f>
        <v>202.34</v>
      </c>
      <c r="G92" s="791">
        <f>'2.Лабораторія ДОДАТКОВІ'!F1260</f>
        <v>0.5</v>
      </c>
      <c r="H92" s="793">
        <f t="shared" si="7"/>
        <v>238.4</v>
      </c>
      <c r="I92" s="791">
        <f>'2.Лабораторія ДОДАТКОВІ'!H1269+'2.Лабораторія ДОДАТКОВІ'!H1274</f>
        <v>2.75</v>
      </c>
      <c r="J92" s="791">
        <f>'2.Лабораторія ДОДАТКОВІ'!H1270+'2.Лабораторія ДОДАТКОВІ'!H1275</f>
        <v>0</v>
      </c>
      <c r="K92" s="791">
        <f>'2.Лабораторія ДОДАТКОВІ'!H1271+'2.Лабораторія ДОДАТКОВІ'!H1276</f>
        <v>0</v>
      </c>
      <c r="L92" s="791">
        <f>'2.Лабораторія ДОДАТКОВІ'!H1272+'2.Лабораторія ДОДАТКОВІ'!H1277</f>
        <v>0.5</v>
      </c>
      <c r="M92" s="793">
        <f t="shared" si="3"/>
        <v>3.25</v>
      </c>
      <c r="N92" s="793">
        <f t="shared" si="4"/>
        <v>241.65</v>
      </c>
      <c r="O92" s="792"/>
      <c r="P92" s="793">
        <f t="shared" si="5"/>
        <v>242</v>
      </c>
      <c r="Q92" s="793">
        <f>'2.Лабораторія ДОДАТКОВІ'!F1287</f>
        <v>242</v>
      </c>
      <c r="R92" s="793">
        <f t="shared" si="6"/>
        <v>0</v>
      </c>
      <c r="S92" s="792"/>
      <c r="T92" s="792"/>
      <c r="U92" s="792"/>
      <c r="V92" s="792"/>
      <c r="W92" s="792"/>
      <c r="X92" s="794"/>
      <c r="Y92" s="794"/>
      <c r="Z92" s="795" t="str">
        <f>'2.Лабораторія ДОДАТКОВІ'!M31</f>
        <v>Визначення феритину</v>
      </c>
      <c r="AA92" s="796"/>
      <c r="AB92" s="796"/>
      <c r="AC92" s="797"/>
      <c r="AD92" s="797"/>
      <c r="AE92" s="797"/>
      <c r="AF92" s="797"/>
      <c r="AG92" s="797"/>
      <c r="AH92" s="797"/>
      <c r="AI92" s="797"/>
      <c r="AJ92" s="797"/>
      <c r="AK92" s="797"/>
      <c r="AL92" s="797"/>
      <c r="AM92" s="797"/>
      <c r="AN92" s="797"/>
      <c r="AO92" s="798"/>
      <c r="AP92" s="798"/>
      <c r="AQ92" s="798"/>
      <c r="AR92" s="798"/>
      <c r="AS92" s="798"/>
      <c r="AT92" s="798"/>
      <c r="AU92" s="798"/>
      <c r="AV92" s="798"/>
      <c r="AW92" s="798"/>
      <c r="AX92" s="798"/>
      <c r="AY92" s="798"/>
      <c r="AZ92" s="798"/>
      <c r="BA92" s="798"/>
      <c r="BB92" s="798"/>
      <c r="BC92" s="798"/>
      <c r="BD92" s="798"/>
      <c r="BE92" s="798"/>
      <c r="BF92" s="798"/>
      <c r="BG92" s="798"/>
      <c r="BH92" s="798"/>
      <c r="BI92" s="798"/>
      <c r="BJ92" s="798"/>
      <c r="BK92" s="798"/>
      <c r="BL92" s="798"/>
      <c r="BM92" s="798"/>
      <c r="BN92" s="798"/>
      <c r="BO92" s="798"/>
    </row>
    <row r="93" spans="1:67" s="997" customFormat="1" x14ac:dyDescent="0.45">
      <c r="A93" s="991"/>
      <c r="B93" s="992" t="s">
        <v>303</v>
      </c>
      <c r="C93" s="993" t="s">
        <v>297</v>
      </c>
      <c r="D93" s="998">
        <f>'2.Лабораторія ДОДАТКОВІ'!F1351</f>
        <v>19.649999999999999</v>
      </c>
      <c r="E93" s="994">
        <f>'2.Лабораторія ДОДАТКОВІ'!F1353</f>
        <v>4.32</v>
      </c>
      <c r="F93" s="998">
        <f>'2.Лабораторія ДОДАТКОВІ'!G1363</f>
        <v>171.70000000000002</v>
      </c>
      <c r="G93" s="998">
        <f>'2.Лабораторія ДОДАТКОВІ'!F1365</f>
        <v>0</v>
      </c>
      <c r="H93" s="793">
        <f t="shared" si="7"/>
        <v>195.67000000000002</v>
      </c>
      <c r="I93" s="999">
        <f>'2.Лабораторія ДОДАТКОВІ'!H1374</f>
        <v>1.65</v>
      </c>
      <c r="J93" s="999">
        <f>'2.Лабораторія ДОДАТКОВІ'!H1375</f>
        <v>0</v>
      </c>
      <c r="K93" s="999">
        <f>'2.Лабораторія ДОДАТКОВІ'!H1376</f>
        <v>0</v>
      </c>
      <c r="L93" s="999">
        <f>'2.Лабораторія ДОДАТКОВІ'!H1377</f>
        <v>0.3</v>
      </c>
      <c r="M93" s="793">
        <f t="shared" si="3"/>
        <v>1.95</v>
      </c>
      <c r="N93" s="793">
        <f t="shared" si="4"/>
        <v>197.62</v>
      </c>
      <c r="O93" s="990"/>
      <c r="P93" s="793">
        <f t="shared" si="5"/>
        <v>198</v>
      </c>
      <c r="Q93" s="793">
        <f>'2.Лабораторія ДОДАТКОВІ'!F1343</f>
        <v>198</v>
      </c>
      <c r="R93" s="793">
        <f t="shared" si="6"/>
        <v>0</v>
      </c>
      <c r="S93" s="990"/>
      <c r="T93" s="990"/>
      <c r="U93" s="990"/>
      <c r="V93" s="990"/>
      <c r="W93" s="990"/>
      <c r="X93" s="990"/>
      <c r="Y93" s="990"/>
      <c r="Z93" s="1024" t="s">
        <v>297</v>
      </c>
      <c r="AA93" s="1024"/>
      <c r="AB93" s="1024"/>
      <c r="AC93" s="995"/>
      <c r="AD93" s="995"/>
      <c r="AE93" s="995"/>
      <c r="AF93" s="995"/>
      <c r="AG93" s="995"/>
      <c r="AH93" s="995"/>
      <c r="AI93" s="995"/>
      <c r="AJ93" s="995"/>
      <c r="AK93" s="995"/>
      <c r="AL93" s="995"/>
      <c r="AM93" s="995"/>
      <c r="AN93" s="995"/>
      <c r="AO93" s="996"/>
      <c r="AP93" s="996"/>
      <c r="AQ93" s="996"/>
      <c r="AR93" s="996"/>
      <c r="AS93" s="996"/>
      <c r="AT93" s="996"/>
      <c r="AU93" s="996"/>
      <c r="AV93" s="996"/>
      <c r="AW93" s="996"/>
      <c r="AX93" s="996"/>
      <c r="AY93" s="996"/>
      <c r="AZ93" s="996"/>
      <c r="BA93" s="996"/>
      <c r="BB93" s="996"/>
      <c r="BC93" s="996"/>
      <c r="BD93" s="996"/>
      <c r="BE93" s="996"/>
      <c r="BF93" s="996"/>
      <c r="BG93" s="996"/>
      <c r="BH93" s="996"/>
      <c r="BI93" s="996"/>
      <c r="BJ93" s="996"/>
      <c r="BK93" s="996"/>
      <c r="BL93" s="996"/>
      <c r="BM93" s="996"/>
      <c r="BN93" s="996"/>
      <c r="BO93" s="996"/>
    </row>
    <row r="94" spans="1:67" s="6" customFormat="1" x14ac:dyDescent="0.45">
      <c r="A94" s="517"/>
      <c r="B94" s="392"/>
      <c r="C94" s="393"/>
      <c r="D94" s="378"/>
      <c r="E94" s="378"/>
      <c r="F94" s="378"/>
      <c r="G94" s="378"/>
      <c r="H94" s="380"/>
      <c r="I94" s="378"/>
      <c r="J94" s="378"/>
      <c r="K94" s="378"/>
      <c r="L94" s="378"/>
      <c r="M94" s="380"/>
      <c r="N94" s="380"/>
      <c r="O94" s="378"/>
      <c r="P94" s="380"/>
      <c r="Q94" s="380"/>
      <c r="R94" s="380"/>
      <c r="S94" s="378"/>
      <c r="T94" s="378"/>
      <c r="U94" s="378"/>
      <c r="V94" s="378"/>
      <c r="W94" s="378"/>
      <c r="X94" s="380"/>
      <c r="Y94" s="380"/>
      <c r="Z94" s="754"/>
      <c r="AA94" s="755"/>
      <c r="AB94" s="755"/>
      <c r="AC94" s="748"/>
      <c r="AD94" s="748"/>
      <c r="AE94" s="748"/>
      <c r="AF94" s="748"/>
      <c r="AG94" s="748"/>
      <c r="AH94" s="748"/>
      <c r="AI94" s="748"/>
      <c r="AJ94" s="748"/>
      <c r="AK94" s="748"/>
      <c r="AL94" s="748"/>
      <c r="AM94" s="748"/>
      <c r="AN94" s="748"/>
      <c r="AO94" s="375"/>
      <c r="AP94" s="375"/>
      <c r="AQ94" s="375"/>
      <c r="AR94" s="375"/>
      <c r="AS94" s="375"/>
      <c r="AT94" s="375"/>
      <c r="AU94" s="375"/>
      <c r="AV94" s="375"/>
      <c r="AW94" s="375"/>
      <c r="AX94" s="375"/>
      <c r="AY94" s="375"/>
      <c r="AZ94" s="375"/>
      <c r="BA94" s="375"/>
      <c r="BB94" s="375"/>
      <c r="BC94" s="375"/>
      <c r="BD94" s="375"/>
      <c r="BE94" s="375"/>
      <c r="BF94" s="375"/>
      <c r="BG94" s="375"/>
      <c r="BH94" s="375"/>
      <c r="BI94" s="375"/>
      <c r="BJ94" s="375"/>
      <c r="BK94" s="375"/>
      <c r="BL94" s="375"/>
      <c r="BM94" s="375"/>
      <c r="BN94" s="375"/>
      <c r="BO94" s="375"/>
    </row>
    <row r="95" spans="1:67" s="6" customFormat="1" x14ac:dyDescent="0.45">
      <c r="A95" s="517"/>
      <c r="B95" s="376">
        <v>3</v>
      </c>
      <c r="C95" s="466" t="s">
        <v>164</v>
      </c>
      <c r="D95" s="386" t="s">
        <v>1118</v>
      </c>
      <c r="E95" s="387">
        <v>0.22</v>
      </c>
      <c r="F95" s="386" t="s">
        <v>1119</v>
      </c>
      <c r="G95" s="386" t="s">
        <v>1125</v>
      </c>
      <c r="H95" s="388" t="s">
        <v>1120</v>
      </c>
      <c r="I95" s="386" t="s">
        <v>1121</v>
      </c>
      <c r="J95" s="386" t="s">
        <v>1122</v>
      </c>
      <c r="K95" s="386" t="s">
        <v>1126</v>
      </c>
      <c r="L95" s="386" t="s">
        <v>1123</v>
      </c>
      <c r="M95" s="388" t="s">
        <v>1127</v>
      </c>
      <c r="N95" s="388" t="s">
        <v>988</v>
      </c>
      <c r="O95" s="386" t="s">
        <v>1181</v>
      </c>
      <c r="P95" s="388" t="s">
        <v>998</v>
      </c>
      <c r="Q95" s="388"/>
      <c r="R95" s="388"/>
      <c r="S95" s="388"/>
      <c r="T95" s="388"/>
      <c r="U95" s="388"/>
      <c r="V95" s="388"/>
      <c r="W95" s="388"/>
      <c r="X95" s="388"/>
      <c r="Y95" s="388"/>
      <c r="Z95" s="762"/>
      <c r="AA95" s="755"/>
      <c r="AB95" s="755"/>
      <c r="AC95" s="748"/>
      <c r="AD95" s="748"/>
      <c r="AE95" s="748"/>
      <c r="AF95" s="748"/>
      <c r="AG95" s="748"/>
      <c r="AH95" s="748"/>
      <c r="AI95" s="748"/>
      <c r="AJ95" s="748"/>
      <c r="AK95" s="748"/>
      <c r="AL95" s="748"/>
      <c r="AM95" s="748"/>
      <c r="AN95" s="748"/>
      <c r="AO95" s="375"/>
      <c r="AP95" s="375"/>
      <c r="AQ95" s="375"/>
      <c r="AR95" s="375"/>
      <c r="AS95" s="375"/>
      <c r="AT95" s="375"/>
      <c r="AU95" s="375"/>
      <c r="AV95" s="375"/>
      <c r="AW95" s="375"/>
      <c r="AX95" s="375"/>
      <c r="AY95" s="375"/>
      <c r="AZ95" s="375"/>
      <c r="BA95" s="375"/>
      <c r="BB95" s="375"/>
      <c r="BC95" s="375"/>
      <c r="BD95" s="375"/>
      <c r="BE95" s="375"/>
      <c r="BF95" s="375"/>
      <c r="BG95" s="375"/>
      <c r="BH95" s="375"/>
      <c r="BI95" s="375"/>
      <c r="BJ95" s="375"/>
      <c r="BK95" s="375"/>
      <c r="BL95" s="375"/>
      <c r="BM95" s="375"/>
      <c r="BN95" s="375"/>
      <c r="BO95" s="375"/>
    </row>
    <row r="96" spans="1:67" s="6" customFormat="1" x14ac:dyDescent="0.45">
      <c r="A96" s="517"/>
      <c r="B96" s="381" t="s">
        <v>789</v>
      </c>
      <c r="C96" s="385" t="s">
        <v>790</v>
      </c>
      <c r="D96" s="383">
        <f>'3.Масаж'!F12</f>
        <v>14.8</v>
      </c>
      <c r="E96" s="383">
        <f>'3.Масаж'!F15</f>
        <v>3.26</v>
      </c>
      <c r="F96" s="383">
        <f>'3.Масаж'!G27</f>
        <v>16.84</v>
      </c>
      <c r="G96" s="383">
        <f>'3.Масаж'!H32</f>
        <v>0.2</v>
      </c>
      <c r="H96" s="384">
        <f t="shared" ref="H96:H122" si="8">SUM(D96:G96)</f>
        <v>35.100000000000009</v>
      </c>
      <c r="I96" s="383">
        <f>'3.Масаж'!H38</f>
        <v>2.2000000000000002</v>
      </c>
      <c r="J96" s="383">
        <f>'3.Масаж'!H39</f>
        <v>0</v>
      </c>
      <c r="K96" s="383">
        <f>'3.Масаж'!H40</f>
        <v>0</v>
      </c>
      <c r="L96" s="383">
        <f>'3.Масаж'!H41</f>
        <v>0.2</v>
      </c>
      <c r="M96" s="384">
        <f>SUM(I96:L96)</f>
        <v>2.4000000000000004</v>
      </c>
      <c r="N96" s="384">
        <f>H96+M96</f>
        <v>37.500000000000007</v>
      </c>
      <c r="O96" s="383">
        <f>ROUND(N96*0.2,2)</f>
        <v>7.5</v>
      </c>
      <c r="P96" s="384">
        <f>N96+O96</f>
        <v>45.000000000000007</v>
      </c>
      <c r="Q96" s="384">
        <f>'3.Масаж'!F4</f>
        <v>45.000000000000007</v>
      </c>
      <c r="R96" s="384">
        <f>P96-Q96</f>
        <v>0</v>
      </c>
      <c r="S96" s="384"/>
      <c r="T96" s="384"/>
      <c r="U96" s="384"/>
      <c r="V96" s="384"/>
      <c r="W96" s="384"/>
      <c r="X96" s="384"/>
      <c r="Y96" s="384"/>
      <c r="Z96" s="768" t="str">
        <f>'3.Масаж'!M3</f>
        <v>Масаж голови</v>
      </c>
      <c r="AA96" s="755"/>
      <c r="AB96" s="755"/>
      <c r="AC96" s="748"/>
      <c r="AD96" s="748"/>
      <c r="AE96" s="748"/>
      <c r="AF96" s="748"/>
      <c r="AG96" s="748"/>
      <c r="AH96" s="748"/>
      <c r="AI96" s="748"/>
      <c r="AJ96" s="748"/>
      <c r="AK96" s="748"/>
      <c r="AL96" s="748"/>
      <c r="AM96" s="748"/>
      <c r="AN96" s="748"/>
      <c r="AO96" s="375"/>
      <c r="AP96" s="375"/>
      <c r="AQ96" s="375"/>
      <c r="AR96" s="375"/>
      <c r="AS96" s="375"/>
      <c r="AT96" s="375"/>
      <c r="AU96" s="375"/>
      <c r="AV96" s="375"/>
      <c r="AW96" s="375"/>
      <c r="AX96" s="375"/>
      <c r="AY96" s="375"/>
      <c r="AZ96" s="375"/>
      <c r="BA96" s="375"/>
      <c r="BB96" s="375"/>
      <c r="BC96" s="375"/>
      <c r="BD96" s="375"/>
      <c r="BE96" s="375"/>
      <c r="BF96" s="375"/>
      <c r="BG96" s="375"/>
      <c r="BH96" s="375"/>
      <c r="BI96" s="375"/>
      <c r="BJ96" s="375"/>
      <c r="BK96" s="375"/>
      <c r="BL96" s="375"/>
      <c r="BM96" s="375"/>
      <c r="BN96" s="375"/>
      <c r="BO96" s="375"/>
    </row>
    <row r="97" spans="1:67" s="6" customFormat="1" x14ac:dyDescent="0.45">
      <c r="A97" s="517"/>
      <c r="B97" s="381" t="s">
        <v>791</v>
      </c>
      <c r="C97" s="385" t="s">
        <v>792</v>
      </c>
      <c r="D97" s="383">
        <f>'3.Масаж'!F61</f>
        <v>14.8</v>
      </c>
      <c r="E97" s="383">
        <f>'3.Масаж'!F64</f>
        <v>3.26</v>
      </c>
      <c r="F97" s="383">
        <f>'3.Масаж'!G76</f>
        <v>16.84</v>
      </c>
      <c r="G97" s="383">
        <f>'3.Масаж'!H81</f>
        <v>0.2</v>
      </c>
      <c r="H97" s="384">
        <f t="shared" si="8"/>
        <v>35.100000000000009</v>
      </c>
      <c r="I97" s="383">
        <f>'3.Масаж'!H87</f>
        <v>2.2000000000000002</v>
      </c>
      <c r="J97" s="383">
        <f>'3.Масаж'!H88</f>
        <v>0</v>
      </c>
      <c r="K97" s="383">
        <f>'3.Масаж'!H89</f>
        <v>0</v>
      </c>
      <c r="L97" s="383">
        <f>'3.Масаж'!H90</f>
        <v>0.2</v>
      </c>
      <c r="M97" s="384">
        <f>SUM(I97:L97)</f>
        <v>2.4000000000000004</v>
      </c>
      <c r="N97" s="384">
        <f>H97+M97</f>
        <v>37.500000000000007</v>
      </c>
      <c r="O97" s="383">
        <f t="shared" ref="O97:O122" si="9">ROUND(N97*0.2,2)</f>
        <v>7.5</v>
      </c>
      <c r="P97" s="384">
        <f t="shared" ref="P97:P122" si="10">N97+O97</f>
        <v>45.000000000000007</v>
      </c>
      <c r="Q97" s="384">
        <f>'3.Масаж'!F53</f>
        <v>45.000000000000007</v>
      </c>
      <c r="R97" s="384">
        <f t="shared" ref="R97:R122" si="11">P97-Q97</f>
        <v>0</v>
      </c>
      <c r="S97" s="378"/>
      <c r="T97" s="378"/>
      <c r="U97" s="378"/>
      <c r="V97" s="378"/>
      <c r="W97" s="378"/>
      <c r="X97" s="380"/>
      <c r="Y97" s="380"/>
      <c r="Z97" s="768" t="str">
        <f>'3.Масаж'!M4</f>
        <v>Масаж обличчя</v>
      </c>
      <c r="AA97" s="755"/>
      <c r="AB97" s="755"/>
      <c r="AC97" s="748"/>
      <c r="AD97" s="748"/>
      <c r="AE97" s="748"/>
      <c r="AF97" s="748"/>
      <c r="AG97" s="748"/>
      <c r="AH97" s="748"/>
      <c r="AI97" s="748"/>
      <c r="AJ97" s="748"/>
      <c r="AK97" s="748"/>
      <c r="AL97" s="748"/>
      <c r="AM97" s="748"/>
      <c r="AN97" s="748"/>
      <c r="AO97" s="375"/>
      <c r="AP97" s="375"/>
      <c r="AQ97" s="375"/>
      <c r="AR97" s="375"/>
      <c r="AS97" s="375"/>
      <c r="AT97" s="375"/>
      <c r="AU97" s="375"/>
      <c r="AV97" s="375"/>
      <c r="AW97" s="375"/>
      <c r="AX97" s="375"/>
      <c r="AY97" s="375"/>
      <c r="AZ97" s="375"/>
      <c r="BA97" s="375"/>
      <c r="BB97" s="375"/>
      <c r="BC97" s="375"/>
      <c r="BD97" s="375"/>
      <c r="BE97" s="375"/>
      <c r="BF97" s="375"/>
      <c r="BG97" s="375"/>
      <c r="BH97" s="375"/>
      <c r="BI97" s="375"/>
      <c r="BJ97" s="375"/>
      <c r="BK97" s="375"/>
      <c r="BL97" s="375"/>
      <c r="BM97" s="375"/>
      <c r="BN97" s="375"/>
      <c r="BO97" s="375"/>
    </row>
    <row r="98" spans="1:67" s="6" customFormat="1" x14ac:dyDescent="0.45">
      <c r="A98" s="517"/>
      <c r="B98" s="381" t="s">
        <v>793</v>
      </c>
      <c r="C98" s="587" t="s">
        <v>794</v>
      </c>
      <c r="D98" s="383">
        <f>'3.Масаж'!F110</f>
        <v>14.8</v>
      </c>
      <c r="E98" s="383">
        <f>'3.Масаж'!F113</f>
        <v>3.26</v>
      </c>
      <c r="F98" s="383">
        <f>'3.Масаж'!G125</f>
        <v>16.84</v>
      </c>
      <c r="G98" s="383">
        <f>'3.Масаж'!H130</f>
        <v>0.2</v>
      </c>
      <c r="H98" s="384">
        <f t="shared" si="8"/>
        <v>35.100000000000009</v>
      </c>
      <c r="I98" s="383">
        <f>'3.Масаж'!H136</f>
        <v>2.2000000000000002</v>
      </c>
      <c r="J98" s="383">
        <f>'3.Масаж'!H137</f>
        <v>0</v>
      </c>
      <c r="K98" s="383">
        <f>'3.Масаж'!H138</f>
        <v>0</v>
      </c>
      <c r="L98" s="383">
        <f>'3.Масаж'!H139</f>
        <v>0.2</v>
      </c>
      <c r="M98" s="384">
        <f>SUM(I98:L98)</f>
        <v>2.4000000000000004</v>
      </c>
      <c r="N98" s="384">
        <f>H98+M98</f>
        <v>37.500000000000007</v>
      </c>
      <c r="O98" s="383">
        <f t="shared" si="9"/>
        <v>7.5</v>
      </c>
      <c r="P98" s="384">
        <f t="shared" si="10"/>
        <v>45.000000000000007</v>
      </c>
      <c r="Q98" s="384">
        <f>'3.Масаж'!F102</f>
        <v>45.000000000000007</v>
      </c>
      <c r="R98" s="384">
        <f t="shared" si="11"/>
        <v>0</v>
      </c>
      <c r="S98" s="378"/>
      <c r="T98" s="378"/>
      <c r="U98" s="378"/>
      <c r="V98" s="378"/>
      <c r="W98" s="378"/>
      <c r="X98" s="380"/>
      <c r="Y98" s="380"/>
      <c r="Z98" s="768" t="str">
        <f>'3.Масаж'!M5</f>
        <v>Масаж шиї</v>
      </c>
      <c r="AA98" s="755"/>
      <c r="AB98" s="755"/>
      <c r="AC98" s="748"/>
      <c r="AD98" s="748"/>
      <c r="AE98" s="748"/>
      <c r="AF98" s="748"/>
      <c r="AG98" s="748"/>
      <c r="AH98" s="748"/>
      <c r="AI98" s="748"/>
      <c r="AJ98" s="748"/>
      <c r="AK98" s="748"/>
      <c r="AL98" s="748"/>
      <c r="AM98" s="748"/>
      <c r="AN98" s="748"/>
      <c r="AO98" s="375"/>
      <c r="AP98" s="375"/>
      <c r="AQ98" s="375"/>
      <c r="AR98" s="375"/>
      <c r="AS98" s="375"/>
      <c r="AT98" s="375"/>
      <c r="AU98" s="375"/>
      <c r="AV98" s="375"/>
      <c r="AW98" s="375"/>
      <c r="AX98" s="375"/>
      <c r="AY98" s="375"/>
      <c r="AZ98" s="375"/>
      <c r="BA98" s="375"/>
      <c r="BB98" s="375"/>
      <c r="BC98" s="375"/>
      <c r="BD98" s="375"/>
      <c r="BE98" s="375"/>
      <c r="BF98" s="375"/>
      <c r="BG98" s="375"/>
      <c r="BH98" s="375"/>
      <c r="BI98" s="375"/>
      <c r="BJ98" s="375"/>
      <c r="BK98" s="375"/>
      <c r="BL98" s="375"/>
      <c r="BM98" s="375"/>
      <c r="BN98" s="375"/>
      <c r="BO98" s="375"/>
    </row>
    <row r="99" spans="1:67" s="6" customFormat="1" x14ac:dyDescent="0.45">
      <c r="A99" s="517"/>
      <c r="B99" s="381" t="s">
        <v>795</v>
      </c>
      <c r="C99" s="587" t="s">
        <v>796</v>
      </c>
      <c r="D99" s="383">
        <f>'3.Масаж'!F159</f>
        <v>22.2</v>
      </c>
      <c r="E99" s="383">
        <f>'3.Масаж'!F162</f>
        <v>4.88</v>
      </c>
      <c r="F99" s="383">
        <f>'3.Масаж'!G174</f>
        <v>18.72</v>
      </c>
      <c r="G99" s="383">
        <f>'3.Масаж'!H179</f>
        <v>0.6</v>
      </c>
      <c r="H99" s="384">
        <f t="shared" si="8"/>
        <v>46.4</v>
      </c>
      <c r="I99" s="383">
        <f>'3.Масаж'!H185</f>
        <v>3.3</v>
      </c>
      <c r="J99" s="383">
        <f>'3.Масаж'!H186</f>
        <v>0</v>
      </c>
      <c r="K99" s="383">
        <f>'3.Масаж'!H187</f>
        <v>0</v>
      </c>
      <c r="L99" s="383">
        <f>'3.Масаж'!H188</f>
        <v>0.3</v>
      </c>
      <c r="M99" s="384">
        <f t="shared" ref="M99:M122" si="12">SUM(I99:L99)</f>
        <v>3.5999999999999996</v>
      </c>
      <c r="N99" s="384">
        <f t="shared" ref="N99:N122" si="13">H99+M99</f>
        <v>50</v>
      </c>
      <c r="O99" s="383">
        <f t="shared" si="9"/>
        <v>10</v>
      </c>
      <c r="P99" s="384">
        <f t="shared" si="10"/>
        <v>60</v>
      </c>
      <c r="Q99" s="384">
        <f>'3.Масаж'!F151</f>
        <v>60</v>
      </c>
      <c r="R99" s="384">
        <f t="shared" si="11"/>
        <v>0</v>
      </c>
      <c r="S99" s="378"/>
      <c r="T99" s="378"/>
      <c r="U99" s="378"/>
      <c r="V99" s="378"/>
      <c r="W99" s="378"/>
      <c r="X99" s="380"/>
      <c r="Y99" s="380"/>
      <c r="Z99" s="768" t="str">
        <f>'3.Масаж'!M6</f>
        <v>Масаж комірцевої зони</v>
      </c>
      <c r="AA99" s="755"/>
      <c r="AB99" s="755"/>
      <c r="AC99" s="748"/>
      <c r="AD99" s="748"/>
      <c r="AE99" s="748"/>
      <c r="AF99" s="748"/>
      <c r="AG99" s="748"/>
      <c r="AH99" s="748"/>
      <c r="AI99" s="748"/>
      <c r="AJ99" s="748"/>
      <c r="AK99" s="748"/>
      <c r="AL99" s="748"/>
      <c r="AM99" s="748"/>
      <c r="AN99" s="748"/>
      <c r="AO99" s="375"/>
      <c r="AP99" s="375"/>
      <c r="AQ99" s="375"/>
      <c r="AR99" s="375"/>
      <c r="AS99" s="375"/>
      <c r="AT99" s="375"/>
      <c r="AU99" s="375"/>
      <c r="AV99" s="375"/>
      <c r="AW99" s="375"/>
      <c r="AX99" s="375"/>
      <c r="AY99" s="375"/>
      <c r="AZ99" s="375"/>
      <c r="BA99" s="375"/>
      <c r="BB99" s="375"/>
      <c r="BC99" s="375"/>
      <c r="BD99" s="375"/>
      <c r="BE99" s="375"/>
      <c r="BF99" s="375"/>
      <c r="BG99" s="375"/>
      <c r="BH99" s="375"/>
      <c r="BI99" s="375"/>
      <c r="BJ99" s="375"/>
      <c r="BK99" s="375"/>
      <c r="BL99" s="375"/>
      <c r="BM99" s="375"/>
      <c r="BN99" s="375"/>
      <c r="BO99" s="375"/>
    </row>
    <row r="100" spans="1:67" s="6" customFormat="1" x14ac:dyDescent="0.45">
      <c r="A100" s="517"/>
      <c r="B100" s="381" t="s">
        <v>797</v>
      </c>
      <c r="C100" s="587" t="s">
        <v>798</v>
      </c>
      <c r="D100" s="383">
        <f>'3.Масаж'!F208</f>
        <v>22.2</v>
      </c>
      <c r="E100" s="383">
        <f>'3.Масаж'!F211</f>
        <v>4.88</v>
      </c>
      <c r="F100" s="383">
        <f>'3.Масаж'!G223</f>
        <v>18.72</v>
      </c>
      <c r="G100" s="383">
        <f>'3.Масаж'!H228</f>
        <v>0.6</v>
      </c>
      <c r="H100" s="384">
        <f t="shared" si="8"/>
        <v>46.4</v>
      </c>
      <c r="I100" s="383">
        <f>'3.Масаж'!H234</f>
        <v>3.3</v>
      </c>
      <c r="J100" s="383">
        <f>'3.Масаж'!H235</f>
        <v>0</v>
      </c>
      <c r="K100" s="383">
        <f>'3.Масаж'!H236</f>
        <v>0</v>
      </c>
      <c r="L100" s="383">
        <f>'3.Масаж'!H237</f>
        <v>0.3</v>
      </c>
      <c r="M100" s="384">
        <f t="shared" si="12"/>
        <v>3.5999999999999996</v>
      </c>
      <c r="N100" s="384">
        <f t="shared" si="13"/>
        <v>50</v>
      </c>
      <c r="O100" s="383">
        <f t="shared" si="9"/>
        <v>10</v>
      </c>
      <c r="P100" s="384">
        <f t="shared" si="10"/>
        <v>60</v>
      </c>
      <c r="Q100" s="384">
        <f>'3.Масаж'!F200</f>
        <v>60</v>
      </c>
      <c r="R100" s="384">
        <f t="shared" si="11"/>
        <v>0</v>
      </c>
      <c r="S100" s="378"/>
      <c r="T100" s="378"/>
      <c r="U100" s="378"/>
      <c r="V100" s="378"/>
      <c r="W100" s="378"/>
      <c r="X100" s="380"/>
      <c r="Y100" s="380"/>
      <c r="Z100" s="768" t="str">
        <f>'3.Масаж'!M7</f>
        <v>Масаж шийно-грудного відділу хребта</v>
      </c>
      <c r="AA100" s="755"/>
      <c r="AB100" s="755"/>
      <c r="AC100" s="748"/>
      <c r="AD100" s="748"/>
      <c r="AE100" s="748"/>
      <c r="AF100" s="748"/>
      <c r="AG100" s="748"/>
      <c r="AH100" s="748"/>
      <c r="AI100" s="748"/>
      <c r="AJ100" s="748"/>
      <c r="AK100" s="748"/>
      <c r="AL100" s="748"/>
      <c r="AM100" s="748"/>
      <c r="AN100" s="748"/>
      <c r="AO100" s="375"/>
      <c r="AP100" s="375"/>
      <c r="AQ100" s="375"/>
      <c r="AR100" s="375"/>
      <c r="AS100" s="375"/>
      <c r="AT100" s="375"/>
      <c r="AU100" s="375"/>
      <c r="AV100" s="375"/>
      <c r="AW100" s="375"/>
      <c r="AX100" s="375"/>
      <c r="AY100" s="375"/>
      <c r="AZ100" s="375"/>
      <c r="BA100" s="375"/>
      <c r="BB100" s="375"/>
      <c r="BC100" s="375"/>
      <c r="BD100" s="375"/>
      <c r="BE100" s="375"/>
      <c r="BF100" s="375"/>
      <c r="BG100" s="375"/>
      <c r="BH100" s="375"/>
      <c r="BI100" s="375"/>
      <c r="BJ100" s="375"/>
      <c r="BK100" s="375"/>
      <c r="BL100" s="375"/>
      <c r="BM100" s="375"/>
      <c r="BN100" s="375"/>
      <c r="BO100" s="375"/>
    </row>
    <row r="101" spans="1:67" s="6" customFormat="1" x14ac:dyDescent="0.45">
      <c r="A101" s="517"/>
      <c r="B101" s="381" t="s">
        <v>799</v>
      </c>
      <c r="C101" s="587" t="s">
        <v>800</v>
      </c>
      <c r="D101" s="383">
        <f>'3.Масаж'!F257</f>
        <v>22.2</v>
      </c>
      <c r="E101" s="383">
        <f>'3.Масаж'!F260</f>
        <v>4.88</v>
      </c>
      <c r="F101" s="383">
        <f>'3.Масаж'!G272</f>
        <v>18.72</v>
      </c>
      <c r="G101" s="383">
        <f>'3.Масаж'!H277</f>
        <v>0.6</v>
      </c>
      <c r="H101" s="384">
        <f t="shared" si="8"/>
        <v>46.4</v>
      </c>
      <c r="I101" s="383">
        <f>'3.Масаж'!H283</f>
        <v>3.3</v>
      </c>
      <c r="J101" s="383">
        <f>'3.Масаж'!H284</f>
        <v>0</v>
      </c>
      <c r="K101" s="383">
        <f>'3.Масаж'!H285</f>
        <v>0</v>
      </c>
      <c r="L101" s="383">
        <f>'3.Масаж'!H286</f>
        <v>0.3</v>
      </c>
      <c r="M101" s="384">
        <f t="shared" si="12"/>
        <v>3.5999999999999996</v>
      </c>
      <c r="N101" s="384">
        <f t="shared" si="13"/>
        <v>50</v>
      </c>
      <c r="O101" s="383">
        <f t="shared" si="9"/>
        <v>10</v>
      </c>
      <c r="P101" s="384">
        <f t="shared" si="10"/>
        <v>60</v>
      </c>
      <c r="Q101" s="384">
        <f>'3.Масаж'!F249</f>
        <v>60</v>
      </c>
      <c r="R101" s="384">
        <f t="shared" si="11"/>
        <v>0</v>
      </c>
      <c r="S101" s="378"/>
      <c r="T101" s="378"/>
      <c r="U101" s="378"/>
      <c r="V101" s="378"/>
      <c r="W101" s="378"/>
      <c r="X101" s="380"/>
      <c r="Y101" s="380"/>
      <c r="Z101" s="768" t="str">
        <f>'3.Масаж'!M8</f>
        <v>Масаж верхньої кінцівки, надпліччя й ділянки лопатки</v>
      </c>
      <c r="AA101" s="755"/>
      <c r="AB101" s="755"/>
      <c r="AC101" s="748"/>
      <c r="AD101" s="748"/>
      <c r="AE101" s="748"/>
      <c r="AF101" s="748"/>
      <c r="AG101" s="748"/>
      <c r="AH101" s="748"/>
      <c r="AI101" s="748"/>
      <c r="AJ101" s="748"/>
      <c r="AK101" s="748"/>
      <c r="AL101" s="748"/>
      <c r="AM101" s="748"/>
      <c r="AN101" s="748"/>
      <c r="AO101" s="375"/>
      <c r="AP101" s="375"/>
      <c r="AQ101" s="375"/>
      <c r="AR101" s="375"/>
      <c r="AS101" s="375"/>
      <c r="AT101" s="375"/>
      <c r="AU101" s="375"/>
      <c r="AV101" s="375"/>
      <c r="AW101" s="375"/>
      <c r="AX101" s="375"/>
      <c r="AY101" s="375"/>
      <c r="AZ101" s="375"/>
      <c r="BA101" s="375"/>
      <c r="BB101" s="375"/>
      <c r="BC101" s="375"/>
      <c r="BD101" s="375"/>
      <c r="BE101" s="375"/>
      <c r="BF101" s="375"/>
      <c r="BG101" s="375"/>
      <c r="BH101" s="375"/>
      <c r="BI101" s="375"/>
      <c r="BJ101" s="375"/>
      <c r="BK101" s="375"/>
      <c r="BL101" s="375"/>
      <c r="BM101" s="375"/>
      <c r="BN101" s="375"/>
      <c r="BO101" s="375"/>
    </row>
    <row r="102" spans="1:67" s="6" customFormat="1" x14ac:dyDescent="0.45">
      <c r="A102" s="517"/>
      <c r="B102" s="381" t="s">
        <v>801</v>
      </c>
      <c r="C102" s="587" t="s">
        <v>802</v>
      </c>
      <c r="D102" s="383">
        <f>'3.Масаж'!F306</f>
        <v>14.8</v>
      </c>
      <c r="E102" s="383">
        <f>'3.Масаж'!F309</f>
        <v>3.26</v>
      </c>
      <c r="F102" s="383">
        <f>'3.Масаж'!G321</f>
        <v>16.84</v>
      </c>
      <c r="G102" s="383">
        <f>'3.Масаж'!H326</f>
        <v>0.2</v>
      </c>
      <c r="H102" s="384">
        <f t="shared" si="8"/>
        <v>35.100000000000009</v>
      </c>
      <c r="I102" s="383">
        <f>'3.Масаж'!H332</f>
        <v>2.2000000000000002</v>
      </c>
      <c r="J102" s="383">
        <f>'3.Масаж'!H333</f>
        <v>0</v>
      </c>
      <c r="K102" s="383">
        <f>'3.Масаж'!H334</f>
        <v>0</v>
      </c>
      <c r="L102" s="383">
        <f>'3.Масаж'!H335</f>
        <v>0.2</v>
      </c>
      <c r="M102" s="384">
        <f t="shared" si="12"/>
        <v>2.4000000000000004</v>
      </c>
      <c r="N102" s="384">
        <f t="shared" si="13"/>
        <v>37.500000000000007</v>
      </c>
      <c r="O102" s="383">
        <f t="shared" si="9"/>
        <v>7.5</v>
      </c>
      <c r="P102" s="384">
        <f t="shared" si="10"/>
        <v>45.000000000000007</v>
      </c>
      <c r="Q102" s="384">
        <f>'3.Масаж'!F298</f>
        <v>45.000000000000007</v>
      </c>
      <c r="R102" s="384">
        <f t="shared" si="11"/>
        <v>0</v>
      </c>
      <c r="S102" s="378"/>
      <c r="T102" s="378"/>
      <c r="U102" s="378"/>
      <c r="V102" s="378"/>
      <c r="W102" s="378"/>
      <c r="X102" s="380"/>
      <c r="Y102" s="380"/>
      <c r="Z102" s="768" t="str">
        <f>'3.Масаж'!M9</f>
        <v>Масаж верхньої кінцівки</v>
      </c>
      <c r="AA102" s="755"/>
      <c r="AB102" s="755"/>
      <c r="AC102" s="748"/>
      <c r="AD102" s="748"/>
      <c r="AE102" s="748"/>
      <c r="AF102" s="748"/>
      <c r="AG102" s="748"/>
      <c r="AH102" s="748"/>
      <c r="AI102" s="748"/>
      <c r="AJ102" s="748"/>
      <c r="AK102" s="748"/>
      <c r="AL102" s="748"/>
      <c r="AM102" s="748"/>
      <c r="AN102" s="748"/>
      <c r="AO102" s="375"/>
      <c r="AP102" s="375"/>
      <c r="AQ102" s="375"/>
      <c r="AR102" s="375"/>
      <c r="AS102" s="375"/>
      <c r="AT102" s="375"/>
      <c r="AU102" s="375"/>
      <c r="AV102" s="375"/>
      <c r="AW102" s="375"/>
      <c r="AX102" s="375"/>
      <c r="AY102" s="375"/>
      <c r="AZ102" s="375"/>
      <c r="BA102" s="375"/>
      <c r="BB102" s="375"/>
      <c r="BC102" s="375"/>
      <c r="BD102" s="375"/>
      <c r="BE102" s="375"/>
      <c r="BF102" s="375"/>
      <c r="BG102" s="375"/>
      <c r="BH102" s="375"/>
      <c r="BI102" s="375"/>
      <c r="BJ102" s="375"/>
      <c r="BK102" s="375"/>
      <c r="BL102" s="375"/>
      <c r="BM102" s="375"/>
      <c r="BN102" s="375"/>
      <c r="BO102" s="375"/>
    </row>
    <row r="103" spans="1:67" s="6" customFormat="1" x14ac:dyDescent="0.45">
      <c r="A103" s="517"/>
      <c r="B103" s="381" t="s">
        <v>803</v>
      </c>
      <c r="C103" s="587" t="s">
        <v>804</v>
      </c>
      <c r="D103" s="383">
        <f>'3.Масаж'!F355</f>
        <v>14.8</v>
      </c>
      <c r="E103" s="383">
        <f>'3.Масаж'!F358</f>
        <v>3.26</v>
      </c>
      <c r="F103" s="383">
        <f>'3.Масаж'!G370</f>
        <v>16.84</v>
      </c>
      <c r="G103" s="383">
        <f>'3.Масаж'!H375</f>
        <v>0.2</v>
      </c>
      <c r="H103" s="384">
        <f t="shared" si="8"/>
        <v>35.100000000000009</v>
      </c>
      <c r="I103" s="383">
        <f>'3.Масаж'!H381</f>
        <v>2.2000000000000002</v>
      </c>
      <c r="J103" s="383">
        <f>'3.Масаж'!H382</f>
        <v>0</v>
      </c>
      <c r="K103" s="383">
        <f>'3.Масаж'!H383</f>
        <v>0</v>
      </c>
      <c r="L103" s="383">
        <f>'3.Масаж'!H384</f>
        <v>0.2</v>
      </c>
      <c r="M103" s="384">
        <f t="shared" si="12"/>
        <v>2.4000000000000004</v>
      </c>
      <c r="N103" s="384">
        <f t="shared" si="13"/>
        <v>37.500000000000007</v>
      </c>
      <c r="O103" s="383">
        <f t="shared" si="9"/>
        <v>7.5</v>
      </c>
      <c r="P103" s="384">
        <f t="shared" si="10"/>
        <v>45.000000000000007</v>
      </c>
      <c r="Q103" s="384">
        <f>'3.Масаж'!F347</f>
        <v>45.000000000000007</v>
      </c>
      <c r="R103" s="384">
        <f t="shared" si="11"/>
        <v>0</v>
      </c>
      <c r="S103" s="378"/>
      <c r="T103" s="378"/>
      <c r="U103" s="378"/>
      <c r="V103" s="378"/>
      <c r="W103" s="378"/>
      <c r="X103" s="380"/>
      <c r="Y103" s="380"/>
      <c r="Z103" s="768" t="str">
        <f>'3.Масаж'!M10</f>
        <v>Масаж плечового суглоба</v>
      </c>
      <c r="AA103" s="755"/>
      <c r="AB103" s="755"/>
      <c r="AC103" s="748"/>
      <c r="AD103" s="748"/>
      <c r="AE103" s="748"/>
      <c r="AF103" s="748"/>
      <c r="AG103" s="748"/>
      <c r="AH103" s="748"/>
      <c r="AI103" s="748"/>
      <c r="AJ103" s="748"/>
      <c r="AK103" s="748"/>
      <c r="AL103" s="748"/>
      <c r="AM103" s="748"/>
      <c r="AN103" s="748"/>
      <c r="AO103" s="375"/>
      <c r="AP103" s="375"/>
      <c r="AQ103" s="375"/>
      <c r="AR103" s="375"/>
      <c r="AS103" s="375"/>
      <c r="AT103" s="375"/>
      <c r="AU103" s="375"/>
      <c r="AV103" s="375"/>
      <c r="AW103" s="375"/>
      <c r="AX103" s="375"/>
      <c r="AY103" s="375"/>
      <c r="AZ103" s="375"/>
      <c r="BA103" s="375"/>
      <c r="BB103" s="375"/>
      <c r="BC103" s="375"/>
      <c r="BD103" s="375"/>
      <c r="BE103" s="375"/>
      <c r="BF103" s="375"/>
      <c r="BG103" s="375"/>
      <c r="BH103" s="375"/>
      <c r="BI103" s="375"/>
      <c r="BJ103" s="375"/>
      <c r="BK103" s="375"/>
      <c r="BL103" s="375"/>
      <c r="BM103" s="375"/>
      <c r="BN103" s="375"/>
      <c r="BO103" s="375"/>
    </row>
    <row r="104" spans="1:67" s="6" customFormat="1" x14ac:dyDescent="0.45">
      <c r="A104" s="517"/>
      <c r="B104" s="381" t="s">
        <v>805</v>
      </c>
      <c r="C104" s="587" t="s">
        <v>806</v>
      </c>
      <c r="D104" s="383">
        <f>'3.Масаж'!F404</f>
        <v>14.8</v>
      </c>
      <c r="E104" s="383">
        <f>'3.Масаж'!F407</f>
        <v>3.26</v>
      </c>
      <c r="F104" s="383">
        <f>'3.Масаж'!G419</f>
        <v>16.84</v>
      </c>
      <c r="G104" s="383">
        <f>'3.Масаж'!H424</f>
        <v>0.2</v>
      </c>
      <c r="H104" s="384">
        <f t="shared" si="8"/>
        <v>35.100000000000009</v>
      </c>
      <c r="I104" s="383">
        <f>'3.Масаж'!H430</f>
        <v>2.2000000000000002</v>
      </c>
      <c r="J104" s="383">
        <f>'3.Масаж'!H431</f>
        <v>0</v>
      </c>
      <c r="K104" s="383">
        <f>'3.Масаж'!H432</f>
        <v>0</v>
      </c>
      <c r="L104" s="383">
        <f>'3.Масаж'!H433</f>
        <v>0.2</v>
      </c>
      <c r="M104" s="384">
        <f t="shared" si="12"/>
        <v>2.4000000000000004</v>
      </c>
      <c r="N104" s="384">
        <f t="shared" si="13"/>
        <v>37.500000000000007</v>
      </c>
      <c r="O104" s="383">
        <f t="shared" si="9"/>
        <v>7.5</v>
      </c>
      <c r="P104" s="384">
        <f t="shared" si="10"/>
        <v>45.000000000000007</v>
      </c>
      <c r="Q104" s="384">
        <f>'3.Масаж'!F396</f>
        <v>45.000000000000007</v>
      </c>
      <c r="R104" s="384">
        <f t="shared" si="11"/>
        <v>0</v>
      </c>
      <c r="S104" s="378"/>
      <c r="T104" s="378"/>
      <c r="U104" s="378"/>
      <c r="V104" s="378"/>
      <c r="W104" s="378"/>
      <c r="X104" s="380"/>
      <c r="Y104" s="380"/>
      <c r="Z104" s="768" t="str">
        <f>'3.Масаж'!M11</f>
        <v>Масаж ліктьового суглоба</v>
      </c>
      <c r="AA104" s="755"/>
      <c r="AB104" s="755"/>
      <c r="AC104" s="748"/>
      <c r="AD104" s="748"/>
      <c r="AE104" s="748"/>
      <c r="AF104" s="748"/>
      <c r="AG104" s="748"/>
      <c r="AH104" s="748"/>
      <c r="AI104" s="748"/>
      <c r="AJ104" s="748"/>
      <c r="AK104" s="748"/>
      <c r="AL104" s="748"/>
      <c r="AM104" s="748"/>
      <c r="AN104" s="748"/>
      <c r="AO104" s="375"/>
      <c r="AP104" s="375"/>
      <c r="AQ104" s="375"/>
      <c r="AR104" s="375"/>
      <c r="AS104" s="375"/>
      <c r="AT104" s="375"/>
      <c r="AU104" s="375"/>
      <c r="AV104" s="375"/>
      <c r="AW104" s="375"/>
      <c r="AX104" s="375"/>
      <c r="AY104" s="375"/>
      <c r="AZ104" s="375"/>
      <c r="BA104" s="375"/>
      <c r="BB104" s="375"/>
      <c r="BC104" s="375"/>
      <c r="BD104" s="375"/>
      <c r="BE104" s="375"/>
      <c r="BF104" s="375"/>
      <c r="BG104" s="375"/>
      <c r="BH104" s="375"/>
      <c r="BI104" s="375"/>
      <c r="BJ104" s="375"/>
      <c r="BK104" s="375"/>
      <c r="BL104" s="375"/>
      <c r="BM104" s="375"/>
      <c r="BN104" s="375"/>
      <c r="BO104" s="375"/>
    </row>
    <row r="105" spans="1:67" s="6" customFormat="1" x14ac:dyDescent="0.45">
      <c r="A105" s="517"/>
      <c r="B105" s="381" t="s">
        <v>807</v>
      </c>
      <c r="C105" s="587" t="s">
        <v>808</v>
      </c>
      <c r="D105" s="383">
        <f>'3.Масаж'!F453</f>
        <v>14.8</v>
      </c>
      <c r="E105" s="383">
        <f>'3.Масаж'!F456</f>
        <v>3.26</v>
      </c>
      <c r="F105" s="383">
        <f>'3.Масаж'!G468</f>
        <v>16.84</v>
      </c>
      <c r="G105" s="383">
        <f>'3.Масаж'!H473</f>
        <v>0.2</v>
      </c>
      <c r="H105" s="384">
        <f t="shared" si="8"/>
        <v>35.100000000000009</v>
      </c>
      <c r="I105" s="383">
        <f>'3.Масаж'!H479</f>
        <v>2.2000000000000002</v>
      </c>
      <c r="J105" s="383">
        <f>'3.Масаж'!H480</f>
        <v>0</v>
      </c>
      <c r="K105" s="383">
        <f>'3.Масаж'!H481</f>
        <v>0</v>
      </c>
      <c r="L105" s="383">
        <f>'3.Масаж'!H482</f>
        <v>0.2</v>
      </c>
      <c r="M105" s="384">
        <f t="shared" si="12"/>
        <v>2.4000000000000004</v>
      </c>
      <c r="N105" s="384">
        <f t="shared" si="13"/>
        <v>37.500000000000007</v>
      </c>
      <c r="O105" s="383">
        <f t="shared" si="9"/>
        <v>7.5</v>
      </c>
      <c r="P105" s="384">
        <f t="shared" si="10"/>
        <v>45.000000000000007</v>
      </c>
      <c r="Q105" s="384">
        <f>'3.Масаж'!F445</f>
        <v>45.000000000000007</v>
      </c>
      <c r="R105" s="384">
        <f t="shared" si="11"/>
        <v>0</v>
      </c>
      <c r="S105" s="378"/>
      <c r="T105" s="378"/>
      <c r="U105" s="378"/>
      <c r="V105" s="378"/>
      <c r="W105" s="378"/>
      <c r="X105" s="380"/>
      <c r="Y105" s="380"/>
      <c r="Z105" s="768" t="str">
        <f>'3.Масаж'!M12</f>
        <v>Масаж променево-зап'ясткового суглоба</v>
      </c>
      <c r="AA105" s="755"/>
      <c r="AB105" s="755"/>
      <c r="AC105" s="748"/>
      <c r="AD105" s="748"/>
      <c r="AE105" s="748"/>
      <c r="AF105" s="748"/>
      <c r="AG105" s="748"/>
      <c r="AH105" s="748"/>
      <c r="AI105" s="748"/>
      <c r="AJ105" s="748"/>
      <c r="AK105" s="748"/>
      <c r="AL105" s="748"/>
      <c r="AM105" s="748"/>
      <c r="AN105" s="748"/>
      <c r="AO105" s="375"/>
      <c r="AP105" s="375"/>
      <c r="AQ105" s="375"/>
      <c r="AR105" s="375"/>
      <c r="AS105" s="375"/>
      <c r="AT105" s="375"/>
      <c r="AU105" s="375"/>
      <c r="AV105" s="375"/>
      <c r="AW105" s="375"/>
      <c r="AX105" s="375"/>
      <c r="AY105" s="375"/>
      <c r="AZ105" s="375"/>
      <c r="BA105" s="375"/>
      <c r="BB105" s="375"/>
      <c r="BC105" s="375"/>
      <c r="BD105" s="375"/>
      <c r="BE105" s="375"/>
      <c r="BF105" s="375"/>
      <c r="BG105" s="375"/>
      <c r="BH105" s="375"/>
      <c r="BI105" s="375"/>
      <c r="BJ105" s="375"/>
      <c r="BK105" s="375"/>
      <c r="BL105" s="375"/>
      <c r="BM105" s="375"/>
      <c r="BN105" s="375"/>
      <c r="BO105" s="375"/>
    </row>
    <row r="106" spans="1:67" s="6" customFormat="1" x14ac:dyDescent="0.45">
      <c r="A106" s="517"/>
      <c r="B106" s="381" t="s">
        <v>809</v>
      </c>
      <c r="C106" s="587" t="s">
        <v>810</v>
      </c>
      <c r="D106" s="383">
        <f>'3.Масаж'!F502</f>
        <v>14.8</v>
      </c>
      <c r="E106" s="383">
        <f>'3.Масаж'!F505</f>
        <v>3.26</v>
      </c>
      <c r="F106" s="383">
        <f>'3.Масаж'!G517</f>
        <v>16.84</v>
      </c>
      <c r="G106" s="383">
        <f>'3.Масаж'!H522</f>
        <v>0.2</v>
      </c>
      <c r="H106" s="384">
        <f t="shared" si="8"/>
        <v>35.100000000000009</v>
      </c>
      <c r="I106" s="383">
        <f>'3.Масаж'!H528</f>
        <v>2.2000000000000002</v>
      </c>
      <c r="J106" s="383">
        <f>'3.Масаж'!H529</f>
        <v>0</v>
      </c>
      <c r="K106" s="383">
        <f>'3.Масаж'!H530</f>
        <v>0</v>
      </c>
      <c r="L106" s="383">
        <f>'3.Масаж'!H531</f>
        <v>0.2</v>
      </c>
      <c r="M106" s="384">
        <f t="shared" si="12"/>
        <v>2.4000000000000004</v>
      </c>
      <c r="N106" s="384">
        <f t="shared" si="13"/>
        <v>37.500000000000007</v>
      </c>
      <c r="O106" s="383">
        <f t="shared" si="9"/>
        <v>7.5</v>
      </c>
      <c r="P106" s="384">
        <f t="shared" si="10"/>
        <v>45.000000000000007</v>
      </c>
      <c r="Q106" s="384">
        <f>'3.Масаж'!F494</f>
        <v>45.000000000000007</v>
      </c>
      <c r="R106" s="384">
        <f t="shared" si="11"/>
        <v>0</v>
      </c>
      <c r="S106" s="378"/>
      <c r="T106" s="378"/>
      <c r="U106" s="378"/>
      <c r="V106" s="378"/>
      <c r="W106" s="378"/>
      <c r="X106" s="380"/>
      <c r="Y106" s="380"/>
      <c r="Z106" s="768" t="str">
        <f>'3.Масаж'!M13</f>
        <v>Масаж кисті і передпліччя</v>
      </c>
      <c r="AA106" s="755"/>
      <c r="AB106" s="755"/>
      <c r="AC106" s="748"/>
      <c r="AD106" s="748"/>
      <c r="AE106" s="748"/>
      <c r="AF106" s="748"/>
      <c r="AG106" s="748"/>
      <c r="AH106" s="748"/>
      <c r="AI106" s="748"/>
      <c r="AJ106" s="748"/>
      <c r="AK106" s="748"/>
      <c r="AL106" s="748"/>
      <c r="AM106" s="748"/>
      <c r="AN106" s="748"/>
      <c r="AO106" s="375"/>
      <c r="AP106" s="375"/>
      <c r="AQ106" s="375"/>
      <c r="AR106" s="375"/>
      <c r="AS106" s="375"/>
      <c r="AT106" s="375"/>
      <c r="AU106" s="375"/>
      <c r="AV106" s="375"/>
      <c r="AW106" s="375"/>
      <c r="AX106" s="375"/>
      <c r="AY106" s="375"/>
      <c r="AZ106" s="375"/>
      <c r="BA106" s="375"/>
      <c r="BB106" s="375"/>
      <c r="BC106" s="375"/>
      <c r="BD106" s="375"/>
      <c r="BE106" s="375"/>
      <c r="BF106" s="375"/>
      <c r="BG106" s="375"/>
      <c r="BH106" s="375"/>
      <c r="BI106" s="375"/>
      <c r="BJ106" s="375"/>
      <c r="BK106" s="375"/>
      <c r="BL106" s="375"/>
      <c r="BM106" s="375"/>
      <c r="BN106" s="375"/>
      <c r="BO106" s="375"/>
    </row>
    <row r="107" spans="1:67" s="6" customFormat="1" x14ac:dyDescent="0.45">
      <c r="A107" s="517"/>
      <c r="B107" s="381" t="s">
        <v>811</v>
      </c>
      <c r="C107" s="587" t="s">
        <v>812</v>
      </c>
      <c r="D107" s="383">
        <f>'3.Масаж'!F551</f>
        <v>22.2</v>
      </c>
      <c r="E107" s="383">
        <f>'3.Масаж'!F554</f>
        <v>4.88</v>
      </c>
      <c r="F107" s="383">
        <f>'3.Масаж'!G566</f>
        <v>18.72</v>
      </c>
      <c r="G107" s="383">
        <f>'3.Масаж'!H571</f>
        <v>0.6</v>
      </c>
      <c r="H107" s="384">
        <f t="shared" si="8"/>
        <v>46.4</v>
      </c>
      <c r="I107" s="383">
        <f>'3.Масаж'!H577</f>
        <v>3.3</v>
      </c>
      <c r="J107" s="383">
        <f>'3.Масаж'!H578</f>
        <v>0</v>
      </c>
      <c r="K107" s="383">
        <f>'3.Масаж'!H578</f>
        <v>0</v>
      </c>
      <c r="L107" s="383">
        <f>'3.Масаж'!H580</f>
        <v>0.3</v>
      </c>
      <c r="M107" s="384">
        <f t="shared" si="12"/>
        <v>3.5999999999999996</v>
      </c>
      <c r="N107" s="384">
        <f t="shared" si="13"/>
        <v>50</v>
      </c>
      <c r="O107" s="383">
        <f t="shared" si="9"/>
        <v>10</v>
      </c>
      <c r="P107" s="384">
        <f t="shared" si="10"/>
        <v>60</v>
      </c>
      <c r="Q107" s="384">
        <f>'3.Масаж'!F543</f>
        <v>60</v>
      </c>
      <c r="R107" s="384">
        <f t="shared" si="11"/>
        <v>0</v>
      </c>
      <c r="S107" s="378"/>
      <c r="T107" s="378"/>
      <c r="U107" s="378"/>
      <c r="V107" s="378"/>
      <c r="W107" s="378"/>
      <c r="X107" s="380"/>
      <c r="Y107" s="380"/>
      <c r="Z107" s="768" t="str">
        <f>'3.Масаж'!M14</f>
        <v>Масаж спини (від VII шийного до I поперекового хребця)</v>
      </c>
      <c r="AA107" s="755"/>
      <c r="AB107" s="755"/>
      <c r="AC107" s="748"/>
      <c r="AD107" s="748"/>
      <c r="AE107" s="748"/>
      <c r="AF107" s="748"/>
      <c r="AG107" s="748"/>
      <c r="AH107" s="748"/>
      <c r="AI107" s="748"/>
      <c r="AJ107" s="748"/>
      <c r="AK107" s="748"/>
      <c r="AL107" s="748"/>
      <c r="AM107" s="748"/>
      <c r="AN107" s="748"/>
      <c r="AO107" s="375"/>
      <c r="AP107" s="375"/>
      <c r="AQ107" s="375"/>
      <c r="AR107" s="375"/>
      <c r="AS107" s="375"/>
      <c r="AT107" s="375"/>
      <c r="AU107" s="375"/>
      <c r="AV107" s="375"/>
      <c r="AW107" s="375"/>
      <c r="AX107" s="375"/>
      <c r="AY107" s="375"/>
      <c r="AZ107" s="375"/>
      <c r="BA107" s="375"/>
      <c r="BB107" s="375"/>
      <c r="BC107" s="375"/>
      <c r="BD107" s="375"/>
      <c r="BE107" s="375"/>
      <c r="BF107" s="375"/>
      <c r="BG107" s="375"/>
      <c r="BH107" s="375"/>
      <c r="BI107" s="375"/>
      <c r="BJ107" s="375"/>
      <c r="BK107" s="375"/>
      <c r="BL107" s="375"/>
      <c r="BM107" s="375"/>
      <c r="BN107" s="375"/>
      <c r="BO107" s="375"/>
    </row>
    <row r="108" spans="1:67" s="6" customFormat="1" x14ac:dyDescent="0.45">
      <c r="A108" s="517"/>
      <c r="B108" s="381" t="s">
        <v>813</v>
      </c>
      <c r="C108" s="587" t="s">
        <v>814</v>
      </c>
      <c r="D108" s="383">
        <f>'3.Масаж'!F600</f>
        <v>22.2</v>
      </c>
      <c r="E108" s="383">
        <f>'3.Масаж'!F603</f>
        <v>4.88</v>
      </c>
      <c r="F108" s="383">
        <f>'3.Масаж'!G615</f>
        <v>18.72</v>
      </c>
      <c r="G108" s="383">
        <f>'3.Масаж'!H620</f>
        <v>0.6</v>
      </c>
      <c r="H108" s="384">
        <f t="shared" si="8"/>
        <v>46.4</v>
      </c>
      <c r="I108" s="383">
        <f>'3.Масаж'!H626</f>
        <v>3.3</v>
      </c>
      <c r="J108" s="383">
        <f>'3.Масаж'!H627</f>
        <v>0</v>
      </c>
      <c r="K108" s="383">
        <f>'3.Масаж'!H628</f>
        <v>0</v>
      </c>
      <c r="L108" s="383">
        <f>'3.Масаж'!H629</f>
        <v>0.3</v>
      </c>
      <c r="M108" s="384">
        <f t="shared" si="12"/>
        <v>3.5999999999999996</v>
      </c>
      <c r="N108" s="384">
        <f t="shared" si="13"/>
        <v>50</v>
      </c>
      <c r="O108" s="383">
        <f t="shared" si="9"/>
        <v>10</v>
      </c>
      <c r="P108" s="384">
        <f t="shared" si="10"/>
        <v>60</v>
      </c>
      <c r="Q108" s="384">
        <f>'3.Масаж'!F592</f>
        <v>60</v>
      </c>
      <c r="R108" s="384">
        <f t="shared" si="11"/>
        <v>0</v>
      </c>
      <c r="S108" s="378"/>
      <c r="T108" s="378"/>
      <c r="U108" s="378"/>
      <c r="V108" s="378"/>
      <c r="W108" s="378"/>
      <c r="X108" s="380"/>
      <c r="Y108" s="380"/>
      <c r="Z108" s="768" t="str">
        <f>'3.Масаж'!M15</f>
        <v>Масаж спини (від VII шийного хребця до V поперекового хребця)</v>
      </c>
      <c r="AA108" s="755"/>
      <c r="AB108" s="755"/>
      <c r="AC108" s="748"/>
      <c r="AD108" s="748"/>
      <c r="AE108" s="748"/>
      <c r="AF108" s="748"/>
      <c r="AG108" s="748"/>
      <c r="AH108" s="748"/>
      <c r="AI108" s="748"/>
      <c r="AJ108" s="748"/>
      <c r="AK108" s="748"/>
      <c r="AL108" s="748"/>
      <c r="AM108" s="748"/>
      <c r="AN108" s="748"/>
      <c r="AO108" s="375"/>
      <c r="AP108" s="375"/>
      <c r="AQ108" s="375"/>
      <c r="AR108" s="375"/>
      <c r="AS108" s="375"/>
      <c r="AT108" s="375"/>
      <c r="AU108" s="375"/>
      <c r="AV108" s="375"/>
      <c r="AW108" s="375"/>
      <c r="AX108" s="375"/>
      <c r="AY108" s="375"/>
      <c r="AZ108" s="375"/>
      <c r="BA108" s="375"/>
      <c r="BB108" s="375"/>
      <c r="BC108" s="375"/>
      <c r="BD108" s="375"/>
      <c r="BE108" s="375"/>
      <c r="BF108" s="375"/>
      <c r="BG108" s="375"/>
      <c r="BH108" s="375"/>
      <c r="BI108" s="375"/>
      <c r="BJ108" s="375"/>
      <c r="BK108" s="375"/>
      <c r="BL108" s="375"/>
      <c r="BM108" s="375"/>
      <c r="BN108" s="375"/>
      <c r="BO108" s="375"/>
    </row>
    <row r="109" spans="1:67" s="6" customFormat="1" x14ac:dyDescent="0.45">
      <c r="A109" s="517"/>
      <c r="B109" s="381" t="s">
        <v>815</v>
      </c>
      <c r="C109" s="587" t="s">
        <v>816</v>
      </c>
      <c r="D109" s="383">
        <f>'3.Масаж'!F649</f>
        <v>22.2</v>
      </c>
      <c r="E109" s="383">
        <f>'3.Масаж'!F652</f>
        <v>4.88</v>
      </c>
      <c r="F109" s="383">
        <f>'3.Масаж'!G664</f>
        <v>18.72</v>
      </c>
      <c r="G109" s="383">
        <f>'3.Масаж'!H669</f>
        <v>0.6</v>
      </c>
      <c r="H109" s="384">
        <f t="shared" si="8"/>
        <v>46.4</v>
      </c>
      <c r="I109" s="383">
        <f>'3.Масаж'!H675</f>
        <v>3.3</v>
      </c>
      <c r="J109" s="383">
        <f>'3.Масаж'!H676</f>
        <v>0</v>
      </c>
      <c r="K109" s="383">
        <f>'3.Масаж'!H677</f>
        <v>0</v>
      </c>
      <c r="L109" s="383">
        <f>'3.Масаж'!H678</f>
        <v>0.3</v>
      </c>
      <c r="M109" s="384">
        <f t="shared" si="12"/>
        <v>3.5999999999999996</v>
      </c>
      <c r="N109" s="384">
        <f t="shared" si="13"/>
        <v>50</v>
      </c>
      <c r="O109" s="383">
        <f t="shared" si="9"/>
        <v>10</v>
      </c>
      <c r="P109" s="384">
        <f t="shared" si="10"/>
        <v>60</v>
      </c>
      <c r="Q109" s="384">
        <f>'3.Масаж'!F641</f>
        <v>60</v>
      </c>
      <c r="R109" s="384">
        <f t="shared" si="11"/>
        <v>0</v>
      </c>
      <c r="S109" s="378"/>
      <c r="T109" s="378"/>
      <c r="U109" s="378"/>
      <c r="V109" s="378"/>
      <c r="W109" s="378"/>
      <c r="X109" s="380"/>
      <c r="Y109" s="380"/>
      <c r="Z109" s="768" t="str">
        <f>'3.Масаж'!M16</f>
        <v>Масаж грудної клітки</v>
      </c>
      <c r="AA109" s="755"/>
      <c r="AB109" s="755"/>
      <c r="AC109" s="748"/>
      <c r="AD109" s="748"/>
      <c r="AE109" s="748"/>
      <c r="AF109" s="748"/>
      <c r="AG109" s="748"/>
      <c r="AH109" s="748"/>
      <c r="AI109" s="748"/>
      <c r="AJ109" s="748"/>
      <c r="AK109" s="748"/>
      <c r="AL109" s="748"/>
      <c r="AM109" s="748"/>
      <c r="AN109" s="748"/>
      <c r="AO109" s="375"/>
      <c r="AP109" s="375"/>
      <c r="AQ109" s="375"/>
      <c r="AR109" s="375"/>
      <c r="AS109" s="375"/>
      <c r="AT109" s="375"/>
      <c r="AU109" s="375"/>
      <c r="AV109" s="375"/>
      <c r="AW109" s="375"/>
      <c r="AX109" s="375"/>
      <c r="AY109" s="375"/>
      <c r="AZ109" s="375"/>
      <c r="BA109" s="375"/>
      <c r="BB109" s="375"/>
      <c r="BC109" s="375"/>
      <c r="BD109" s="375"/>
      <c r="BE109" s="375"/>
      <c r="BF109" s="375"/>
      <c r="BG109" s="375"/>
      <c r="BH109" s="375"/>
      <c r="BI109" s="375"/>
      <c r="BJ109" s="375"/>
      <c r="BK109" s="375"/>
      <c r="BL109" s="375"/>
      <c r="BM109" s="375"/>
      <c r="BN109" s="375"/>
      <c r="BO109" s="375"/>
    </row>
    <row r="110" spans="1:67" s="6" customFormat="1" x14ac:dyDescent="0.45">
      <c r="A110" s="517"/>
      <c r="B110" s="381" t="s">
        <v>817</v>
      </c>
      <c r="C110" s="587" t="s">
        <v>818</v>
      </c>
      <c r="D110" s="383">
        <f>'3.Масаж'!F698</f>
        <v>14.8</v>
      </c>
      <c r="E110" s="383">
        <f>'3.Масаж'!F701</f>
        <v>3.26</v>
      </c>
      <c r="F110" s="383">
        <f>'3.Масаж'!G713</f>
        <v>16.84</v>
      </c>
      <c r="G110" s="383">
        <f>'3.Масаж'!H718</f>
        <v>0.2</v>
      </c>
      <c r="H110" s="384">
        <f t="shared" si="8"/>
        <v>35.100000000000009</v>
      </c>
      <c r="I110" s="383">
        <f>'3.Масаж'!H724</f>
        <v>2.2000000000000002</v>
      </c>
      <c r="J110" s="383">
        <f>'3.Масаж'!H725</f>
        <v>0</v>
      </c>
      <c r="K110" s="383">
        <f>'3.Масаж'!H726</f>
        <v>0</v>
      </c>
      <c r="L110" s="383">
        <f>'3.Масаж'!H727</f>
        <v>0.2</v>
      </c>
      <c r="M110" s="384">
        <f t="shared" si="12"/>
        <v>2.4000000000000004</v>
      </c>
      <c r="N110" s="384">
        <f t="shared" si="13"/>
        <v>37.500000000000007</v>
      </c>
      <c r="O110" s="383">
        <f t="shared" si="9"/>
        <v>7.5</v>
      </c>
      <c r="P110" s="384">
        <f t="shared" si="10"/>
        <v>45.000000000000007</v>
      </c>
      <c r="Q110" s="384">
        <f>'3.Масаж'!F690</f>
        <v>45.000000000000007</v>
      </c>
      <c r="R110" s="384">
        <f t="shared" si="11"/>
        <v>0</v>
      </c>
      <c r="S110" s="378"/>
      <c r="T110" s="378"/>
      <c r="U110" s="378"/>
      <c r="V110" s="378"/>
      <c r="W110" s="378"/>
      <c r="X110" s="380"/>
      <c r="Y110" s="380"/>
      <c r="Z110" s="768" t="str">
        <f>'3.Масаж'!M17</f>
        <v>Масаж передньої черевної стінки</v>
      </c>
      <c r="AA110" s="755"/>
      <c r="AB110" s="755"/>
      <c r="AC110" s="748"/>
      <c r="AD110" s="748"/>
      <c r="AE110" s="748"/>
      <c r="AF110" s="748"/>
      <c r="AG110" s="748"/>
      <c r="AH110" s="748"/>
      <c r="AI110" s="748"/>
      <c r="AJ110" s="748"/>
      <c r="AK110" s="748"/>
      <c r="AL110" s="748"/>
      <c r="AM110" s="748"/>
      <c r="AN110" s="748"/>
      <c r="AO110" s="375"/>
      <c r="AP110" s="375"/>
      <c r="AQ110" s="375"/>
      <c r="AR110" s="375"/>
      <c r="AS110" s="375"/>
      <c r="AT110" s="375"/>
      <c r="AU110" s="375"/>
      <c r="AV110" s="375"/>
      <c r="AW110" s="375"/>
      <c r="AX110" s="375"/>
      <c r="AY110" s="375"/>
      <c r="AZ110" s="375"/>
      <c r="BA110" s="375"/>
      <c r="BB110" s="375"/>
      <c r="BC110" s="375"/>
      <c r="BD110" s="375"/>
      <c r="BE110" s="375"/>
      <c r="BF110" s="375"/>
      <c r="BG110" s="375"/>
      <c r="BH110" s="375"/>
      <c r="BI110" s="375"/>
      <c r="BJ110" s="375"/>
      <c r="BK110" s="375"/>
      <c r="BL110" s="375"/>
      <c r="BM110" s="375"/>
      <c r="BN110" s="375"/>
      <c r="BO110" s="375"/>
    </row>
    <row r="111" spans="1:67" s="6" customFormat="1" x14ac:dyDescent="0.45">
      <c r="A111" s="517"/>
      <c r="B111" s="381" t="s">
        <v>819</v>
      </c>
      <c r="C111" s="587" t="s">
        <v>820</v>
      </c>
      <c r="D111" s="383">
        <f>'3.Масаж'!F747</f>
        <v>14.8</v>
      </c>
      <c r="E111" s="383">
        <f>'3.Масаж'!F750</f>
        <v>3.26</v>
      </c>
      <c r="F111" s="383">
        <f>'3.Масаж'!G762</f>
        <v>16.84</v>
      </c>
      <c r="G111" s="383">
        <f>'3.Масаж'!H767</f>
        <v>0.2</v>
      </c>
      <c r="H111" s="384">
        <f t="shared" si="8"/>
        <v>35.100000000000009</v>
      </c>
      <c r="I111" s="383">
        <f>'3.Масаж'!H773</f>
        <v>2.2000000000000002</v>
      </c>
      <c r="J111" s="383">
        <f>'3.Масаж'!H774</f>
        <v>0</v>
      </c>
      <c r="K111" s="383">
        <f>'3.Масаж'!H775</f>
        <v>0</v>
      </c>
      <c r="L111" s="383">
        <f>'3.Масаж'!H776</f>
        <v>0.2</v>
      </c>
      <c r="M111" s="384">
        <f t="shared" si="12"/>
        <v>2.4000000000000004</v>
      </c>
      <c r="N111" s="384">
        <f t="shared" si="13"/>
        <v>37.500000000000007</v>
      </c>
      <c r="O111" s="383">
        <f t="shared" si="9"/>
        <v>7.5</v>
      </c>
      <c r="P111" s="384">
        <f t="shared" si="10"/>
        <v>45.000000000000007</v>
      </c>
      <c r="Q111" s="384">
        <f>'3.Масаж'!F739</f>
        <v>45.000000000000007</v>
      </c>
      <c r="R111" s="384">
        <f t="shared" si="11"/>
        <v>0</v>
      </c>
      <c r="S111" s="378"/>
      <c r="T111" s="378"/>
      <c r="U111" s="378"/>
      <c r="V111" s="378"/>
      <c r="W111" s="378"/>
      <c r="X111" s="380"/>
      <c r="Y111" s="380"/>
      <c r="Z111" s="768" t="str">
        <f>'3.Масаж'!M18</f>
        <v>Масаж попереково-крижової ділянки</v>
      </c>
      <c r="AA111" s="755"/>
      <c r="AB111" s="755"/>
      <c r="AC111" s="748"/>
      <c r="AD111" s="748"/>
      <c r="AE111" s="748"/>
      <c r="AF111" s="748"/>
      <c r="AG111" s="748"/>
      <c r="AH111" s="748"/>
      <c r="AI111" s="748"/>
      <c r="AJ111" s="748"/>
      <c r="AK111" s="748"/>
      <c r="AL111" s="748"/>
      <c r="AM111" s="748"/>
      <c r="AN111" s="748"/>
      <c r="AO111" s="375"/>
      <c r="AP111" s="375"/>
      <c r="AQ111" s="375"/>
      <c r="AR111" s="375"/>
      <c r="AS111" s="375"/>
      <c r="AT111" s="375"/>
      <c r="AU111" s="375"/>
      <c r="AV111" s="375"/>
      <c r="AW111" s="375"/>
      <c r="AX111" s="375"/>
      <c r="AY111" s="375"/>
      <c r="AZ111" s="375"/>
      <c r="BA111" s="375"/>
      <c r="BB111" s="375"/>
      <c r="BC111" s="375"/>
      <c r="BD111" s="375"/>
      <c r="BE111" s="375"/>
      <c r="BF111" s="375"/>
      <c r="BG111" s="375"/>
      <c r="BH111" s="375"/>
      <c r="BI111" s="375"/>
      <c r="BJ111" s="375"/>
      <c r="BK111" s="375"/>
      <c r="BL111" s="375"/>
      <c r="BM111" s="375"/>
      <c r="BN111" s="375"/>
      <c r="BO111" s="375"/>
    </row>
    <row r="112" spans="1:67" s="6" customFormat="1" x14ac:dyDescent="0.45">
      <c r="A112" s="517"/>
      <c r="B112" s="381" t="s">
        <v>821</v>
      </c>
      <c r="C112" s="587" t="s">
        <v>822</v>
      </c>
      <c r="D112" s="383">
        <f>'3.Масаж'!F796</f>
        <v>14.8</v>
      </c>
      <c r="E112" s="383">
        <f>'3.Масаж'!F799</f>
        <v>3.26</v>
      </c>
      <c r="F112" s="383">
        <f>'3.Масаж'!G811</f>
        <v>16.84</v>
      </c>
      <c r="G112" s="383">
        <f>'3.Масаж'!H816</f>
        <v>0.2</v>
      </c>
      <c r="H112" s="384">
        <f t="shared" si="8"/>
        <v>35.100000000000009</v>
      </c>
      <c r="I112" s="383">
        <f>'3.Масаж'!H822</f>
        <v>2.2000000000000002</v>
      </c>
      <c r="J112" s="383">
        <f>'3.Масаж'!H823</f>
        <v>0</v>
      </c>
      <c r="K112" s="383">
        <f>'3.Масаж'!H824</f>
        <v>0</v>
      </c>
      <c r="L112" s="383">
        <f>'3.Масаж'!H825</f>
        <v>0.2</v>
      </c>
      <c r="M112" s="384">
        <f t="shared" si="12"/>
        <v>2.4000000000000004</v>
      </c>
      <c r="N112" s="384">
        <f t="shared" si="13"/>
        <v>37.500000000000007</v>
      </c>
      <c r="O112" s="383">
        <f t="shared" si="9"/>
        <v>7.5</v>
      </c>
      <c r="P112" s="384">
        <f t="shared" si="10"/>
        <v>45.000000000000007</v>
      </c>
      <c r="Q112" s="384">
        <f>'3.Масаж'!F788</f>
        <v>45.000000000000007</v>
      </c>
      <c r="R112" s="384">
        <f t="shared" si="11"/>
        <v>0</v>
      </c>
      <c r="S112" s="378"/>
      <c r="T112" s="378"/>
      <c r="U112" s="378"/>
      <c r="V112" s="378"/>
      <c r="W112" s="378"/>
      <c r="X112" s="380"/>
      <c r="Y112" s="380"/>
      <c r="Z112" s="768" t="str">
        <f>'3.Масаж'!M19</f>
        <v>Сегментарний масаж попереково-крижової ділянки</v>
      </c>
      <c r="AA112" s="755"/>
      <c r="AB112" s="755"/>
      <c r="AC112" s="748"/>
      <c r="AD112" s="748"/>
      <c r="AE112" s="748"/>
      <c r="AF112" s="748"/>
      <c r="AG112" s="748"/>
      <c r="AH112" s="748"/>
      <c r="AI112" s="748"/>
      <c r="AJ112" s="748"/>
      <c r="AK112" s="748"/>
      <c r="AL112" s="748"/>
      <c r="AM112" s="748"/>
      <c r="AN112" s="748"/>
      <c r="AO112" s="375"/>
      <c r="AP112" s="375"/>
      <c r="AQ112" s="375"/>
      <c r="AR112" s="375"/>
      <c r="AS112" s="375"/>
      <c r="AT112" s="375"/>
      <c r="AU112" s="375"/>
      <c r="AV112" s="375"/>
      <c r="AW112" s="375"/>
      <c r="AX112" s="375"/>
      <c r="AY112" s="375"/>
      <c r="AZ112" s="375"/>
      <c r="BA112" s="375"/>
      <c r="BB112" s="375"/>
      <c r="BC112" s="375"/>
      <c r="BD112" s="375"/>
      <c r="BE112" s="375"/>
      <c r="BF112" s="375"/>
      <c r="BG112" s="375"/>
      <c r="BH112" s="375"/>
      <c r="BI112" s="375"/>
      <c r="BJ112" s="375"/>
      <c r="BK112" s="375"/>
      <c r="BL112" s="375"/>
      <c r="BM112" s="375"/>
      <c r="BN112" s="375"/>
      <c r="BO112" s="375"/>
    </row>
    <row r="113" spans="1:67" s="6" customFormat="1" x14ac:dyDescent="0.45">
      <c r="A113" s="517"/>
      <c r="B113" s="381" t="s">
        <v>823</v>
      </c>
      <c r="C113" s="587" t="s">
        <v>824</v>
      </c>
      <c r="D113" s="383">
        <f>'3.Масаж'!F845</f>
        <v>22.2</v>
      </c>
      <c r="E113" s="383">
        <f>'3.Масаж'!F848</f>
        <v>4.88</v>
      </c>
      <c r="F113" s="383">
        <f>'3.Масаж'!G860</f>
        <v>18.72</v>
      </c>
      <c r="G113" s="383">
        <f>'3.Масаж'!H865</f>
        <v>0.6</v>
      </c>
      <c r="H113" s="384">
        <f t="shared" si="8"/>
        <v>46.4</v>
      </c>
      <c r="I113" s="383">
        <f>'3.Масаж'!H871</f>
        <v>3.3</v>
      </c>
      <c r="J113" s="383">
        <f>'3.Масаж'!H872</f>
        <v>0</v>
      </c>
      <c r="K113" s="383">
        <f>'3.Масаж'!H873</f>
        <v>0</v>
      </c>
      <c r="L113" s="383">
        <f>'3.Масаж'!H874</f>
        <v>0.3</v>
      </c>
      <c r="M113" s="384">
        <f t="shared" si="12"/>
        <v>3.5999999999999996</v>
      </c>
      <c r="N113" s="384">
        <f t="shared" si="13"/>
        <v>50</v>
      </c>
      <c r="O113" s="383">
        <f t="shared" si="9"/>
        <v>10</v>
      </c>
      <c r="P113" s="384">
        <f t="shared" si="10"/>
        <v>60</v>
      </c>
      <c r="Q113" s="384">
        <f>'3.Масаж'!F837</f>
        <v>60</v>
      </c>
      <c r="R113" s="384">
        <f t="shared" si="11"/>
        <v>0</v>
      </c>
      <c r="S113" s="378"/>
      <c r="T113" s="378"/>
      <c r="U113" s="378"/>
      <c r="V113" s="378"/>
      <c r="W113" s="378"/>
      <c r="X113" s="380"/>
      <c r="Y113" s="380"/>
      <c r="Z113" s="768" t="str">
        <f>'3.Масаж'!M20</f>
        <v>Масаж ділянки хребта</v>
      </c>
      <c r="AA113" s="755"/>
      <c r="AB113" s="755"/>
      <c r="AC113" s="748"/>
      <c r="AD113" s="748"/>
      <c r="AE113" s="748"/>
      <c r="AF113" s="748"/>
      <c r="AG113" s="748"/>
      <c r="AH113" s="748"/>
      <c r="AI113" s="748"/>
      <c r="AJ113" s="748"/>
      <c r="AK113" s="748"/>
      <c r="AL113" s="748"/>
      <c r="AM113" s="748"/>
      <c r="AN113" s="748"/>
      <c r="AO113" s="375"/>
      <c r="AP113" s="375"/>
      <c r="AQ113" s="375"/>
      <c r="AR113" s="375"/>
      <c r="AS113" s="375"/>
      <c r="AT113" s="375"/>
      <c r="AU113" s="375"/>
      <c r="AV113" s="375"/>
      <c r="AW113" s="375"/>
      <c r="AX113" s="375"/>
      <c r="AY113" s="375"/>
      <c r="AZ113" s="375"/>
      <c r="BA113" s="375"/>
      <c r="BB113" s="375"/>
      <c r="BC113" s="375"/>
      <c r="BD113" s="375"/>
      <c r="BE113" s="375"/>
      <c r="BF113" s="375"/>
      <c r="BG113" s="375"/>
      <c r="BH113" s="375"/>
      <c r="BI113" s="375"/>
      <c r="BJ113" s="375"/>
      <c r="BK113" s="375"/>
      <c r="BL113" s="375"/>
      <c r="BM113" s="375"/>
      <c r="BN113" s="375"/>
      <c r="BO113" s="375"/>
    </row>
    <row r="114" spans="1:67" s="6" customFormat="1" x14ac:dyDescent="0.45">
      <c r="A114" s="517"/>
      <c r="B114" s="381" t="s">
        <v>825</v>
      </c>
      <c r="C114" s="587" t="s">
        <v>826</v>
      </c>
      <c r="D114" s="383">
        <f>'3.Масаж'!F894</f>
        <v>22.2</v>
      </c>
      <c r="E114" s="383">
        <f>'3.Масаж'!F897</f>
        <v>4.88</v>
      </c>
      <c r="F114" s="383">
        <f>'3.Масаж'!G909</f>
        <v>18.72</v>
      </c>
      <c r="G114" s="383">
        <f>'3.Масаж'!H914</f>
        <v>0.6</v>
      </c>
      <c r="H114" s="384">
        <f t="shared" si="8"/>
        <v>46.4</v>
      </c>
      <c r="I114" s="383">
        <f>'3.Масаж'!H920</f>
        <v>3.3</v>
      </c>
      <c r="J114" s="383">
        <f>'3.Масаж'!H921</f>
        <v>0</v>
      </c>
      <c r="K114" s="383">
        <f>'3.Масаж'!H922</f>
        <v>0</v>
      </c>
      <c r="L114" s="383">
        <f>'3.Масаж'!H923</f>
        <v>0.3</v>
      </c>
      <c r="M114" s="384">
        <f t="shared" si="12"/>
        <v>3.5999999999999996</v>
      </c>
      <c r="N114" s="384">
        <f t="shared" si="13"/>
        <v>50</v>
      </c>
      <c r="O114" s="383">
        <f t="shared" si="9"/>
        <v>10</v>
      </c>
      <c r="P114" s="384">
        <f t="shared" si="10"/>
        <v>60</v>
      </c>
      <c r="Q114" s="384">
        <f>'3.Масаж'!F886</f>
        <v>60</v>
      </c>
      <c r="R114" s="384">
        <f t="shared" si="11"/>
        <v>0</v>
      </c>
      <c r="S114" s="378"/>
      <c r="T114" s="378"/>
      <c r="U114" s="378"/>
      <c r="V114" s="378"/>
      <c r="W114" s="378"/>
      <c r="X114" s="380"/>
      <c r="Y114" s="380"/>
      <c r="Z114" s="768" t="str">
        <f>'3.Масаж'!M21</f>
        <v>Масаж нижньої кінцівки і попереку</v>
      </c>
      <c r="AA114" s="755"/>
      <c r="AB114" s="755"/>
      <c r="AC114" s="748"/>
      <c r="AD114" s="748"/>
      <c r="AE114" s="748"/>
      <c r="AF114" s="748"/>
      <c r="AG114" s="748"/>
      <c r="AH114" s="748"/>
      <c r="AI114" s="748"/>
      <c r="AJ114" s="748"/>
      <c r="AK114" s="748"/>
      <c r="AL114" s="748"/>
      <c r="AM114" s="748"/>
      <c r="AN114" s="748"/>
      <c r="AO114" s="375"/>
      <c r="AP114" s="375"/>
      <c r="AQ114" s="375"/>
      <c r="AR114" s="375"/>
      <c r="AS114" s="375"/>
      <c r="AT114" s="375"/>
      <c r="AU114" s="375"/>
      <c r="AV114" s="375"/>
      <c r="AW114" s="375"/>
      <c r="AX114" s="375"/>
      <c r="AY114" s="375"/>
      <c r="AZ114" s="375"/>
      <c r="BA114" s="375"/>
      <c r="BB114" s="375"/>
      <c r="BC114" s="375"/>
      <c r="BD114" s="375"/>
      <c r="BE114" s="375"/>
      <c r="BF114" s="375"/>
      <c r="BG114" s="375"/>
      <c r="BH114" s="375"/>
      <c r="BI114" s="375"/>
      <c r="BJ114" s="375"/>
      <c r="BK114" s="375"/>
      <c r="BL114" s="375"/>
      <c r="BM114" s="375"/>
      <c r="BN114" s="375"/>
      <c r="BO114" s="375"/>
    </row>
    <row r="115" spans="1:67" s="6" customFormat="1" x14ac:dyDescent="0.45">
      <c r="A115" s="517"/>
      <c r="B115" s="381" t="s">
        <v>827</v>
      </c>
      <c r="C115" s="587" t="s">
        <v>828</v>
      </c>
      <c r="D115" s="383">
        <f>'3.Масаж'!F943</f>
        <v>14.8</v>
      </c>
      <c r="E115" s="383">
        <f>'3.Масаж'!F946</f>
        <v>3.26</v>
      </c>
      <c r="F115" s="383">
        <f>'3.Масаж'!G958</f>
        <v>16.84</v>
      </c>
      <c r="G115" s="383">
        <f>'3.Масаж'!H963</f>
        <v>0.2</v>
      </c>
      <c r="H115" s="384">
        <f t="shared" si="8"/>
        <v>35.100000000000009</v>
      </c>
      <c r="I115" s="383">
        <f>'3.Масаж'!H969</f>
        <v>2.2000000000000002</v>
      </c>
      <c r="J115" s="383">
        <f>'3.Масаж'!H970</f>
        <v>0</v>
      </c>
      <c r="K115" s="383">
        <f>'3.Масаж'!H971</f>
        <v>0</v>
      </c>
      <c r="L115" s="383">
        <f>'3.Масаж'!H972</f>
        <v>0.2</v>
      </c>
      <c r="M115" s="384">
        <f t="shared" si="12"/>
        <v>2.4000000000000004</v>
      </c>
      <c r="N115" s="384">
        <f t="shared" si="13"/>
        <v>37.500000000000007</v>
      </c>
      <c r="O115" s="383">
        <f t="shared" si="9"/>
        <v>7.5</v>
      </c>
      <c r="P115" s="384">
        <f t="shared" si="10"/>
        <v>45.000000000000007</v>
      </c>
      <c r="Q115" s="384">
        <f>'3.Масаж'!F935</f>
        <v>45.000000000000007</v>
      </c>
      <c r="R115" s="384">
        <f t="shared" si="11"/>
        <v>0</v>
      </c>
      <c r="S115" s="378"/>
      <c r="T115" s="378"/>
      <c r="U115" s="378"/>
      <c r="V115" s="378"/>
      <c r="W115" s="378"/>
      <c r="X115" s="380"/>
      <c r="Y115" s="380"/>
      <c r="Z115" s="768" t="str">
        <f>'3.Масаж'!M22</f>
        <v>Масаж кульшового суглоба</v>
      </c>
      <c r="AA115" s="755"/>
      <c r="AB115" s="755"/>
      <c r="AC115" s="748"/>
      <c r="AD115" s="748"/>
      <c r="AE115" s="748"/>
      <c r="AF115" s="748"/>
      <c r="AG115" s="748"/>
      <c r="AH115" s="748"/>
      <c r="AI115" s="748"/>
      <c r="AJ115" s="748"/>
      <c r="AK115" s="748"/>
      <c r="AL115" s="748"/>
      <c r="AM115" s="748"/>
      <c r="AN115" s="748"/>
      <c r="AO115" s="375"/>
      <c r="AP115" s="375"/>
      <c r="AQ115" s="375"/>
      <c r="AR115" s="375"/>
      <c r="AS115" s="375"/>
      <c r="AT115" s="375"/>
      <c r="AU115" s="375"/>
      <c r="AV115" s="375"/>
      <c r="AW115" s="375"/>
      <c r="AX115" s="375"/>
      <c r="AY115" s="375"/>
      <c r="AZ115" s="375"/>
      <c r="BA115" s="375"/>
      <c r="BB115" s="375"/>
      <c r="BC115" s="375"/>
      <c r="BD115" s="375"/>
      <c r="BE115" s="375"/>
      <c r="BF115" s="375"/>
      <c r="BG115" s="375"/>
      <c r="BH115" s="375"/>
      <c r="BI115" s="375"/>
      <c r="BJ115" s="375"/>
      <c r="BK115" s="375"/>
      <c r="BL115" s="375"/>
      <c r="BM115" s="375"/>
      <c r="BN115" s="375"/>
      <c r="BO115" s="375"/>
    </row>
    <row r="116" spans="1:67" s="6" customFormat="1" x14ac:dyDescent="0.45">
      <c r="A116" s="517"/>
      <c r="B116" s="381" t="s">
        <v>829</v>
      </c>
      <c r="C116" s="587" t="s">
        <v>830</v>
      </c>
      <c r="D116" s="383">
        <f>'3.Масаж'!F992</f>
        <v>14.8</v>
      </c>
      <c r="E116" s="383">
        <f>'3.Масаж'!F995</f>
        <v>3.26</v>
      </c>
      <c r="F116" s="383">
        <f>'3.Масаж'!G1007</f>
        <v>16.84</v>
      </c>
      <c r="G116" s="383">
        <f>'3.Масаж'!H1012</f>
        <v>0.2</v>
      </c>
      <c r="H116" s="384">
        <f t="shared" si="8"/>
        <v>35.100000000000009</v>
      </c>
      <c r="I116" s="383">
        <f>'3.Масаж'!H1018</f>
        <v>2.2000000000000002</v>
      </c>
      <c r="J116" s="383">
        <f>'3.Масаж'!H1019</f>
        <v>0</v>
      </c>
      <c r="K116" s="383">
        <f>'3.Масаж'!H1020</f>
        <v>0</v>
      </c>
      <c r="L116" s="383">
        <f>'3.Масаж'!H1021</f>
        <v>0.2</v>
      </c>
      <c r="M116" s="384">
        <f t="shared" si="12"/>
        <v>2.4000000000000004</v>
      </c>
      <c r="N116" s="384">
        <f t="shared" si="13"/>
        <v>37.500000000000007</v>
      </c>
      <c r="O116" s="383">
        <f t="shared" si="9"/>
        <v>7.5</v>
      </c>
      <c r="P116" s="384">
        <f t="shared" si="10"/>
        <v>45.000000000000007</v>
      </c>
      <c r="Q116" s="384">
        <f>'3.Масаж'!F984</f>
        <v>45.000000000000007</v>
      </c>
      <c r="R116" s="384">
        <f t="shared" si="11"/>
        <v>0</v>
      </c>
      <c r="S116" s="378"/>
      <c r="T116" s="378"/>
      <c r="U116" s="378"/>
      <c r="V116" s="378"/>
      <c r="W116" s="378"/>
      <c r="X116" s="380"/>
      <c r="Y116" s="380"/>
      <c r="Z116" s="768" t="str">
        <f>'3.Масаж'!M23</f>
        <v>Масаж колінного суглоба</v>
      </c>
      <c r="AA116" s="755"/>
      <c r="AB116" s="755"/>
      <c r="AC116" s="748"/>
      <c r="AD116" s="748"/>
      <c r="AE116" s="748"/>
      <c r="AF116" s="748"/>
      <c r="AG116" s="748"/>
      <c r="AH116" s="748"/>
      <c r="AI116" s="748"/>
      <c r="AJ116" s="748"/>
      <c r="AK116" s="748"/>
      <c r="AL116" s="748"/>
      <c r="AM116" s="748"/>
      <c r="AN116" s="748"/>
      <c r="AO116" s="375"/>
      <c r="AP116" s="375"/>
      <c r="AQ116" s="375"/>
      <c r="AR116" s="375"/>
      <c r="AS116" s="375"/>
      <c r="AT116" s="375"/>
      <c r="AU116" s="375"/>
      <c r="AV116" s="375"/>
      <c r="AW116" s="375"/>
      <c r="AX116" s="375"/>
      <c r="AY116" s="375"/>
      <c r="AZ116" s="375"/>
      <c r="BA116" s="375"/>
      <c r="BB116" s="375"/>
      <c r="BC116" s="375"/>
      <c r="BD116" s="375"/>
      <c r="BE116" s="375"/>
      <c r="BF116" s="375"/>
      <c r="BG116" s="375"/>
      <c r="BH116" s="375"/>
      <c r="BI116" s="375"/>
      <c r="BJ116" s="375"/>
      <c r="BK116" s="375"/>
      <c r="BL116" s="375"/>
      <c r="BM116" s="375"/>
      <c r="BN116" s="375"/>
      <c r="BO116" s="375"/>
    </row>
    <row r="117" spans="1:67" s="6" customFormat="1" x14ac:dyDescent="0.45">
      <c r="A117" s="517"/>
      <c r="B117" s="381" t="s">
        <v>831</v>
      </c>
      <c r="C117" s="587" t="s">
        <v>832</v>
      </c>
      <c r="D117" s="383">
        <f>'3.Масаж'!F1041</f>
        <v>14.8</v>
      </c>
      <c r="E117" s="383">
        <f>'3.Масаж'!F1044</f>
        <v>3.26</v>
      </c>
      <c r="F117" s="383">
        <f>'3.Масаж'!G1056</f>
        <v>16.84</v>
      </c>
      <c r="G117" s="383">
        <f>'3.Масаж'!H1061</f>
        <v>0.2</v>
      </c>
      <c r="H117" s="384">
        <f t="shared" si="8"/>
        <v>35.100000000000009</v>
      </c>
      <c r="I117" s="383">
        <f>'3.Масаж'!H1067</f>
        <v>2.2000000000000002</v>
      </c>
      <c r="J117" s="383">
        <f>'3.Масаж'!H1068</f>
        <v>0</v>
      </c>
      <c r="K117" s="383">
        <f>'3.Масаж'!H1069</f>
        <v>0</v>
      </c>
      <c r="L117" s="383">
        <f>'3.Масаж'!H1070</f>
        <v>0.2</v>
      </c>
      <c r="M117" s="384">
        <f t="shared" si="12"/>
        <v>2.4000000000000004</v>
      </c>
      <c r="N117" s="384">
        <f t="shared" si="13"/>
        <v>37.500000000000007</v>
      </c>
      <c r="O117" s="383">
        <f t="shared" si="9"/>
        <v>7.5</v>
      </c>
      <c r="P117" s="384">
        <f t="shared" si="10"/>
        <v>45.000000000000007</v>
      </c>
      <c r="Q117" s="384">
        <f>'3.Масаж'!F1033</f>
        <v>45.000000000000007</v>
      </c>
      <c r="R117" s="384">
        <f t="shared" si="11"/>
        <v>0</v>
      </c>
      <c r="S117" s="378"/>
      <c r="T117" s="378"/>
      <c r="U117" s="378"/>
      <c r="V117" s="378"/>
      <c r="W117" s="378"/>
      <c r="X117" s="380"/>
      <c r="Y117" s="380"/>
      <c r="Z117" s="768" t="str">
        <f>'3.Масаж'!M24</f>
        <v>Масаж гомілковоступневого суглоба</v>
      </c>
      <c r="AA117" s="755"/>
      <c r="AB117" s="755"/>
      <c r="AC117" s="748"/>
      <c r="AD117" s="748"/>
      <c r="AE117" s="748"/>
      <c r="AF117" s="748"/>
      <c r="AG117" s="748"/>
      <c r="AH117" s="748"/>
      <c r="AI117" s="748"/>
      <c r="AJ117" s="748"/>
      <c r="AK117" s="748"/>
      <c r="AL117" s="748"/>
      <c r="AM117" s="748"/>
      <c r="AN117" s="748"/>
      <c r="AO117" s="375"/>
      <c r="AP117" s="375"/>
      <c r="AQ117" s="375"/>
      <c r="AR117" s="375"/>
      <c r="AS117" s="375"/>
      <c r="AT117" s="375"/>
      <c r="AU117" s="375"/>
      <c r="AV117" s="375"/>
      <c r="AW117" s="375"/>
      <c r="AX117" s="375"/>
      <c r="AY117" s="375"/>
      <c r="AZ117" s="375"/>
      <c r="BA117" s="375"/>
      <c r="BB117" s="375"/>
      <c r="BC117" s="375"/>
      <c r="BD117" s="375"/>
      <c r="BE117" s="375"/>
      <c r="BF117" s="375"/>
      <c r="BG117" s="375"/>
      <c r="BH117" s="375"/>
      <c r="BI117" s="375"/>
      <c r="BJ117" s="375"/>
      <c r="BK117" s="375"/>
      <c r="BL117" s="375"/>
      <c r="BM117" s="375"/>
      <c r="BN117" s="375"/>
      <c r="BO117" s="375"/>
    </row>
    <row r="118" spans="1:67" s="6" customFormat="1" x14ac:dyDescent="0.45">
      <c r="A118" s="517"/>
      <c r="B118" s="381" t="s">
        <v>833</v>
      </c>
      <c r="C118" s="587" t="s">
        <v>834</v>
      </c>
      <c r="D118" s="383">
        <f>'3.Масаж'!F1090</f>
        <v>14.8</v>
      </c>
      <c r="E118" s="383">
        <f>'3.Масаж'!F1093</f>
        <v>3.26</v>
      </c>
      <c r="F118" s="383">
        <f>'3.Масаж'!G1105</f>
        <v>16.84</v>
      </c>
      <c r="G118" s="383">
        <f>'3.Масаж'!H1110</f>
        <v>0.2</v>
      </c>
      <c r="H118" s="384">
        <f t="shared" si="8"/>
        <v>35.100000000000009</v>
      </c>
      <c r="I118" s="383">
        <f>'3.Масаж'!H1116</f>
        <v>2.2000000000000002</v>
      </c>
      <c r="J118" s="383">
        <f>'3.Масаж'!H1117</f>
        <v>0</v>
      </c>
      <c r="K118" s="383">
        <f>'3.Масаж'!H1118</f>
        <v>0</v>
      </c>
      <c r="L118" s="383">
        <f>'3.Масаж'!H1119</f>
        <v>0.2</v>
      </c>
      <c r="M118" s="384">
        <f t="shared" si="12"/>
        <v>2.4000000000000004</v>
      </c>
      <c r="N118" s="384">
        <f t="shared" si="13"/>
        <v>37.500000000000007</v>
      </c>
      <c r="O118" s="383">
        <f t="shared" si="9"/>
        <v>7.5</v>
      </c>
      <c r="P118" s="384">
        <f t="shared" si="10"/>
        <v>45.000000000000007</v>
      </c>
      <c r="Q118" s="384">
        <f>'3.Масаж'!F1082</f>
        <v>45.000000000000007</v>
      </c>
      <c r="R118" s="384">
        <f t="shared" si="11"/>
        <v>0</v>
      </c>
      <c r="S118" s="378"/>
      <c r="T118" s="378"/>
      <c r="U118" s="378"/>
      <c r="V118" s="378"/>
      <c r="W118" s="378"/>
      <c r="X118" s="380"/>
      <c r="Y118" s="380"/>
      <c r="Z118" s="768" t="str">
        <f>'3.Масаж'!M25</f>
        <v>Масаж ступні і гомілки</v>
      </c>
      <c r="AA118" s="755"/>
      <c r="AB118" s="755"/>
      <c r="AC118" s="748"/>
      <c r="AD118" s="748"/>
      <c r="AE118" s="748"/>
      <c r="AF118" s="748"/>
      <c r="AG118" s="748"/>
      <c r="AH118" s="748"/>
      <c r="AI118" s="748"/>
      <c r="AJ118" s="748"/>
      <c r="AK118" s="748"/>
      <c r="AL118" s="748"/>
      <c r="AM118" s="748"/>
      <c r="AN118" s="748"/>
      <c r="AO118" s="375"/>
      <c r="AP118" s="375"/>
      <c r="AQ118" s="375"/>
      <c r="AR118" s="375"/>
      <c r="AS118" s="375"/>
      <c r="AT118" s="375"/>
      <c r="AU118" s="375"/>
      <c r="AV118" s="375"/>
      <c r="AW118" s="375"/>
      <c r="AX118" s="375"/>
      <c r="AY118" s="375"/>
      <c r="AZ118" s="375"/>
      <c r="BA118" s="375"/>
      <c r="BB118" s="375"/>
      <c r="BC118" s="375"/>
      <c r="BD118" s="375"/>
      <c r="BE118" s="375"/>
      <c r="BF118" s="375"/>
      <c r="BG118" s="375"/>
      <c r="BH118" s="375"/>
      <c r="BI118" s="375"/>
      <c r="BJ118" s="375"/>
      <c r="BK118" s="375"/>
      <c r="BL118" s="375"/>
      <c r="BM118" s="375"/>
      <c r="BN118" s="375"/>
      <c r="BO118" s="375"/>
    </row>
    <row r="119" spans="1:67" s="6" customFormat="1" x14ac:dyDescent="0.45">
      <c r="A119" s="517"/>
      <c r="B119" s="381" t="s">
        <v>835</v>
      </c>
      <c r="C119" s="587" t="s">
        <v>836</v>
      </c>
      <c r="D119" s="383">
        <f>'3.Масаж'!F1139</f>
        <v>29.6</v>
      </c>
      <c r="E119" s="383">
        <f>'3.Масаж'!F1142</f>
        <v>6.51</v>
      </c>
      <c r="F119" s="383">
        <f>'3.Масаж'!G1154</f>
        <v>17.239999999999998</v>
      </c>
      <c r="G119" s="383">
        <f>'3.Масаж'!H1159</f>
        <v>0.18</v>
      </c>
      <c r="H119" s="384">
        <f t="shared" si="8"/>
        <v>53.529999999999994</v>
      </c>
      <c r="I119" s="383">
        <f>'3.Масаж'!H1165</f>
        <v>4.4000000000000004</v>
      </c>
      <c r="J119" s="383">
        <f>'3.Масаж'!H1166</f>
        <v>0</v>
      </c>
      <c r="K119" s="383">
        <f>'3.Масаж'!H1167</f>
        <v>0</v>
      </c>
      <c r="L119" s="383">
        <f>'3.Масаж'!H1168</f>
        <v>0.4</v>
      </c>
      <c r="M119" s="384">
        <f t="shared" si="12"/>
        <v>4.8000000000000007</v>
      </c>
      <c r="N119" s="384">
        <f t="shared" si="13"/>
        <v>58.33</v>
      </c>
      <c r="O119" s="383">
        <f t="shared" si="9"/>
        <v>11.67</v>
      </c>
      <c r="P119" s="384">
        <f t="shared" si="10"/>
        <v>70</v>
      </c>
      <c r="Q119" s="384">
        <f>'3.Масаж'!F1131</f>
        <v>69.999999999999986</v>
      </c>
      <c r="R119" s="384">
        <f t="shared" si="11"/>
        <v>0</v>
      </c>
      <c r="S119" s="378"/>
      <c r="T119" s="378"/>
      <c r="U119" s="378"/>
      <c r="V119" s="378"/>
      <c r="W119" s="378"/>
      <c r="X119" s="380"/>
      <c r="Y119" s="380"/>
      <c r="Z119" s="768" t="str">
        <f>'3.Масаж'!M26</f>
        <v>Загальний масаж у дітей грудного і ясельного віку</v>
      </c>
      <c r="AA119" s="755"/>
      <c r="AB119" s="755"/>
      <c r="AC119" s="748"/>
      <c r="AD119" s="748"/>
      <c r="AE119" s="748"/>
      <c r="AF119" s="748"/>
      <c r="AG119" s="748"/>
      <c r="AH119" s="748"/>
      <c r="AI119" s="748"/>
      <c r="AJ119" s="748"/>
      <c r="AK119" s="748"/>
      <c r="AL119" s="748"/>
      <c r="AM119" s="748"/>
      <c r="AN119" s="748"/>
      <c r="AO119" s="375"/>
      <c r="AP119" s="375"/>
      <c r="AQ119" s="375"/>
      <c r="AR119" s="375"/>
      <c r="AS119" s="375"/>
      <c r="AT119" s="375"/>
      <c r="AU119" s="375"/>
      <c r="AV119" s="375"/>
      <c r="AW119" s="375"/>
      <c r="AX119" s="375"/>
      <c r="AY119" s="375"/>
      <c r="AZ119" s="375"/>
      <c r="BA119" s="375"/>
      <c r="BB119" s="375"/>
      <c r="BC119" s="375"/>
      <c r="BD119" s="375"/>
      <c r="BE119" s="375"/>
      <c r="BF119" s="375"/>
      <c r="BG119" s="375"/>
      <c r="BH119" s="375"/>
      <c r="BI119" s="375"/>
      <c r="BJ119" s="375"/>
      <c r="BK119" s="375"/>
      <c r="BL119" s="375"/>
      <c r="BM119" s="375"/>
      <c r="BN119" s="375"/>
      <c r="BO119" s="375"/>
    </row>
    <row r="120" spans="1:67" s="6" customFormat="1" x14ac:dyDescent="0.45">
      <c r="A120" s="517"/>
      <c r="B120" s="381" t="s">
        <v>837</v>
      </c>
      <c r="C120" s="385" t="s">
        <v>838</v>
      </c>
      <c r="D120" s="383">
        <f>'3.Масаж'!F1188</f>
        <v>22.2</v>
      </c>
      <c r="E120" s="383">
        <f>'3.Масаж'!F1191</f>
        <v>4.88</v>
      </c>
      <c r="F120" s="383">
        <f>'3.Масаж'!G1203</f>
        <v>18.72</v>
      </c>
      <c r="G120" s="383">
        <f>'3.Масаж'!H1208</f>
        <v>0.6</v>
      </c>
      <c r="H120" s="384">
        <f t="shared" si="8"/>
        <v>46.4</v>
      </c>
      <c r="I120" s="383">
        <f>'3.Масаж'!H1214</f>
        <v>3.3</v>
      </c>
      <c r="J120" s="383">
        <f>'3.Масаж'!H1215</f>
        <v>0</v>
      </c>
      <c r="K120" s="383">
        <f>'3.Масаж'!H1216</f>
        <v>0</v>
      </c>
      <c r="L120" s="383">
        <f>'3.Масаж'!H1217</f>
        <v>0.3</v>
      </c>
      <c r="M120" s="384">
        <f t="shared" si="12"/>
        <v>3.5999999999999996</v>
      </c>
      <c r="N120" s="384">
        <f t="shared" si="13"/>
        <v>50</v>
      </c>
      <c r="O120" s="383">
        <f t="shared" si="9"/>
        <v>10</v>
      </c>
      <c r="P120" s="384">
        <f t="shared" si="10"/>
        <v>60</v>
      </c>
      <c r="Q120" s="384">
        <f>'3.Масаж'!F1180</f>
        <v>60</v>
      </c>
      <c r="R120" s="384">
        <f t="shared" si="11"/>
        <v>0</v>
      </c>
      <c r="S120" s="378"/>
      <c r="T120" s="378"/>
      <c r="U120" s="378"/>
      <c r="V120" s="378"/>
      <c r="W120" s="378"/>
      <c r="X120" s="380"/>
      <c r="Y120" s="380"/>
      <c r="Z120" s="768" t="str">
        <f>'3.Масаж'!M27</f>
        <v>Сегментарний масаж шийно-грудного відділу хребта</v>
      </c>
      <c r="AA120" s="755"/>
      <c r="AB120" s="755"/>
      <c r="AC120" s="748"/>
      <c r="AD120" s="748"/>
      <c r="AE120" s="748"/>
      <c r="AF120" s="748"/>
      <c r="AG120" s="748"/>
      <c r="AH120" s="748"/>
      <c r="AI120" s="748"/>
      <c r="AJ120" s="748"/>
      <c r="AK120" s="748"/>
      <c r="AL120" s="748"/>
      <c r="AM120" s="748"/>
      <c r="AN120" s="748"/>
      <c r="AO120" s="375"/>
      <c r="AP120" s="375"/>
      <c r="AQ120" s="375"/>
      <c r="AR120" s="375"/>
      <c r="AS120" s="375"/>
      <c r="AT120" s="375"/>
      <c r="AU120" s="375"/>
      <c r="AV120" s="375"/>
      <c r="AW120" s="375"/>
      <c r="AX120" s="375"/>
      <c r="AY120" s="375"/>
      <c r="AZ120" s="375"/>
      <c r="BA120" s="375"/>
      <c r="BB120" s="375"/>
      <c r="BC120" s="375"/>
      <c r="BD120" s="375"/>
      <c r="BE120" s="375"/>
      <c r="BF120" s="375"/>
      <c r="BG120" s="375"/>
      <c r="BH120" s="375"/>
      <c r="BI120" s="375"/>
      <c r="BJ120" s="375"/>
      <c r="BK120" s="375"/>
      <c r="BL120" s="375"/>
      <c r="BM120" s="375"/>
      <c r="BN120" s="375"/>
      <c r="BO120" s="375"/>
    </row>
    <row r="121" spans="1:67" s="6" customFormat="1" x14ac:dyDescent="0.45">
      <c r="A121" s="517"/>
      <c r="B121" s="381" t="s">
        <v>839</v>
      </c>
      <c r="C121" s="385" t="s">
        <v>840</v>
      </c>
      <c r="D121" s="383">
        <f>'3.Масаж'!F1237</f>
        <v>14.8</v>
      </c>
      <c r="E121" s="383">
        <f>'3.Масаж'!F1240</f>
        <v>3.26</v>
      </c>
      <c r="F121" s="383">
        <f>'3.Масаж'!F1242</f>
        <v>16.84</v>
      </c>
      <c r="G121" s="383">
        <f>'3.Масаж'!H1257</f>
        <v>0.2</v>
      </c>
      <c r="H121" s="384">
        <f t="shared" si="8"/>
        <v>35.100000000000009</v>
      </c>
      <c r="I121" s="383">
        <f>'3.Масаж'!H1263</f>
        <v>2.2000000000000002</v>
      </c>
      <c r="J121" s="383">
        <f>'3.Масаж'!H1264</f>
        <v>0</v>
      </c>
      <c r="K121" s="383">
        <f>'3.Масаж'!H1265</f>
        <v>0</v>
      </c>
      <c r="L121" s="383">
        <f>'3.Масаж'!H1266</f>
        <v>0.2</v>
      </c>
      <c r="M121" s="384">
        <f t="shared" si="12"/>
        <v>2.4000000000000004</v>
      </c>
      <c r="N121" s="384">
        <f t="shared" si="13"/>
        <v>37.500000000000007</v>
      </c>
      <c r="O121" s="383">
        <f t="shared" si="9"/>
        <v>7.5</v>
      </c>
      <c r="P121" s="384">
        <f t="shared" si="10"/>
        <v>45.000000000000007</v>
      </c>
      <c r="Q121" s="384">
        <f>'3.Масаж'!F1229</f>
        <v>45.000000000000007</v>
      </c>
      <c r="R121" s="384">
        <f t="shared" si="11"/>
        <v>0</v>
      </c>
      <c r="S121" s="378"/>
      <c r="T121" s="378"/>
      <c r="U121" s="378"/>
      <c r="V121" s="378"/>
      <c r="W121" s="378"/>
      <c r="X121" s="380"/>
      <c r="Y121" s="380"/>
      <c r="Z121" s="768" t="str">
        <f>'3.Масаж'!M28</f>
        <v>Масаж нижньої кінцівки</v>
      </c>
      <c r="AA121" s="755"/>
      <c r="AB121" s="755"/>
      <c r="AC121" s="748"/>
      <c r="AD121" s="748"/>
      <c r="AE121" s="748"/>
      <c r="AF121" s="748"/>
      <c r="AG121" s="748"/>
      <c r="AH121" s="748"/>
      <c r="AI121" s="748"/>
      <c r="AJ121" s="748"/>
      <c r="AK121" s="748"/>
      <c r="AL121" s="748"/>
      <c r="AM121" s="748"/>
      <c r="AN121" s="748"/>
      <c r="AO121" s="375"/>
      <c r="AP121" s="375"/>
      <c r="AQ121" s="375"/>
      <c r="AR121" s="375"/>
      <c r="AS121" s="375"/>
      <c r="AT121" s="375"/>
      <c r="AU121" s="375"/>
      <c r="AV121" s="375"/>
      <c r="AW121" s="375"/>
      <c r="AX121" s="375"/>
      <c r="AY121" s="375"/>
      <c r="AZ121" s="375"/>
      <c r="BA121" s="375"/>
      <c r="BB121" s="375"/>
      <c r="BC121" s="375"/>
      <c r="BD121" s="375"/>
      <c r="BE121" s="375"/>
      <c r="BF121" s="375"/>
      <c r="BG121" s="375"/>
      <c r="BH121" s="375"/>
      <c r="BI121" s="375"/>
      <c r="BJ121" s="375"/>
      <c r="BK121" s="375"/>
      <c r="BL121" s="375"/>
      <c r="BM121" s="375"/>
      <c r="BN121" s="375"/>
      <c r="BO121" s="375"/>
    </row>
    <row r="122" spans="1:67" s="6" customFormat="1" x14ac:dyDescent="0.45">
      <c r="A122" s="517"/>
      <c r="B122" s="381" t="s">
        <v>841</v>
      </c>
      <c r="C122" s="385" t="s">
        <v>842</v>
      </c>
      <c r="D122" s="383">
        <f>'3.Масаж'!F1286</f>
        <v>22.2</v>
      </c>
      <c r="E122" s="383">
        <f>'3.Масаж'!F1289</f>
        <v>4.88</v>
      </c>
      <c r="F122" s="383">
        <f>'3.Масаж'!G1301</f>
        <v>18.72</v>
      </c>
      <c r="G122" s="383">
        <f>'3.Масаж'!H1306</f>
        <v>0.6</v>
      </c>
      <c r="H122" s="384">
        <f t="shared" si="8"/>
        <v>46.4</v>
      </c>
      <c r="I122" s="383">
        <f>'3.Масаж'!H1312</f>
        <v>3.3</v>
      </c>
      <c r="J122" s="383">
        <f>'3.Масаж'!H1313</f>
        <v>0</v>
      </c>
      <c r="K122" s="383">
        <f>'3.Масаж'!H1314</f>
        <v>0</v>
      </c>
      <c r="L122" s="383">
        <f>'3.Масаж'!H1315</f>
        <v>0.3</v>
      </c>
      <c r="M122" s="384">
        <f t="shared" si="12"/>
        <v>3.5999999999999996</v>
      </c>
      <c r="N122" s="384">
        <f t="shared" si="13"/>
        <v>50</v>
      </c>
      <c r="O122" s="383">
        <f t="shared" si="9"/>
        <v>10</v>
      </c>
      <c r="P122" s="384">
        <f t="shared" si="10"/>
        <v>60</v>
      </c>
      <c r="Q122" s="384">
        <f>'3.Масаж'!F1278</f>
        <v>60</v>
      </c>
      <c r="R122" s="384">
        <f t="shared" si="11"/>
        <v>0</v>
      </c>
      <c r="S122" s="378"/>
      <c r="T122" s="378"/>
      <c r="U122" s="378"/>
      <c r="V122" s="378"/>
      <c r="W122" s="378"/>
      <c r="X122" s="380"/>
      <c r="Y122" s="380"/>
      <c r="Z122" s="768" t="str">
        <f>'3.Масаж'!M29</f>
        <v>Масаж грудної клітки (біля ліжка хворого)</v>
      </c>
      <c r="AA122" s="755"/>
      <c r="AB122" s="755"/>
      <c r="AC122" s="748"/>
      <c r="AD122" s="748"/>
      <c r="AE122" s="748"/>
      <c r="AF122" s="748"/>
      <c r="AG122" s="748"/>
      <c r="AH122" s="748"/>
      <c r="AI122" s="748"/>
      <c r="AJ122" s="748"/>
      <c r="AK122" s="748"/>
      <c r="AL122" s="748"/>
      <c r="AM122" s="748"/>
      <c r="AN122" s="748"/>
      <c r="AO122" s="375"/>
      <c r="AP122" s="375"/>
      <c r="AQ122" s="375"/>
      <c r="AR122" s="375"/>
      <c r="AS122" s="375"/>
      <c r="AT122" s="375"/>
      <c r="AU122" s="375"/>
      <c r="AV122" s="375"/>
      <c r="AW122" s="375"/>
      <c r="AX122" s="375"/>
      <c r="AY122" s="375"/>
      <c r="AZ122" s="375"/>
      <c r="BA122" s="375"/>
      <c r="BB122" s="375"/>
      <c r="BC122" s="375"/>
      <c r="BD122" s="375"/>
      <c r="BE122" s="375"/>
      <c r="BF122" s="375"/>
      <c r="BG122" s="375"/>
      <c r="BH122" s="375"/>
      <c r="BI122" s="375"/>
      <c r="BJ122" s="375"/>
      <c r="BK122" s="375"/>
      <c r="BL122" s="375"/>
      <c r="BM122" s="375"/>
      <c r="BN122" s="375"/>
      <c r="BO122" s="375"/>
    </row>
    <row r="123" spans="1:67" s="6" customFormat="1" x14ac:dyDescent="0.45">
      <c r="A123" s="517"/>
      <c r="B123" s="588"/>
      <c r="C123" s="385"/>
      <c r="D123" s="378"/>
      <c r="E123" s="378"/>
      <c r="F123" s="378"/>
      <c r="G123" s="378"/>
      <c r="H123" s="380"/>
      <c r="I123" s="378"/>
      <c r="J123" s="378"/>
      <c r="K123" s="378"/>
      <c r="L123" s="378"/>
      <c r="M123" s="380"/>
      <c r="N123" s="380"/>
      <c r="O123" s="378"/>
      <c r="P123" s="380"/>
      <c r="Q123" s="380"/>
      <c r="R123" s="380"/>
      <c r="S123" s="378"/>
      <c r="T123" s="378"/>
      <c r="U123" s="378"/>
      <c r="V123" s="378"/>
      <c r="W123" s="378"/>
      <c r="X123" s="380"/>
      <c r="Y123" s="380"/>
      <c r="Z123" s="769"/>
      <c r="AA123" s="755"/>
      <c r="AB123" s="755"/>
      <c r="AC123" s="748"/>
      <c r="AD123" s="748"/>
      <c r="AE123" s="748"/>
      <c r="AF123" s="748"/>
      <c r="AG123" s="748"/>
      <c r="AH123" s="748"/>
      <c r="AI123" s="748"/>
      <c r="AJ123" s="748"/>
      <c r="AK123" s="748"/>
      <c r="AL123" s="748"/>
      <c r="AM123" s="748"/>
      <c r="AN123" s="748"/>
      <c r="AO123" s="375"/>
      <c r="AP123" s="375"/>
      <c r="AQ123" s="375"/>
      <c r="AR123" s="375"/>
      <c r="AS123" s="375"/>
      <c r="AT123" s="375"/>
      <c r="AU123" s="375"/>
      <c r="AV123" s="375"/>
      <c r="AW123" s="375"/>
      <c r="AX123" s="375"/>
      <c r="AY123" s="375"/>
      <c r="AZ123" s="375"/>
      <c r="BA123" s="375"/>
      <c r="BB123" s="375"/>
      <c r="BC123" s="375"/>
      <c r="BD123" s="375"/>
      <c r="BE123" s="375"/>
      <c r="BF123" s="375"/>
      <c r="BG123" s="375"/>
      <c r="BH123" s="375"/>
      <c r="BI123" s="375"/>
      <c r="BJ123" s="375"/>
      <c r="BK123" s="375"/>
      <c r="BL123" s="375"/>
      <c r="BM123" s="375"/>
      <c r="BN123" s="375"/>
      <c r="BO123" s="375"/>
    </row>
    <row r="124" spans="1:67" s="6" customFormat="1" x14ac:dyDescent="0.45">
      <c r="A124" s="517"/>
      <c r="B124" s="376">
        <v>4</v>
      </c>
      <c r="C124" s="466" t="s">
        <v>161</v>
      </c>
      <c r="D124" s="386" t="s">
        <v>1118</v>
      </c>
      <c r="E124" s="387">
        <v>0.22</v>
      </c>
      <c r="F124" s="386" t="s">
        <v>1119</v>
      </c>
      <c r="G124" s="386" t="s">
        <v>1125</v>
      </c>
      <c r="H124" s="388" t="s">
        <v>1120</v>
      </c>
      <c r="I124" s="386" t="s">
        <v>1121</v>
      </c>
      <c r="J124" s="386" t="s">
        <v>1122</v>
      </c>
      <c r="K124" s="386" t="s">
        <v>1126</v>
      </c>
      <c r="L124" s="386" t="s">
        <v>1123</v>
      </c>
      <c r="M124" s="388" t="s">
        <v>1127</v>
      </c>
      <c r="N124" s="388" t="s">
        <v>988</v>
      </c>
      <c r="O124" s="386"/>
      <c r="P124" s="388" t="s">
        <v>998</v>
      </c>
      <c r="Q124" s="388"/>
      <c r="R124" s="388"/>
      <c r="S124" s="388"/>
      <c r="T124" s="388"/>
      <c r="U124" s="388"/>
      <c r="V124" s="388"/>
      <c r="W124" s="388"/>
      <c r="X124" s="388"/>
      <c r="Y124" s="388"/>
      <c r="Z124" s="762"/>
      <c r="AA124" s="755"/>
      <c r="AB124" s="755"/>
      <c r="AC124" s="748"/>
      <c r="AD124" s="748"/>
      <c r="AE124" s="748"/>
      <c r="AF124" s="748"/>
      <c r="AG124" s="748"/>
      <c r="AH124" s="748"/>
      <c r="AI124" s="748"/>
      <c r="AJ124" s="748"/>
      <c r="AK124" s="748"/>
      <c r="AL124" s="748"/>
      <c r="AM124" s="748"/>
      <c r="AN124" s="748"/>
      <c r="AO124" s="375"/>
      <c r="AP124" s="375"/>
      <c r="AQ124" s="375"/>
      <c r="AR124" s="375"/>
      <c r="AS124" s="375"/>
      <c r="AT124" s="375"/>
      <c r="AU124" s="375"/>
      <c r="AV124" s="375"/>
      <c r="AW124" s="375"/>
      <c r="AX124" s="375"/>
      <c r="AY124" s="375"/>
      <c r="AZ124" s="375"/>
      <c r="BA124" s="375"/>
      <c r="BB124" s="375"/>
      <c r="BC124" s="375"/>
      <c r="BD124" s="375"/>
      <c r="BE124" s="375"/>
      <c r="BF124" s="375"/>
      <c r="BG124" s="375"/>
      <c r="BH124" s="375"/>
      <c r="BI124" s="375"/>
      <c r="BJ124" s="375"/>
      <c r="BK124" s="375"/>
      <c r="BL124" s="375"/>
      <c r="BM124" s="375"/>
      <c r="BN124" s="375"/>
      <c r="BO124" s="375"/>
    </row>
    <row r="125" spans="1:67" s="6" customFormat="1" x14ac:dyDescent="0.45">
      <c r="A125" s="517"/>
      <c r="B125" s="381"/>
      <c r="C125" s="385"/>
      <c r="D125" s="383"/>
      <c r="E125" s="383"/>
      <c r="F125" s="383"/>
      <c r="G125" s="383"/>
      <c r="H125" s="384"/>
      <c r="I125" s="383"/>
      <c r="J125" s="383"/>
      <c r="K125" s="383"/>
      <c r="L125" s="383"/>
      <c r="M125" s="384"/>
      <c r="N125" s="384"/>
      <c r="O125" s="383"/>
      <c r="P125" s="384"/>
      <c r="Q125" s="384"/>
      <c r="R125" s="384"/>
      <c r="S125" s="384"/>
      <c r="T125" s="384"/>
      <c r="U125" s="384"/>
      <c r="V125" s="384"/>
      <c r="W125" s="384"/>
      <c r="X125" s="384"/>
      <c r="Y125" s="384"/>
      <c r="Z125" s="763"/>
      <c r="AA125" s="755"/>
      <c r="AB125" s="755"/>
      <c r="AC125" s="748"/>
      <c r="AD125" s="748"/>
      <c r="AE125" s="748"/>
      <c r="AF125" s="748"/>
      <c r="AG125" s="748"/>
      <c r="AH125" s="748"/>
      <c r="AI125" s="748"/>
      <c r="AJ125" s="748"/>
      <c r="AK125" s="748"/>
      <c r="AL125" s="748"/>
      <c r="AM125" s="748"/>
      <c r="AN125" s="748"/>
      <c r="AO125" s="375"/>
      <c r="AP125" s="375"/>
      <c r="AQ125" s="375"/>
      <c r="AR125" s="375"/>
      <c r="AS125" s="375"/>
      <c r="AT125" s="375"/>
      <c r="AU125" s="375"/>
      <c r="AV125" s="375"/>
      <c r="AW125" s="375"/>
      <c r="AX125" s="375"/>
      <c r="AY125" s="375"/>
      <c r="AZ125" s="375"/>
      <c r="BA125" s="375"/>
      <c r="BB125" s="375"/>
      <c r="BC125" s="375"/>
      <c r="BD125" s="375"/>
      <c r="BE125" s="375"/>
      <c r="BF125" s="375"/>
      <c r="BG125" s="375"/>
      <c r="BH125" s="375"/>
      <c r="BI125" s="375"/>
      <c r="BJ125" s="375"/>
      <c r="BK125" s="375"/>
      <c r="BL125" s="375"/>
      <c r="BM125" s="375"/>
      <c r="BN125" s="375"/>
      <c r="BO125" s="375"/>
    </row>
    <row r="126" spans="1:67" s="6" customFormat="1" x14ac:dyDescent="0.45">
      <c r="A126" s="517"/>
      <c r="B126" s="381" t="s">
        <v>925</v>
      </c>
      <c r="C126" s="385" t="s">
        <v>549</v>
      </c>
      <c r="D126" s="383">
        <f>'4.УЗД'!F12+'4.УЗД'!F13</f>
        <v>32.799999999999997</v>
      </c>
      <c r="E126" s="383">
        <f>'4.УЗД'!F15</f>
        <v>7.22</v>
      </c>
      <c r="F126" s="383">
        <f>'4.УЗД'!G29</f>
        <v>12.45</v>
      </c>
      <c r="G126" s="383">
        <f>'4.УЗД'!H34</f>
        <v>27.4</v>
      </c>
      <c r="H126" s="384">
        <f t="shared" ref="H126:H166" si="14">SUM(D126:G126)</f>
        <v>79.87</v>
      </c>
      <c r="I126" s="383">
        <f>'4.УЗД'!H40+'4.УЗД'!H45</f>
        <v>4.5999999999999996</v>
      </c>
      <c r="J126" s="383">
        <f>'4.УЗД'!H41+'4.УЗД'!H46</f>
        <v>0</v>
      </c>
      <c r="K126" s="383">
        <f>'4.УЗД'!H42+'4.УЗД'!H47</f>
        <v>0</v>
      </c>
      <c r="L126" s="383">
        <f>'4.УЗД'!H43+'4.УЗД'!H48</f>
        <v>0.60000000000000009</v>
      </c>
      <c r="M126" s="384">
        <f t="shared" ref="M126:M166" si="15">SUM(I126:L126)</f>
        <v>5.1999999999999993</v>
      </c>
      <c r="N126" s="384">
        <f t="shared" ref="N126:N166" si="16">H126+M126</f>
        <v>85.070000000000007</v>
      </c>
      <c r="O126" s="383"/>
      <c r="P126" s="384">
        <f>ROUND(N126,0)</f>
        <v>85</v>
      </c>
      <c r="Q126" s="384">
        <f>'4.УЗД'!F3</f>
        <v>85</v>
      </c>
      <c r="R126" s="384">
        <f t="shared" ref="R126:R166" si="17">P126-Q126</f>
        <v>0</v>
      </c>
      <c r="S126" s="384"/>
      <c r="T126" s="384"/>
      <c r="U126" s="384"/>
      <c r="V126" s="384"/>
      <c r="W126" s="384"/>
      <c r="X126" s="384"/>
      <c r="Y126" s="384"/>
      <c r="Z126" s="763" t="str">
        <f>'4.УЗД'!M3</f>
        <v>Ультразвукове дослідження щитоподібної залози</v>
      </c>
      <c r="AA126" s="755"/>
      <c r="AB126" s="755"/>
      <c r="AC126" s="748"/>
      <c r="AD126" s="748"/>
      <c r="AE126" s="748"/>
      <c r="AF126" s="748"/>
      <c r="AG126" s="748"/>
      <c r="AH126" s="748"/>
      <c r="AI126" s="748"/>
      <c r="AJ126" s="748"/>
      <c r="AK126" s="748"/>
      <c r="AL126" s="748"/>
      <c r="AM126" s="748"/>
      <c r="AN126" s="748"/>
      <c r="AO126" s="375"/>
      <c r="AP126" s="375"/>
      <c r="AQ126" s="375"/>
      <c r="AR126" s="375"/>
      <c r="AS126" s="375"/>
      <c r="AT126" s="375"/>
      <c r="AU126" s="375"/>
      <c r="AV126" s="375"/>
      <c r="AW126" s="375"/>
      <c r="AX126" s="375"/>
      <c r="AY126" s="375"/>
      <c r="AZ126" s="375"/>
      <c r="BA126" s="375"/>
      <c r="BB126" s="375"/>
      <c r="BC126" s="375"/>
      <c r="BD126" s="375"/>
      <c r="BE126" s="375"/>
      <c r="BF126" s="375"/>
      <c r="BG126" s="375"/>
      <c r="BH126" s="375"/>
      <c r="BI126" s="375"/>
      <c r="BJ126" s="375"/>
      <c r="BK126" s="375"/>
      <c r="BL126" s="375"/>
      <c r="BM126" s="375"/>
      <c r="BN126" s="375"/>
      <c r="BO126" s="375"/>
    </row>
    <row r="127" spans="1:67" s="6" customFormat="1" x14ac:dyDescent="0.45">
      <c r="A127" s="517"/>
      <c r="B127" s="381" t="s">
        <v>544</v>
      </c>
      <c r="C127" s="385" t="s">
        <v>551</v>
      </c>
      <c r="D127" s="383">
        <f>'4.УЗД'!F67+'4.УЗД'!F68</f>
        <v>32.799999999999997</v>
      </c>
      <c r="E127" s="383">
        <f>'4.УЗД'!F70</f>
        <v>7.22</v>
      </c>
      <c r="F127" s="383">
        <f>'4.УЗД'!G84</f>
        <v>12.45</v>
      </c>
      <c r="G127" s="383">
        <f>'4.УЗД'!H89</f>
        <v>27.4</v>
      </c>
      <c r="H127" s="384">
        <f t="shared" si="14"/>
        <v>79.87</v>
      </c>
      <c r="I127" s="383">
        <f>'4.УЗД'!H95+'4.УЗД'!H100</f>
        <v>4.5999999999999996</v>
      </c>
      <c r="J127" s="383">
        <f>'4.УЗД'!H96+'4.УЗД'!H101</f>
        <v>0</v>
      </c>
      <c r="K127" s="383">
        <f>'4.УЗД'!H97+'4.УЗД'!H102</f>
        <v>0</v>
      </c>
      <c r="L127" s="383">
        <f>'4.УЗД'!H98+'4.УЗД'!H103</f>
        <v>0.60000000000000009</v>
      </c>
      <c r="M127" s="384">
        <f t="shared" si="15"/>
        <v>5.1999999999999993</v>
      </c>
      <c r="N127" s="384">
        <f t="shared" si="16"/>
        <v>85.070000000000007</v>
      </c>
      <c r="O127" s="383"/>
      <c r="P127" s="384">
        <f t="shared" ref="P127:P166" si="18">ROUND(N127,0)</f>
        <v>85</v>
      </c>
      <c r="Q127" s="384">
        <f>'4.УЗД'!F58</f>
        <v>85</v>
      </c>
      <c r="R127" s="384">
        <f t="shared" si="17"/>
        <v>0</v>
      </c>
      <c r="S127" s="384"/>
      <c r="T127" s="384"/>
      <c r="U127" s="384"/>
      <c r="V127" s="384"/>
      <c r="W127" s="384"/>
      <c r="X127" s="384"/>
      <c r="Y127" s="384"/>
      <c r="Z127" s="763" t="str">
        <f>'4.УЗД'!M4</f>
        <v>Ультразвукове дослідження надниркових залоз</v>
      </c>
      <c r="AA127" s="755"/>
      <c r="AB127" s="755"/>
      <c r="AC127" s="748"/>
      <c r="AD127" s="748"/>
      <c r="AE127" s="748"/>
      <c r="AF127" s="748"/>
      <c r="AG127" s="748"/>
      <c r="AH127" s="748"/>
      <c r="AI127" s="748"/>
      <c r="AJ127" s="748"/>
      <c r="AK127" s="748"/>
      <c r="AL127" s="748"/>
      <c r="AM127" s="748"/>
      <c r="AN127" s="748"/>
      <c r="AO127" s="375"/>
      <c r="AP127" s="375"/>
      <c r="AQ127" s="375"/>
      <c r="AR127" s="375"/>
      <c r="AS127" s="375"/>
      <c r="AT127" s="375"/>
      <c r="AU127" s="375"/>
      <c r="AV127" s="375"/>
      <c r="AW127" s="375"/>
      <c r="AX127" s="375"/>
      <c r="AY127" s="375"/>
      <c r="AZ127" s="375"/>
      <c r="BA127" s="375"/>
      <c r="BB127" s="375"/>
      <c r="BC127" s="375"/>
      <c r="BD127" s="375"/>
      <c r="BE127" s="375"/>
      <c r="BF127" s="375"/>
      <c r="BG127" s="375"/>
      <c r="BH127" s="375"/>
      <c r="BI127" s="375"/>
      <c r="BJ127" s="375"/>
      <c r="BK127" s="375"/>
      <c r="BL127" s="375"/>
      <c r="BM127" s="375"/>
      <c r="BN127" s="375"/>
      <c r="BO127" s="375"/>
    </row>
    <row r="128" spans="1:67" s="6" customFormat="1" x14ac:dyDescent="0.45">
      <c r="A128" s="517"/>
      <c r="B128" s="381" t="s">
        <v>546</v>
      </c>
      <c r="C128" s="385" t="s">
        <v>553</v>
      </c>
      <c r="D128" s="383">
        <f>'4.УЗД'!F122+'4.УЗД'!F123</f>
        <v>49.2</v>
      </c>
      <c r="E128" s="383">
        <f>'4.УЗД'!F125</f>
        <v>10.82</v>
      </c>
      <c r="F128" s="383">
        <f>'4.УЗД'!G139</f>
        <v>12.45</v>
      </c>
      <c r="G128" s="383">
        <f>'4.УЗД'!H144</f>
        <v>41.1</v>
      </c>
      <c r="H128" s="384">
        <f t="shared" si="14"/>
        <v>113.57</v>
      </c>
      <c r="I128" s="383">
        <f>'4.УЗД'!H150+'4.УЗД'!H155</f>
        <v>6.9</v>
      </c>
      <c r="J128" s="383">
        <f>'4.УЗД'!H151+'4.УЗД'!H156</f>
        <v>0</v>
      </c>
      <c r="K128" s="383">
        <f>'4.УЗД'!H152+'4.УЗД'!H157</f>
        <v>0</v>
      </c>
      <c r="L128" s="383">
        <f>'4.УЗД'!H153+'4.УЗД'!H158</f>
        <v>0.89999999999999991</v>
      </c>
      <c r="M128" s="384">
        <f t="shared" si="15"/>
        <v>7.8000000000000007</v>
      </c>
      <c r="N128" s="384">
        <f t="shared" si="16"/>
        <v>121.36999999999999</v>
      </c>
      <c r="O128" s="383"/>
      <c r="P128" s="384">
        <f t="shared" si="18"/>
        <v>121</v>
      </c>
      <c r="Q128" s="384">
        <f>'4.УЗД'!F113</f>
        <v>121</v>
      </c>
      <c r="R128" s="384">
        <f t="shared" si="17"/>
        <v>0</v>
      </c>
      <c r="S128" s="384"/>
      <c r="T128" s="384"/>
      <c r="U128" s="384"/>
      <c r="V128" s="384"/>
      <c r="W128" s="384"/>
      <c r="X128" s="384"/>
      <c r="Y128" s="384"/>
      <c r="Z128" s="763" t="str">
        <f>'4.УЗД'!M5</f>
        <v>Ехокардіографія (з колторовим доплерівським картування)</v>
      </c>
      <c r="AA128" s="755"/>
      <c r="AB128" s="755"/>
      <c r="AC128" s="748"/>
      <c r="AD128" s="748"/>
      <c r="AE128" s="748"/>
      <c r="AF128" s="748"/>
      <c r="AG128" s="748"/>
      <c r="AH128" s="748"/>
      <c r="AI128" s="748"/>
      <c r="AJ128" s="748"/>
      <c r="AK128" s="748"/>
      <c r="AL128" s="748"/>
      <c r="AM128" s="748"/>
      <c r="AN128" s="748"/>
      <c r="AO128" s="375"/>
      <c r="AP128" s="375"/>
      <c r="AQ128" s="375"/>
      <c r="AR128" s="375"/>
      <c r="AS128" s="375"/>
      <c r="AT128" s="375"/>
      <c r="AU128" s="375"/>
      <c r="AV128" s="375"/>
      <c r="AW128" s="375"/>
      <c r="AX128" s="375"/>
      <c r="AY128" s="375"/>
      <c r="AZ128" s="375"/>
      <c r="BA128" s="375"/>
      <c r="BB128" s="375"/>
      <c r="BC128" s="375"/>
      <c r="BD128" s="375"/>
      <c r="BE128" s="375"/>
      <c r="BF128" s="375"/>
      <c r="BG128" s="375"/>
      <c r="BH128" s="375"/>
      <c r="BI128" s="375"/>
      <c r="BJ128" s="375"/>
      <c r="BK128" s="375"/>
      <c r="BL128" s="375"/>
      <c r="BM128" s="375"/>
      <c r="BN128" s="375"/>
      <c r="BO128" s="375"/>
    </row>
    <row r="129" spans="1:67" s="6" customFormat="1" x14ac:dyDescent="0.45">
      <c r="A129" s="517"/>
      <c r="B129" s="381" t="s">
        <v>548</v>
      </c>
      <c r="C129" s="385" t="s">
        <v>555</v>
      </c>
      <c r="D129" s="383">
        <f>'4.УЗД'!F177+'4.УЗД'!F178</f>
        <v>32.799999999999997</v>
      </c>
      <c r="E129" s="383">
        <f>'4.УЗД'!F180</f>
        <v>7.22</v>
      </c>
      <c r="F129" s="383">
        <f>'4.УЗД'!G194</f>
        <v>12.45</v>
      </c>
      <c r="G129" s="383">
        <f>'4.УЗД'!H199</f>
        <v>27.4</v>
      </c>
      <c r="H129" s="384">
        <f t="shared" si="14"/>
        <v>79.87</v>
      </c>
      <c r="I129" s="383">
        <f>'4.УЗД'!H205+'4.УЗД'!H210</f>
        <v>4.5999999999999996</v>
      </c>
      <c r="J129" s="383">
        <f>'4.УЗД'!H206+'4.УЗД'!H211</f>
        <v>0</v>
      </c>
      <c r="K129" s="383">
        <f>'4.УЗД'!H207+'4.УЗД'!H212</f>
        <v>0</v>
      </c>
      <c r="L129" s="383">
        <f>'4.УЗД'!H208+'4.УЗД'!H213</f>
        <v>0.60000000000000009</v>
      </c>
      <c r="M129" s="384">
        <f t="shared" si="15"/>
        <v>5.1999999999999993</v>
      </c>
      <c r="N129" s="384">
        <f t="shared" si="16"/>
        <v>85.070000000000007</v>
      </c>
      <c r="O129" s="383"/>
      <c r="P129" s="384">
        <f t="shared" si="18"/>
        <v>85</v>
      </c>
      <c r="Q129" s="384">
        <f>'4.УЗД'!F168</f>
        <v>85</v>
      </c>
      <c r="R129" s="384">
        <f t="shared" si="17"/>
        <v>0</v>
      </c>
      <c r="S129" s="384"/>
      <c r="T129" s="384"/>
      <c r="U129" s="384"/>
      <c r="V129" s="384"/>
      <c r="W129" s="384"/>
      <c r="X129" s="384"/>
      <c r="Y129" s="384"/>
      <c r="Z129" s="763" t="str">
        <f>'4.УЗД'!M6</f>
        <v>Ультразвукове визначення кількості вільної рідини у плевральних порожнинах</v>
      </c>
      <c r="AA129" s="755"/>
      <c r="AB129" s="755"/>
      <c r="AC129" s="748"/>
      <c r="AD129" s="748"/>
      <c r="AE129" s="748"/>
      <c r="AF129" s="748"/>
      <c r="AG129" s="748"/>
      <c r="AH129" s="748"/>
      <c r="AI129" s="748"/>
      <c r="AJ129" s="748"/>
      <c r="AK129" s="748"/>
      <c r="AL129" s="748"/>
      <c r="AM129" s="748"/>
      <c r="AN129" s="748"/>
      <c r="AO129" s="375"/>
      <c r="AP129" s="375"/>
      <c r="AQ129" s="375"/>
      <c r="AR129" s="375"/>
      <c r="AS129" s="375"/>
      <c r="AT129" s="375"/>
      <c r="AU129" s="375"/>
      <c r="AV129" s="375"/>
      <c r="AW129" s="375"/>
      <c r="AX129" s="375"/>
      <c r="AY129" s="375"/>
      <c r="AZ129" s="375"/>
      <c r="BA129" s="375"/>
      <c r="BB129" s="375"/>
      <c r="BC129" s="375"/>
      <c r="BD129" s="375"/>
      <c r="BE129" s="375"/>
      <c r="BF129" s="375"/>
      <c r="BG129" s="375"/>
      <c r="BH129" s="375"/>
      <c r="BI129" s="375"/>
      <c r="BJ129" s="375"/>
      <c r="BK129" s="375"/>
      <c r="BL129" s="375"/>
      <c r="BM129" s="375"/>
      <c r="BN129" s="375"/>
      <c r="BO129" s="375"/>
    </row>
    <row r="130" spans="1:67" s="6" customFormat="1" x14ac:dyDescent="0.45">
      <c r="A130" s="517"/>
      <c r="B130" s="381" t="s">
        <v>550</v>
      </c>
      <c r="C130" s="385" t="s">
        <v>557</v>
      </c>
      <c r="D130" s="383">
        <f>'4.УЗД'!F232+'4.УЗД'!F233</f>
        <v>32.799999999999997</v>
      </c>
      <c r="E130" s="383">
        <f>'4.УЗД'!F235</f>
        <v>7.22</v>
      </c>
      <c r="F130" s="383">
        <f>'4.УЗД'!G249</f>
        <v>12.45</v>
      </c>
      <c r="G130" s="383">
        <f>'4.УЗД'!H254</f>
        <v>27.4</v>
      </c>
      <c r="H130" s="384">
        <f t="shared" si="14"/>
        <v>79.87</v>
      </c>
      <c r="I130" s="383">
        <f>'4.УЗД'!H260+'4.УЗД'!H265</f>
        <v>4.5999999999999996</v>
      </c>
      <c r="J130" s="383">
        <f>'4.УЗД'!H261+'4.УЗД'!H266</f>
        <v>0</v>
      </c>
      <c r="K130" s="383">
        <f>'4.УЗД'!H262+'4.УЗД'!H267</f>
        <v>0</v>
      </c>
      <c r="L130" s="383">
        <f>'4.УЗД'!H263+'4.УЗД'!H268</f>
        <v>0.60000000000000009</v>
      </c>
      <c r="M130" s="384">
        <f t="shared" si="15"/>
        <v>5.1999999999999993</v>
      </c>
      <c r="N130" s="384">
        <f t="shared" si="16"/>
        <v>85.070000000000007</v>
      </c>
      <c r="O130" s="383"/>
      <c r="P130" s="384">
        <f t="shared" si="18"/>
        <v>85</v>
      </c>
      <c r="Q130" s="384">
        <f>'4.УЗД'!F223</f>
        <v>85</v>
      </c>
      <c r="R130" s="384">
        <f t="shared" si="17"/>
        <v>0</v>
      </c>
      <c r="S130" s="384"/>
      <c r="T130" s="384"/>
      <c r="U130" s="384"/>
      <c r="V130" s="384"/>
      <c r="W130" s="384"/>
      <c r="X130" s="384"/>
      <c r="Y130" s="384"/>
      <c r="Z130" s="763" t="str">
        <f>'4.УЗД'!M7</f>
        <v>Ультразвукове дослідження грудної залози</v>
      </c>
      <c r="AA130" s="755"/>
      <c r="AB130" s="755"/>
      <c r="AC130" s="748"/>
      <c r="AD130" s="748"/>
      <c r="AE130" s="748"/>
      <c r="AF130" s="748"/>
      <c r="AG130" s="748"/>
      <c r="AH130" s="748"/>
      <c r="AI130" s="748"/>
      <c r="AJ130" s="748"/>
      <c r="AK130" s="748"/>
      <c r="AL130" s="748"/>
      <c r="AM130" s="748"/>
      <c r="AN130" s="748"/>
      <c r="AO130" s="375"/>
      <c r="AP130" s="375"/>
      <c r="AQ130" s="375"/>
      <c r="AR130" s="375"/>
      <c r="AS130" s="375"/>
      <c r="AT130" s="375"/>
      <c r="AU130" s="375"/>
      <c r="AV130" s="375"/>
      <c r="AW130" s="375"/>
      <c r="AX130" s="375"/>
      <c r="AY130" s="375"/>
      <c r="AZ130" s="375"/>
      <c r="BA130" s="375"/>
      <c r="BB130" s="375"/>
      <c r="BC130" s="375"/>
      <c r="BD130" s="375"/>
      <c r="BE130" s="375"/>
      <c r="BF130" s="375"/>
      <c r="BG130" s="375"/>
      <c r="BH130" s="375"/>
      <c r="BI130" s="375"/>
      <c r="BJ130" s="375"/>
      <c r="BK130" s="375"/>
      <c r="BL130" s="375"/>
      <c r="BM130" s="375"/>
      <c r="BN130" s="375"/>
      <c r="BO130" s="375"/>
    </row>
    <row r="131" spans="1:67" s="6" customFormat="1" x14ac:dyDescent="0.45">
      <c r="A131" s="517"/>
      <c r="B131" s="381" t="s">
        <v>552</v>
      </c>
      <c r="C131" s="394" t="s">
        <v>559</v>
      </c>
      <c r="D131" s="383">
        <f>'4.УЗД'!F287+'4.УЗД'!F288</f>
        <v>32.799999999999997</v>
      </c>
      <c r="E131" s="383">
        <f>'4.УЗД'!F290</f>
        <v>7.22</v>
      </c>
      <c r="F131" s="383">
        <f>'4.УЗД'!G304</f>
        <v>12.45</v>
      </c>
      <c r="G131" s="383">
        <f>'4.УЗД'!H309</f>
        <v>27.4</v>
      </c>
      <c r="H131" s="384">
        <f t="shared" si="14"/>
        <v>79.87</v>
      </c>
      <c r="I131" s="383">
        <f>'4.УЗД'!H315+'4.УЗД'!H320</f>
        <v>4.5999999999999996</v>
      </c>
      <c r="J131" s="383">
        <f>'4.УЗД'!H316+'4.УЗД'!H321</f>
        <v>0</v>
      </c>
      <c r="K131" s="383">
        <f>'4.УЗД'!H317+'4.УЗД'!H322</f>
        <v>0</v>
      </c>
      <c r="L131" s="383">
        <f>'4.УЗД'!H318+'4.УЗД'!H323</f>
        <v>0.60000000000000009</v>
      </c>
      <c r="M131" s="384">
        <f t="shared" si="15"/>
        <v>5.1999999999999993</v>
      </c>
      <c r="N131" s="384">
        <f t="shared" si="16"/>
        <v>85.070000000000007</v>
      </c>
      <c r="O131" s="383"/>
      <c r="P131" s="384">
        <f t="shared" si="18"/>
        <v>85</v>
      </c>
      <c r="Q131" s="384">
        <f>'4.УЗД'!F278</f>
        <v>85</v>
      </c>
      <c r="R131" s="384">
        <f t="shared" si="17"/>
        <v>0</v>
      </c>
      <c r="S131" s="384"/>
      <c r="T131" s="384"/>
      <c r="U131" s="384"/>
      <c r="V131" s="384"/>
      <c r="W131" s="384"/>
      <c r="X131" s="384"/>
      <c r="Y131" s="384"/>
      <c r="Z131" s="763" t="str">
        <f>'4.УЗД'!M8</f>
        <v>Ультразвукове дослідження шлунку</v>
      </c>
      <c r="AA131" s="755"/>
      <c r="AB131" s="755"/>
      <c r="AC131" s="748"/>
      <c r="AD131" s="748"/>
      <c r="AE131" s="748"/>
      <c r="AF131" s="748"/>
      <c r="AG131" s="748"/>
      <c r="AH131" s="748"/>
      <c r="AI131" s="748"/>
      <c r="AJ131" s="748"/>
      <c r="AK131" s="748"/>
      <c r="AL131" s="748"/>
      <c r="AM131" s="748"/>
      <c r="AN131" s="748"/>
      <c r="AO131" s="375"/>
      <c r="AP131" s="375"/>
      <c r="AQ131" s="375"/>
      <c r="AR131" s="375"/>
      <c r="AS131" s="375"/>
      <c r="AT131" s="375"/>
      <c r="AU131" s="375"/>
      <c r="AV131" s="375"/>
      <c r="AW131" s="375"/>
      <c r="AX131" s="375"/>
      <c r="AY131" s="375"/>
      <c r="AZ131" s="375"/>
      <c r="BA131" s="375"/>
      <c r="BB131" s="375"/>
      <c r="BC131" s="375"/>
      <c r="BD131" s="375"/>
      <c r="BE131" s="375"/>
      <c r="BF131" s="375"/>
      <c r="BG131" s="375"/>
      <c r="BH131" s="375"/>
      <c r="BI131" s="375"/>
      <c r="BJ131" s="375"/>
      <c r="BK131" s="375"/>
      <c r="BL131" s="375"/>
      <c r="BM131" s="375"/>
      <c r="BN131" s="375"/>
      <c r="BO131" s="375"/>
    </row>
    <row r="132" spans="1:67" s="6" customFormat="1" x14ac:dyDescent="0.45">
      <c r="A132" s="517"/>
      <c r="B132" s="381" t="s">
        <v>554</v>
      </c>
      <c r="C132" s="394" t="s">
        <v>561</v>
      </c>
      <c r="D132" s="383">
        <f>'4.УЗД'!F342+'4.УЗД'!F343</f>
        <v>32.799999999999997</v>
      </c>
      <c r="E132" s="383">
        <f>'4.УЗД'!F345</f>
        <v>7.22</v>
      </c>
      <c r="F132" s="383">
        <f>'4.УЗД'!G359</f>
        <v>12.45</v>
      </c>
      <c r="G132" s="383">
        <f>'4.УЗД'!H364</f>
        <v>27.4</v>
      </c>
      <c r="H132" s="384">
        <f t="shared" si="14"/>
        <v>79.87</v>
      </c>
      <c r="I132" s="383">
        <f>'4.УЗД'!H370+'4.УЗД'!H375</f>
        <v>4.5999999999999996</v>
      </c>
      <c r="J132" s="383">
        <f>'4.УЗД'!H371+'4.УЗД'!H376</f>
        <v>0</v>
      </c>
      <c r="K132" s="383">
        <f>'4.УЗД'!H372+'4.УЗД'!H377</f>
        <v>0</v>
      </c>
      <c r="L132" s="383">
        <f>'4.УЗД'!H373+'4.УЗД'!H378</f>
        <v>0.60000000000000009</v>
      </c>
      <c r="M132" s="384">
        <f t="shared" si="15"/>
        <v>5.1999999999999993</v>
      </c>
      <c r="N132" s="384">
        <f t="shared" si="16"/>
        <v>85.070000000000007</v>
      </c>
      <c r="O132" s="383"/>
      <c r="P132" s="384">
        <f t="shared" si="18"/>
        <v>85</v>
      </c>
      <c r="Q132" s="384">
        <f>'4.УЗД'!F333</f>
        <v>85</v>
      </c>
      <c r="R132" s="384">
        <f t="shared" si="17"/>
        <v>0</v>
      </c>
      <c r="S132" s="384"/>
      <c r="T132" s="384"/>
      <c r="U132" s="384"/>
      <c r="V132" s="384"/>
      <c r="W132" s="384"/>
      <c r="X132" s="384"/>
      <c r="Y132" s="384"/>
      <c r="Z132" s="763" t="str">
        <f>'4.УЗД'!M9</f>
        <v>Ультразвукове дослідження товстої кишки</v>
      </c>
      <c r="AA132" s="755"/>
      <c r="AB132" s="755"/>
      <c r="AC132" s="748"/>
      <c r="AD132" s="748"/>
      <c r="AE132" s="748"/>
      <c r="AF132" s="748"/>
      <c r="AG132" s="748"/>
      <c r="AH132" s="748"/>
      <c r="AI132" s="748"/>
      <c r="AJ132" s="748"/>
      <c r="AK132" s="748"/>
      <c r="AL132" s="748"/>
      <c r="AM132" s="748"/>
      <c r="AN132" s="748"/>
      <c r="AO132" s="375"/>
      <c r="AP132" s="375"/>
      <c r="AQ132" s="375"/>
      <c r="AR132" s="375"/>
      <c r="AS132" s="375"/>
      <c r="AT132" s="375"/>
      <c r="AU132" s="375"/>
      <c r="AV132" s="375"/>
      <c r="AW132" s="375"/>
      <c r="AX132" s="375"/>
      <c r="AY132" s="375"/>
      <c r="AZ132" s="375"/>
      <c r="BA132" s="375"/>
      <c r="BB132" s="375"/>
      <c r="BC132" s="375"/>
      <c r="BD132" s="375"/>
      <c r="BE132" s="375"/>
      <c r="BF132" s="375"/>
      <c r="BG132" s="375"/>
      <c r="BH132" s="375"/>
      <c r="BI132" s="375"/>
      <c r="BJ132" s="375"/>
      <c r="BK132" s="375"/>
      <c r="BL132" s="375"/>
      <c r="BM132" s="375"/>
      <c r="BN132" s="375"/>
      <c r="BO132" s="375"/>
    </row>
    <row r="133" spans="1:67" s="6" customFormat="1" x14ac:dyDescent="0.45">
      <c r="A133" s="517"/>
      <c r="B133" s="381" t="s">
        <v>556</v>
      </c>
      <c r="C133" s="385" t="s">
        <v>563</v>
      </c>
      <c r="D133" s="383">
        <f>'4.УЗД'!F397+'4.УЗД'!F398</f>
        <v>24.6</v>
      </c>
      <c r="E133" s="383">
        <f>'4.УЗД'!F400</f>
        <v>5.41</v>
      </c>
      <c r="F133" s="383">
        <f>'4.УЗД'!G414</f>
        <v>12.45</v>
      </c>
      <c r="G133" s="383">
        <f>'4.УЗД'!H419</f>
        <v>20.55</v>
      </c>
      <c r="H133" s="384">
        <f t="shared" si="14"/>
        <v>63.010000000000005</v>
      </c>
      <c r="I133" s="383">
        <f>'4.УЗД'!H425+'4.УЗД'!H430</f>
        <v>3.45</v>
      </c>
      <c r="J133" s="383">
        <f>'4.УЗД'!H426+'4.УЗД'!H431</f>
        <v>0</v>
      </c>
      <c r="K133" s="383">
        <f>'4.УЗД'!H427+'4.УЗД'!H432</f>
        <v>0</v>
      </c>
      <c r="L133" s="383">
        <f>'4.УЗД'!H428+'4.УЗД'!H433</f>
        <v>0.44999999999999996</v>
      </c>
      <c r="M133" s="384">
        <f t="shared" si="15"/>
        <v>3.9000000000000004</v>
      </c>
      <c r="N133" s="384">
        <f t="shared" si="16"/>
        <v>66.910000000000011</v>
      </c>
      <c r="O133" s="383"/>
      <c r="P133" s="384">
        <f t="shared" si="18"/>
        <v>67</v>
      </c>
      <c r="Q133" s="384">
        <f>'4.УЗД'!F388</f>
        <v>67</v>
      </c>
      <c r="R133" s="384">
        <f t="shared" si="17"/>
        <v>0</v>
      </c>
      <c r="S133" s="384"/>
      <c r="T133" s="384"/>
      <c r="U133" s="384"/>
      <c r="V133" s="384"/>
      <c r="W133" s="384"/>
      <c r="X133" s="384"/>
      <c r="Y133" s="384"/>
      <c r="Z133" s="763" t="str">
        <f>'4.УЗД'!M10</f>
        <v>Ультразвукове дослідження печінки</v>
      </c>
      <c r="AA133" s="755"/>
      <c r="AB133" s="755"/>
      <c r="AC133" s="748"/>
      <c r="AD133" s="748"/>
      <c r="AE133" s="748"/>
      <c r="AF133" s="748"/>
      <c r="AG133" s="748"/>
      <c r="AH133" s="748"/>
      <c r="AI133" s="748"/>
      <c r="AJ133" s="748"/>
      <c r="AK133" s="748"/>
      <c r="AL133" s="748"/>
      <c r="AM133" s="748"/>
      <c r="AN133" s="748"/>
      <c r="AO133" s="375"/>
      <c r="AP133" s="375"/>
      <c r="AQ133" s="375"/>
      <c r="AR133" s="375"/>
      <c r="AS133" s="375"/>
      <c r="AT133" s="375"/>
      <c r="AU133" s="375"/>
      <c r="AV133" s="375"/>
      <c r="AW133" s="375"/>
      <c r="AX133" s="375"/>
      <c r="AY133" s="375"/>
      <c r="AZ133" s="375"/>
      <c r="BA133" s="375"/>
      <c r="BB133" s="375"/>
      <c r="BC133" s="375"/>
      <c r="BD133" s="375"/>
      <c r="BE133" s="375"/>
      <c r="BF133" s="375"/>
      <c r="BG133" s="375"/>
      <c r="BH133" s="375"/>
      <c r="BI133" s="375"/>
      <c r="BJ133" s="375"/>
      <c r="BK133" s="375"/>
      <c r="BL133" s="375"/>
      <c r="BM133" s="375"/>
      <c r="BN133" s="375"/>
      <c r="BO133" s="375"/>
    </row>
    <row r="134" spans="1:67" s="6" customFormat="1" x14ac:dyDescent="0.45">
      <c r="A134" s="517"/>
      <c r="B134" s="381" t="s">
        <v>558</v>
      </c>
      <c r="C134" s="385" t="s">
        <v>565</v>
      </c>
      <c r="D134" s="383">
        <f>'4.УЗД'!F452+'4.УЗД'!F453</f>
        <v>24.6</v>
      </c>
      <c r="E134" s="383">
        <f>'4.УЗД'!F455</f>
        <v>5.41</v>
      </c>
      <c r="F134" s="383">
        <f>'4.УЗД'!G469</f>
        <v>12.45</v>
      </c>
      <c r="G134" s="383">
        <f>'4.УЗД'!H474</f>
        <v>20.55</v>
      </c>
      <c r="H134" s="384">
        <f t="shared" si="14"/>
        <v>63.010000000000005</v>
      </c>
      <c r="I134" s="383">
        <f>'4.УЗД'!H480+'4.УЗД'!H485</f>
        <v>3.45</v>
      </c>
      <c r="J134" s="383">
        <f>'4.УЗД'!H481+'4.УЗД'!H486</f>
        <v>0</v>
      </c>
      <c r="K134" s="383">
        <f>'4.УЗД'!H482+'4.УЗД'!H487</f>
        <v>0</v>
      </c>
      <c r="L134" s="383">
        <f>'4.УЗД'!H483+'4.УЗД'!H488</f>
        <v>0.44999999999999996</v>
      </c>
      <c r="M134" s="384">
        <f t="shared" si="15"/>
        <v>3.9000000000000004</v>
      </c>
      <c r="N134" s="384">
        <f t="shared" si="16"/>
        <v>66.910000000000011</v>
      </c>
      <c r="O134" s="383"/>
      <c r="P134" s="384">
        <f t="shared" si="18"/>
        <v>67</v>
      </c>
      <c r="Q134" s="384">
        <f>'4.УЗД'!F443</f>
        <v>67</v>
      </c>
      <c r="R134" s="384">
        <f t="shared" si="17"/>
        <v>0</v>
      </c>
      <c r="S134" s="384"/>
      <c r="T134" s="384"/>
      <c r="U134" s="384"/>
      <c r="V134" s="384"/>
      <c r="W134" s="384"/>
      <c r="X134" s="384"/>
      <c r="Y134" s="384"/>
      <c r="Z134" s="763" t="str">
        <f>'4.УЗД'!M11</f>
        <v>Ультразвукове дослідження жовчного міхура і жовчних проток</v>
      </c>
      <c r="AA134" s="755"/>
      <c r="AB134" s="755"/>
      <c r="AC134" s="748"/>
      <c r="AD134" s="748"/>
      <c r="AE134" s="748"/>
      <c r="AF134" s="748"/>
      <c r="AG134" s="748"/>
      <c r="AH134" s="748"/>
      <c r="AI134" s="748"/>
      <c r="AJ134" s="748"/>
      <c r="AK134" s="748"/>
      <c r="AL134" s="748"/>
      <c r="AM134" s="748"/>
      <c r="AN134" s="748"/>
      <c r="AO134" s="375"/>
      <c r="AP134" s="375"/>
      <c r="AQ134" s="375"/>
      <c r="AR134" s="375"/>
      <c r="AS134" s="375"/>
      <c r="AT134" s="375"/>
      <c r="AU134" s="375"/>
      <c r="AV134" s="375"/>
      <c r="AW134" s="375"/>
      <c r="AX134" s="375"/>
      <c r="AY134" s="375"/>
      <c r="AZ134" s="375"/>
      <c r="BA134" s="375"/>
      <c r="BB134" s="375"/>
      <c r="BC134" s="375"/>
      <c r="BD134" s="375"/>
      <c r="BE134" s="375"/>
      <c r="BF134" s="375"/>
      <c r="BG134" s="375"/>
      <c r="BH134" s="375"/>
      <c r="BI134" s="375"/>
      <c r="BJ134" s="375"/>
      <c r="BK134" s="375"/>
      <c r="BL134" s="375"/>
      <c r="BM134" s="375"/>
      <c r="BN134" s="375"/>
      <c r="BO134" s="375"/>
    </row>
    <row r="135" spans="1:67" s="6" customFormat="1" x14ac:dyDescent="0.45">
      <c r="A135" s="517"/>
      <c r="B135" s="381" t="s">
        <v>560</v>
      </c>
      <c r="C135" s="385" t="s">
        <v>567</v>
      </c>
      <c r="D135" s="383">
        <f>'4.УЗД'!F507+'4.УЗД'!F508</f>
        <v>98.4</v>
      </c>
      <c r="E135" s="383">
        <f>'4.УЗД'!F510</f>
        <v>21.65</v>
      </c>
      <c r="F135" s="383">
        <f>'4.УЗД'!G524</f>
        <v>12.45</v>
      </c>
      <c r="G135" s="383">
        <f>'4.УЗД'!H529</f>
        <v>82.2</v>
      </c>
      <c r="H135" s="384">
        <f t="shared" si="14"/>
        <v>214.7</v>
      </c>
      <c r="I135" s="383">
        <f>'4.УЗД'!H535+'4.УЗД'!H540</f>
        <v>13.8</v>
      </c>
      <c r="J135" s="383">
        <f>'4.УЗД'!H536+'4.УЗД'!H541</f>
        <v>0</v>
      </c>
      <c r="K135" s="383">
        <f>'4.УЗД'!H537+'4.УЗД'!H542</f>
        <v>0</v>
      </c>
      <c r="L135" s="383">
        <f>'4.УЗД'!H538+'4.УЗД'!H543</f>
        <v>1.7999999999999998</v>
      </c>
      <c r="M135" s="384">
        <f t="shared" si="15"/>
        <v>15.600000000000001</v>
      </c>
      <c r="N135" s="384">
        <f t="shared" si="16"/>
        <v>230.29999999999998</v>
      </c>
      <c r="O135" s="383"/>
      <c r="P135" s="384">
        <f t="shared" si="18"/>
        <v>230</v>
      </c>
      <c r="Q135" s="384">
        <f>'4.УЗД'!F498</f>
        <v>230</v>
      </c>
      <c r="R135" s="384">
        <f t="shared" si="17"/>
        <v>0</v>
      </c>
      <c r="S135" s="384"/>
      <c r="T135" s="384"/>
      <c r="U135" s="384"/>
      <c r="V135" s="384"/>
      <c r="W135" s="384"/>
      <c r="X135" s="384"/>
      <c r="Y135" s="384"/>
      <c r="Z135" s="763" t="str">
        <f>'4.УЗД'!M12</f>
        <v>Ультразвукове визначення скорочувальної функції жовчного міхура</v>
      </c>
      <c r="AA135" s="755"/>
      <c r="AB135" s="755"/>
      <c r="AC135" s="748"/>
      <c r="AD135" s="748"/>
      <c r="AE135" s="748"/>
      <c r="AF135" s="748"/>
      <c r="AG135" s="748"/>
      <c r="AH135" s="748"/>
      <c r="AI135" s="748"/>
      <c r="AJ135" s="748"/>
      <c r="AK135" s="748"/>
      <c r="AL135" s="748"/>
      <c r="AM135" s="748"/>
      <c r="AN135" s="748"/>
      <c r="AO135" s="375"/>
      <c r="AP135" s="375"/>
      <c r="AQ135" s="375"/>
      <c r="AR135" s="375"/>
      <c r="AS135" s="375"/>
      <c r="AT135" s="375"/>
      <c r="AU135" s="375"/>
      <c r="AV135" s="375"/>
      <c r="AW135" s="375"/>
      <c r="AX135" s="375"/>
      <c r="AY135" s="375"/>
      <c r="AZ135" s="375"/>
      <c r="BA135" s="375"/>
      <c r="BB135" s="375"/>
      <c r="BC135" s="375"/>
      <c r="BD135" s="375"/>
      <c r="BE135" s="375"/>
      <c r="BF135" s="375"/>
      <c r="BG135" s="375"/>
      <c r="BH135" s="375"/>
      <c r="BI135" s="375"/>
      <c r="BJ135" s="375"/>
      <c r="BK135" s="375"/>
      <c r="BL135" s="375"/>
      <c r="BM135" s="375"/>
      <c r="BN135" s="375"/>
      <c r="BO135" s="375"/>
    </row>
    <row r="136" spans="1:67" s="6" customFormat="1" x14ac:dyDescent="0.45">
      <c r="A136" s="517"/>
      <c r="B136" s="381" t="s">
        <v>562</v>
      </c>
      <c r="C136" s="385" t="s">
        <v>569</v>
      </c>
      <c r="D136" s="383">
        <f>'4.УЗД'!F562+'4.УЗД'!F563</f>
        <v>73.8</v>
      </c>
      <c r="E136" s="383">
        <f>'4.УЗД'!F565</f>
        <v>16.239999999999998</v>
      </c>
      <c r="F136" s="383">
        <f>'4.УЗД'!G579</f>
        <v>12.45</v>
      </c>
      <c r="G136" s="383">
        <f>'4.УЗД'!H584</f>
        <v>61.65</v>
      </c>
      <c r="H136" s="384">
        <f t="shared" si="14"/>
        <v>164.14</v>
      </c>
      <c r="I136" s="383">
        <f>'4.УЗД'!H590+'4.УЗД'!H595</f>
        <v>10.350000000000001</v>
      </c>
      <c r="J136" s="383">
        <f>'4.УЗД'!H591+'4.УЗД'!H596</f>
        <v>0</v>
      </c>
      <c r="K136" s="383">
        <f>'4.УЗД'!H592+'4.УЗД'!H597</f>
        <v>0</v>
      </c>
      <c r="L136" s="383">
        <f>'4.УЗД'!H593+'4.УЗД'!H598</f>
        <v>1.35</v>
      </c>
      <c r="M136" s="384">
        <f t="shared" si="15"/>
        <v>11.700000000000001</v>
      </c>
      <c r="N136" s="384">
        <f t="shared" si="16"/>
        <v>175.83999999999997</v>
      </c>
      <c r="O136" s="383"/>
      <c r="P136" s="384">
        <f t="shared" si="18"/>
        <v>176</v>
      </c>
      <c r="Q136" s="384">
        <f>'4.УЗД'!F553</f>
        <v>176</v>
      </c>
      <c r="R136" s="384">
        <f t="shared" si="17"/>
        <v>0</v>
      </c>
      <c r="S136" s="384"/>
      <c r="T136" s="384"/>
      <c r="U136" s="384"/>
      <c r="V136" s="384"/>
      <c r="W136" s="384"/>
      <c r="X136" s="384"/>
      <c r="Y136" s="384"/>
      <c r="Z136" s="763" t="str">
        <f>'4.УЗД'!M13</f>
        <v>Ультразвукове дослідження черевної порожнини і заочеревинного простору</v>
      </c>
      <c r="AA136" s="755"/>
      <c r="AB136" s="755"/>
      <c r="AC136" s="748"/>
      <c r="AD136" s="748"/>
      <c r="AE136" s="748"/>
      <c r="AF136" s="748"/>
      <c r="AG136" s="748"/>
      <c r="AH136" s="748"/>
      <c r="AI136" s="748"/>
      <c r="AJ136" s="748"/>
      <c r="AK136" s="748"/>
      <c r="AL136" s="748"/>
      <c r="AM136" s="748"/>
      <c r="AN136" s="748"/>
      <c r="AO136" s="375"/>
      <c r="AP136" s="375"/>
      <c r="AQ136" s="375"/>
      <c r="AR136" s="375"/>
      <c r="AS136" s="375"/>
      <c r="AT136" s="375"/>
      <c r="AU136" s="375"/>
      <c r="AV136" s="375"/>
      <c r="AW136" s="375"/>
      <c r="AX136" s="375"/>
      <c r="AY136" s="375"/>
      <c r="AZ136" s="375"/>
      <c r="BA136" s="375"/>
      <c r="BB136" s="375"/>
      <c r="BC136" s="375"/>
      <c r="BD136" s="375"/>
      <c r="BE136" s="375"/>
      <c r="BF136" s="375"/>
      <c r="BG136" s="375"/>
      <c r="BH136" s="375"/>
      <c r="BI136" s="375"/>
      <c r="BJ136" s="375"/>
      <c r="BK136" s="375"/>
      <c r="BL136" s="375"/>
      <c r="BM136" s="375"/>
      <c r="BN136" s="375"/>
      <c r="BO136" s="375"/>
    </row>
    <row r="137" spans="1:67" s="6" customFormat="1" x14ac:dyDescent="0.45">
      <c r="A137" s="517"/>
      <c r="B137" s="381" t="s">
        <v>564</v>
      </c>
      <c r="C137" s="385" t="s">
        <v>571</v>
      </c>
      <c r="D137" s="383">
        <f>'4.УЗД'!F617+'4.УЗД'!F618</f>
        <v>24.6</v>
      </c>
      <c r="E137" s="383">
        <f>'4.УЗД'!F620</f>
        <v>5.41</v>
      </c>
      <c r="F137" s="383">
        <f>'4.УЗД'!G634</f>
        <v>12.45</v>
      </c>
      <c r="G137" s="383">
        <f>'4.УЗД'!H639</f>
        <v>20.55</v>
      </c>
      <c r="H137" s="384">
        <f t="shared" si="14"/>
        <v>63.010000000000005</v>
      </c>
      <c r="I137" s="383">
        <f>'4.УЗД'!H645+'4.УЗД'!H650</f>
        <v>3.45</v>
      </c>
      <c r="J137" s="383">
        <f>'4.УЗД'!H646+'4.УЗД'!H651</f>
        <v>0</v>
      </c>
      <c r="K137" s="383">
        <f>'4.УЗД'!H647+'4.УЗД'!H652</f>
        <v>0</v>
      </c>
      <c r="L137" s="383">
        <f>'4.УЗД'!H648+'4.УЗД'!H653</f>
        <v>0.44999999999999996</v>
      </c>
      <c r="M137" s="384">
        <f t="shared" si="15"/>
        <v>3.9000000000000004</v>
      </c>
      <c r="N137" s="384">
        <f t="shared" si="16"/>
        <v>66.910000000000011</v>
      </c>
      <c r="O137" s="383"/>
      <c r="P137" s="384">
        <f t="shared" si="18"/>
        <v>67</v>
      </c>
      <c r="Q137" s="384">
        <f>'4.УЗД'!F608</f>
        <v>67</v>
      </c>
      <c r="R137" s="384">
        <f t="shared" si="17"/>
        <v>0</v>
      </c>
      <c r="S137" s="384"/>
      <c r="T137" s="384"/>
      <c r="U137" s="384"/>
      <c r="V137" s="384"/>
      <c r="W137" s="384"/>
      <c r="X137" s="384"/>
      <c r="Y137" s="384"/>
      <c r="Z137" s="763" t="str">
        <f>'4.УЗД'!M14</f>
        <v>Ультразвукове визначення кількості вільної рідини у черевній порожнині</v>
      </c>
      <c r="AA137" s="755"/>
      <c r="AB137" s="755"/>
      <c r="AC137" s="748"/>
      <c r="AD137" s="748"/>
      <c r="AE137" s="748"/>
      <c r="AF137" s="748"/>
      <c r="AG137" s="748"/>
      <c r="AH137" s="748"/>
      <c r="AI137" s="748"/>
      <c r="AJ137" s="748"/>
      <c r="AK137" s="748"/>
      <c r="AL137" s="748"/>
      <c r="AM137" s="748"/>
      <c r="AN137" s="748"/>
      <c r="AO137" s="375"/>
      <c r="AP137" s="375"/>
      <c r="AQ137" s="375"/>
      <c r="AR137" s="375"/>
      <c r="AS137" s="375"/>
      <c r="AT137" s="375"/>
      <c r="AU137" s="375"/>
      <c r="AV137" s="375"/>
      <c r="AW137" s="375"/>
      <c r="AX137" s="375"/>
      <c r="AY137" s="375"/>
      <c r="AZ137" s="375"/>
      <c r="BA137" s="375"/>
      <c r="BB137" s="375"/>
      <c r="BC137" s="375"/>
      <c r="BD137" s="375"/>
      <c r="BE137" s="375"/>
      <c r="BF137" s="375"/>
      <c r="BG137" s="375"/>
      <c r="BH137" s="375"/>
      <c r="BI137" s="375"/>
      <c r="BJ137" s="375"/>
      <c r="BK137" s="375"/>
      <c r="BL137" s="375"/>
      <c r="BM137" s="375"/>
      <c r="BN137" s="375"/>
      <c r="BO137" s="375"/>
    </row>
    <row r="138" spans="1:67" s="6" customFormat="1" x14ac:dyDescent="0.45">
      <c r="A138" s="517"/>
      <c r="B138" s="381" t="s">
        <v>566</v>
      </c>
      <c r="C138" s="385" t="s">
        <v>573</v>
      </c>
      <c r="D138" s="383">
        <f>'4.УЗД'!F672+'4.УЗД'!F673</f>
        <v>32.799999999999997</v>
      </c>
      <c r="E138" s="383">
        <f>'4.УЗД'!F675</f>
        <v>7.22</v>
      </c>
      <c r="F138" s="383">
        <f>'4.УЗД'!G689</f>
        <v>12.45</v>
      </c>
      <c r="G138" s="383">
        <f>'4.УЗД'!H694</f>
        <v>27.4</v>
      </c>
      <c r="H138" s="384">
        <f t="shared" si="14"/>
        <v>79.87</v>
      </c>
      <c r="I138" s="383">
        <f>'4.УЗД'!H700+'4.УЗД'!H705</f>
        <v>4.5999999999999996</v>
      </c>
      <c r="J138" s="383">
        <f>'4.УЗД'!H701+'4.УЗД'!H706</f>
        <v>0</v>
      </c>
      <c r="K138" s="383">
        <f>'4.УЗД'!H702+'4.УЗД'!H707</f>
        <v>0</v>
      </c>
      <c r="L138" s="383">
        <f>'4.УЗД'!H703+'4.УЗД'!H708</f>
        <v>0.60000000000000009</v>
      </c>
      <c r="M138" s="384">
        <f t="shared" si="15"/>
        <v>5.1999999999999993</v>
      </c>
      <c r="N138" s="384">
        <f t="shared" si="16"/>
        <v>85.070000000000007</v>
      </c>
      <c r="O138" s="383"/>
      <c r="P138" s="384">
        <f t="shared" si="18"/>
        <v>85</v>
      </c>
      <c r="Q138" s="384">
        <f>'4.УЗД'!F663</f>
        <v>85</v>
      </c>
      <c r="R138" s="384">
        <f t="shared" si="17"/>
        <v>0</v>
      </c>
      <c r="S138" s="384"/>
      <c r="T138" s="384"/>
      <c r="U138" s="384"/>
      <c r="V138" s="384"/>
      <c r="W138" s="384"/>
      <c r="X138" s="384"/>
      <c r="Y138" s="384"/>
      <c r="Z138" s="763" t="str">
        <f>'4.УЗД'!M15</f>
        <v>Ультразвукове дослідження печінки, жовчного міхура і жовчних проток</v>
      </c>
      <c r="AA138" s="755"/>
      <c r="AB138" s="755"/>
      <c r="AC138" s="748"/>
      <c r="AD138" s="748"/>
      <c r="AE138" s="748"/>
      <c r="AF138" s="748"/>
      <c r="AG138" s="748"/>
      <c r="AH138" s="748"/>
      <c r="AI138" s="748"/>
      <c r="AJ138" s="748"/>
      <c r="AK138" s="748"/>
      <c r="AL138" s="748"/>
      <c r="AM138" s="748"/>
      <c r="AN138" s="748"/>
      <c r="AO138" s="375"/>
      <c r="AP138" s="375"/>
      <c r="AQ138" s="375"/>
      <c r="AR138" s="375"/>
      <c r="AS138" s="375"/>
      <c r="AT138" s="375"/>
      <c r="AU138" s="375"/>
      <c r="AV138" s="375"/>
      <c r="AW138" s="375"/>
      <c r="AX138" s="375"/>
      <c r="AY138" s="375"/>
      <c r="AZ138" s="375"/>
      <c r="BA138" s="375"/>
      <c r="BB138" s="375"/>
      <c r="BC138" s="375"/>
      <c r="BD138" s="375"/>
      <c r="BE138" s="375"/>
      <c r="BF138" s="375"/>
      <c r="BG138" s="375"/>
      <c r="BH138" s="375"/>
      <c r="BI138" s="375"/>
      <c r="BJ138" s="375"/>
      <c r="BK138" s="375"/>
      <c r="BL138" s="375"/>
      <c r="BM138" s="375"/>
      <c r="BN138" s="375"/>
      <c r="BO138" s="375"/>
    </row>
    <row r="139" spans="1:67" s="6" customFormat="1" x14ac:dyDescent="0.45">
      <c r="A139" s="517"/>
      <c r="B139" s="381" t="s">
        <v>568</v>
      </c>
      <c r="C139" s="385" t="s">
        <v>575</v>
      </c>
      <c r="D139" s="383">
        <f>'4.УЗД'!F727+'4.УЗД'!F728</f>
        <v>49.2</v>
      </c>
      <c r="E139" s="383">
        <f>'4.УЗД'!F730</f>
        <v>10.82</v>
      </c>
      <c r="F139" s="383">
        <f>'4.УЗД'!G744</f>
        <v>12.45</v>
      </c>
      <c r="G139" s="383">
        <f>'4.УЗД'!H749</f>
        <v>41.1</v>
      </c>
      <c r="H139" s="384">
        <f t="shared" si="14"/>
        <v>113.57</v>
      </c>
      <c r="I139" s="383">
        <f>'4.УЗД'!H755+'4.УЗД'!H760</f>
        <v>6.9</v>
      </c>
      <c r="J139" s="383">
        <f>'4.УЗД'!H756+'4.УЗД'!H761</f>
        <v>0</v>
      </c>
      <c r="K139" s="383">
        <f>'4.УЗД'!H757+'4.УЗД'!H762</f>
        <v>0</v>
      </c>
      <c r="L139" s="383">
        <f>'4.УЗД'!H758+'4.УЗД'!H763</f>
        <v>0.89999999999999991</v>
      </c>
      <c r="M139" s="384">
        <f t="shared" si="15"/>
        <v>7.8000000000000007</v>
      </c>
      <c r="N139" s="384">
        <f t="shared" si="16"/>
        <v>121.36999999999999</v>
      </c>
      <c r="O139" s="383"/>
      <c r="P139" s="384">
        <f t="shared" si="18"/>
        <v>121</v>
      </c>
      <c r="Q139" s="384">
        <f>'4.УЗД'!F718</f>
        <v>121</v>
      </c>
      <c r="R139" s="384">
        <f t="shared" si="17"/>
        <v>0</v>
      </c>
      <c r="S139" s="384"/>
      <c r="T139" s="384"/>
      <c r="U139" s="384"/>
      <c r="V139" s="384"/>
      <c r="W139" s="384"/>
      <c r="X139" s="384"/>
      <c r="Y139" s="384"/>
      <c r="Z139" s="763" t="str">
        <f>'4.УЗД'!M16</f>
        <v>Ультразвукове дослідження печінки, жовчного міхура і підшлункової залози</v>
      </c>
      <c r="AA139" s="755"/>
      <c r="AB139" s="755"/>
      <c r="AC139" s="748"/>
      <c r="AD139" s="748"/>
      <c r="AE139" s="748"/>
      <c r="AF139" s="748"/>
      <c r="AG139" s="748"/>
      <c r="AH139" s="748"/>
      <c r="AI139" s="748"/>
      <c r="AJ139" s="748"/>
      <c r="AK139" s="748"/>
      <c r="AL139" s="748"/>
      <c r="AM139" s="748"/>
      <c r="AN139" s="748"/>
      <c r="AO139" s="375"/>
      <c r="AP139" s="375"/>
      <c r="AQ139" s="375"/>
      <c r="AR139" s="375"/>
      <c r="AS139" s="375"/>
      <c r="AT139" s="375"/>
      <c r="AU139" s="375"/>
      <c r="AV139" s="375"/>
      <c r="AW139" s="375"/>
      <c r="AX139" s="375"/>
      <c r="AY139" s="375"/>
      <c r="AZ139" s="375"/>
      <c r="BA139" s="375"/>
      <c r="BB139" s="375"/>
      <c r="BC139" s="375"/>
      <c r="BD139" s="375"/>
      <c r="BE139" s="375"/>
      <c r="BF139" s="375"/>
      <c r="BG139" s="375"/>
      <c r="BH139" s="375"/>
      <c r="BI139" s="375"/>
      <c r="BJ139" s="375"/>
      <c r="BK139" s="375"/>
      <c r="BL139" s="375"/>
      <c r="BM139" s="375"/>
      <c r="BN139" s="375"/>
      <c r="BO139" s="375"/>
    </row>
    <row r="140" spans="1:67" s="6" customFormat="1" x14ac:dyDescent="0.45">
      <c r="A140" s="517"/>
      <c r="B140" s="381" t="s">
        <v>570</v>
      </c>
      <c r="C140" s="394" t="s">
        <v>577</v>
      </c>
      <c r="D140" s="383">
        <f>'4.УЗД'!F782+'4.УЗД'!F783</f>
        <v>32.799999999999997</v>
      </c>
      <c r="E140" s="383">
        <f>'4.УЗД'!F785</f>
        <v>7.22</v>
      </c>
      <c r="F140" s="383">
        <f>'4.УЗД'!G799</f>
        <v>12.45</v>
      </c>
      <c r="G140" s="383">
        <f>'4.УЗД'!H804</f>
        <v>27.4</v>
      </c>
      <c r="H140" s="384">
        <f t="shared" si="14"/>
        <v>79.87</v>
      </c>
      <c r="I140" s="383">
        <f>'4.УЗД'!H810+'4.УЗД'!H815</f>
        <v>4.5999999999999996</v>
      </c>
      <c r="J140" s="383">
        <f>'4.УЗД'!H811+'4.УЗД'!H816</f>
        <v>0</v>
      </c>
      <c r="K140" s="383">
        <f>'4.УЗД'!H812+'4.УЗД'!H817</f>
        <v>0</v>
      </c>
      <c r="L140" s="383">
        <f>'4.УЗД'!H813+'4.УЗД'!H818</f>
        <v>0.60000000000000009</v>
      </c>
      <c r="M140" s="384">
        <f t="shared" si="15"/>
        <v>5.1999999999999993</v>
      </c>
      <c r="N140" s="384">
        <f t="shared" si="16"/>
        <v>85.070000000000007</v>
      </c>
      <c r="O140" s="383"/>
      <c r="P140" s="384">
        <f t="shared" si="18"/>
        <v>85</v>
      </c>
      <c r="Q140" s="384">
        <f>'4.УЗД'!F773</f>
        <v>85</v>
      </c>
      <c r="R140" s="384">
        <f t="shared" si="17"/>
        <v>0</v>
      </c>
      <c r="S140" s="384"/>
      <c r="T140" s="384"/>
      <c r="U140" s="384"/>
      <c r="V140" s="384"/>
      <c r="W140" s="384"/>
      <c r="X140" s="384"/>
      <c r="Y140" s="384"/>
      <c r="Z140" s="763" t="str">
        <f>'4.УЗД'!M17</f>
        <v>Ультразвукове дослідження нирок</v>
      </c>
      <c r="AA140" s="755"/>
      <c r="AB140" s="755"/>
      <c r="AC140" s="748"/>
      <c r="AD140" s="748"/>
      <c r="AE140" s="748"/>
      <c r="AF140" s="748"/>
      <c r="AG140" s="748"/>
      <c r="AH140" s="748"/>
      <c r="AI140" s="748"/>
      <c r="AJ140" s="748"/>
      <c r="AK140" s="748"/>
      <c r="AL140" s="748"/>
      <c r="AM140" s="748"/>
      <c r="AN140" s="748"/>
      <c r="AO140" s="375"/>
      <c r="AP140" s="375"/>
      <c r="AQ140" s="375"/>
      <c r="AR140" s="375"/>
      <c r="AS140" s="375"/>
      <c r="AT140" s="375"/>
      <c r="AU140" s="375"/>
      <c r="AV140" s="375"/>
      <c r="AW140" s="375"/>
      <c r="AX140" s="375"/>
      <c r="AY140" s="375"/>
      <c r="AZ140" s="375"/>
      <c r="BA140" s="375"/>
      <c r="BB140" s="375"/>
      <c r="BC140" s="375"/>
      <c r="BD140" s="375"/>
      <c r="BE140" s="375"/>
      <c r="BF140" s="375"/>
      <c r="BG140" s="375"/>
      <c r="BH140" s="375"/>
      <c r="BI140" s="375"/>
      <c r="BJ140" s="375"/>
      <c r="BK140" s="375"/>
      <c r="BL140" s="375"/>
      <c r="BM140" s="375"/>
      <c r="BN140" s="375"/>
      <c r="BO140" s="375"/>
    </row>
    <row r="141" spans="1:67" s="6" customFormat="1" x14ac:dyDescent="0.45">
      <c r="A141" s="517"/>
      <c r="B141" s="381" t="s">
        <v>572</v>
      </c>
      <c r="C141" s="394" t="s">
        <v>579</v>
      </c>
      <c r="D141" s="383">
        <f>'4.УЗД'!F837+'4.УЗД'!F838</f>
        <v>24.6</v>
      </c>
      <c r="E141" s="383">
        <f>'4.УЗД'!F840</f>
        <v>5.41</v>
      </c>
      <c r="F141" s="383">
        <f>'4.УЗД'!G854</f>
        <v>12.45</v>
      </c>
      <c r="G141" s="383">
        <f>'4.УЗД'!H859</f>
        <v>20.55</v>
      </c>
      <c r="H141" s="384">
        <f t="shared" si="14"/>
        <v>63.010000000000005</v>
      </c>
      <c r="I141" s="383">
        <f>'4.УЗД'!H865+'4.УЗД'!H870</f>
        <v>3.45</v>
      </c>
      <c r="J141" s="383">
        <f>'4.УЗД'!H866+'4.УЗД'!H871</f>
        <v>0</v>
      </c>
      <c r="K141" s="383">
        <f>'4.УЗД'!H867+'4.УЗД'!H872</f>
        <v>0</v>
      </c>
      <c r="L141" s="383">
        <f>'4.УЗД'!H868+'4.УЗД'!H873</f>
        <v>0.44999999999999996</v>
      </c>
      <c r="M141" s="384">
        <f t="shared" si="15"/>
        <v>3.9000000000000004</v>
      </c>
      <c r="N141" s="384">
        <f t="shared" si="16"/>
        <v>66.910000000000011</v>
      </c>
      <c r="O141" s="383"/>
      <c r="P141" s="384">
        <f t="shared" si="18"/>
        <v>67</v>
      </c>
      <c r="Q141" s="384">
        <f>'4.УЗД'!F828</f>
        <v>67</v>
      </c>
      <c r="R141" s="384">
        <f t="shared" si="17"/>
        <v>0</v>
      </c>
      <c r="S141" s="384"/>
      <c r="T141" s="384"/>
      <c r="U141" s="384"/>
      <c r="V141" s="384"/>
      <c r="W141" s="384"/>
      <c r="X141" s="384"/>
      <c r="Y141" s="384"/>
      <c r="Z141" s="763" t="str">
        <f>'4.УЗД'!M18</f>
        <v>Ультразвукове дослідження сечоводів</v>
      </c>
      <c r="AA141" s="755"/>
      <c r="AB141" s="755"/>
      <c r="AC141" s="748"/>
      <c r="AD141" s="748"/>
      <c r="AE141" s="748"/>
      <c r="AF141" s="748"/>
      <c r="AG141" s="748"/>
      <c r="AH141" s="748"/>
      <c r="AI141" s="748"/>
      <c r="AJ141" s="748"/>
      <c r="AK141" s="748"/>
      <c r="AL141" s="748"/>
      <c r="AM141" s="748"/>
      <c r="AN141" s="748"/>
      <c r="AO141" s="375"/>
      <c r="AP141" s="375"/>
      <c r="AQ141" s="375"/>
      <c r="AR141" s="375"/>
      <c r="AS141" s="375"/>
      <c r="AT141" s="375"/>
      <c r="AU141" s="375"/>
      <c r="AV141" s="375"/>
      <c r="AW141" s="375"/>
      <c r="AX141" s="375"/>
      <c r="AY141" s="375"/>
      <c r="AZ141" s="375"/>
      <c r="BA141" s="375"/>
      <c r="BB141" s="375"/>
      <c r="BC141" s="375"/>
      <c r="BD141" s="375"/>
      <c r="BE141" s="375"/>
      <c r="BF141" s="375"/>
      <c r="BG141" s="375"/>
      <c r="BH141" s="375"/>
      <c r="BI141" s="375"/>
      <c r="BJ141" s="375"/>
      <c r="BK141" s="375"/>
      <c r="BL141" s="375"/>
      <c r="BM141" s="375"/>
      <c r="BN141" s="375"/>
      <c r="BO141" s="375"/>
    </row>
    <row r="142" spans="1:67" s="6" customFormat="1" x14ac:dyDescent="0.45">
      <c r="A142" s="517"/>
      <c r="B142" s="381" t="s">
        <v>574</v>
      </c>
      <c r="C142" s="394" t="s">
        <v>581</v>
      </c>
      <c r="D142" s="383">
        <f>'4.УЗД'!F892+'4.УЗД'!F893</f>
        <v>24.6</v>
      </c>
      <c r="E142" s="383">
        <f>'4.УЗД'!F895</f>
        <v>5.41</v>
      </c>
      <c r="F142" s="383">
        <f>'4.УЗД'!G909</f>
        <v>12.45</v>
      </c>
      <c r="G142" s="383">
        <f>'4.УЗД'!H914</f>
        <v>20.55</v>
      </c>
      <c r="H142" s="384">
        <f t="shared" si="14"/>
        <v>63.010000000000005</v>
      </c>
      <c r="I142" s="383">
        <f>'4.УЗД'!H920+'4.УЗД'!H925</f>
        <v>3.45</v>
      </c>
      <c r="J142" s="383">
        <f>'4.УЗД'!H921+'4.УЗД'!H926</f>
        <v>0</v>
      </c>
      <c r="K142" s="383">
        <f>'4.УЗД'!H922+'4.УЗД'!H927</f>
        <v>0</v>
      </c>
      <c r="L142" s="383">
        <f>'4.УЗД'!H923+'4.УЗД'!H928</f>
        <v>0.44999999999999996</v>
      </c>
      <c r="M142" s="384">
        <f t="shared" si="15"/>
        <v>3.9000000000000004</v>
      </c>
      <c r="N142" s="384">
        <f t="shared" si="16"/>
        <v>66.910000000000011</v>
      </c>
      <c r="O142" s="383"/>
      <c r="P142" s="384">
        <f t="shared" si="18"/>
        <v>67</v>
      </c>
      <c r="Q142" s="384">
        <f>'4.УЗД'!F883</f>
        <v>67</v>
      </c>
      <c r="R142" s="384">
        <f t="shared" si="17"/>
        <v>0</v>
      </c>
      <c r="S142" s="384"/>
      <c r="T142" s="384"/>
      <c r="U142" s="384"/>
      <c r="V142" s="384"/>
      <c r="W142" s="384"/>
      <c r="X142" s="384"/>
      <c r="Y142" s="384"/>
      <c r="Z142" s="763" t="str">
        <f>'4.УЗД'!M19</f>
        <v>Ультразвукове дослідження сечового міхура</v>
      </c>
      <c r="AA142" s="755"/>
      <c r="AB142" s="755"/>
      <c r="AC142" s="748"/>
      <c r="AD142" s="748"/>
      <c r="AE142" s="748"/>
      <c r="AF142" s="748"/>
      <c r="AG142" s="748"/>
      <c r="AH142" s="748"/>
      <c r="AI142" s="748"/>
      <c r="AJ142" s="748"/>
      <c r="AK142" s="748"/>
      <c r="AL142" s="748"/>
      <c r="AM142" s="748"/>
      <c r="AN142" s="748"/>
      <c r="AO142" s="375"/>
      <c r="AP142" s="375"/>
      <c r="AQ142" s="375"/>
      <c r="AR142" s="375"/>
      <c r="AS142" s="375"/>
      <c r="AT142" s="375"/>
      <c r="AU142" s="375"/>
      <c r="AV142" s="375"/>
      <c r="AW142" s="375"/>
      <c r="AX142" s="375"/>
      <c r="AY142" s="375"/>
      <c r="AZ142" s="375"/>
      <c r="BA142" s="375"/>
      <c r="BB142" s="375"/>
      <c r="BC142" s="375"/>
      <c r="BD142" s="375"/>
      <c r="BE142" s="375"/>
      <c r="BF142" s="375"/>
      <c r="BG142" s="375"/>
      <c r="BH142" s="375"/>
      <c r="BI142" s="375"/>
      <c r="BJ142" s="375"/>
      <c r="BK142" s="375"/>
      <c r="BL142" s="375"/>
      <c r="BM142" s="375"/>
      <c r="BN142" s="375"/>
      <c r="BO142" s="375"/>
    </row>
    <row r="143" spans="1:67" s="6" customFormat="1" x14ac:dyDescent="0.45">
      <c r="A143" s="517"/>
      <c r="B143" s="381" t="s">
        <v>576</v>
      </c>
      <c r="C143" s="394" t="s">
        <v>583</v>
      </c>
      <c r="D143" s="383">
        <f>'4.УЗД'!F947+'4.УЗД'!F948</f>
        <v>24.6</v>
      </c>
      <c r="E143" s="383">
        <f>'4.УЗД'!F950</f>
        <v>5.41</v>
      </c>
      <c r="F143" s="383">
        <f>'4.УЗД'!G964</f>
        <v>12.45</v>
      </c>
      <c r="G143" s="383">
        <f>'4.УЗД'!H969</f>
        <v>20.55</v>
      </c>
      <c r="H143" s="384">
        <f t="shared" si="14"/>
        <v>63.010000000000005</v>
      </c>
      <c r="I143" s="383">
        <f>'4.УЗД'!H975+'4.УЗД'!H980</f>
        <v>3.45</v>
      </c>
      <c r="J143" s="383">
        <f>'4.УЗД'!H976+'4.УЗД'!H981</f>
        <v>0</v>
      </c>
      <c r="K143" s="383">
        <f>'4.УЗД'!H977+'4.УЗД'!H982</f>
        <v>0</v>
      </c>
      <c r="L143" s="383">
        <f>'4.УЗД'!H978+'4.УЗД'!H983</f>
        <v>0.44999999999999996</v>
      </c>
      <c r="M143" s="384">
        <f t="shared" si="15"/>
        <v>3.9000000000000004</v>
      </c>
      <c r="N143" s="384">
        <f t="shared" si="16"/>
        <v>66.910000000000011</v>
      </c>
      <c r="O143" s="383"/>
      <c r="P143" s="384">
        <f t="shared" si="18"/>
        <v>67</v>
      </c>
      <c r="Q143" s="384">
        <f>'4.УЗД'!F938</f>
        <v>67</v>
      </c>
      <c r="R143" s="384">
        <f t="shared" si="17"/>
        <v>0</v>
      </c>
      <c r="S143" s="384"/>
      <c r="T143" s="384"/>
      <c r="U143" s="384"/>
      <c r="V143" s="384"/>
      <c r="W143" s="384"/>
      <c r="X143" s="384"/>
      <c r="Y143" s="384"/>
      <c r="Z143" s="763" t="str">
        <f>'4.УЗД'!M20</f>
        <v>Ультразвукове дослідження сечового міхура з визначенням залишкової сечі</v>
      </c>
      <c r="AA143" s="755"/>
      <c r="AB143" s="755"/>
      <c r="AC143" s="748"/>
      <c r="AD143" s="748"/>
      <c r="AE143" s="748"/>
      <c r="AF143" s="748"/>
      <c r="AG143" s="748"/>
      <c r="AH143" s="748"/>
      <c r="AI143" s="748"/>
      <c r="AJ143" s="748"/>
      <c r="AK143" s="748"/>
      <c r="AL143" s="748"/>
      <c r="AM143" s="748"/>
      <c r="AN143" s="748"/>
      <c r="AO143" s="375"/>
      <c r="AP143" s="375"/>
      <c r="AQ143" s="375"/>
      <c r="AR143" s="375"/>
      <c r="AS143" s="375"/>
      <c r="AT143" s="375"/>
      <c r="AU143" s="375"/>
      <c r="AV143" s="375"/>
      <c r="AW143" s="375"/>
      <c r="AX143" s="375"/>
      <c r="AY143" s="375"/>
      <c r="AZ143" s="375"/>
      <c r="BA143" s="375"/>
      <c r="BB143" s="375"/>
      <c r="BC143" s="375"/>
      <c r="BD143" s="375"/>
      <c r="BE143" s="375"/>
      <c r="BF143" s="375"/>
      <c r="BG143" s="375"/>
      <c r="BH143" s="375"/>
      <c r="BI143" s="375"/>
      <c r="BJ143" s="375"/>
      <c r="BK143" s="375"/>
      <c r="BL143" s="375"/>
      <c r="BM143" s="375"/>
      <c r="BN143" s="375"/>
      <c r="BO143" s="375"/>
    </row>
    <row r="144" spans="1:67" s="6" customFormat="1" x14ac:dyDescent="0.45">
      <c r="A144" s="517"/>
      <c r="B144" s="381" t="s">
        <v>578</v>
      </c>
      <c r="C144" s="394" t="s">
        <v>585</v>
      </c>
      <c r="D144" s="383">
        <f>'4.УЗД'!F1002+'4.УЗД'!F1003</f>
        <v>24.6</v>
      </c>
      <c r="E144" s="383">
        <f>'4.УЗД'!F1005</f>
        <v>5.41</v>
      </c>
      <c r="F144" s="383">
        <f>'4.УЗД'!G1019</f>
        <v>12.45</v>
      </c>
      <c r="G144" s="383">
        <f>'4.УЗД'!H1024</f>
        <v>20.55</v>
      </c>
      <c r="H144" s="384">
        <f t="shared" si="14"/>
        <v>63.010000000000005</v>
      </c>
      <c r="I144" s="383">
        <f>'4.УЗД'!H1030+'4.УЗД'!H1035</f>
        <v>3.45</v>
      </c>
      <c r="J144" s="383">
        <f>'4.УЗД'!H1031+'4.УЗД'!H1036</f>
        <v>0</v>
      </c>
      <c r="K144" s="383">
        <f>'4.УЗД'!H1032+'4.УЗД'!H1037</f>
        <v>0</v>
      </c>
      <c r="L144" s="383">
        <f>'4.УЗД'!H1033+'4.УЗД'!H1038</f>
        <v>0.44999999999999996</v>
      </c>
      <c r="M144" s="384">
        <f t="shared" si="15"/>
        <v>3.9000000000000004</v>
      </c>
      <c r="N144" s="384">
        <f t="shared" si="16"/>
        <v>66.910000000000011</v>
      </c>
      <c r="O144" s="383"/>
      <c r="P144" s="384">
        <f t="shared" si="18"/>
        <v>67</v>
      </c>
      <c r="Q144" s="384">
        <f>'4.УЗД'!F993</f>
        <v>67</v>
      </c>
      <c r="R144" s="384">
        <f t="shared" si="17"/>
        <v>0</v>
      </c>
      <c r="S144" s="384"/>
      <c r="T144" s="384"/>
      <c r="U144" s="384"/>
      <c r="V144" s="384"/>
      <c r="W144" s="384"/>
      <c r="X144" s="384"/>
      <c r="Y144" s="384"/>
      <c r="Z144" s="763" t="str">
        <f>'4.УЗД'!M21</f>
        <v>Ультразвукове дослідження передміхурової залози і сім'яних пухирців</v>
      </c>
      <c r="AA144" s="755"/>
      <c r="AB144" s="755"/>
      <c r="AC144" s="748"/>
      <c r="AD144" s="748"/>
      <c r="AE144" s="748"/>
      <c r="AF144" s="748"/>
      <c r="AG144" s="748"/>
      <c r="AH144" s="748"/>
      <c r="AI144" s="748"/>
      <c r="AJ144" s="748"/>
      <c r="AK144" s="748"/>
      <c r="AL144" s="748"/>
      <c r="AM144" s="748"/>
      <c r="AN144" s="748"/>
      <c r="AO144" s="375"/>
      <c r="AP144" s="375"/>
      <c r="AQ144" s="375"/>
      <c r="AR144" s="375"/>
      <c r="AS144" s="375"/>
      <c r="AT144" s="375"/>
      <c r="AU144" s="375"/>
      <c r="AV144" s="375"/>
      <c r="AW144" s="375"/>
      <c r="AX144" s="375"/>
      <c r="AY144" s="375"/>
      <c r="AZ144" s="375"/>
      <c r="BA144" s="375"/>
      <c r="BB144" s="375"/>
      <c r="BC144" s="375"/>
      <c r="BD144" s="375"/>
      <c r="BE144" s="375"/>
      <c r="BF144" s="375"/>
      <c r="BG144" s="375"/>
      <c r="BH144" s="375"/>
      <c r="BI144" s="375"/>
      <c r="BJ144" s="375"/>
      <c r="BK144" s="375"/>
      <c r="BL144" s="375"/>
      <c r="BM144" s="375"/>
      <c r="BN144" s="375"/>
      <c r="BO144" s="375"/>
    </row>
    <row r="145" spans="1:67" s="6" customFormat="1" x14ac:dyDescent="0.45">
      <c r="A145" s="517"/>
      <c r="B145" s="381" t="s">
        <v>580</v>
      </c>
      <c r="C145" s="385" t="s">
        <v>587</v>
      </c>
      <c r="D145" s="383">
        <f>'4.УЗД'!F1057+'4.УЗД'!F1058</f>
        <v>24.6</v>
      </c>
      <c r="E145" s="383">
        <f>'4.УЗД'!F1060</f>
        <v>5.41</v>
      </c>
      <c r="F145" s="383">
        <f>'4.УЗД'!G1074</f>
        <v>12.45</v>
      </c>
      <c r="G145" s="383">
        <f>'4.УЗД'!H1079</f>
        <v>20.55</v>
      </c>
      <c r="H145" s="384">
        <f t="shared" si="14"/>
        <v>63.010000000000005</v>
      </c>
      <c r="I145" s="383">
        <f>'4.УЗД'!H1085+'4.УЗД'!H1090</f>
        <v>3.45</v>
      </c>
      <c r="J145" s="383">
        <f>'4.УЗД'!H1086+'4.УЗД'!H1091</f>
        <v>0</v>
      </c>
      <c r="K145" s="383">
        <f>'4.УЗД'!H1087+'4.УЗД'!H1092</f>
        <v>0</v>
      </c>
      <c r="L145" s="383">
        <f>'4.УЗД'!H1088+'4.УЗД'!H1093</f>
        <v>0.44999999999999996</v>
      </c>
      <c r="M145" s="384">
        <f t="shared" si="15"/>
        <v>3.9000000000000004</v>
      </c>
      <c r="N145" s="384">
        <f t="shared" si="16"/>
        <v>66.910000000000011</v>
      </c>
      <c r="O145" s="383"/>
      <c r="P145" s="384">
        <f t="shared" si="18"/>
        <v>67</v>
      </c>
      <c r="Q145" s="384">
        <f>'4.УЗД'!F1048</f>
        <v>67</v>
      </c>
      <c r="R145" s="384">
        <f t="shared" si="17"/>
        <v>0</v>
      </c>
      <c r="S145" s="384"/>
      <c r="T145" s="384"/>
      <c r="U145" s="384"/>
      <c r="V145" s="384"/>
      <c r="W145" s="384"/>
      <c r="X145" s="384"/>
      <c r="Y145" s="384"/>
      <c r="Z145" s="763" t="str">
        <f>'4.УЗД'!M22</f>
        <v>Ультразвукове дослідження органів калитки</v>
      </c>
      <c r="AA145" s="755"/>
      <c r="AB145" s="755"/>
      <c r="AC145" s="748"/>
      <c r="AD145" s="748"/>
      <c r="AE145" s="748"/>
      <c r="AF145" s="748"/>
      <c r="AG145" s="748"/>
      <c r="AH145" s="748"/>
      <c r="AI145" s="748"/>
      <c r="AJ145" s="748"/>
      <c r="AK145" s="748"/>
      <c r="AL145" s="748"/>
      <c r="AM145" s="748"/>
      <c r="AN145" s="748"/>
      <c r="AO145" s="375"/>
      <c r="AP145" s="375"/>
      <c r="AQ145" s="375"/>
      <c r="AR145" s="375"/>
      <c r="AS145" s="375"/>
      <c r="AT145" s="375"/>
      <c r="AU145" s="375"/>
      <c r="AV145" s="375"/>
      <c r="AW145" s="375"/>
      <c r="AX145" s="375"/>
      <c r="AY145" s="375"/>
      <c r="AZ145" s="375"/>
      <c r="BA145" s="375"/>
      <c r="BB145" s="375"/>
      <c r="BC145" s="375"/>
      <c r="BD145" s="375"/>
      <c r="BE145" s="375"/>
      <c r="BF145" s="375"/>
      <c r="BG145" s="375"/>
      <c r="BH145" s="375"/>
      <c r="BI145" s="375"/>
      <c r="BJ145" s="375"/>
      <c r="BK145" s="375"/>
      <c r="BL145" s="375"/>
      <c r="BM145" s="375"/>
      <c r="BN145" s="375"/>
      <c r="BO145" s="375"/>
    </row>
    <row r="146" spans="1:67" s="6" customFormat="1" x14ac:dyDescent="0.45">
      <c r="A146" s="517"/>
      <c r="B146" s="381" t="s">
        <v>582</v>
      </c>
      <c r="C146" s="385" t="s">
        <v>589</v>
      </c>
      <c r="D146" s="383">
        <f>'4.УЗД'!F1112+'4.УЗД'!F1113</f>
        <v>32.799999999999997</v>
      </c>
      <c r="E146" s="383">
        <f>'4.УЗД'!F1115</f>
        <v>7.22</v>
      </c>
      <c r="F146" s="383">
        <f>'4.УЗД'!G1129</f>
        <v>12.45</v>
      </c>
      <c r="G146" s="383">
        <f>'4.УЗД'!H1134</f>
        <v>27.4</v>
      </c>
      <c r="H146" s="384">
        <f t="shared" si="14"/>
        <v>79.87</v>
      </c>
      <c r="I146" s="383">
        <f>'4.УЗД'!H1140+'4.УЗД'!H1145</f>
        <v>4.5999999999999996</v>
      </c>
      <c r="J146" s="383">
        <f>'4.УЗД'!H1141+'4.УЗД'!H1146</f>
        <v>0</v>
      </c>
      <c r="K146" s="383">
        <f>'4.УЗД'!H1142+'4.УЗД'!H1147</f>
        <v>0</v>
      </c>
      <c r="L146" s="383">
        <f>'4.УЗД'!H1143+'4.УЗД'!H1148</f>
        <v>0.60000000000000009</v>
      </c>
      <c r="M146" s="384">
        <f t="shared" si="15"/>
        <v>5.1999999999999993</v>
      </c>
      <c r="N146" s="384">
        <f t="shared" si="16"/>
        <v>85.070000000000007</v>
      </c>
      <c r="O146" s="383"/>
      <c r="P146" s="384">
        <f t="shared" si="18"/>
        <v>85</v>
      </c>
      <c r="Q146" s="384">
        <f>'4.УЗД'!F1103</f>
        <v>85</v>
      </c>
      <c r="R146" s="384">
        <f t="shared" si="17"/>
        <v>0</v>
      </c>
      <c r="S146" s="384"/>
      <c r="T146" s="384"/>
      <c r="U146" s="384"/>
      <c r="V146" s="384"/>
      <c r="W146" s="384"/>
      <c r="X146" s="384"/>
      <c r="Y146" s="384"/>
      <c r="Z146" s="763" t="str">
        <f>'4.УЗД'!M23</f>
        <v>Ультразвукове дослідження суглобів</v>
      </c>
      <c r="AA146" s="755"/>
      <c r="AB146" s="755"/>
      <c r="AC146" s="748"/>
      <c r="AD146" s="748"/>
      <c r="AE146" s="748"/>
      <c r="AF146" s="748"/>
      <c r="AG146" s="748"/>
      <c r="AH146" s="748"/>
      <c r="AI146" s="748"/>
      <c r="AJ146" s="748"/>
      <c r="AK146" s="748"/>
      <c r="AL146" s="748"/>
      <c r="AM146" s="748"/>
      <c r="AN146" s="748"/>
      <c r="AO146" s="375"/>
      <c r="AP146" s="375"/>
      <c r="AQ146" s="375"/>
      <c r="AR146" s="375"/>
      <c r="AS146" s="375"/>
      <c r="AT146" s="375"/>
      <c r="AU146" s="375"/>
      <c r="AV146" s="375"/>
      <c r="AW146" s="375"/>
      <c r="AX146" s="375"/>
      <c r="AY146" s="375"/>
      <c r="AZ146" s="375"/>
      <c r="BA146" s="375"/>
      <c r="BB146" s="375"/>
      <c r="BC146" s="375"/>
      <c r="BD146" s="375"/>
      <c r="BE146" s="375"/>
      <c r="BF146" s="375"/>
      <c r="BG146" s="375"/>
      <c r="BH146" s="375"/>
      <c r="BI146" s="375"/>
      <c r="BJ146" s="375"/>
      <c r="BK146" s="375"/>
      <c r="BL146" s="375"/>
      <c r="BM146" s="375"/>
      <c r="BN146" s="375"/>
      <c r="BO146" s="375"/>
    </row>
    <row r="147" spans="1:67" s="6" customFormat="1" x14ac:dyDescent="0.45">
      <c r="A147" s="517"/>
      <c r="B147" s="381" t="s">
        <v>584</v>
      </c>
      <c r="C147" s="385" t="s">
        <v>591</v>
      </c>
      <c r="D147" s="383">
        <f>'4.УЗД'!F1167+'4.УЗД'!F1168</f>
        <v>32.799999999999997</v>
      </c>
      <c r="E147" s="383">
        <f>'4.УЗД'!F1170</f>
        <v>7.22</v>
      </c>
      <c r="F147" s="383">
        <f>'4.УЗД'!G1184</f>
        <v>12.45</v>
      </c>
      <c r="G147" s="383">
        <f>'4.УЗД'!H1189</f>
        <v>27.4</v>
      </c>
      <c r="H147" s="384">
        <f t="shared" si="14"/>
        <v>79.87</v>
      </c>
      <c r="I147" s="383">
        <f>'4.УЗД'!H1195+'4.УЗД'!H1200</f>
        <v>4.5999999999999996</v>
      </c>
      <c r="J147" s="383">
        <f>'4.УЗД'!H1196+'4.УЗД'!H1201</f>
        <v>0</v>
      </c>
      <c r="K147" s="383">
        <f>'4.УЗД'!H1197+'4.УЗД'!H1202</f>
        <v>0</v>
      </c>
      <c r="L147" s="383">
        <f>'4.УЗД'!H1198+'4.УЗД'!H1203</f>
        <v>0.60000000000000009</v>
      </c>
      <c r="M147" s="384">
        <f t="shared" si="15"/>
        <v>5.1999999999999993</v>
      </c>
      <c r="N147" s="384">
        <f t="shared" si="16"/>
        <v>85.070000000000007</v>
      </c>
      <c r="O147" s="383"/>
      <c r="P147" s="384">
        <f t="shared" si="18"/>
        <v>85</v>
      </c>
      <c r="Q147" s="384">
        <f>'4.УЗД'!F1158</f>
        <v>85</v>
      </c>
      <c r="R147" s="384">
        <f t="shared" si="17"/>
        <v>0</v>
      </c>
      <c r="S147" s="384"/>
      <c r="T147" s="384"/>
      <c r="U147" s="384"/>
      <c r="V147" s="384"/>
      <c r="W147" s="384"/>
      <c r="X147" s="384"/>
      <c r="Y147" s="384"/>
      <c r="Z147" s="763" t="str">
        <f>'4.УЗД'!M24</f>
        <v>Ультразвукове дослідження м'яких тканин</v>
      </c>
      <c r="AA147" s="755"/>
      <c r="AB147" s="755"/>
      <c r="AC147" s="748"/>
      <c r="AD147" s="748"/>
      <c r="AE147" s="748"/>
      <c r="AF147" s="748"/>
      <c r="AG147" s="748"/>
      <c r="AH147" s="748"/>
      <c r="AI147" s="748"/>
      <c r="AJ147" s="748"/>
      <c r="AK147" s="748"/>
      <c r="AL147" s="748"/>
      <c r="AM147" s="748"/>
      <c r="AN147" s="748"/>
      <c r="AO147" s="375"/>
      <c r="AP147" s="375"/>
      <c r="AQ147" s="375"/>
      <c r="AR147" s="375"/>
      <c r="AS147" s="375"/>
      <c r="AT147" s="375"/>
      <c r="AU147" s="375"/>
      <c r="AV147" s="375"/>
      <c r="AW147" s="375"/>
      <c r="AX147" s="375"/>
      <c r="AY147" s="375"/>
      <c r="AZ147" s="375"/>
      <c r="BA147" s="375"/>
      <c r="BB147" s="375"/>
      <c r="BC147" s="375"/>
      <c r="BD147" s="375"/>
      <c r="BE147" s="375"/>
      <c r="BF147" s="375"/>
      <c r="BG147" s="375"/>
      <c r="BH147" s="375"/>
      <c r="BI147" s="375"/>
      <c r="BJ147" s="375"/>
      <c r="BK147" s="375"/>
      <c r="BL147" s="375"/>
      <c r="BM147" s="375"/>
      <c r="BN147" s="375"/>
      <c r="BO147" s="375"/>
    </row>
    <row r="148" spans="1:67" s="6" customFormat="1" x14ac:dyDescent="0.45">
      <c r="A148" s="517"/>
      <c r="B148" s="381" t="s">
        <v>586</v>
      </c>
      <c r="C148" s="394" t="s">
        <v>593</v>
      </c>
      <c r="D148" s="383">
        <f>'4.УЗД'!F1222+'4.УЗД'!F1223</f>
        <v>24.6</v>
      </c>
      <c r="E148" s="383">
        <f>'4.УЗД'!F1225</f>
        <v>5.41</v>
      </c>
      <c r="F148" s="383">
        <f>'4.УЗД'!G1239</f>
        <v>12.45</v>
      </c>
      <c r="G148" s="383">
        <f>'4.УЗД'!H1244</f>
        <v>20.55</v>
      </c>
      <c r="H148" s="384">
        <f t="shared" si="14"/>
        <v>63.010000000000005</v>
      </c>
      <c r="I148" s="383">
        <f>'4.УЗД'!H1250+'4.УЗД'!H1255</f>
        <v>3.45</v>
      </c>
      <c r="J148" s="383">
        <f>'4.УЗД'!H1251+'4.УЗД'!H1256</f>
        <v>0</v>
      </c>
      <c r="K148" s="383">
        <f>'4.УЗД'!H1252+'4.УЗД'!H1257</f>
        <v>0</v>
      </c>
      <c r="L148" s="383">
        <f>'4.УЗД'!H1253+'4.УЗД'!H1258</f>
        <v>0.44999999999999996</v>
      </c>
      <c r="M148" s="384">
        <f t="shared" si="15"/>
        <v>3.9000000000000004</v>
      </c>
      <c r="N148" s="384">
        <f t="shared" si="16"/>
        <v>66.910000000000011</v>
      </c>
      <c r="O148" s="383"/>
      <c r="P148" s="384">
        <f t="shared" si="18"/>
        <v>67</v>
      </c>
      <c r="Q148" s="384">
        <f>'4.УЗД'!F1213</f>
        <v>67</v>
      </c>
      <c r="R148" s="384">
        <f t="shared" si="17"/>
        <v>0</v>
      </c>
      <c r="S148" s="384"/>
      <c r="T148" s="384"/>
      <c r="U148" s="384"/>
      <c r="V148" s="384"/>
      <c r="W148" s="384"/>
      <c r="X148" s="384"/>
      <c r="Y148" s="384"/>
      <c r="Z148" s="763" t="str">
        <f>'4.УЗД'!M25</f>
        <v>Ультразвукове дослідження селезінки</v>
      </c>
      <c r="AA148" s="755"/>
      <c r="AB148" s="755"/>
      <c r="AC148" s="748"/>
      <c r="AD148" s="748"/>
      <c r="AE148" s="748"/>
      <c r="AF148" s="748"/>
      <c r="AG148" s="748"/>
      <c r="AH148" s="748"/>
      <c r="AI148" s="748"/>
      <c r="AJ148" s="748"/>
      <c r="AK148" s="748"/>
      <c r="AL148" s="748"/>
      <c r="AM148" s="748"/>
      <c r="AN148" s="748"/>
      <c r="AO148" s="375"/>
      <c r="AP148" s="375"/>
      <c r="AQ148" s="375"/>
      <c r="AR148" s="375"/>
      <c r="AS148" s="375"/>
      <c r="AT148" s="375"/>
      <c r="AU148" s="375"/>
      <c r="AV148" s="375"/>
      <c r="AW148" s="375"/>
      <c r="AX148" s="375"/>
      <c r="AY148" s="375"/>
      <c r="AZ148" s="375"/>
      <c r="BA148" s="375"/>
      <c r="BB148" s="375"/>
      <c r="BC148" s="375"/>
      <c r="BD148" s="375"/>
      <c r="BE148" s="375"/>
      <c r="BF148" s="375"/>
      <c r="BG148" s="375"/>
      <c r="BH148" s="375"/>
      <c r="BI148" s="375"/>
      <c r="BJ148" s="375"/>
      <c r="BK148" s="375"/>
      <c r="BL148" s="375"/>
      <c r="BM148" s="375"/>
      <c r="BN148" s="375"/>
      <c r="BO148" s="375"/>
    </row>
    <row r="149" spans="1:67" s="6" customFormat="1" x14ac:dyDescent="0.45">
      <c r="A149" s="517"/>
      <c r="B149" s="381" t="s">
        <v>588</v>
      </c>
      <c r="C149" s="394" t="s">
        <v>595</v>
      </c>
      <c r="D149" s="383">
        <f>'4.УЗД'!F1277+'4.УЗД'!F1278</f>
        <v>24.6</v>
      </c>
      <c r="E149" s="383">
        <f>'4.УЗД'!F1280</f>
        <v>5.41</v>
      </c>
      <c r="F149" s="383">
        <f>'4.УЗД'!G1294</f>
        <v>12.45</v>
      </c>
      <c r="G149" s="383">
        <f>'4.УЗД'!H1299</f>
        <v>20.55</v>
      </c>
      <c r="H149" s="384">
        <f t="shared" si="14"/>
        <v>63.010000000000005</v>
      </c>
      <c r="I149" s="383">
        <f>'4.УЗД'!H1305+'4.УЗД'!H1310</f>
        <v>3.45</v>
      </c>
      <c r="J149" s="383">
        <f>'4.УЗД'!H1306+'4.УЗД'!H1311</f>
        <v>0</v>
      </c>
      <c r="K149" s="383">
        <f>'4.УЗД'!H1307+'4.УЗД'!H1312</f>
        <v>0</v>
      </c>
      <c r="L149" s="383">
        <f>'4.УЗД'!H1308+'4.УЗД'!H1313</f>
        <v>0.44999999999999996</v>
      </c>
      <c r="M149" s="384">
        <f t="shared" si="15"/>
        <v>3.9000000000000004</v>
      </c>
      <c r="N149" s="384">
        <f t="shared" si="16"/>
        <v>66.910000000000011</v>
      </c>
      <c r="O149" s="383"/>
      <c r="P149" s="384">
        <f t="shared" si="18"/>
        <v>67</v>
      </c>
      <c r="Q149" s="384">
        <f>'4.УЗД'!F1268</f>
        <v>67</v>
      </c>
      <c r="R149" s="384">
        <f t="shared" si="17"/>
        <v>0</v>
      </c>
      <c r="S149" s="384"/>
      <c r="T149" s="384"/>
      <c r="U149" s="384"/>
      <c r="V149" s="384"/>
      <c r="W149" s="384"/>
      <c r="X149" s="384"/>
      <c r="Y149" s="384"/>
      <c r="Z149" s="763" t="str">
        <f>'4.УЗД'!M26</f>
        <v>Ультразвукове дослідження лімфатичних вузлів</v>
      </c>
      <c r="AA149" s="755"/>
      <c r="AB149" s="755"/>
      <c r="AC149" s="748"/>
      <c r="AD149" s="748"/>
      <c r="AE149" s="748"/>
      <c r="AF149" s="748"/>
      <c r="AG149" s="748"/>
      <c r="AH149" s="748"/>
      <c r="AI149" s="748"/>
      <c r="AJ149" s="748"/>
      <c r="AK149" s="748"/>
      <c r="AL149" s="748"/>
      <c r="AM149" s="748"/>
      <c r="AN149" s="748"/>
      <c r="AO149" s="375"/>
      <c r="AP149" s="375"/>
      <c r="AQ149" s="375"/>
      <c r="AR149" s="375"/>
      <c r="AS149" s="375"/>
      <c r="AT149" s="375"/>
      <c r="AU149" s="375"/>
      <c r="AV149" s="375"/>
      <c r="AW149" s="375"/>
      <c r="AX149" s="375"/>
      <c r="AY149" s="375"/>
      <c r="AZ149" s="375"/>
      <c r="BA149" s="375"/>
      <c r="BB149" s="375"/>
      <c r="BC149" s="375"/>
      <c r="BD149" s="375"/>
      <c r="BE149" s="375"/>
      <c r="BF149" s="375"/>
      <c r="BG149" s="375"/>
      <c r="BH149" s="375"/>
      <c r="BI149" s="375"/>
      <c r="BJ149" s="375"/>
      <c r="BK149" s="375"/>
      <c r="BL149" s="375"/>
      <c r="BM149" s="375"/>
      <c r="BN149" s="375"/>
      <c r="BO149" s="375"/>
    </row>
    <row r="150" spans="1:67" s="6" customFormat="1" x14ac:dyDescent="0.45">
      <c r="A150" s="517"/>
      <c r="B150" s="381" t="s">
        <v>590</v>
      </c>
      <c r="C150" s="389" t="s">
        <v>649</v>
      </c>
      <c r="D150" s="390">
        <f>'4.УЗД'!F1332+'4.УЗД'!F1333</f>
        <v>49.2</v>
      </c>
      <c r="E150" s="391">
        <f>'4.УЗД'!F1335</f>
        <v>10.82</v>
      </c>
      <c r="F150" s="383">
        <f>'4.УЗД'!G1349</f>
        <v>12.45</v>
      </c>
      <c r="G150" s="383">
        <f>'4.УЗД'!H1354</f>
        <v>41.1</v>
      </c>
      <c r="H150" s="384">
        <f t="shared" si="14"/>
        <v>113.57</v>
      </c>
      <c r="I150" s="383">
        <f>'4.УЗД'!H1360+'4.УЗД'!H1365</f>
        <v>6.9</v>
      </c>
      <c r="J150" s="383">
        <f>'4.УЗД'!H1361+'4.УЗД'!H1366</f>
        <v>0</v>
      </c>
      <c r="K150" s="383">
        <f>'4.УЗД'!H1362+'4.УЗД'!H1367</f>
        <v>0</v>
      </c>
      <c r="L150" s="383">
        <f>'4.УЗД'!H1363+'4.УЗД'!H1368</f>
        <v>0.89999999999999991</v>
      </c>
      <c r="M150" s="384">
        <f t="shared" si="15"/>
        <v>7.8000000000000007</v>
      </c>
      <c r="N150" s="384">
        <f t="shared" si="16"/>
        <v>121.36999999999999</v>
      </c>
      <c r="O150" s="383"/>
      <c r="P150" s="384">
        <f t="shared" si="18"/>
        <v>121</v>
      </c>
      <c r="Q150" s="384">
        <f>'4.УЗД'!F1323</f>
        <v>121</v>
      </c>
      <c r="R150" s="384">
        <f t="shared" si="17"/>
        <v>0</v>
      </c>
      <c r="S150" s="384"/>
      <c r="T150" s="384"/>
      <c r="U150" s="384"/>
      <c r="V150" s="384"/>
      <c r="W150" s="384"/>
      <c r="X150" s="384"/>
      <c r="Y150" s="384"/>
      <c r="Z150" s="763" t="str">
        <f>'4.УЗД'!M27</f>
        <v>Ультразвукове інтраректальне дослідження жіночих статевих органів</v>
      </c>
      <c r="AA150" s="755"/>
      <c r="AB150" s="755"/>
      <c r="AC150" s="748"/>
      <c r="AD150" s="748"/>
      <c r="AE150" s="748"/>
      <c r="AF150" s="748"/>
      <c r="AG150" s="748"/>
      <c r="AH150" s="748"/>
      <c r="AI150" s="748"/>
      <c r="AJ150" s="748"/>
      <c r="AK150" s="748"/>
      <c r="AL150" s="748"/>
      <c r="AM150" s="748"/>
      <c r="AN150" s="748"/>
      <c r="AO150" s="375"/>
      <c r="AP150" s="375"/>
      <c r="AQ150" s="375"/>
      <c r="AR150" s="375"/>
      <c r="AS150" s="375"/>
      <c r="AT150" s="375"/>
      <c r="AU150" s="375"/>
      <c r="AV150" s="375"/>
      <c r="AW150" s="375"/>
      <c r="AX150" s="375"/>
      <c r="AY150" s="375"/>
      <c r="AZ150" s="375"/>
      <c r="BA150" s="375"/>
      <c r="BB150" s="375"/>
      <c r="BC150" s="375"/>
      <c r="BD150" s="375"/>
      <c r="BE150" s="375"/>
      <c r="BF150" s="375"/>
      <c r="BG150" s="375"/>
      <c r="BH150" s="375"/>
      <c r="BI150" s="375"/>
      <c r="BJ150" s="375"/>
      <c r="BK150" s="375"/>
      <c r="BL150" s="375"/>
      <c r="BM150" s="375"/>
      <c r="BN150" s="375"/>
      <c r="BO150" s="375"/>
    </row>
    <row r="151" spans="1:67" s="6" customFormat="1" x14ac:dyDescent="0.45">
      <c r="A151" s="517"/>
      <c r="B151" s="381" t="s">
        <v>592</v>
      </c>
      <c r="C151" s="394" t="s">
        <v>651</v>
      </c>
      <c r="D151" s="383">
        <f>'4.УЗД'!F1387+'4.УЗД'!F1388</f>
        <v>65.599999999999994</v>
      </c>
      <c r="E151" s="383">
        <f>'4.УЗД'!F1390</f>
        <v>14.43</v>
      </c>
      <c r="F151" s="383">
        <f>'4.УЗД'!G1404</f>
        <v>12.45</v>
      </c>
      <c r="G151" s="383">
        <f>'4.УЗД'!H1409</f>
        <v>54.8</v>
      </c>
      <c r="H151" s="384">
        <f t="shared" si="14"/>
        <v>147.28</v>
      </c>
      <c r="I151" s="383">
        <f>'4.УЗД'!H1415+'4.УЗД'!H1420</f>
        <v>9.1999999999999993</v>
      </c>
      <c r="J151" s="383">
        <f>'4.УЗД'!H1416+'4.УЗД'!H1421</f>
        <v>0</v>
      </c>
      <c r="K151" s="383">
        <f>'4.УЗД'!H1417+'4.УЗД'!H1422</f>
        <v>0</v>
      </c>
      <c r="L151" s="383">
        <f>'4.УЗД'!H1418+'4.УЗД'!H1423</f>
        <v>1.2000000000000002</v>
      </c>
      <c r="M151" s="384">
        <f t="shared" si="15"/>
        <v>10.399999999999999</v>
      </c>
      <c r="N151" s="384">
        <f t="shared" si="16"/>
        <v>157.68</v>
      </c>
      <c r="O151" s="383"/>
      <c r="P151" s="384">
        <f t="shared" si="18"/>
        <v>158</v>
      </c>
      <c r="Q151" s="384">
        <f>'4.УЗД'!F1378</f>
        <v>158</v>
      </c>
      <c r="R151" s="384">
        <f t="shared" si="17"/>
        <v>0</v>
      </c>
      <c r="S151" s="384"/>
      <c r="T151" s="384"/>
      <c r="U151" s="384"/>
      <c r="V151" s="384"/>
      <c r="W151" s="384"/>
      <c r="X151" s="384"/>
      <c r="Y151" s="384"/>
      <c r="Z151" s="763" t="str">
        <f>'4.УЗД'!M28</f>
        <v>Ультразвукове інтравагінальне дослідження жіночих статевих органів</v>
      </c>
      <c r="AA151" s="755"/>
      <c r="AB151" s="755"/>
      <c r="AC151" s="748"/>
      <c r="AD151" s="748"/>
      <c r="AE151" s="748"/>
      <c r="AF151" s="748"/>
      <c r="AG151" s="748"/>
      <c r="AH151" s="748"/>
      <c r="AI151" s="748"/>
      <c r="AJ151" s="748"/>
      <c r="AK151" s="748"/>
      <c r="AL151" s="748"/>
      <c r="AM151" s="748"/>
      <c r="AN151" s="748"/>
      <c r="AO151" s="375"/>
      <c r="AP151" s="375"/>
      <c r="AQ151" s="375"/>
      <c r="AR151" s="375"/>
      <c r="AS151" s="375"/>
      <c r="AT151" s="375"/>
      <c r="AU151" s="375"/>
      <c r="AV151" s="375"/>
      <c r="AW151" s="375"/>
      <c r="AX151" s="375"/>
      <c r="AY151" s="375"/>
      <c r="AZ151" s="375"/>
      <c r="BA151" s="375"/>
      <c r="BB151" s="375"/>
      <c r="BC151" s="375"/>
      <c r="BD151" s="375"/>
      <c r="BE151" s="375"/>
      <c r="BF151" s="375"/>
      <c r="BG151" s="375"/>
      <c r="BH151" s="375"/>
      <c r="BI151" s="375"/>
      <c r="BJ151" s="375"/>
      <c r="BK151" s="375"/>
      <c r="BL151" s="375"/>
      <c r="BM151" s="375"/>
      <c r="BN151" s="375"/>
      <c r="BO151" s="375"/>
    </row>
    <row r="152" spans="1:67" s="6" customFormat="1" x14ac:dyDescent="0.45">
      <c r="A152" s="517"/>
      <c r="B152" s="381" t="s">
        <v>594</v>
      </c>
      <c r="C152" s="389" t="s">
        <v>653</v>
      </c>
      <c r="D152" s="383">
        <f>'4.УЗД'!F1442+'4.УЗД'!F1443</f>
        <v>65.599999999999994</v>
      </c>
      <c r="E152" s="383">
        <f>'4.УЗД'!F1445</f>
        <v>14.43</v>
      </c>
      <c r="F152" s="383">
        <f>'4.УЗД'!G1459</f>
        <v>12.45</v>
      </c>
      <c r="G152" s="383">
        <f>'4.УЗД'!H1464</f>
        <v>54.8</v>
      </c>
      <c r="H152" s="384">
        <f t="shared" si="14"/>
        <v>147.28</v>
      </c>
      <c r="I152" s="383">
        <f>'4.УЗД'!H1470+'4.УЗД'!H1475</f>
        <v>9.1999999999999993</v>
      </c>
      <c r="J152" s="383">
        <f>'4.УЗД'!H1471+'4.УЗД'!H1476</f>
        <v>0</v>
      </c>
      <c r="K152" s="383">
        <f>'4.УЗД'!H1472+'4.УЗД'!H1477</f>
        <v>0</v>
      </c>
      <c r="L152" s="383">
        <f>'4.УЗД'!H1473+'4.УЗД'!H1478</f>
        <v>1.2000000000000002</v>
      </c>
      <c r="M152" s="384">
        <f t="shared" si="15"/>
        <v>10.399999999999999</v>
      </c>
      <c r="N152" s="384">
        <f t="shared" si="16"/>
        <v>157.68</v>
      </c>
      <c r="O152" s="383"/>
      <c r="P152" s="384">
        <f t="shared" si="18"/>
        <v>158</v>
      </c>
      <c r="Q152" s="384">
        <f>'4.УЗД'!F1433</f>
        <v>158</v>
      </c>
      <c r="R152" s="384">
        <f t="shared" si="17"/>
        <v>0</v>
      </c>
      <c r="S152" s="384"/>
      <c r="T152" s="384"/>
      <c r="U152" s="384"/>
      <c r="V152" s="384"/>
      <c r="W152" s="384"/>
      <c r="X152" s="384"/>
      <c r="Y152" s="384"/>
      <c r="Z152" s="763" t="str">
        <f>'4.УЗД'!M29</f>
        <v>Ультразвукове дослідження матки і яєчників</v>
      </c>
      <c r="AA152" s="755"/>
      <c r="AB152" s="755"/>
      <c r="AC152" s="748"/>
      <c r="AD152" s="748"/>
      <c r="AE152" s="748"/>
      <c r="AF152" s="748"/>
      <c r="AG152" s="748"/>
      <c r="AH152" s="748"/>
      <c r="AI152" s="748"/>
      <c r="AJ152" s="748"/>
      <c r="AK152" s="748"/>
      <c r="AL152" s="748"/>
      <c r="AM152" s="748"/>
      <c r="AN152" s="748"/>
      <c r="AO152" s="375"/>
      <c r="AP152" s="375"/>
      <c r="AQ152" s="375"/>
      <c r="AR152" s="375"/>
      <c r="AS152" s="375"/>
      <c r="AT152" s="375"/>
      <c r="AU152" s="375"/>
      <c r="AV152" s="375"/>
      <c r="AW152" s="375"/>
      <c r="AX152" s="375"/>
      <c r="AY152" s="375"/>
      <c r="AZ152" s="375"/>
      <c r="BA152" s="375"/>
      <c r="BB152" s="375"/>
      <c r="BC152" s="375"/>
      <c r="BD152" s="375"/>
      <c r="BE152" s="375"/>
      <c r="BF152" s="375"/>
      <c r="BG152" s="375"/>
      <c r="BH152" s="375"/>
      <c r="BI152" s="375"/>
      <c r="BJ152" s="375"/>
      <c r="BK152" s="375"/>
      <c r="BL152" s="375"/>
      <c r="BM152" s="375"/>
      <c r="BN152" s="375"/>
      <c r="BO152" s="375"/>
    </row>
    <row r="153" spans="1:67" s="6" customFormat="1" x14ac:dyDescent="0.45">
      <c r="A153" s="517"/>
      <c r="B153" s="381" t="s">
        <v>596</v>
      </c>
      <c r="C153" s="389" t="s">
        <v>655</v>
      </c>
      <c r="D153" s="383">
        <f>'4.УЗД'!F1497+'4.УЗД'!F1498</f>
        <v>65.599999999999994</v>
      </c>
      <c r="E153" s="383">
        <f>'4.УЗД'!F1500</f>
        <v>14.43</v>
      </c>
      <c r="F153" s="383">
        <f>'4.УЗД'!G1514</f>
        <v>12.45</v>
      </c>
      <c r="G153" s="383">
        <f>'4.УЗД'!H1519</f>
        <v>54.8</v>
      </c>
      <c r="H153" s="384">
        <f t="shared" si="14"/>
        <v>147.28</v>
      </c>
      <c r="I153" s="383">
        <f>'4.УЗД'!H1525+'4.УЗД'!H1530</f>
        <v>9.1999999999999993</v>
      </c>
      <c r="J153" s="383">
        <f>'4.УЗД'!H1526+'4.УЗД'!H1531</f>
        <v>0</v>
      </c>
      <c r="K153" s="383">
        <f>'4.УЗД'!H1527+'4.УЗД'!H1532</f>
        <v>0</v>
      </c>
      <c r="L153" s="383">
        <f>'4.УЗД'!H1528+'4.УЗД'!H1533</f>
        <v>1.2000000000000002</v>
      </c>
      <c r="M153" s="384">
        <f t="shared" si="15"/>
        <v>10.399999999999999</v>
      </c>
      <c r="N153" s="384">
        <f t="shared" si="16"/>
        <v>157.68</v>
      </c>
      <c r="O153" s="383"/>
      <c r="P153" s="384">
        <f t="shared" si="18"/>
        <v>158</v>
      </c>
      <c r="Q153" s="384">
        <f>'4.УЗД'!F1488</f>
        <v>158</v>
      </c>
      <c r="R153" s="384">
        <f t="shared" si="17"/>
        <v>0</v>
      </c>
      <c r="S153" s="384"/>
      <c r="T153" s="384"/>
      <c r="U153" s="384"/>
      <c r="V153" s="384"/>
      <c r="W153" s="384"/>
      <c r="X153" s="384"/>
      <c r="Y153" s="384"/>
      <c r="Z153" s="763" t="str">
        <f>'4.УЗД'!M30</f>
        <v>Ультразвукове дослідження вагітної матки з визначенням терміну вагітності</v>
      </c>
      <c r="AA153" s="755"/>
      <c r="AB153" s="755"/>
      <c r="AC153" s="748"/>
      <c r="AD153" s="748"/>
      <c r="AE153" s="748"/>
      <c r="AF153" s="748"/>
      <c r="AG153" s="748"/>
      <c r="AH153" s="748"/>
      <c r="AI153" s="748"/>
      <c r="AJ153" s="748"/>
      <c r="AK153" s="748"/>
      <c r="AL153" s="748"/>
      <c r="AM153" s="748"/>
      <c r="AN153" s="748"/>
      <c r="AO153" s="375"/>
      <c r="AP153" s="375"/>
      <c r="AQ153" s="375"/>
      <c r="AR153" s="375"/>
      <c r="AS153" s="375"/>
      <c r="AT153" s="375"/>
      <c r="AU153" s="375"/>
      <c r="AV153" s="375"/>
      <c r="AW153" s="375"/>
      <c r="AX153" s="375"/>
      <c r="AY153" s="375"/>
      <c r="AZ153" s="375"/>
      <c r="BA153" s="375"/>
      <c r="BB153" s="375"/>
      <c r="BC153" s="375"/>
      <c r="BD153" s="375"/>
      <c r="BE153" s="375"/>
      <c r="BF153" s="375"/>
      <c r="BG153" s="375"/>
      <c r="BH153" s="375"/>
      <c r="BI153" s="375"/>
      <c r="BJ153" s="375"/>
      <c r="BK153" s="375"/>
      <c r="BL153" s="375"/>
      <c r="BM153" s="375"/>
      <c r="BN153" s="375"/>
      <c r="BO153" s="375"/>
    </row>
    <row r="154" spans="1:67" s="6" customFormat="1" x14ac:dyDescent="0.45">
      <c r="A154" s="517"/>
      <c r="B154" s="381" t="s">
        <v>598</v>
      </c>
      <c r="C154" s="389" t="s">
        <v>657</v>
      </c>
      <c r="D154" s="383">
        <f>'4.УЗД'!F1552+'4.УЗД'!F1553</f>
        <v>32.799999999999997</v>
      </c>
      <c r="E154" s="378">
        <f>'4.УЗД'!F1555</f>
        <v>7.22</v>
      </c>
      <c r="F154" s="383">
        <f>'4.УЗД'!G1569</f>
        <v>12.45</v>
      </c>
      <c r="G154" s="383">
        <f>'4.УЗД'!H1574</f>
        <v>27.4</v>
      </c>
      <c r="H154" s="384">
        <f>SUM(D154:G154)</f>
        <v>79.87</v>
      </c>
      <c r="I154" s="383">
        <f>'4.УЗД'!H1580+'4.УЗД'!H1585</f>
        <v>4.5999999999999996</v>
      </c>
      <c r="J154" s="383">
        <f>'4.УЗД'!H1581+'4.УЗД'!H1586</f>
        <v>0</v>
      </c>
      <c r="K154" s="383">
        <f>'4.УЗД'!H1582+'4.УЗД'!H1587</f>
        <v>0</v>
      </c>
      <c r="L154" s="383">
        <f>'4.УЗД'!H1583+'4.УЗД'!H1588</f>
        <v>0.60000000000000009</v>
      </c>
      <c r="M154" s="384">
        <f>SUM(I154:L154)</f>
        <v>5.1999999999999993</v>
      </c>
      <c r="N154" s="384">
        <f>H154+M154</f>
        <v>85.070000000000007</v>
      </c>
      <c r="O154" s="383"/>
      <c r="P154" s="384">
        <f t="shared" si="18"/>
        <v>85</v>
      </c>
      <c r="Q154" s="384">
        <f>'4.УЗД'!F1543</f>
        <v>85</v>
      </c>
      <c r="R154" s="384">
        <f>P154-Q154</f>
        <v>0</v>
      </c>
      <c r="S154" s="384"/>
      <c r="T154" s="384"/>
      <c r="U154" s="384"/>
      <c r="V154" s="384"/>
      <c r="W154" s="384"/>
      <c r="X154" s="384"/>
      <c r="Y154" s="384"/>
      <c r="Z154" s="763" t="str">
        <f>'4.УЗД'!M31</f>
        <v>Ультразвукове дослідження вагітної матки з визначенням статі плоду</v>
      </c>
      <c r="AA154" s="755"/>
      <c r="AB154" s="755"/>
      <c r="AC154" s="748"/>
      <c r="AD154" s="748"/>
      <c r="AE154" s="748"/>
      <c r="AF154" s="748"/>
      <c r="AG154" s="748"/>
      <c r="AH154" s="748"/>
      <c r="AI154" s="748"/>
      <c r="AJ154" s="748"/>
      <c r="AK154" s="748"/>
      <c r="AL154" s="748"/>
      <c r="AM154" s="748"/>
      <c r="AN154" s="748"/>
      <c r="AO154" s="375"/>
      <c r="AP154" s="375"/>
      <c r="AQ154" s="375"/>
      <c r="AR154" s="375"/>
      <c r="AS154" s="375"/>
      <c r="AT154" s="375"/>
      <c r="AU154" s="375"/>
      <c r="AV154" s="375"/>
      <c r="AW154" s="375"/>
      <c r="AX154" s="375"/>
      <c r="AY154" s="375"/>
      <c r="AZ154" s="375"/>
      <c r="BA154" s="375"/>
      <c r="BB154" s="375"/>
      <c r="BC154" s="375"/>
      <c r="BD154" s="375"/>
      <c r="BE154" s="375"/>
      <c r="BF154" s="375"/>
      <c r="BG154" s="375"/>
      <c r="BH154" s="375"/>
      <c r="BI154" s="375"/>
      <c r="BJ154" s="375"/>
      <c r="BK154" s="375"/>
      <c r="BL154" s="375"/>
      <c r="BM154" s="375"/>
      <c r="BN154" s="375"/>
      <c r="BO154" s="375"/>
    </row>
    <row r="155" spans="1:67" s="6" customFormat="1" x14ac:dyDescent="0.45">
      <c r="A155" s="517"/>
      <c r="B155" s="381" t="s">
        <v>600</v>
      </c>
      <c r="C155" s="385" t="s">
        <v>659</v>
      </c>
      <c r="D155" s="390">
        <f>'4.УЗД'!F1607+'4.УЗД'!F1608</f>
        <v>49.2</v>
      </c>
      <c r="E155" s="391">
        <f>'4.УЗД'!F1610</f>
        <v>10.82</v>
      </c>
      <c r="F155" s="383">
        <f>'4.УЗД'!G1624</f>
        <v>12.45</v>
      </c>
      <c r="G155" s="383">
        <f>'4.УЗД'!H1629</f>
        <v>41.1</v>
      </c>
      <c r="H155" s="384">
        <f>SUM(D155:G155)</f>
        <v>113.57</v>
      </c>
      <c r="I155" s="383">
        <f>'4.УЗД'!H1635+'4.УЗД'!H1640</f>
        <v>6.9</v>
      </c>
      <c r="J155" s="383">
        <f>'4.УЗД'!H1636+'4.УЗД'!H1641</f>
        <v>0</v>
      </c>
      <c r="K155" s="383">
        <f>'4.УЗД'!H1637+'4.УЗД'!H1642</f>
        <v>0</v>
      </c>
      <c r="L155" s="383">
        <f>'4.УЗД'!H1638+'4.УЗД'!H1643</f>
        <v>0.89999999999999991</v>
      </c>
      <c r="M155" s="384">
        <f>SUM(I155:L155)</f>
        <v>7.8000000000000007</v>
      </c>
      <c r="N155" s="384">
        <f>H155+M155</f>
        <v>121.36999999999999</v>
      </c>
      <c r="O155" s="383"/>
      <c r="P155" s="384">
        <f t="shared" si="18"/>
        <v>121</v>
      </c>
      <c r="Q155" s="384">
        <f>'4.УЗД'!F1598</f>
        <v>121</v>
      </c>
      <c r="R155" s="384">
        <f>P155-Q155</f>
        <v>0</v>
      </c>
      <c r="S155" s="384"/>
      <c r="T155" s="384"/>
      <c r="U155" s="384"/>
      <c r="V155" s="384"/>
      <c r="W155" s="384"/>
      <c r="X155" s="384"/>
      <c r="Y155" s="384"/>
      <c r="Z155" s="763" t="str">
        <f>'4.УЗД'!M32</f>
        <v>Ультразвукове дослідження вагітної матки з визначенням стану плаценти</v>
      </c>
      <c r="AA155" s="755"/>
      <c r="AB155" s="755"/>
      <c r="AC155" s="748"/>
      <c r="AD155" s="748"/>
      <c r="AE155" s="748"/>
      <c r="AF155" s="748"/>
      <c r="AG155" s="748"/>
      <c r="AH155" s="748"/>
      <c r="AI155" s="748"/>
      <c r="AJ155" s="748"/>
      <c r="AK155" s="748"/>
      <c r="AL155" s="748"/>
      <c r="AM155" s="748"/>
      <c r="AN155" s="748"/>
      <c r="AO155" s="375"/>
      <c r="AP155" s="375"/>
      <c r="AQ155" s="375"/>
      <c r="AR155" s="375"/>
      <c r="AS155" s="375"/>
      <c r="AT155" s="375"/>
      <c r="AU155" s="375"/>
      <c r="AV155" s="375"/>
      <c r="AW155" s="375"/>
      <c r="AX155" s="375"/>
      <c r="AY155" s="375"/>
      <c r="AZ155" s="375"/>
      <c r="BA155" s="375"/>
      <c r="BB155" s="375"/>
      <c r="BC155" s="375"/>
      <c r="BD155" s="375"/>
      <c r="BE155" s="375"/>
      <c r="BF155" s="375"/>
      <c r="BG155" s="375"/>
      <c r="BH155" s="375"/>
      <c r="BI155" s="375"/>
      <c r="BJ155" s="375"/>
      <c r="BK155" s="375"/>
      <c r="BL155" s="375"/>
      <c r="BM155" s="375"/>
      <c r="BN155" s="375"/>
      <c r="BO155" s="375"/>
    </row>
    <row r="156" spans="1:67" s="6" customFormat="1" x14ac:dyDescent="0.45">
      <c r="A156" s="517"/>
      <c r="B156" s="381" t="s">
        <v>602</v>
      </c>
      <c r="C156" s="385" t="s">
        <v>661</v>
      </c>
      <c r="D156" s="390">
        <f>'4.УЗД'!F1662+'4.УЗД'!F1663</f>
        <v>49.2</v>
      </c>
      <c r="E156" s="391">
        <f>'4.УЗД'!F1665</f>
        <v>10.82</v>
      </c>
      <c r="F156" s="383">
        <f>'4.УЗД'!G1679</f>
        <v>12.45</v>
      </c>
      <c r="G156" s="383">
        <f>'4.УЗД'!H1684</f>
        <v>41.1</v>
      </c>
      <c r="H156" s="384">
        <f>SUM(D156:G156)</f>
        <v>113.57</v>
      </c>
      <c r="I156" s="383">
        <f>'4.УЗД'!H1690+'4.УЗД'!H1695</f>
        <v>6.9</v>
      </c>
      <c r="J156" s="383">
        <f>'4.УЗД'!H1691+'4.УЗД'!H1696</f>
        <v>0</v>
      </c>
      <c r="K156" s="383">
        <f>'4.УЗД'!H1692+'4.УЗД'!H1697</f>
        <v>0</v>
      </c>
      <c r="L156" s="383">
        <f>'4.УЗД'!H1693+'4.УЗД'!H1698</f>
        <v>0.89999999999999991</v>
      </c>
      <c r="M156" s="384">
        <f>SUM(I156:L156)</f>
        <v>7.8000000000000007</v>
      </c>
      <c r="N156" s="384">
        <f>H156+M156</f>
        <v>121.36999999999999</v>
      </c>
      <c r="O156" s="383"/>
      <c r="P156" s="384">
        <f t="shared" si="18"/>
        <v>121</v>
      </c>
      <c r="Q156" s="384">
        <f>'4.УЗД'!F1653</f>
        <v>121</v>
      </c>
      <c r="R156" s="384">
        <f>P156-Q156</f>
        <v>0</v>
      </c>
      <c r="S156" s="384"/>
      <c r="T156" s="384"/>
      <c r="U156" s="384"/>
      <c r="V156" s="384"/>
      <c r="W156" s="384"/>
      <c r="X156" s="384"/>
      <c r="Y156" s="384"/>
      <c r="Z156" s="763" t="str">
        <f>'4.УЗД'!M33</f>
        <v>Доплерометричне дослідження фетоплацентарного і маточно-плацентарного кровообігу</v>
      </c>
      <c r="AA156" s="755"/>
      <c r="AB156" s="755"/>
      <c r="AC156" s="748"/>
      <c r="AD156" s="748"/>
      <c r="AE156" s="748"/>
      <c r="AF156" s="748"/>
      <c r="AG156" s="748"/>
      <c r="AH156" s="748"/>
      <c r="AI156" s="748"/>
      <c r="AJ156" s="748"/>
      <c r="AK156" s="748"/>
      <c r="AL156" s="748"/>
      <c r="AM156" s="748"/>
      <c r="AN156" s="748"/>
      <c r="AO156" s="375"/>
      <c r="AP156" s="375"/>
      <c r="AQ156" s="375"/>
      <c r="AR156" s="375"/>
      <c r="AS156" s="375"/>
      <c r="AT156" s="375"/>
      <c r="AU156" s="375"/>
      <c r="AV156" s="375"/>
      <c r="AW156" s="375"/>
      <c r="AX156" s="375"/>
      <c r="AY156" s="375"/>
      <c r="AZ156" s="375"/>
      <c r="BA156" s="375"/>
      <c r="BB156" s="375"/>
      <c r="BC156" s="375"/>
      <c r="BD156" s="375"/>
      <c r="BE156" s="375"/>
      <c r="BF156" s="375"/>
      <c r="BG156" s="375"/>
      <c r="BH156" s="375"/>
      <c r="BI156" s="375"/>
      <c r="BJ156" s="375"/>
      <c r="BK156" s="375"/>
      <c r="BL156" s="375"/>
      <c r="BM156" s="375"/>
      <c r="BN156" s="375"/>
      <c r="BO156" s="375"/>
    </row>
    <row r="157" spans="1:67" s="6" customFormat="1" x14ac:dyDescent="0.45">
      <c r="A157" s="517"/>
      <c r="B157" s="381" t="s">
        <v>604</v>
      </c>
      <c r="C157" s="385" t="s">
        <v>663</v>
      </c>
      <c r="D157" s="390">
        <f>'4.УЗД'!F1717+'4.УЗД'!F1718</f>
        <v>65.599999999999994</v>
      </c>
      <c r="E157" s="391">
        <f>'4.УЗД'!F1720</f>
        <v>14.43</v>
      </c>
      <c r="F157" s="383">
        <f>'4.УЗД'!G1734</f>
        <v>12.45</v>
      </c>
      <c r="G157" s="383">
        <f>'4.УЗД'!H1739</f>
        <v>54.8</v>
      </c>
      <c r="H157" s="384">
        <f>SUM(D157:G157)</f>
        <v>147.28</v>
      </c>
      <c r="I157" s="383">
        <f>'4.УЗД'!H1745+'4.УЗД'!H1750</f>
        <v>9.1999999999999993</v>
      </c>
      <c r="J157" s="383">
        <f>'4.УЗД'!H1746+'4.УЗД'!H1751</f>
        <v>0</v>
      </c>
      <c r="K157" s="383">
        <f>'4.УЗД'!H1747+'4.УЗД'!H1752</f>
        <v>0</v>
      </c>
      <c r="L157" s="383">
        <f>'4.УЗД'!H1748+'4.УЗД'!H1753</f>
        <v>1.2000000000000002</v>
      </c>
      <c r="M157" s="384">
        <f>SUM(I157:L157)</f>
        <v>10.399999999999999</v>
      </c>
      <c r="N157" s="384">
        <f>H157+M157</f>
        <v>157.68</v>
      </c>
      <c r="O157" s="383"/>
      <c r="P157" s="384">
        <f t="shared" si="18"/>
        <v>158</v>
      </c>
      <c r="Q157" s="384">
        <f>'4.УЗД'!F1708</f>
        <v>158</v>
      </c>
      <c r="R157" s="384">
        <f>P157-Q157</f>
        <v>0</v>
      </c>
      <c r="S157" s="384"/>
      <c r="T157" s="384"/>
      <c r="U157" s="384"/>
      <c r="V157" s="384"/>
      <c r="W157" s="384"/>
      <c r="X157" s="384"/>
      <c r="Y157" s="384"/>
      <c r="Z157" s="763" t="str">
        <f>'4.УЗД'!M34</f>
        <v>Ультразвукове дослідження патології плоду</v>
      </c>
      <c r="AA157" s="755"/>
      <c r="AB157" s="755"/>
      <c r="AC157" s="748"/>
      <c r="AD157" s="748"/>
      <c r="AE157" s="748"/>
      <c r="AF157" s="748"/>
      <c r="AG157" s="748"/>
      <c r="AH157" s="748"/>
      <c r="AI157" s="748"/>
      <c r="AJ157" s="748"/>
      <c r="AK157" s="748"/>
      <c r="AL157" s="748"/>
      <c r="AM157" s="748"/>
      <c r="AN157" s="748"/>
      <c r="AO157" s="375"/>
      <c r="AP157" s="375"/>
      <c r="AQ157" s="375"/>
      <c r="AR157" s="375"/>
      <c r="AS157" s="375"/>
      <c r="AT157" s="375"/>
      <c r="AU157" s="375"/>
      <c r="AV157" s="375"/>
      <c r="AW157" s="375"/>
      <c r="AX157" s="375"/>
      <c r="AY157" s="375"/>
      <c r="AZ157" s="375"/>
      <c r="BA157" s="375"/>
      <c r="BB157" s="375"/>
      <c r="BC157" s="375"/>
      <c r="BD157" s="375"/>
      <c r="BE157" s="375"/>
      <c r="BF157" s="375"/>
      <c r="BG157" s="375"/>
      <c r="BH157" s="375"/>
      <c r="BI157" s="375"/>
      <c r="BJ157" s="375"/>
      <c r="BK157" s="375"/>
      <c r="BL157" s="375"/>
      <c r="BM157" s="375"/>
      <c r="BN157" s="375"/>
      <c r="BO157" s="375"/>
    </row>
    <row r="158" spans="1:67" s="6" customFormat="1" x14ac:dyDescent="0.45">
      <c r="A158" s="517"/>
      <c r="B158" s="381" t="s">
        <v>606</v>
      </c>
      <c r="C158" s="385" t="s">
        <v>665</v>
      </c>
      <c r="D158" s="390">
        <f>'4.УЗД'!F1772+'4.УЗД'!F1773</f>
        <v>49.2</v>
      </c>
      <c r="E158" s="391">
        <f>'4.УЗД'!F1775</f>
        <v>10.82</v>
      </c>
      <c r="F158" s="383">
        <f>'4.УЗД'!G1789</f>
        <v>12.45</v>
      </c>
      <c r="G158" s="383">
        <f>'4.УЗД'!H1794</f>
        <v>41.1</v>
      </c>
      <c r="H158" s="384">
        <f>SUM(D158:G158)</f>
        <v>113.57</v>
      </c>
      <c r="I158" s="383">
        <f>'4.УЗД'!H1800+'4.УЗД'!H1805</f>
        <v>6.9</v>
      </c>
      <c r="J158" s="383">
        <f>'4.УЗД'!H1801+'4.УЗД'!H1806</f>
        <v>0</v>
      </c>
      <c r="K158" s="383">
        <f>'4.УЗД'!H1802+'4.УЗД'!H1807</f>
        <v>0</v>
      </c>
      <c r="L158" s="383">
        <f>'4.УЗД'!H1803+'4.УЗД'!H1808</f>
        <v>0.89999999999999991</v>
      </c>
      <c r="M158" s="384">
        <f>SUM(I158:L158)</f>
        <v>7.8000000000000007</v>
      </c>
      <c r="N158" s="384">
        <f>H158+M158</f>
        <v>121.36999999999999</v>
      </c>
      <c r="O158" s="383"/>
      <c r="P158" s="384">
        <f t="shared" si="18"/>
        <v>121</v>
      </c>
      <c r="Q158" s="384">
        <f>'4.УЗД'!F1763</f>
        <v>121</v>
      </c>
      <c r="R158" s="384">
        <f>P158-Q158</f>
        <v>0</v>
      </c>
      <c r="S158" s="384"/>
      <c r="T158" s="384"/>
      <c r="U158" s="384"/>
      <c r="V158" s="384"/>
      <c r="W158" s="384"/>
      <c r="X158" s="384"/>
      <c r="Y158" s="384"/>
      <c r="Z158" s="763" t="str">
        <f>'4.УЗД'!M35</f>
        <v>Доплерометричне дослідження кровообігу органів малого тазу</v>
      </c>
      <c r="AA158" s="755"/>
      <c r="AB158" s="755"/>
      <c r="AC158" s="748"/>
      <c r="AD158" s="748"/>
      <c r="AE158" s="748"/>
      <c r="AF158" s="748"/>
      <c r="AG158" s="748"/>
      <c r="AH158" s="748"/>
      <c r="AI158" s="748"/>
      <c r="AJ158" s="748"/>
      <c r="AK158" s="748"/>
      <c r="AL158" s="748"/>
      <c r="AM158" s="748"/>
      <c r="AN158" s="748"/>
      <c r="AO158" s="375"/>
      <c r="AP158" s="375"/>
      <c r="AQ158" s="375"/>
      <c r="AR158" s="375"/>
      <c r="AS158" s="375"/>
      <c r="AT158" s="375"/>
      <c r="AU158" s="375"/>
      <c r="AV158" s="375"/>
      <c r="AW158" s="375"/>
      <c r="AX158" s="375"/>
      <c r="AY158" s="375"/>
      <c r="AZ158" s="375"/>
      <c r="BA158" s="375"/>
      <c r="BB158" s="375"/>
      <c r="BC158" s="375"/>
      <c r="BD158" s="375"/>
      <c r="BE158" s="375"/>
      <c r="BF158" s="375"/>
      <c r="BG158" s="375"/>
      <c r="BH158" s="375"/>
      <c r="BI158" s="375"/>
      <c r="BJ158" s="375"/>
      <c r="BK158" s="375"/>
      <c r="BL158" s="375"/>
      <c r="BM158" s="375"/>
      <c r="BN158" s="375"/>
      <c r="BO158" s="375"/>
    </row>
    <row r="159" spans="1:67" s="6" customFormat="1" x14ac:dyDescent="0.45">
      <c r="A159" s="517"/>
      <c r="B159" s="381" t="s">
        <v>608</v>
      </c>
      <c r="C159" s="385" t="s">
        <v>1095</v>
      </c>
      <c r="D159" s="390">
        <f>'4.УЗД'!F1827+'4.УЗД'!F1828</f>
        <v>65.599999999999994</v>
      </c>
      <c r="E159" s="391">
        <f>'4.УЗД'!F1830</f>
        <v>14.43</v>
      </c>
      <c r="F159" s="383">
        <f>'4.УЗД'!G1844</f>
        <v>12.45</v>
      </c>
      <c r="G159" s="383">
        <f>'4.УЗД'!H1849</f>
        <v>54.8</v>
      </c>
      <c r="H159" s="384">
        <f t="shared" si="14"/>
        <v>147.28</v>
      </c>
      <c r="I159" s="383">
        <f>'4.УЗД'!H1855+'4.УЗД'!H1860</f>
        <v>9.1999999999999993</v>
      </c>
      <c r="J159" s="383">
        <f>'4.УЗД'!H1856+'4.УЗД'!H1861</f>
        <v>0</v>
      </c>
      <c r="K159" s="383">
        <f>'4.УЗД'!H1857+'4.УЗД'!H1862</f>
        <v>0</v>
      </c>
      <c r="L159" s="383">
        <f>'4.УЗД'!H1858+'4.УЗД'!H1863</f>
        <v>1.2000000000000002</v>
      </c>
      <c r="M159" s="384">
        <f t="shared" si="15"/>
        <v>10.399999999999999</v>
      </c>
      <c r="N159" s="384">
        <f t="shared" si="16"/>
        <v>157.68</v>
      </c>
      <c r="O159" s="383"/>
      <c r="P159" s="384">
        <f t="shared" si="18"/>
        <v>158</v>
      </c>
      <c r="Q159" s="384">
        <f>'4.УЗД'!F1818</f>
        <v>158</v>
      </c>
      <c r="R159" s="384">
        <f t="shared" si="17"/>
        <v>0</v>
      </c>
      <c r="S159" s="384"/>
      <c r="T159" s="384"/>
      <c r="U159" s="384"/>
      <c r="V159" s="384"/>
      <c r="W159" s="384"/>
      <c r="X159" s="384"/>
      <c r="Y159" s="384"/>
      <c r="Z159" s="763" t="str">
        <f>'4.УЗД'!M36</f>
        <v>Ультразвукові дослідження в акушерстві</v>
      </c>
      <c r="AA159" s="755"/>
      <c r="AB159" s="755"/>
      <c r="AC159" s="748"/>
      <c r="AD159" s="748"/>
      <c r="AE159" s="748"/>
      <c r="AF159" s="748"/>
      <c r="AG159" s="748"/>
      <c r="AH159" s="748"/>
      <c r="AI159" s="748"/>
      <c r="AJ159" s="748"/>
      <c r="AK159" s="748"/>
      <c r="AL159" s="748"/>
      <c r="AM159" s="748"/>
      <c r="AN159" s="748"/>
      <c r="AO159" s="375"/>
      <c r="AP159" s="375"/>
      <c r="AQ159" s="375"/>
      <c r="AR159" s="375"/>
      <c r="AS159" s="375"/>
      <c r="AT159" s="375"/>
      <c r="AU159" s="375"/>
      <c r="AV159" s="375"/>
      <c r="AW159" s="375"/>
      <c r="AX159" s="375"/>
      <c r="AY159" s="375"/>
      <c r="AZ159" s="375"/>
      <c r="BA159" s="375"/>
      <c r="BB159" s="375"/>
      <c r="BC159" s="375"/>
      <c r="BD159" s="375"/>
      <c r="BE159" s="375"/>
      <c r="BF159" s="375"/>
      <c r="BG159" s="375"/>
      <c r="BH159" s="375"/>
      <c r="BI159" s="375"/>
      <c r="BJ159" s="375"/>
      <c r="BK159" s="375"/>
      <c r="BL159" s="375"/>
      <c r="BM159" s="375"/>
      <c r="BN159" s="375"/>
      <c r="BO159" s="375"/>
    </row>
    <row r="160" spans="1:67" s="6" customFormat="1" x14ac:dyDescent="0.45">
      <c r="A160" s="517"/>
      <c r="B160" s="381" t="s">
        <v>610</v>
      </c>
      <c r="C160" s="411" t="s">
        <v>545</v>
      </c>
      <c r="D160" s="390">
        <f>'4.УЗД'!F1882+'4.УЗД'!F1883</f>
        <v>32.6</v>
      </c>
      <c r="E160" s="391">
        <f>'4.УЗД'!F1885</f>
        <v>7.17</v>
      </c>
      <c r="F160" s="383">
        <f>'4.УЗД'!F1887</f>
        <v>12.45</v>
      </c>
      <c r="G160" s="383">
        <f>'4.УЗД'!F1901</f>
        <v>27.4</v>
      </c>
      <c r="H160" s="384">
        <f t="shared" si="14"/>
        <v>79.62</v>
      </c>
      <c r="I160" s="383">
        <f>'4.УЗД'!H1910+'4.УЗД'!H1915</f>
        <v>4.5999999999999996</v>
      </c>
      <c r="J160" s="383">
        <f>'4.УЗД'!H1911+'4.УЗД'!H1916</f>
        <v>0</v>
      </c>
      <c r="K160" s="383">
        <f>'4.УЗД'!H1912+'4.УЗД'!H1917</f>
        <v>0</v>
      </c>
      <c r="L160" s="383">
        <f>'4.УЗД'!H1913+'4.УЗД'!H1918</f>
        <v>0.60000000000000009</v>
      </c>
      <c r="M160" s="384">
        <f t="shared" si="15"/>
        <v>5.1999999999999993</v>
      </c>
      <c r="N160" s="384">
        <f t="shared" si="16"/>
        <v>84.820000000000007</v>
      </c>
      <c r="O160" s="383"/>
      <c r="P160" s="384">
        <f t="shared" si="18"/>
        <v>85</v>
      </c>
      <c r="Q160" s="384">
        <f>'4.УЗД'!F1873</f>
        <v>85</v>
      </c>
      <c r="R160" s="384">
        <f t="shared" si="17"/>
        <v>0</v>
      </c>
      <c r="S160" s="384"/>
      <c r="T160" s="384"/>
      <c r="U160" s="384"/>
      <c r="V160" s="384"/>
      <c r="W160" s="384"/>
      <c r="X160" s="384"/>
      <c r="Y160" s="384"/>
      <c r="Z160" s="763" t="str">
        <f>'4.УЗД'!M37</f>
        <v>Ультразвукова доплерографія екстракраніальних артерій і вен голови</v>
      </c>
      <c r="AA160" s="755"/>
      <c r="AB160" s="755"/>
      <c r="AC160" s="748"/>
      <c r="AD160" s="748"/>
      <c r="AE160" s="748"/>
      <c r="AF160" s="748"/>
      <c r="AG160" s="748"/>
      <c r="AH160" s="748"/>
      <c r="AI160" s="748"/>
      <c r="AJ160" s="748"/>
      <c r="AK160" s="748"/>
      <c r="AL160" s="748"/>
      <c r="AM160" s="748"/>
      <c r="AN160" s="748"/>
      <c r="AO160" s="375"/>
      <c r="AP160" s="375"/>
      <c r="AQ160" s="375"/>
      <c r="AR160" s="375"/>
      <c r="AS160" s="375"/>
      <c r="AT160" s="375"/>
      <c r="AU160" s="375"/>
      <c r="AV160" s="375"/>
      <c r="AW160" s="375"/>
      <c r="AX160" s="375"/>
      <c r="AY160" s="375"/>
      <c r="AZ160" s="375"/>
      <c r="BA160" s="375"/>
      <c r="BB160" s="375"/>
      <c r="BC160" s="375"/>
      <c r="BD160" s="375"/>
      <c r="BE160" s="375"/>
      <c r="BF160" s="375"/>
      <c r="BG160" s="375"/>
      <c r="BH160" s="375"/>
      <c r="BI160" s="375"/>
      <c r="BJ160" s="375"/>
      <c r="BK160" s="375"/>
      <c r="BL160" s="375"/>
      <c r="BM160" s="375"/>
      <c r="BN160" s="375"/>
      <c r="BO160" s="375"/>
    </row>
    <row r="161" spans="1:67" s="6" customFormat="1" x14ac:dyDescent="0.45">
      <c r="A161" s="517"/>
      <c r="B161" s="381" t="s">
        <v>612</v>
      </c>
      <c r="C161" s="411" t="s">
        <v>547</v>
      </c>
      <c r="D161" s="390">
        <f>'4.УЗД'!F1937+'4.УЗД'!F1938</f>
        <v>24.6</v>
      </c>
      <c r="E161" s="391">
        <f>'4.УЗД'!F1940</f>
        <v>5.41</v>
      </c>
      <c r="F161" s="383">
        <f>'4.УЗД'!F1942</f>
        <v>12.45</v>
      </c>
      <c r="G161" s="383">
        <f>'4.УЗД'!F1956</f>
        <v>20.55</v>
      </c>
      <c r="H161" s="384">
        <f t="shared" si="14"/>
        <v>63.010000000000005</v>
      </c>
      <c r="I161" s="383">
        <f>'4.УЗД'!H1965+'4.УЗД'!H1970</f>
        <v>3.45</v>
      </c>
      <c r="J161" s="383">
        <f>'4.УЗД'!H1966+'4.УЗД'!H1971</f>
        <v>0</v>
      </c>
      <c r="K161" s="383">
        <f>'4.УЗД'!H1967+'4.УЗД'!H1972</f>
        <v>0</v>
      </c>
      <c r="L161" s="383">
        <f>'4.УЗД'!H1968+'4.УЗД'!H1973</f>
        <v>0.44999999999999996</v>
      </c>
      <c r="M161" s="384">
        <f t="shared" si="15"/>
        <v>3.9000000000000004</v>
      </c>
      <c r="N161" s="384">
        <f t="shared" si="16"/>
        <v>66.910000000000011</v>
      </c>
      <c r="O161" s="383"/>
      <c r="P161" s="384">
        <f t="shared" si="18"/>
        <v>67</v>
      </c>
      <c r="Q161" s="384">
        <f>'4.УЗД'!F1928</f>
        <v>67</v>
      </c>
      <c r="R161" s="384">
        <f t="shared" si="17"/>
        <v>0</v>
      </c>
      <c r="S161" s="384"/>
      <c r="T161" s="384"/>
      <c r="U161" s="384"/>
      <c r="V161" s="384"/>
      <c r="W161" s="384"/>
      <c r="X161" s="384"/>
      <c r="Y161" s="384"/>
      <c r="Z161" s="763" t="str">
        <f>'4.УЗД'!M38</f>
        <v>Ультразвукове дослідження паращитоподібних залоз</v>
      </c>
      <c r="AA161" s="755"/>
      <c r="AB161" s="755"/>
      <c r="AC161" s="748"/>
      <c r="AD161" s="748"/>
      <c r="AE161" s="748"/>
      <c r="AF161" s="748"/>
      <c r="AG161" s="748"/>
      <c r="AH161" s="748"/>
      <c r="AI161" s="748"/>
      <c r="AJ161" s="748"/>
      <c r="AK161" s="748"/>
      <c r="AL161" s="748"/>
      <c r="AM161" s="748"/>
      <c r="AN161" s="748"/>
      <c r="AO161" s="375"/>
      <c r="AP161" s="375"/>
      <c r="AQ161" s="375"/>
      <c r="AR161" s="375"/>
      <c r="AS161" s="375"/>
      <c r="AT161" s="375"/>
      <c r="AU161" s="375"/>
      <c r="AV161" s="375"/>
      <c r="AW161" s="375"/>
      <c r="AX161" s="375"/>
      <c r="AY161" s="375"/>
      <c r="AZ161" s="375"/>
      <c r="BA161" s="375"/>
      <c r="BB161" s="375"/>
      <c r="BC161" s="375"/>
      <c r="BD161" s="375"/>
      <c r="BE161" s="375"/>
      <c r="BF161" s="375"/>
      <c r="BG161" s="375"/>
      <c r="BH161" s="375"/>
      <c r="BI161" s="375"/>
      <c r="BJ161" s="375"/>
      <c r="BK161" s="375"/>
      <c r="BL161" s="375"/>
      <c r="BM161" s="375"/>
      <c r="BN161" s="375"/>
      <c r="BO161" s="375"/>
    </row>
    <row r="162" spans="1:67" s="6" customFormat="1" x14ac:dyDescent="0.45">
      <c r="A162" s="517"/>
      <c r="B162" s="381" t="s">
        <v>614</v>
      </c>
      <c r="C162" s="411" t="s">
        <v>597</v>
      </c>
      <c r="D162" s="390">
        <f>'4.УЗД'!F1992+'4.УЗД'!F1993</f>
        <v>48.9</v>
      </c>
      <c r="E162" s="391">
        <f>'4.УЗД'!F1995</f>
        <v>10.76</v>
      </c>
      <c r="F162" s="383">
        <f>'4.УЗД'!F1997</f>
        <v>12.45</v>
      </c>
      <c r="G162" s="383">
        <f>'4.УЗД'!F2011</f>
        <v>41.1</v>
      </c>
      <c r="H162" s="384">
        <f t="shared" si="14"/>
        <v>113.21000000000001</v>
      </c>
      <c r="I162" s="383">
        <f>'4.УЗД'!H2020+'4.УЗД'!H2025</f>
        <v>6.9</v>
      </c>
      <c r="J162" s="383">
        <f>'4.УЗД'!H2021+'4.УЗД'!H2026</f>
        <v>0</v>
      </c>
      <c r="K162" s="383">
        <f>'4.УЗД'!H2022+'4.УЗД'!H2027</f>
        <v>0</v>
      </c>
      <c r="L162" s="383">
        <f>'4.УЗД'!H2023+'4.УЗД'!H2028</f>
        <v>0.89999999999999991</v>
      </c>
      <c r="M162" s="384">
        <f t="shared" si="15"/>
        <v>7.8000000000000007</v>
      </c>
      <c r="N162" s="384">
        <f t="shared" si="16"/>
        <v>121.01</v>
      </c>
      <c r="O162" s="383"/>
      <c r="P162" s="384">
        <f t="shared" si="18"/>
        <v>121</v>
      </c>
      <c r="Q162" s="384">
        <f>'4.УЗД'!F1983</f>
        <v>121</v>
      </c>
      <c r="R162" s="384">
        <f t="shared" si="17"/>
        <v>0</v>
      </c>
      <c r="S162" s="384"/>
      <c r="T162" s="384"/>
      <c r="U162" s="384"/>
      <c r="V162" s="384"/>
      <c r="W162" s="384"/>
      <c r="X162" s="384"/>
      <c r="Y162" s="384"/>
      <c r="Z162" s="763" t="str">
        <f>'4.УЗД'!M39</f>
        <v>Доплерографія судин нирок</v>
      </c>
      <c r="AA162" s="755"/>
      <c r="AB162" s="755"/>
      <c r="AC162" s="748"/>
      <c r="AD162" s="748"/>
      <c r="AE162" s="748"/>
      <c r="AF162" s="748"/>
      <c r="AG162" s="748"/>
      <c r="AH162" s="748"/>
      <c r="AI162" s="748"/>
      <c r="AJ162" s="748"/>
      <c r="AK162" s="748"/>
      <c r="AL162" s="748"/>
      <c r="AM162" s="748"/>
      <c r="AN162" s="748"/>
      <c r="AO162" s="375"/>
      <c r="AP162" s="375"/>
      <c r="AQ162" s="375"/>
      <c r="AR162" s="375"/>
      <c r="AS162" s="375"/>
      <c r="AT162" s="375"/>
      <c r="AU162" s="375"/>
      <c r="AV162" s="375"/>
      <c r="AW162" s="375"/>
      <c r="AX162" s="375"/>
      <c r="AY162" s="375"/>
      <c r="AZ162" s="375"/>
      <c r="BA162" s="375"/>
      <c r="BB162" s="375"/>
      <c r="BC162" s="375"/>
      <c r="BD162" s="375"/>
      <c r="BE162" s="375"/>
      <c r="BF162" s="375"/>
      <c r="BG162" s="375"/>
      <c r="BH162" s="375"/>
      <c r="BI162" s="375"/>
      <c r="BJ162" s="375"/>
      <c r="BK162" s="375"/>
      <c r="BL162" s="375"/>
      <c r="BM162" s="375"/>
      <c r="BN162" s="375"/>
      <c r="BO162" s="375"/>
    </row>
    <row r="163" spans="1:67" s="6" customFormat="1" x14ac:dyDescent="0.45">
      <c r="A163" s="517"/>
      <c r="B163" s="381" t="s">
        <v>616</v>
      </c>
      <c r="C163" s="411" t="s">
        <v>599</v>
      </c>
      <c r="D163" s="390">
        <f>'4.УЗД'!F2047+'4.УЗД'!F2048</f>
        <v>33.200000000000003</v>
      </c>
      <c r="E163" s="391">
        <f>'4.УЗД'!F2050</f>
        <v>7.3</v>
      </c>
      <c r="F163" s="383">
        <f>'4.УЗД'!F2052</f>
        <v>12.45</v>
      </c>
      <c r="G163" s="383">
        <f>'4.УЗД'!F2066</f>
        <v>27.4</v>
      </c>
      <c r="H163" s="384">
        <f t="shared" si="14"/>
        <v>80.349999999999994</v>
      </c>
      <c r="I163" s="383">
        <f>'4.УЗД'!H2075+'4.УЗД'!H2080</f>
        <v>4.5999999999999996</v>
      </c>
      <c r="J163" s="383">
        <f>'4.УЗД'!H2076+'4.УЗД'!H2081</f>
        <v>0</v>
      </c>
      <c r="K163" s="383">
        <f>'4.УЗД'!H2077+'4.УЗД'!H2082</f>
        <v>0</v>
      </c>
      <c r="L163" s="383">
        <f>'4.УЗД'!H2078+'4.УЗД'!H2083</f>
        <v>0.60000000000000009</v>
      </c>
      <c r="M163" s="384">
        <f t="shared" si="15"/>
        <v>5.1999999999999993</v>
      </c>
      <c r="N163" s="384">
        <f t="shared" si="16"/>
        <v>85.55</v>
      </c>
      <c r="O163" s="383"/>
      <c r="P163" s="384">
        <f t="shared" si="18"/>
        <v>86</v>
      </c>
      <c r="Q163" s="384">
        <f>'4.УЗД'!F2038</f>
        <v>86</v>
      </c>
      <c r="R163" s="384">
        <f t="shared" si="17"/>
        <v>0</v>
      </c>
      <c r="S163" s="384"/>
      <c r="T163" s="384"/>
      <c r="U163" s="384"/>
      <c r="V163" s="384"/>
      <c r="W163" s="384"/>
      <c r="X163" s="384"/>
      <c r="Y163" s="384"/>
      <c r="Z163" s="763" t="str">
        <f>'4.УЗД'!M40</f>
        <v>Доплерографія судин печінки</v>
      </c>
      <c r="AA163" s="755"/>
      <c r="AB163" s="755"/>
      <c r="AC163" s="748"/>
      <c r="AD163" s="748"/>
      <c r="AE163" s="748"/>
      <c r="AF163" s="748"/>
      <c r="AG163" s="748"/>
      <c r="AH163" s="748"/>
      <c r="AI163" s="748"/>
      <c r="AJ163" s="748"/>
      <c r="AK163" s="748"/>
      <c r="AL163" s="748"/>
      <c r="AM163" s="748"/>
      <c r="AN163" s="748"/>
      <c r="AO163" s="375"/>
      <c r="AP163" s="375"/>
      <c r="AQ163" s="375"/>
      <c r="AR163" s="375"/>
      <c r="AS163" s="375"/>
      <c r="AT163" s="375"/>
      <c r="AU163" s="375"/>
      <c r="AV163" s="375"/>
      <c r="AW163" s="375"/>
      <c r="AX163" s="375"/>
      <c r="AY163" s="375"/>
      <c r="AZ163" s="375"/>
      <c r="BA163" s="375"/>
      <c r="BB163" s="375"/>
      <c r="BC163" s="375"/>
      <c r="BD163" s="375"/>
      <c r="BE163" s="375"/>
      <c r="BF163" s="375"/>
      <c r="BG163" s="375"/>
      <c r="BH163" s="375"/>
      <c r="BI163" s="375"/>
      <c r="BJ163" s="375"/>
      <c r="BK163" s="375"/>
      <c r="BL163" s="375"/>
      <c r="BM163" s="375"/>
      <c r="BN163" s="375"/>
      <c r="BO163" s="375"/>
    </row>
    <row r="164" spans="1:67" s="6" customFormat="1" x14ac:dyDescent="0.45">
      <c r="A164" s="517"/>
      <c r="B164" s="381" t="s">
        <v>618</v>
      </c>
      <c r="C164" s="411" t="s">
        <v>601</v>
      </c>
      <c r="D164" s="390">
        <f>'4.УЗД'!F2102+'4.УЗД'!F2103</f>
        <v>24.9</v>
      </c>
      <c r="E164" s="391">
        <f>'4.УЗД'!F2105</f>
        <v>5.48</v>
      </c>
      <c r="F164" s="383">
        <f>'4.УЗД'!F2107</f>
        <v>12.45</v>
      </c>
      <c r="G164" s="383">
        <f>'4.УЗД'!F2121</f>
        <v>20.55</v>
      </c>
      <c r="H164" s="384">
        <f t="shared" si="14"/>
        <v>63.379999999999995</v>
      </c>
      <c r="I164" s="383">
        <f>'4.УЗД'!H2130+'4.УЗД'!H2135</f>
        <v>3.45</v>
      </c>
      <c r="J164" s="383">
        <f>'4.УЗД'!H2131+'4.УЗД'!H2136</f>
        <v>0</v>
      </c>
      <c r="K164" s="383">
        <f>'4.УЗД'!H2132+'4.УЗД'!H2137</f>
        <v>0</v>
      </c>
      <c r="L164" s="383">
        <f>'4.УЗД'!H2133+'4.УЗД'!H2138</f>
        <v>0.44999999999999996</v>
      </c>
      <c r="M164" s="384">
        <f t="shared" si="15"/>
        <v>3.9000000000000004</v>
      </c>
      <c r="N164" s="384">
        <f t="shared" si="16"/>
        <v>67.28</v>
      </c>
      <c r="O164" s="383"/>
      <c r="P164" s="384">
        <f t="shared" si="18"/>
        <v>67</v>
      </c>
      <c r="Q164" s="384">
        <f>'4.УЗД'!F2093</f>
        <v>67</v>
      </c>
      <c r="R164" s="384">
        <f t="shared" si="17"/>
        <v>0</v>
      </c>
      <c r="S164" s="384"/>
      <c r="T164" s="384"/>
      <c r="U164" s="384"/>
      <c r="V164" s="384"/>
      <c r="W164" s="384"/>
      <c r="X164" s="384"/>
      <c r="Y164" s="384"/>
      <c r="Z164" s="763" t="str">
        <f>'4.УЗД'!M41</f>
        <v>Доплерографія селезінкових судин</v>
      </c>
      <c r="AA164" s="755"/>
      <c r="AB164" s="755"/>
      <c r="AC164" s="748"/>
      <c r="AD164" s="748"/>
      <c r="AE164" s="748"/>
      <c r="AF164" s="748"/>
      <c r="AG164" s="748"/>
      <c r="AH164" s="748"/>
      <c r="AI164" s="748"/>
      <c r="AJ164" s="748"/>
      <c r="AK164" s="748"/>
      <c r="AL164" s="748"/>
      <c r="AM164" s="748"/>
      <c r="AN164" s="748"/>
      <c r="AO164" s="375"/>
      <c r="AP164" s="375"/>
      <c r="AQ164" s="375"/>
      <c r="AR164" s="375"/>
      <c r="AS164" s="375"/>
      <c r="AT164" s="375"/>
      <c r="AU164" s="375"/>
      <c r="AV164" s="375"/>
      <c r="AW164" s="375"/>
      <c r="AX164" s="375"/>
      <c r="AY164" s="375"/>
      <c r="AZ164" s="375"/>
      <c r="BA164" s="375"/>
      <c r="BB164" s="375"/>
      <c r="BC164" s="375"/>
      <c r="BD164" s="375"/>
      <c r="BE164" s="375"/>
      <c r="BF164" s="375"/>
      <c r="BG164" s="375"/>
      <c r="BH164" s="375"/>
      <c r="BI164" s="375"/>
      <c r="BJ164" s="375"/>
      <c r="BK164" s="375"/>
      <c r="BL164" s="375"/>
      <c r="BM164" s="375"/>
      <c r="BN164" s="375"/>
      <c r="BO164" s="375"/>
    </row>
    <row r="165" spans="1:67" s="6" customFormat="1" x14ac:dyDescent="0.45">
      <c r="A165" s="517"/>
      <c r="B165" s="381" t="s">
        <v>620</v>
      </c>
      <c r="C165" s="385" t="s">
        <v>603</v>
      </c>
      <c r="D165" s="390">
        <f>'4.УЗД'!F2157+'4.УЗД'!F2158</f>
        <v>49.8</v>
      </c>
      <c r="E165" s="391">
        <f>'4.УЗД'!F2160</f>
        <v>10.96</v>
      </c>
      <c r="F165" s="383">
        <f>'4.УЗД'!F2162</f>
        <v>12.45</v>
      </c>
      <c r="G165" s="383">
        <f>'4.УЗД'!F2176</f>
        <v>41.1</v>
      </c>
      <c r="H165" s="384">
        <f t="shared" si="14"/>
        <v>114.31</v>
      </c>
      <c r="I165" s="383">
        <f>'4.УЗД'!H2185+'4.УЗД'!H2190</f>
        <v>6.9</v>
      </c>
      <c r="J165" s="383">
        <f>'4.УЗД'!H2186+'4.УЗД'!H2191</f>
        <v>0</v>
      </c>
      <c r="K165" s="383">
        <f>'4.УЗД'!H2187+'4.УЗД'!H2192</f>
        <v>0</v>
      </c>
      <c r="L165" s="383">
        <f>'4.УЗД'!H2188+'4.УЗД'!H2193</f>
        <v>0.89999999999999991</v>
      </c>
      <c r="M165" s="384">
        <f t="shared" si="15"/>
        <v>7.8000000000000007</v>
      </c>
      <c r="N165" s="384">
        <f t="shared" si="16"/>
        <v>122.11</v>
      </c>
      <c r="O165" s="383"/>
      <c r="P165" s="384">
        <f t="shared" si="18"/>
        <v>122</v>
      </c>
      <c r="Q165" s="384">
        <f>'4.УЗД'!F2148</f>
        <v>122</v>
      </c>
      <c r="R165" s="384">
        <f t="shared" si="17"/>
        <v>0</v>
      </c>
      <c r="S165" s="384"/>
      <c r="T165" s="384"/>
      <c r="U165" s="384"/>
      <c r="V165" s="384"/>
      <c r="W165" s="384"/>
      <c r="X165" s="384"/>
      <c r="Y165" s="384"/>
      <c r="Z165" s="763" t="str">
        <f>'4.УЗД'!M42</f>
        <v>Доплерографія артерій верхніх кінцівок</v>
      </c>
      <c r="AA165" s="755"/>
      <c r="AB165" s="755"/>
      <c r="AC165" s="748"/>
      <c r="AD165" s="748"/>
      <c r="AE165" s="748"/>
      <c r="AF165" s="748"/>
      <c r="AG165" s="748"/>
      <c r="AH165" s="748"/>
      <c r="AI165" s="748"/>
      <c r="AJ165" s="748"/>
      <c r="AK165" s="748"/>
      <c r="AL165" s="748"/>
      <c r="AM165" s="748"/>
      <c r="AN165" s="748"/>
      <c r="AO165" s="375"/>
      <c r="AP165" s="375"/>
      <c r="AQ165" s="375"/>
      <c r="AR165" s="375"/>
      <c r="AS165" s="375"/>
      <c r="AT165" s="375"/>
      <c r="AU165" s="375"/>
      <c r="AV165" s="375"/>
      <c r="AW165" s="375"/>
      <c r="AX165" s="375"/>
      <c r="AY165" s="375"/>
      <c r="AZ165" s="375"/>
      <c r="BA165" s="375"/>
      <c r="BB165" s="375"/>
      <c r="BC165" s="375"/>
      <c r="BD165" s="375"/>
      <c r="BE165" s="375"/>
      <c r="BF165" s="375"/>
      <c r="BG165" s="375"/>
      <c r="BH165" s="375"/>
      <c r="BI165" s="375"/>
      <c r="BJ165" s="375"/>
      <c r="BK165" s="375"/>
      <c r="BL165" s="375"/>
      <c r="BM165" s="375"/>
      <c r="BN165" s="375"/>
      <c r="BO165" s="375"/>
    </row>
    <row r="166" spans="1:67" s="6" customFormat="1" x14ac:dyDescent="0.45">
      <c r="A166" s="517"/>
      <c r="B166" s="381" t="s">
        <v>622</v>
      </c>
      <c r="C166" s="385" t="s">
        <v>605</v>
      </c>
      <c r="D166" s="390">
        <f>'4.УЗД'!F2212+'4.УЗД'!F2213</f>
        <v>49.8</v>
      </c>
      <c r="E166" s="391">
        <f>'4.УЗД'!F2215</f>
        <v>10.96</v>
      </c>
      <c r="F166" s="383">
        <f>'4.УЗД'!F2217</f>
        <v>12.45</v>
      </c>
      <c r="G166" s="383">
        <f>'4.УЗД'!F2231</f>
        <v>41.1</v>
      </c>
      <c r="H166" s="384">
        <f t="shared" si="14"/>
        <v>114.31</v>
      </c>
      <c r="I166" s="383">
        <f>'4.УЗД'!H2240+'4.УЗД'!H2245</f>
        <v>6.9</v>
      </c>
      <c r="J166" s="383">
        <f>'4.УЗД'!H2241+'4.УЗД'!H2246</f>
        <v>0</v>
      </c>
      <c r="K166" s="383">
        <f>'4.УЗД'!H2242+'4.УЗД'!H2247</f>
        <v>0</v>
      </c>
      <c r="L166" s="383">
        <f>'4.УЗД'!H2243+'4.УЗД'!H2248</f>
        <v>0.89999999999999991</v>
      </c>
      <c r="M166" s="384">
        <f t="shared" si="15"/>
        <v>7.8000000000000007</v>
      </c>
      <c r="N166" s="384">
        <f t="shared" si="16"/>
        <v>122.11</v>
      </c>
      <c r="O166" s="383"/>
      <c r="P166" s="384">
        <f t="shared" si="18"/>
        <v>122</v>
      </c>
      <c r="Q166" s="384">
        <f>'4.УЗД'!F2203</f>
        <v>122</v>
      </c>
      <c r="R166" s="384">
        <f t="shared" si="17"/>
        <v>0</v>
      </c>
      <c r="S166" s="384"/>
      <c r="T166" s="384"/>
      <c r="U166" s="384"/>
      <c r="V166" s="384"/>
      <c r="W166" s="384"/>
      <c r="X166" s="384"/>
      <c r="Y166" s="384"/>
      <c r="Z166" s="763" t="str">
        <f>'4.УЗД'!M43</f>
        <v>Доплерографія артерій нижніх кінцівок</v>
      </c>
      <c r="AA166" s="755"/>
      <c r="AB166" s="755"/>
      <c r="AC166" s="748"/>
      <c r="AD166" s="748"/>
      <c r="AE166" s="748"/>
      <c r="AF166" s="748"/>
      <c r="AG166" s="748"/>
      <c r="AH166" s="748"/>
      <c r="AI166" s="748"/>
      <c r="AJ166" s="748"/>
      <c r="AK166" s="748"/>
      <c r="AL166" s="748"/>
      <c r="AM166" s="748"/>
      <c r="AN166" s="748"/>
      <c r="AO166" s="375"/>
      <c r="AP166" s="375"/>
      <c r="AQ166" s="375"/>
      <c r="AR166" s="375"/>
      <c r="AS166" s="375"/>
      <c r="AT166" s="375"/>
      <c r="AU166" s="375"/>
      <c r="AV166" s="375"/>
      <c r="AW166" s="375"/>
      <c r="AX166" s="375"/>
      <c r="AY166" s="375"/>
      <c r="AZ166" s="375"/>
      <c r="BA166" s="375"/>
      <c r="BB166" s="375"/>
      <c r="BC166" s="375"/>
      <c r="BD166" s="375"/>
      <c r="BE166" s="375"/>
      <c r="BF166" s="375"/>
      <c r="BG166" s="375"/>
      <c r="BH166" s="375"/>
      <c r="BI166" s="375"/>
      <c r="BJ166" s="375"/>
      <c r="BK166" s="375"/>
      <c r="BL166" s="375"/>
      <c r="BM166" s="375"/>
      <c r="BN166" s="375"/>
      <c r="BO166" s="375"/>
    </row>
    <row r="167" spans="1:67" s="6" customFormat="1" x14ac:dyDescent="0.45">
      <c r="A167" s="517"/>
      <c r="B167" s="381"/>
      <c r="C167" s="385"/>
      <c r="D167" s="390"/>
      <c r="E167" s="391"/>
      <c r="F167" s="383"/>
      <c r="G167" s="383"/>
      <c r="H167" s="384"/>
      <c r="I167" s="383"/>
      <c r="J167" s="383"/>
      <c r="K167" s="383"/>
      <c r="L167" s="383"/>
      <c r="M167" s="384"/>
      <c r="N167" s="384"/>
      <c r="O167" s="383"/>
      <c r="P167" s="384"/>
      <c r="Q167" s="384"/>
      <c r="R167" s="384"/>
      <c r="S167" s="384"/>
      <c r="T167" s="384"/>
      <c r="U167" s="384"/>
      <c r="V167" s="384"/>
      <c r="W167" s="384"/>
      <c r="X167" s="384"/>
      <c r="Y167" s="384"/>
      <c r="Z167" s="763"/>
      <c r="AA167" s="755"/>
      <c r="AB167" s="755"/>
      <c r="AC167" s="748"/>
      <c r="AD167" s="748"/>
      <c r="AE167" s="748"/>
      <c r="AF167" s="748"/>
      <c r="AG167" s="748"/>
      <c r="AH167" s="748"/>
      <c r="AI167" s="748"/>
      <c r="AJ167" s="748"/>
      <c r="AK167" s="748"/>
      <c r="AL167" s="748"/>
      <c r="AM167" s="748"/>
      <c r="AN167" s="748"/>
      <c r="AO167" s="375"/>
      <c r="AP167" s="375"/>
      <c r="AQ167" s="375"/>
      <c r="AR167" s="375"/>
      <c r="AS167" s="375"/>
      <c r="AT167" s="375"/>
      <c r="AU167" s="375"/>
      <c r="AV167" s="375"/>
      <c r="AW167" s="375"/>
      <c r="AX167" s="375"/>
      <c r="AY167" s="375"/>
      <c r="AZ167" s="375"/>
      <c r="BA167" s="375"/>
      <c r="BB167" s="375"/>
      <c r="BC167" s="375"/>
      <c r="BD167" s="375"/>
      <c r="BE167" s="375"/>
      <c r="BF167" s="375"/>
      <c r="BG167" s="375"/>
      <c r="BH167" s="375"/>
      <c r="BI167" s="375"/>
      <c r="BJ167" s="375"/>
      <c r="BK167" s="375"/>
      <c r="BL167" s="375"/>
      <c r="BM167" s="375"/>
      <c r="BN167" s="375"/>
      <c r="BO167" s="375"/>
    </row>
    <row r="168" spans="1:67" s="811" customFormat="1" x14ac:dyDescent="0.45">
      <c r="A168" s="800"/>
      <c r="B168" s="801"/>
      <c r="C168" s="802"/>
      <c r="D168" s="803" t="s">
        <v>1118</v>
      </c>
      <c r="E168" s="804">
        <v>0.22</v>
      </c>
      <c r="F168" s="803" t="s">
        <v>1119</v>
      </c>
      <c r="G168" s="803" t="s">
        <v>1125</v>
      </c>
      <c r="H168" s="805" t="s">
        <v>1120</v>
      </c>
      <c r="I168" s="803" t="s">
        <v>1121</v>
      </c>
      <c r="J168" s="803" t="s">
        <v>1122</v>
      </c>
      <c r="K168" s="803" t="s">
        <v>1126</v>
      </c>
      <c r="L168" s="803" t="s">
        <v>1123</v>
      </c>
      <c r="M168" s="805" t="s">
        <v>1127</v>
      </c>
      <c r="N168" s="805" t="s">
        <v>988</v>
      </c>
      <c r="O168" s="803" t="s">
        <v>1181</v>
      </c>
      <c r="P168" s="805" t="s">
        <v>998</v>
      </c>
      <c r="Q168" s="805"/>
      <c r="R168" s="806"/>
      <c r="S168" s="805"/>
      <c r="T168" s="805"/>
      <c r="U168" s="805"/>
      <c r="V168" s="805"/>
      <c r="W168" s="805"/>
      <c r="X168" s="805"/>
      <c r="Y168" s="805"/>
      <c r="Z168" s="807"/>
      <c r="AA168" s="808"/>
      <c r="AB168" s="808"/>
      <c r="AC168" s="809"/>
      <c r="AD168" s="809"/>
      <c r="AE168" s="809"/>
      <c r="AF168" s="809"/>
      <c r="AG168" s="809"/>
      <c r="AH168" s="809"/>
      <c r="AI168" s="809"/>
      <c r="AJ168" s="809"/>
      <c r="AK168" s="809"/>
      <c r="AL168" s="809"/>
      <c r="AM168" s="809"/>
      <c r="AN168" s="809"/>
      <c r="AO168" s="810"/>
      <c r="AP168" s="810"/>
      <c r="AQ168" s="810"/>
      <c r="AR168" s="810"/>
      <c r="AS168" s="810"/>
      <c r="AT168" s="810"/>
      <c r="AU168" s="810"/>
      <c r="AV168" s="810"/>
      <c r="AW168" s="810"/>
      <c r="AX168" s="810"/>
      <c r="AY168" s="810"/>
      <c r="AZ168" s="810"/>
      <c r="BA168" s="810"/>
      <c r="BB168" s="810"/>
      <c r="BC168" s="810"/>
      <c r="BD168" s="810"/>
      <c r="BE168" s="810"/>
      <c r="BF168" s="810"/>
      <c r="BG168" s="810"/>
      <c r="BH168" s="810"/>
      <c r="BI168" s="810"/>
      <c r="BJ168" s="810"/>
      <c r="BK168" s="810"/>
      <c r="BL168" s="810"/>
      <c r="BM168" s="810"/>
      <c r="BN168" s="810"/>
      <c r="BO168" s="810"/>
    </row>
    <row r="169" spans="1:67" s="811" customFormat="1" x14ac:dyDescent="0.45">
      <c r="A169" s="800"/>
      <c r="B169" s="801" t="s">
        <v>624</v>
      </c>
      <c r="C169" s="812" t="s">
        <v>669</v>
      </c>
      <c r="D169" s="813"/>
      <c r="E169" s="813"/>
      <c r="F169" s="813"/>
      <c r="G169" s="813"/>
      <c r="H169" s="806"/>
      <c r="I169" s="813"/>
      <c r="J169" s="813"/>
      <c r="K169" s="813"/>
      <c r="L169" s="813"/>
      <c r="M169" s="806"/>
      <c r="N169" s="806"/>
      <c r="O169" s="813"/>
      <c r="P169" s="806"/>
      <c r="Q169" s="806"/>
      <c r="R169" s="806"/>
      <c r="S169" s="806"/>
      <c r="T169" s="806"/>
      <c r="U169" s="806"/>
      <c r="V169" s="806"/>
      <c r="W169" s="806"/>
      <c r="X169" s="806"/>
      <c r="Y169" s="806"/>
      <c r="Z169" s="807"/>
      <c r="AA169" s="808"/>
      <c r="AB169" s="808"/>
      <c r="AC169" s="809"/>
      <c r="AD169" s="809"/>
      <c r="AE169" s="809"/>
      <c r="AF169" s="809"/>
      <c r="AG169" s="809"/>
      <c r="AH169" s="809"/>
      <c r="AI169" s="809"/>
      <c r="AJ169" s="809"/>
      <c r="AK169" s="809"/>
      <c r="AL169" s="809"/>
      <c r="AM169" s="809"/>
      <c r="AN169" s="809"/>
      <c r="AO169" s="810"/>
      <c r="AP169" s="810"/>
      <c r="AQ169" s="810"/>
      <c r="AR169" s="810"/>
      <c r="AS169" s="810"/>
      <c r="AT169" s="810"/>
      <c r="AU169" s="810"/>
      <c r="AV169" s="810"/>
      <c r="AW169" s="810"/>
      <c r="AX169" s="810"/>
      <c r="AY169" s="810"/>
      <c r="AZ169" s="810"/>
      <c r="BA169" s="810"/>
      <c r="BB169" s="810"/>
      <c r="BC169" s="810"/>
      <c r="BD169" s="810"/>
      <c r="BE169" s="810"/>
      <c r="BF169" s="810"/>
      <c r="BG169" s="810"/>
      <c r="BH169" s="810"/>
      <c r="BI169" s="810"/>
      <c r="BJ169" s="810"/>
      <c r="BK169" s="810"/>
      <c r="BL169" s="810"/>
      <c r="BM169" s="810"/>
      <c r="BN169" s="810"/>
      <c r="BO169" s="810"/>
    </row>
    <row r="170" spans="1:67" s="811" customFormat="1" x14ac:dyDescent="0.45">
      <c r="A170" s="800"/>
      <c r="B170" s="801"/>
      <c r="C170" s="812" t="s">
        <v>1130</v>
      </c>
      <c r="D170" s="813">
        <f>'4.Рентген Фл'!E12+'4.Рентген Фл'!E13</f>
        <v>26.05</v>
      </c>
      <c r="E170" s="813">
        <f>'4.Рентген Фл'!E15</f>
        <v>5.73</v>
      </c>
      <c r="F170" s="813">
        <f>'4.Рентген Фл'!F28</f>
        <v>18.11</v>
      </c>
      <c r="G170" s="813">
        <f>'4.Рентген Фл'!E30</f>
        <v>0</v>
      </c>
      <c r="H170" s="806">
        <f>SUM(D170:G170)</f>
        <v>49.89</v>
      </c>
      <c r="I170" s="813">
        <f>'4.Рентген Фл'!G40+'4.Рентген Фл'!G45</f>
        <v>3.05</v>
      </c>
      <c r="J170" s="813">
        <f>'4.Рентген Фл'!G41+'4.Рентген Фл'!G46</f>
        <v>0</v>
      </c>
      <c r="K170" s="813">
        <f>'4.Рентген Фл'!G42+'4.Рентген Фл'!G47</f>
        <v>0</v>
      </c>
      <c r="L170" s="813">
        <f>'4.Рентген Фл'!G43+'4.Рентген Фл'!G48</f>
        <v>0.4</v>
      </c>
      <c r="M170" s="806">
        <f>SUM(I170:L170)</f>
        <v>3.4499999999999997</v>
      </c>
      <c r="N170" s="806">
        <f>H170+M170</f>
        <v>53.34</v>
      </c>
      <c r="O170" s="813"/>
      <c r="P170" s="806">
        <f>ROUND(N170,0)</f>
        <v>53</v>
      </c>
      <c r="Q170" s="806">
        <f>'4.Рентген Фл'!E3</f>
        <v>53</v>
      </c>
      <c r="R170" s="806">
        <f t="shared" ref="R170:R219" si="19">P170-Q170</f>
        <v>0</v>
      </c>
      <c r="S170" s="806"/>
      <c r="T170" s="806"/>
      <c r="U170" s="806"/>
      <c r="V170" s="806"/>
      <c r="W170" s="806"/>
      <c r="X170" s="806"/>
      <c r="Y170" s="806"/>
      <c r="Z170" s="807"/>
      <c r="AA170" s="808"/>
      <c r="AB170" s="808"/>
      <c r="AC170" s="809"/>
      <c r="AD170" s="809"/>
      <c r="AE170" s="809"/>
      <c r="AF170" s="809"/>
      <c r="AG170" s="809"/>
      <c r="AH170" s="809"/>
      <c r="AI170" s="809"/>
      <c r="AJ170" s="809"/>
      <c r="AK170" s="809"/>
      <c r="AL170" s="809"/>
      <c r="AM170" s="809"/>
      <c r="AN170" s="809"/>
      <c r="AO170" s="810"/>
      <c r="AP170" s="810"/>
      <c r="AQ170" s="810"/>
      <c r="AR170" s="810"/>
      <c r="AS170" s="810"/>
      <c r="AT170" s="810"/>
      <c r="AU170" s="810"/>
      <c r="AV170" s="810"/>
      <c r="AW170" s="810"/>
      <c r="AX170" s="810"/>
      <c r="AY170" s="810"/>
      <c r="AZ170" s="810"/>
      <c r="BA170" s="810"/>
      <c r="BB170" s="810"/>
      <c r="BC170" s="810"/>
      <c r="BD170" s="810"/>
      <c r="BE170" s="810"/>
      <c r="BF170" s="810"/>
      <c r="BG170" s="810"/>
      <c r="BH170" s="810"/>
      <c r="BI170" s="810"/>
      <c r="BJ170" s="810"/>
      <c r="BK170" s="810"/>
      <c r="BL170" s="810"/>
      <c r="BM170" s="810"/>
      <c r="BN170" s="810"/>
      <c r="BO170" s="810"/>
    </row>
    <row r="171" spans="1:67" s="811" customFormat="1" x14ac:dyDescent="0.45">
      <c r="A171" s="800"/>
      <c r="B171" s="801"/>
      <c r="C171" s="812" t="s">
        <v>1128</v>
      </c>
      <c r="D171" s="813">
        <f>'4.Рентген Фл'!E65+'4.Рентген Фл'!E66</f>
        <v>26.05</v>
      </c>
      <c r="E171" s="813">
        <f>'4.Рентген Фл'!E68</f>
        <v>5.73</v>
      </c>
      <c r="F171" s="813">
        <f>'4.Рентген Фл'!F80</f>
        <v>5.91</v>
      </c>
      <c r="G171" s="813">
        <f>'4.Рентген Фл'!E82</f>
        <v>0</v>
      </c>
      <c r="H171" s="806">
        <f>SUM(D171:G171)</f>
        <v>37.69</v>
      </c>
      <c r="I171" s="813">
        <f>'4.Рентген Фл'!G92+'4.Рентген Фл'!G97</f>
        <v>3.05</v>
      </c>
      <c r="J171" s="813">
        <f>'4.Рентген Фл'!G93+'4.Рентген Фл'!G98</f>
        <v>0</v>
      </c>
      <c r="K171" s="813">
        <f>'4.Рентген Фл'!G94+'4.Рентген Фл'!G99</f>
        <v>0</v>
      </c>
      <c r="L171" s="813">
        <f>'4.Рентген Фл'!G95+'4.Рентген Фл'!G100</f>
        <v>0.4</v>
      </c>
      <c r="M171" s="806">
        <f>SUM(I171:L171)</f>
        <v>3.4499999999999997</v>
      </c>
      <c r="N171" s="806">
        <f>H171+M171</f>
        <v>41.14</v>
      </c>
      <c r="O171" s="813"/>
      <c r="P171" s="806">
        <f t="shared" ref="P171:P228" si="20">ROUND(N171,0)</f>
        <v>41</v>
      </c>
      <c r="Q171" s="806">
        <f>'4.Рентген Фл'!E56</f>
        <v>41</v>
      </c>
      <c r="R171" s="806">
        <f t="shared" si="19"/>
        <v>0</v>
      </c>
      <c r="S171" s="806"/>
      <c r="T171" s="806"/>
      <c r="U171" s="806"/>
      <c r="V171" s="806"/>
      <c r="W171" s="806"/>
      <c r="X171" s="806"/>
      <c r="Y171" s="806"/>
      <c r="Z171" s="807"/>
      <c r="AA171" s="808"/>
      <c r="AB171" s="808"/>
      <c r="AC171" s="809"/>
      <c r="AD171" s="809"/>
      <c r="AE171" s="809"/>
      <c r="AF171" s="809"/>
      <c r="AG171" s="809"/>
      <c r="AH171" s="809"/>
      <c r="AI171" s="809"/>
      <c r="AJ171" s="809"/>
      <c r="AK171" s="809"/>
      <c r="AL171" s="809"/>
      <c r="AM171" s="809"/>
      <c r="AN171" s="809"/>
      <c r="AO171" s="810"/>
      <c r="AP171" s="810"/>
      <c r="AQ171" s="810"/>
      <c r="AR171" s="810"/>
      <c r="AS171" s="810"/>
      <c r="AT171" s="810"/>
      <c r="AU171" s="810"/>
      <c r="AV171" s="810"/>
      <c r="AW171" s="810"/>
      <c r="AX171" s="810"/>
      <c r="AY171" s="810"/>
      <c r="AZ171" s="810"/>
      <c r="BA171" s="810"/>
      <c r="BB171" s="810"/>
      <c r="BC171" s="810"/>
      <c r="BD171" s="810"/>
      <c r="BE171" s="810"/>
      <c r="BF171" s="810"/>
      <c r="BG171" s="810"/>
      <c r="BH171" s="810"/>
      <c r="BI171" s="810"/>
      <c r="BJ171" s="810"/>
      <c r="BK171" s="810"/>
      <c r="BL171" s="810"/>
      <c r="BM171" s="810"/>
      <c r="BN171" s="810"/>
      <c r="BO171" s="810"/>
    </row>
    <row r="172" spans="1:67" s="811" customFormat="1" x14ac:dyDescent="0.45">
      <c r="A172" s="800"/>
      <c r="B172" s="801" t="s">
        <v>626</v>
      </c>
      <c r="C172" s="812" t="s">
        <v>671</v>
      </c>
      <c r="D172" s="813"/>
      <c r="E172" s="813"/>
      <c r="F172" s="813"/>
      <c r="G172" s="813"/>
      <c r="H172" s="806"/>
      <c r="I172" s="813"/>
      <c r="J172" s="813"/>
      <c r="K172" s="813"/>
      <c r="L172" s="813"/>
      <c r="M172" s="806"/>
      <c r="N172" s="806"/>
      <c r="O172" s="813"/>
      <c r="P172" s="806"/>
      <c r="Q172" s="806"/>
      <c r="R172" s="806"/>
      <c r="S172" s="806"/>
      <c r="T172" s="806"/>
      <c r="U172" s="806"/>
      <c r="V172" s="806"/>
      <c r="W172" s="806"/>
      <c r="X172" s="806"/>
      <c r="Y172" s="806"/>
      <c r="Z172" s="807"/>
      <c r="AA172" s="808"/>
      <c r="AB172" s="808"/>
      <c r="AC172" s="809"/>
      <c r="AD172" s="809"/>
      <c r="AE172" s="809"/>
      <c r="AF172" s="809"/>
      <c r="AG172" s="809"/>
      <c r="AH172" s="809"/>
      <c r="AI172" s="809"/>
      <c r="AJ172" s="809"/>
      <c r="AK172" s="809"/>
      <c r="AL172" s="809"/>
      <c r="AM172" s="809"/>
      <c r="AN172" s="809"/>
      <c r="AO172" s="810"/>
      <c r="AP172" s="810"/>
      <c r="AQ172" s="810"/>
      <c r="AR172" s="810"/>
      <c r="AS172" s="810"/>
      <c r="AT172" s="810"/>
      <c r="AU172" s="810"/>
      <c r="AV172" s="810"/>
      <c r="AW172" s="810"/>
      <c r="AX172" s="810"/>
      <c r="AY172" s="810"/>
      <c r="AZ172" s="810"/>
      <c r="BA172" s="810"/>
      <c r="BB172" s="810"/>
      <c r="BC172" s="810"/>
      <c r="BD172" s="810"/>
      <c r="BE172" s="810"/>
      <c r="BF172" s="810"/>
      <c r="BG172" s="810"/>
      <c r="BH172" s="810"/>
      <c r="BI172" s="810"/>
      <c r="BJ172" s="810"/>
      <c r="BK172" s="810"/>
      <c r="BL172" s="810"/>
      <c r="BM172" s="810"/>
      <c r="BN172" s="810"/>
      <c r="BO172" s="810"/>
    </row>
    <row r="173" spans="1:67" s="811" customFormat="1" x14ac:dyDescent="0.45">
      <c r="A173" s="800"/>
      <c r="B173" s="801"/>
      <c r="C173" s="812" t="s">
        <v>1130</v>
      </c>
      <c r="D173" s="813">
        <f>'4.Рентген Фл'!E117+'4.Рентген Фл'!E118</f>
        <v>26.05</v>
      </c>
      <c r="E173" s="813">
        <f>'4.Рентген Фл'!E120</f>
        <v>5.73</v>
      </c>
      <c r="F173" s="813">
        <f>'4.Рентген Фл'!F133</f>
        <v>30.31</v>
      </c>
      <c r="G173" s="813">
        <f>'4.Рентген Фл'!E135</f>
        <v>0</v>
      </c>
      <c r="H173" s="806">
        <f>SUM(D173:G173)</f>
        <v>62.09</v>
      </c>
      <c r="I173" s="813">
        <f>'4.Рентген Фл'!G145+'4.Рентген Фл'!G150</f>
        <v>3.05</v>
      </c>
      <c r="J173" s="813">
        <f>'4.Рентген Фл'!G146+'4.Рентген Фл'!G151</f>
        <v>0</v>
      </c>
      <c r="K173" s="813">
        <f>'4.Рентген Фл'!G147+'4.Рентген Фл'!G152</f>
        <v>0</v>
      </c>
      <c r="L173" s="813">
        <f>'4.Рентген Фл'!G148+'4.Рентген Фл'!G153</f>
        <v>0.4</v>
      </c>
      <c r="M173" s="806">
        <f>SUM(I173:L173)</f>
        <v>3.4499999999999997</v>
      </c>
      <c r="N173" s="806">
        <f>H173+M173</f>
        <v>65.540000000000006</v>
      </c>
      <c r="O173" s="813"/>
      <c r="P173" s="806">
        <f t="shared" si="20"/>
        <v>66</v>
      </c>
      <c r="Q173" s="806">
        <f>'4.Рентген Фл'!E108</f>
        <v>66</v>
      </c>
      <c r="R173" s="806">
        <f t="shared" si="19"/>
        <v>0</v>
      </c>
      <c r="S173" s="806"/>
      <c r="T173" s="806"/>
      <c r="U173" s="806"/>
      <c r="V173" s="806"/>
      <c r="W173" s="806"/>
      <c r="X173" s="806"/>
      <c r="Y173" s="806"/>
      <c r="Z173" s="807"/>
      <c r="AA173" s="808"/>
      <c r="AB173" s="808"/>
      <c r="AC173" s="809"/>
      <c r="AD173" s="809"/>
      <c r="AE173" s="809"/>
      <c r="AF173" s="809"/>
      <c r="AG173" s="809"/>
      <c r="AH173" s="809"/>
      <c r="AI173" s="809"/>
      <c r="AJ173" s="809"/>
      <c r="AK173" s="809"/>
      <c r="AL173" s="809"/>
      <c r="AM173" s="809"/>
      <c r="AN173" s="809"/>
      <c r="AO173" s="810"/>
      <c r="AP173" s="810"/>
      <c r="AQ173" s="810"/>
      <c r="AR173" s="810"/>
      <c r="AS173" s="810"/>
      <c r="AT173" s="810"/>
      <c r="AU173" s="810"/>
      <c r="AV173" s="810"/>
      <c r="AW173" s="810"/>
      <c r="AX173" s="810"/>
      <c r="AY173" s="810"/>
      <c r="AZ173" s="810"/>
      <c r="BA173" s="810"/>
      <c r="BB173" s="810"/>
      <c r="BC173" s="810"/>
      <c r="BD173" s="810"/>
      <c r="BE173" s="810"/>
      <c r="BF173" s="810"/>
      <c r="BG173" s="810"/>
      <c r="BH173" s="810"/>
      <c r="BI173" s="810"/>
      <c r="BJ173" s="810"/>
      <c r="BK173" s="810"/>
      <c r="BL173" s="810"/>
      <c r="BM173" s="810"/>
      <c r="BN173" s="810"/>
      <c r="BO173" s="810"/>
    </row>
    <row r="174" spans="1:67" s="811" customFormat="1" x14ac:dyDescent="0.45">
      <c r="A174" s="800"/>
      <c r="B174" s="801"/>
      <c r="C174" s="812" t="s">
        <v>1128</v>
      </c>
      <c r="D174" s="813">
        <f>'4.Рентген Фл'!E170+'4.Рентген Фл'!E171</f>
        <v>26.05</v>
      </c>
      <c r="E174" s="813">
        <f>'4.Рентген Фл'!E173</f>
        <v>5.73</v>
      </c>
      <c r="F174" s="813">
        <f>'4.Рентген Фл'!F185</f>
        <v>5.91</v>
      </c>
      <c r="G174" s="813">
        <f>'4.Рентген Фл'!E187</f>
        <v>0</v>
      </c>
      <c r="H174" s="806">
        <f>SUM(D174:G174)</f>
        <v>37.69</v>
      </c>
      <c r="I174" s="813">
        <f>'4.Рентген Фл'!G197+'4.Рентген Фл'!G202</f>
        <v>3.05</v>
      </c>
      <c r="J174" s="813">
        <f>'4.Рентген Фл'!G198+'4.Рентген Фл'!G203</f>
        <v>0</v>
      </c>
      <c r="K174" s="813">
        <f>'4.Рентген Фл'!G199+'4.Рентген Фл'!G204</f>
        <v>0</v>
      </c>
      <c r="L174" s="813">
        <f>'4.Рентген Фл'!G200+'4.Рентген Фл'!G205</f>
        <v>0.4</v>
      </c>
      <c r="M174" s="806">
        <f>SUM(I174:L174)</f>
        <v>3.4499999999999997</v>
      </c>
      <c r="N174" s="806">
        <f>H174+M174</f>
        <v>41.14</v>
      </c>
      <c r="O174" s="813"/>
      <c r="P174" s="806">
        <f t="shared" si="20"/>
        <v>41</v>
      </c>
      <c r="Q174" s="806">
        <f>'4.Рентген Фл'!E161</f>
        <v>41</v>
      </c>
      <c r="R174" s="806">
        <f t="shared" si="19"/>
        <v>0</v>
      </c>
      <c r="S174" s="806"/>
      <c r="T174" s="806"/>
      <c r="U174" s="806"/>
      <c r="V174" s="806"/>
      <c r="W174" s="806"/>
      <c r="X174" s="806"/>
      <c r="Y174" s="806"/>
      <c r="Z174" s="807"/>
      <c r="AA174" s="808"/>
      <c r="AB174" s="808"/>
      <c r="AC174" s="809"/>
      <c r="AD174" s="809"/>
      <c r="AE174" s="809"/>
      <c r="AF174" s="809"/>
      <c r="AG174" s="809"/>
      <c r="AH174" s="809"/>
      <c r="AI174" s="809"/>
      <c r="AJ174" s="809"/>
      <c r="AK174" s="809"/>
      <c r="AL174" s="809"/>
      <c r="AM174" s="809"/>
      <c r="AN174" s="809"/>
      <c r="AO174" s="810"/>
      <c r="AP174" s="810"/>
      <c r="AQ174" s="810"/>
      <c r="AR174" s="810"/>
      <c r="AS174" s="810"/>
      <c r="AT174" s="810"/>
      <c r="AU174" s="810"/>
      <c r="AV174" s="810"/>
      <c r="AW174" s="810"/>
      <c r="AX174" s="810"/>
      <c r="AY174" s="810"/>
      <c r="AZ174" s="810"/>
      <c r="BA174" s="810"/>
      <c r="BB174" s="810"/>
      <c r="BC174" s="810"/>
      <c r="BD174" s="810"/>
      <c r="BE174" s="810"/>
      <c r="BF174" s="810"/>
      <c r="BG174" s="810"/>
      <c r="BH174" s="810"/>
      <c r="BI174" s="810"/>
      <c r="BJ174" s="810"/>
      <c r="BK174" s="810"/>
      <c r="BL174" s="810"/>
      <c r="BM174" s="810"/>
      <c r="BN174" s="810"/>
      <c r="BO174" s="810"/>
    </row>
    <row r="175" spans="1:67" s="811" customFormat="1" x14ac:dyDescent="0.45">
      <c r="A175" s="800"/>
      <c r="B175" s="801" t="s">
        <v>628</v>
      </c>
      <c r="C175" s="812" t="s">
        <v>673</v>
      </c>
      <c r="D175" s="813"/>
      <c r="E175" s="813"/>
      <c r="F175" s="813"/>
      <c r="G175" s="813"/>
      <c r="H175" s="806"/>
      <c r="I175" s="813"/>
      <c r="J175" s="813"/>
      <c r="K175" s="813"/>
      <c r="L175" s="813"/>
      <c r="M175" s="806"/>
      <c r="N175" s="806"/>
      <c r="O175" s="813"/>
      <c r="P175" s="806"/>
      <c r="Q175" s="806"/>
      <c r="R175" s="806"/>
      <c r="S175" s="806"/>
      <c r="T175" s="806"/>
      <c r="U175" s="806"/>
      <c r="V175" s="806"/>
      <c r="W175" s="806"/>
      <c r="X175" s="806"/>
      <c r="Y175" s="806"/>
      <c r="Z175" s="807"/>
      <c r="AA175" s="808"/>
      <c r="AB175" s="808"/>
      <c r="AC175" s="809"/>
      <c r="AD175" s="809"/>
      <c r="AE175" s="809"/>
      <c r="AF175" s="809"/>
      <c r="AG175" s="809"/>
      <c r="AH175" s="809"/>
      <c r="AI175" s="809"/>
      <c r="AJ175" s="809"/>
      <c r="AK175" s="809"/>
      <c r="AL175" s="809"/>
      <c r="AM175" s="809"/>
      <c r="AN175" s="809"/>
      <c r="AO175" s="810"/>
      <c r="AP175" s="810"/>
      <c r="AQ175" s="810"/>
      <c r="AR175" s="810"/>
      <c r="AS175" s="810"/>
      <c r="AT175" s="810"/>
      <c r="AU175" s="810"/>
      <c r="AV175" s="810"/>
      <c r="AW175" s="810"/>
      <c r="AX175" s="810"/>
      <c r="AY175" s="810"/>
      <c r="AZ175" s="810"/>
      <c r="BA175" s="810"/>
      <c r="BB175" s="810"/>
      <c r="BC175" s="810"/>
      <c r="BD175" s="810"/>
      <c r="BE175" s="810"/>
      <c r="BF175" s="810"/>
      <c r="BG175" s="810"/>
      <c r="BH175" s="810"/>
      <c r="BI175" s="810"/>
      <c r="BJ175" s="810"/>
      <c r="BK175" s="810"/>
      <c r="BL175" s="810"/>
      <c r="BM175" s="810"/>
      <c r="BN175" s="810"/>
      <c r="BO175" s="810"/>
    </row>
    <row r="176" spans="1:67" s="811" customFormat="1" x14ac:dyDescent="0.45">
      <c r="A176" s="800"/>
      <c r="B176" s="801"/>
      <c r="C176" s="812" t="s">
        <v>1130</v>
      </c>
      <c r="D176" s="813">
        <f>'4.Рентген Фл'!E222+'4.Рентген Фл'!E223</f>
        <v>26.05</v>
      </c>
      <c r="E176" s="813">
        <f>'4.Рентген Фл'!E225</f>
        <v>5.73</v>
      </c>
      <c r="F176" s="813">
        <f>'4.Рентген Фл'!E227</f>
        <v>18.11</v>
      </c>
      <c r="G176" s="813">
        <f>'4.Рентген Фл'!E240</f>
        <v>0</v>
      </c>
      <c r="H176" s="806">
        <f>SUM(D176:G176)</f>
        <v>49.89</v>
      </c>
      <c r="I176" s="813">
        <f>'4.Рентген Фл'!G250+'4.Рентген Фл'!G255</f>
        <v>3.05</v>
      </c>
      <c r="J176" s="813">
        <f>'4.Рентген Фл'!G251+'4.Рентген Фл'!G256</f>
        <v>0</v>
      </c>
      <c r="K176" s="813">
        <f>'4.Рентген Фл'!G252+'4.Рентген Фл'!G257</f>
        <v>0</v>
      </c>
      <c r="L176" s="813">
        <f>'4.Рентген Фл'!G253+'4.Рентген Фл'!G258</f>
        <v>0.4</v>
      </c>
      <c r="M176" s="806">
        <f>SUM(I176:L176)</f>
        <v>3.4499999999999997</v>
      </c>
      <c r="N176" s="806">
        <f>H176+M176</f>
        <v>53.34</v>
      </c>
      <c r="O176" s="813"/>
      <c r="P176" s="806">
        <f t="shared" si="20"/>
        <v>53</v>
      </c>
      <c r="Q176" s="806">
        <f>'4.Рентген Фл'!E213</f>
        <v>53</v>
      </c>
      <c r="R176" s="806">
        <f t="shared" si="19"/>
        <v>0</v>
      </c>
      <c r="S176" s="806"/>
      <c r="T176" s="806"/>
      <c r="U176" s="806"/>
      <c r="V176" s="806"/>
      <c r="W176" s="806"/>
      <c r="X176" s="806"/>
      <c r="Y176" s="806"/>
      <c r="Z176" s="807"/>
      <c r="AA176" s="808"/>
      <c r="AB176" s="808"/>
      <c r="AC176" s="809"/>
      <c r="AD176" s="809"/>
      <c r="AE176" s="809"/>
      <c r="AF176" s="809"/>
      <c r="AG176" s="809"/>
      <c r="AH176" s="809"/>
      <c r="AI176" s="809"/>
      <c r="AJ176" s="809"/>
      <c r="AK176" s="809"/>
      <c r="AL176" s="809"/>
      <c r="AM176" s="809"/>
      <c r="AN176" s="809"/>
      <c r="AO176" s="810"/>
      <c r="AP176" s="810"/>
      <c r="AQ176" s="810"/>
      <c r="AR176" s="810"/>
      <c r="AS176" s="810"/>
      <c r="AT176" s="810"/>
      <c r="AU176" s="810"/>
      <c r="AV176" s="810"/>
      <c r="AW176" s="810"/>
      <c r="AX176" s="810"/>
      <c r="AY176" s="810"/>
      <c r="AZ176" s="810"/>
      <c r="BA176" s="810"/>
      <c r="BB176" s="810"/>
      <c r="BC176" s="810"/>
      <c r="BD176" s="810"/>
      <c r="BE176" s="810"/>
      <c r="BF176" s="810"/>
      <c r="BG176" s="810"/>
      <c r="BH176" s="810"/>
      <c r="BI176" s="810"/>
      <c r="BJ176" s="810"/>
      <c r="BK176" s="810"/>
      <c r="BL176" s="810"/>
      <c r="BM176" s="810"/>
      <c r="BN176" s="810"/>
      <c r="BO176" s="810"/>
    </row>
    <row r="177" spans="1:67" s="811" customFormat="1" x14ac:dyDescent="0.45">
      <c r="A177" s="800"/>
      <c r="B177" s="801"/>
      <c r="C177" s="812" t="s">
        <v>1128</v>
      </c>
      <c r="D177" s="813">
        <f>'4.Рентген Фл'!E275+'4.Рентген Фл'!E276</f>
        <v>26.05</v>
      </c>
      <c r="E177" s="813">
        <f>'4.Рентген Фл'!E278</f>
        <v>5.73</v>
      </c>
      <c r="F177" s="813">
        <f>'4.Рентген Фл'!F290</f>
        <v>5.91</v>
      </c>
      <c r="G177" s="813">
        <f>'4.Рентген Фл'!E292</f>
        <v>0</v>
      </c>
      <c r="H177" s="806">
        <f>SUM(D177:G177)</f>
        <v>37.69</v>
      </c>
      <c r="I177" s="813">
        <f>'4.Рентген Фл'!G302+'4.Рентген Фл'!G307</f>
        <v>3.05</v>
      </c>
      <c r="J177" s="813">
        <f>'4.Рентген Фл'!G303+'4.Рентген Фл'!G308</f>
        <v>0</v>
      </c>
      <c r="K177" s="813">
        <f>'4.Рентген Фл'!G304+'4.Рентген Фл'!G309</f>
        <v>0</v>
      </c>
      <c r="L177" s="813">
        <f>'4.Рентген Фл'!G305+'4.Рентген Фл'!G310</f>
        <v>0.4</v>
      </c>
      <c r="M177" s="806">
        <f>SUM(I177:L177)</f>
        <v>3.4499999999999997</v>
      </c>
      <c r="N177" s="806">
        <f>H177+M177</f>
        <v>41.14</v>
      </c>
      <c r="O177" s="813"/>
      <c r="P177" s="806">
        <f t="shared" si="20"/>
        <v>41</v>
      </c>
      <c r="Q177" s="806">
        <f>'4.Рентген Фл'!E266</f>
        <v>41</v>
      </c>
      <c r="R177" s="806">
        <f t="shared" si="19"/>
        <v>0</v>
      </c>
      <c r="S177" s="806"/>
      <c r="T177" s="806"/>
      <c r="U177" s="806"/>
      <c r="V177" s="806"/>
      <c r="W177" s="806"/>
      <c r="X177" s="806"/>
      <c r="Y177" s="806"/>
      <c r="Z177" s="807"/>
      <c r="AA177" s="808"/>
      <c r="AB177" s="808"/>
      <c r="AC177" s="809"/>
      <c r="AD177" s="809"/>
      <c r="AE177" s="809"/>
      <c r="AF177" s="809"/>
      <c r="AG177" s="809"/>
      <c r="AH177" s="809"/>
      <c r="AI177" s="809"/>
      <c r="AJ177" s="809"/>
      <c r="AK177" s="809"/>
      <c r="AL177" s="809"/>
      <c r="AM177" s="809"/>
      <c r="AN177" s="809"/>
      <c r="AO177" s="810"/>
      <c r="AP177" s="810"/>
      <c r="AQ177" s="810"/>
      <c r="AR177" s="810"/>
      <c r="AS177" s="810"/>
      <c r="AT177" s="810"/>
      <c r="AU177" s="810"/>
      <c r="AV177" s="810"/>
      <c r="AW177" s="810"/>
      <c r="AX177" s="810"/>
      <c r="AY177" s="810"/>
      <c r="AZ177" s="810"/>
      <c r="BA177" s="810"/>
      <c r="BB177" s="810"/>
      <c r="BC177" s="810"/>
      <c r="BD177" s="810"/>
      <c r="BE177" s="810"/>
      <c r="BF177" s="810"/>
      <c r="BG177" s="810"/>
      <c r="BH177" s="810"/>
      <c r="BI177" s="810"/>
      <c r="BJ177" s="810"/>
      <c r="BK177" s="810"/>
      <c r="BL177" s="810"/>
      <c r="BM177" s="810"/>
      <c r="BN177" s="810"/>
      <c r="BO177" s="810"/>
    </row>
    <row r="178" spans="1:67" s="811" customFormat="1" x14ac:dyDescent="0.45">
      <c r="A178" s="800"/>
      <c r="B178" s="801" t="s">
        <v>630</v>
      </c>
      <c r="C178" s="812" t="s">
        <v>675</v>
      </c>
      <c r="D178" s="813"/>
      <c r="E178" s="813"/>
      <c r="F178" s="813"/>
      <c r="G178" s="813"/>
      <c r="H178" s="806"/>
      <c r="I178" s="813"/>
      <c r="J178" s="813"/>
      <c r="K178" s="813"/>
      <c r="L178" s="813"/>
      <c r="M178" s="806"/>
      <c r="N178" s="806"/>
      <c r="O178" s="813"/>
      <c r="P178" s="806"/>
      <c r="Q178" s="806"/>
      <c r="R178" s="806"/>
      <c r="S178" s="806"/>
      <c r="T178" s="806"/>
      <c r="U178" s="806"/>
      <c r="V178" s="806"/>
      <c r="W178" s="806"/>
      <c r="X178" s="806"/>
      <c r="Y178" s="806"/>
      <c r="Z178" s="807"/>
      <c r="AA178" s="808"/>
      <c r="AB178" s="808"/>
      <c r="AC178" s="809"/>
      <c r="AD178" s="809"/>
      <c r="AE178" s="809"/>
      <c r="AF178" s="809"/>
      <c r="AG178" s="809"/>
      <c r="AH178" s="809"/>
      <c r="AI178" s="809"/>
      <c r="AJ178" s="809"/>
      <c r="AK178" s="809"/>
      <c r="AL178" s="809"/>
      <c r="AM178" s="809"/>
      <c r="AN178" s="809"/>
      <c r="AO178" s="810"/>
      <c r="AP178" s="810"/>
      <c r="AQ178" s="810"/>
      <c r="AR178" s="810"/>
      <c r="AS178" s="810"/>
      <c r="AT178" s="810"/>
      <c r="AU178" s="810"/>
      <c r="AV178" s="810"/>
      <c r="AW178" s="810"/>
      <c r="AX178" s="810"/>
      <c r="AY178" s="810"/>
      <c r="AZ178" s="810"/>
      <c r="BA178" s="810"/>
      <c r="BB178" s="810"/>
      <c r="BC178" s="810"/>
      <c r="BD178" s="810"/>
      <c r="BE178" s="810"/>
      <c r="BF178" s="810"/>
      <c r="BG178" s="810"/>
      <c r="BH178" s="810"/>
      <c r="BI178" s="810"/>
      <c r="BJ178" s="810"/>
      <c r="BK178" s="810"/>
      <c r="BL178" s="810"/>
      <c r="BM178" s="810"/>
      <c r="BN178" s="810"/>
      <c r="BO178" s="810"/>
    </row>
    <row r="179" spans="1:67" s="811" customFormat="1" x14ac:dyDescent="0.45">
      <c r="A179" s="800"/>
      <c r="B179" s="801"/>
      <c r="C179" s="812" t="s">
        <v>1130</v>
      </c>
      <c r="D179" s="813">
        <f>'4.Рентген Фл'!E328+'4.Рентген Фл'!E329</f>
        <v>26.05</v>
      </c>
      <c r="E179" s="813">
        <f>'4.Рентген Фл'!E331</f>
        <v>5.73</v>
      </c>
      <c r="F179" s="813">
        <f>'4.Рентген Фл'!F344</f>
        <v>30.31</v>
      </c>
      <c r="G179" s="813">
        <f>'4.Рентген Фл'!E346</f>
        <v>0</v>
      </c>
      <c r="H179" s="806">
        <f>SUM(D179:G179)</f>
        <v>62.09</v>
      </c>
      <c r="I179" s="813">
        <f>'4.Рентген Фл'!G356+'4.Рентген Фл'!G361</f>
        <v>3.05</v>
      </c>
      <c r="J179" s="813">
        <f>'4.Рентген Фл'!G357+'4.Рентген Фл'!G362</f>
        <v>0</v>
      </c>
      <c r="K179" s="813">
        <f>'4.Рентген Фл'!G358+'4.Рентген Фл'!G363</f>
        <v>0</v>
      </c>
      <c r="L179" s="813">
        <f>'4.Рентген Фл'!G359+'4.Рентген Фл'!G364</f>
        <v>0.4</v>
      </c>
      <c r="M179" s="806">
        <f>SUM(I179:L179)</f>
        <v>3.4499999999999997</v>
      </c>
      <c r="N179" s="806">
        <f>H179+M179</f>
        <v>65.540000000000006</v>
      </c>
      <c r="O179" s="813"/>
      <c r="P179" s="806">
        <f t="shared" si="20"/>
        <v>66</v>
      </c>
      <c r="Q179" s="806">
        <f>'4.Рентген Фл'!E319</f>
        <v>66</v>
      </c>
      <c r="R179" s="806">
        <f t="shared" si="19"/>
        <v>0</v>
      </c>
      <c r="S179" s="806"/>
      <c r="T179" s="806"/>
      <c r="U179" s="806"/>
      <c r="V179" s="806"/>
      <c r="W179" s="806"/>
      <c r="X179" s="806"/>
      <c r="Y179" s="806"/>
      <c r="Z179" s="807"/>
      <c r="AA179" s="808"/>
      <c r="AB179" s="808"/>
      <c r="AC179" s="809"/>
      <c r="AD179" s="809"/>
      <c r="AE179" s="809"/>
      <c r="AF179" s="809"/>
      <c r="AG179" s="809"/>
      <c r="AH179" s="809"/>
      <c r="AI179" s="809"/>
      <c r="AJ179" s="809"/>
      <c r="AK179" s="809"/>
      <c r="AL179" s="809"/>
      <c r="AM179" s="809"/>
      <c r="AN179" s="809"/>
      <c r="AO179" s="810"/>
      <c r="AP179" s="810"/>
      <c r="AQ179" s="810"/>
      <c r="AR179" s="810"/>
      <c r="AS179" s="810"/>
      <c r="AT179" s="810"/>
      <c r="AU179" s="810"/>
      <c r="AV179" s="810"/>
      <c r="AW179" s="810"/>
      <c r="AX179" s="810"/>
      <c r="AY179" s="810"/>
      <c r="AZ179" s="810"/>
      <c r="BA179" s="810"/>
      <c r="BB179" s="810"/>
      <c r="BC179" s="810"/>
      <c r="BD179" s="810"/>
      <c r="BE179" s="810"/>
      <c r="BF179" s="810"/>
      <c r="BG179" s="810"/>
      <c r="BH179" s="810"/>
      <c r="BI179" s="810"/>
      <c r="BJ179" s="810"/>
      <c r="BK179" s="810"/>
      <c r="BL179" s="810"/>
      <c r="BM179" s="810"/>
      <c r="BN179" s="810"/>
      <c r="BO179" s="810"/>
    </row>
    <row r="180" spans="1:67" s="811" customFormat="1" x14ac:dyDescent="0.45">
      <c r="A180" s="800"/>
      <c r="B180" s="801"/>
      <c r="C180" s="812" t="s">
        <v>1128</v>
      </c>
      <c r="D180" s="813">
        <f>'4.Рентген Фл'!E381+'4.Рентген Фл'!E382</f>
        <v>26.05</v>
      </c>
      <c r="E180" s="813">
        <f>'4.Рентген Фл'!E384</f>
        <v>5.73</v>
      </c>
      <c r="F180" s="813">
        <f>'4.Рентген Фл'!F396</f>
        <v>5.91</v>
      </c>
      <c r="G180" s="813">
        <f>'4.Рентген Фл'!E398</f>
        <v>0</v>
      </c>
      <c r="H180" s="806">
        <f>SUM(D180:G180)</f>
        <v>37.69</v>
      </c>
      <c r="I180" s="813">
        <f>'4.Рентген Фл'!G408+'4.Рентген Фл'!G413</f>
        <v>3.05</v>
      </c>
      <c r="J180" s="813">
        <f>'4.Рентген Фл'!G409+'4.Рентген Фл'!G414</f>
        <v>0</v>
      </c>
      <c r="K180" s="813">
        <f>'4.Рентген Фл'!G410+'4.Рентген Фл'!G415</f>
        <v>0</v>
      </c>
      <c r="L180" s="813">
        <f>'4.Рентген Фл'!G411+'4.Рентген Фл'!G416</f>
        <v>0.4</v>
      </c>
      <c r="M180" s="806">
        <f>SUM(I180:L180)</f>
        <v>3.4499999999999997</v>
      </c>
      <c r="N180" s="806">
        <f>H180+M180</f>
        <v>41.14</v>
      </c>
      <c r="O180" s="813"/>
      <c r="P180" s="806">
        <f t="shared" si="20"/>
        <v>41</v>
      </c>
      <c r="Q180" s="806">
        <f>'4.Рентген Фл'!E372</f>
        <v>41</v>
      </c>
      <c r="R180" s="806">
        <f t="shared" si="19"/>
        <v>0</v>
      </c>
      <c r="S180" s="806"/>
      <c r="T180" s="806"/>
      <c r="U180" s="806"/>
      <c r="V180" s="806"/>
      <c r="W180" s="806"/>
      <c r="X180" s="806"/>
      <c r="Y180" s="806"/>
      <c r="Z180" s="807"/>
      <c r="AA180" s="808"/>
      <c r="AB180" s="808"/>
      <c r="AC180" s="809"/>
      <c r="AD180" s="809"/>
      <c r="AE180" s="809"/>
      <c r="AF180" s="809"/>
      <c r="AG180" s="809"/>
      <c r="AH180" s="809"/>
      <c r="AI180" s="809"/>
      <c r="AJ180" s="809"/>
      <c r="AK180" s="809"/>
      <c r="AL180" s="809"/>
      <c r="AM180" s="809"/>
      <c r="AN180" s="809"/>
      <c r="AO180" s="810"/>
      <c r="AP180" s="810"/>
      <c r="AQ180" s="810"/>
      <c r="AR180" s="810"/>
      <c r="AS180" s="810"/>
      <c r="AT180" s="810"/>
      <c r="AU180" s="810"/>
      <c r="AV180" s="810"/>
      <c r="AW180" s="810"/>
      <c r="AX180" s="810"/>
      <c r="AY180" s="810"/>
      <c r="AZ180" s="810"/>
      <c r="BA180" s="810"/>
      <c r="BB180" s="810"/>
      <c r="BC180" s="810"/>
      <c r="BD180" s="810"/>
      <c r="BE180" s="810"/>
      <c r="BF180" s="810"/>
      <c r="BG180" s="810"/>
      <c r="BH180" s="810"/>
      <c r="BI180" s="810"/>
      <c r="BJ180" s="810"/>
      <c r="BK180" s="810"/>
      <c r="BL180" s="810"/>
      <c r="BM180" s="810"/>
      <c r="BN180" s="810"/>
      <c r="BO180" s="810"/>
    </row>
    <row r="181" spans="1:67" s="811" customFormat="1" x14ac:dyDescent="0.45">
      <c r="A181" s="800"/>
      <c r="B181" s="801" t="s">
        <v>632</v>
      </c>
      <c r="C181" s="812" t="s">
        <v>677</v>
      </c>
      <c r="D181" s="813"/>
      <c r="E181" s="813"/>
      <c r="F181" s="813"/>
      <c r="G181" s="813"/>
      <c r="H181" s="806"/>
      <c r="I181" s="813"/>
      <c r="J181" s="813"/>
      <c r="K181" s="813"/>
      <c r="L181" s="813"/>
      <c r="M181" s="806"/>
      <c r="N181" s="806"/>
      <c r="O181" s="813"/>
      <c r="P181" s="806"/>
      <c r="Q181" s="806"/>
      <c r="R181" s="806"/>
      <c r="S181" s="806"/>
      <c r="T181" s="806"/>
      <c r="U181" s="806"/>
      <c r="V181" s="806"/>
      <c r="W181" s="806"/>
      <c r="X181" s="806"/>
      <c r="Y181" s="806"/>
      <c r="Z181" s="807"/>
      <c r="AA181" s="808"/>
      <c r="AB181" s="808"/>
      <c r="AC181" s="809"/>
      <c r="AD181" s="809"/>
      <c r="AE181" s="809"/>
      <c r="AF181" s="809"/>
      <c r="AG181" s="809"/>
      <c r="AH181" s="809"/>
      <c r="AI181" s="809"/>
      <c r="AJ181" s="809"/>
      <c r="AK181" s="809"/>
      <c r="AL181" s="809"/>
      <c r="AM181" s="809"/>
      <c r="AN181" s="809"/>
      <c r="AO181" s="810"/>
      <c r="AP181" s="810"/>
      <c r="AQ181" s="810"/>
      <c r="AR181" s="810"/>
      <c r="AS181" s="810"/>
      <c r="AT181" s="810"/>
      <c r="AU181" s="810"/>
      <c r="AV181" s="810"/>
      <c r="AW181" s="810"/>
      <c r="AX181" s="810"/>
      <c r="AY181" s="810"/>
      <c r="AZ181" s="810"/>
      <c r="BA181" s="810"/>
      <c r="BB181" s="810"/>
      <c r="BC181" s="810"/>
      <c r="BD181" s="810"/>
      <c r="BE181" s="810"/>
      <c r="BF181" s="810"/>
      <c r="BG181" s="810"/>
      <c r="BH181" s="810"/>
      <c r="BI181" s="810"/>
      <c r="BJ181" s="810"/>
      <c r="BK181" s="810"/>
      <c r="BL181" s="810"/>
      <c r="BM181" s="810"/>
      <c r="BN181" s="810"/>
      <c r="BO181" s="810"/>
    </row>
    <row r="182" spans="1:67" s="811" customFormat="1" x14ac:dyDescent="0.45">
      <c r="A182" s="800"/>
      <c r="B182" s="801"/>
      <c r="C182" s="812" t="s">
        <v>509</v>
      </c>
      <c r="D182" s="813">
        <f>'4.Рентген Фл'!E433+'4.Рентген Фл'!E434</f>
        <v>26.05</v>
      </c>
      <c r="E182" s="813">
        <f>'4.Рентген Фл'!E436</f>
        <v>5.73</v>
      </c>
      <c r="F182" s="813">
        <f>'4.Рентген Фл'!E438</f>
        <v>13.509999999999998</v>
      </c>
      <c r="G182" s="813">
        <f>'4.Рентген Фл'!E451</f>
        <v>0</v>
      </c>
      <c r="H182" s="806">
        <f>SUM(D182:G182)</f>
        <v>45.29</v>
      </c>
      <c r="I182" s="813">
        <f>'4.Рентген Фл'!G461+'4.Рентген Фл'!G466</f>
        <v>3.05</v>
      </c>
      <c r="J182" s="813">
        <f>'4.Рентген Фл'!G462+'4.Рентген Фл'!G467</f>
        <v>0</v>
      </c>
      <c r="K182" s="813">
        <f>'4.Рентген Фл'!G463+'4.Рентген Фл'!G468</f>
        <v>0</v>
      </c>
      <c r="L182" s="813">
        <f>'4.Рентген Фл'!G464+'4.Рентген Фл'!G469</f>
        <v>0.4</v>
      </c>
      <c r="M182" s="806">
        <f>SUM(I182:L182)</f>
        <v>3.4499999999999997</v>
      </c>
      <c r="N182" s="806">
        <f>H182+M182</f>
        <v>48.74</v>
      </c>
      <c r="O182" s="813"/>
      <c r="P182" s="806">
        <f t="shared" si="20"/>
        <v>49</v>
      </c>
      <c r="Q182" s="806">
        <f>'4.Рентген Фл'!E424</f>
        <v>49</v>
      </c>
      <c r="R182" s="806">
        <f t="shared" si="19"/>
        <v>0</v>
      </c>
      <c r="S182" s="806"/>
      <c r="T182" s="806"/>
      <c r="U182" s="806"/>
      <c r="V182" s="806"/>
      <c r="W182" s="806"/>
      <c r="X182" s="806"/>
      <c r="Y182" s="806"/>
      <c r="Z182" s="807"/>
      <c r="AA182" s="808"/>
      <c r="AB182" s="808"/>
      <c r="AC182" s="809"/>
      <c r="AD182" s="809"/>
      <c r="AE182" s="809"/>
      <c r="AF182" s="809"/>
      <c r="AG182" s="809"/>
      <c r="AH182" s="809"/>
      <c r="AI182" s="809"/>
      <c r="AJ182" s="809"/>
      <c r="AK182" s="809"/>
      <c r="AL182" s="809"/>
      <c r="AM182" s="809"/>
      <c r="AN182" s="809"/>
      <c r="AO182" s="810"/>
      <c r="AP182" s="810"/>
      <c r="AQ182" s="810"/>
      <c r="AR182" s="810"/>
      <c r="AS182" s="810"/>
      <c r="AT182" s="810"/>
      <c r="AU182" s="810"/>
      <c r="AV182" s="810"/>
      <c r="AW182" s="810"/>
      <c r="AX182" s="810"/>
      <c r="AY182" s="810"/>
      <c r="AZ182" s="810"/>
      <c r="BA182" s="810"/>
      <c r="BB182" s="810"/>
      <c r="BC182" s="810"/>
      <c r="BD182" s="810"/>
      <c r="BE182" s="810"/>
      <c r="BF182" s="810"/>
      <c r="BG182" s="810"/>
      <c r="BH182" s="810"/>
      <c r="BI182" s="810"/>
      <c r="BJ182" s="810"/>
      <c r="BK182" s="810"/>
      <c r="BL182" s="810"/>
      <c r="BM182" s="810"/>
      <c r="BN182" s="810"/>
      <c r="BO182" s="810"/>
    </row>
    <row r="183" spans="1:67" s="811" customFormat="1" x14ac:dyDescent="0.45">
      <c r="A183" s="800"/>
      <c r="B183" s="801"/>
      <c r="C183" s="812" t="s">
        <v>1128</v>
      </c>
      <c r="D183" s="813">
        <f>'4.Рентген Фл'!E486+'4.Рентген Фл'!E487</f>
        <v>26.05</v>
      </c>
      <c r="E183" s="813">
        <f>'4.Рентген Фл'!E489</f>
        <v>5.73</v>
      </c>
      <c r="F183" s="813">
        <f>'4.Рентген Фл'!F501</f>
        <v>5.91</v>
      </c>
      <c r="G183" s="813">
        <f>'4.Рентген Фл'!E503</f>
        <v>0</v>
      </c>
      <c r="H183" s="806">
        <f>SUM(D183:G183)</f>
        <v>37.69</v>
      </c>
      <c r="I183" s="813">
        <f>'4.Рентген Фл'!G513+'4.Рентген Фл'!G518</f>
        <v>3.05</v>
      </c>
      <c r="J183" s="813">
        <f>'4.Рентген Фл'!G514+'4.Рентген Фл'!G519</f>
        <v>0</v>
      </c>
      <c r="K183" s="813">
        <f>'4.Рентген Фл'!G515+'4.Рентген Фл'!G520</f>
        <v>0</v>
      </c>
      <c r="L183" s="813">
        <f>'4.Рентген Фл'!G516+'4.Рентген Фл'!G521</f>
        <v>0.4</v>
      </c>
      <c r="M183" s="806">
        <f>SUM(I183:L183)</f>
        <v>3.4499999999999997</v>
      </c>
      <c r="N183" s="806">
        <f>H183+M183</f>
        <v>41.14</v>
      </c>
      <c r="O183" s="813"/>
      <c r="P183" s="806">
        <f t="shared" si="20"/>
        <v>41</v>
      </c>
      <c r="Q183" s="806">
        <f>'4.Рентген Фл'!E477</f>
        <v>41</v>
      </c>
      <c r="R183" s="806">
        <f t="shared" si="19"/>
        <v>0</v>
      </c>
      <c r="S183" s="806"/>
      <c r="T183" s="806"/>
      <c r="U183" s="806"/>
      <c r="V183" s="806"/>
      <c r="W183" s="806"/>
      <c r="X183" s="806"/>
      <c r="Y183" s="806"/>
      <c r="Z183" s="807"/>
      <c r="AA183" s="808"/>
      <c r="AB183" s="808"/>
      <c r="AC183" s="809"/>
      <c r="AD183" s="809"/>
      <c r="AE183" s="809"/>
      <c r="AF183" s="809"/>
      <c r="AG183" s="809"/>
      <c r="AH183" s="809"/>
      <c r="AI183" s="809"/>
      <c r="AJ183" s="809"/>
      <c r="AK183" s="809"/>
      <c r="AL183" s="809"/>
      <c r="AM183" s="809"/>
      <c r="AN183" s="809"/>
      <c r="AO183" s="810"/>
      <c r="AP183" s="810"/>
      <c r="AQ183" s="810"/>
      <c r="AR183" s="810"/>
      <c r="AS183" s="810"/>
      <c r="AT183" s="810"/>
      <c r="AU183" s="810"/>
      <c r="AV183" s="810"/>
      <c r="AW183" s="810"/>
      <c r="AX183" s="810"/>
      <c r="AY183" s="810"/>
      <c r="AZ183" s="810"/>
      <c r="BA183" s="810"/>
      <c r="BB183" s="810"/>
      <c r="BC183" s="810"/>
      <c r="BD183" s="810"/>
      <c r="BE183" s="810"/>
      <c r="BF183" s="810"/>
      <c r="BG183" s="810"/>
      <c r="BH183" s="810"/>
      <c r="BI183" s="810"/>
      <c r="BJ183" s="810"/>
      <c r="BK183" s="810"/>
      <c r="BL183" s="810"/>
      <c r="BM183" s="810"/>
      <c r="BN183" s="810"/>
      <c r="BO183" s="810"/>
    </row>
    <row r="184" spans="1:67" s="811" customFormat="1" x14ac:dyDescent="0.45">
      <c r="A184" s="800"/>
      <c r="B184" s="801" t="s">
        <v>634</v>
      </c>
      <c r="C184" s="812" t="s">
        <v>679</v>
      </c>
      <c r="D184" s="813"/>
      <c r="E184" s="813"/>
      <c r="F184" s="813"/>
      <c r="G184" s="813"/>
      <c r="H184" s="806"/>
      <c r="I184" s="813"/>
      <c r="J184" s="813"/>
      <c r="K184" s="813"/>
      <c r="L184" s="813"/>
      <c r="M184" s="806"/>
      <c r="N184" s="806"/>
      <c r="O184" s="813"/>
      <c r="P184" s="806"/>
      <c r="Q184" s="806"/>
      <c r="R184" s="806"/>
      <c r="S184" s="806"/>
      <c r="T184" s="806"/>
      <c r="U184" s="806"/>
      <c r="V184" s="806"/>
      <c r="W184" s="806"/>
      <c r="X184" s="806"/>
      <c r="Y184" s="806"/>
      <c r="Z184" s="807"/>
      <c r="AA184" s="808"/>
      <c r="AB184" s="808"/>
      <c r="AC184" s="809"/>
      <c r="AD184" s="809"/>
      <c r="AE184" s="809"/>
      <c r="AF184" s="809"/>
      <c r="AG184" s="809"/>
      <c r="AH184" s="809"/>
      <c r="AI184" s="809"/>
      <c r="AJ184" s="809"/>
      <c r="AK184" s="809"/>
      <c r="AL184" s="809"/>
      <c r="AM184" s="809"/>
      <c r="AN184" s="809"/>
      <c r="AO184" s="810"/>
      <c r="AP184" s="810"/>
      <c r="AQ184" s="810"/>
      <c r="AR184" s="810"/>
      <c r="AS184" s="810"/>
      <c r="AT184" s="810"/>
      <c r="AU184" s="810"/>
      <c r="AV184" s="810"/>
      <c r="AW184" s="810"/>
      <c r="AX184" s="810"/>
      <c r="AY184" s="810"/>
      <c r="AZ184" s="810"/>
      <c r="BA184" s="810"/>
      <c r="BB184" s="810"/>
      <c r="BC184" s="810"/>
      <c r="BD184" s="810"/>
      <c r="BE184" s="810"/>
      <c r="BF184" s="810"/>
      <c r="BG184" s="810"/>
      <c r="BH184" s="810"/>
      <c r="BI184" s="810"/>
      <c r="BJ184" s="810"/>
      <c r="BK184" s="810"/>
      <c r="BL184" s="810"/>
      <c r="BM184" s="810"/>
      <c r="BN184" s="810"/>
      <c r="BO184" s="810"/>
    </row>
    <row r="185" spans="1:67" s="811" customFormat="1" x14ac:dyDescent="0.45">
      <c r="A185" s="800"/>
      <c r="B185" s="801"/>
      <c r="C185" s="812" t="s">
        <v>509</v>
      </c>
      <c r="D185" s="813">
        <f>'4.Рентген Фл'!E538+'4.Рентген Фл'!E539</f>
        <v>26.05</v>
      </c>
      <c r="E185" s="813">
        <f>'4.Рентген Фл'!E541</f>
        <v>5.73</v>
      </c>
      <c r="F185" s="813">
        <f>'4.Рентген Фл'!F554</f>
        <v>21.110000000000003</v>
      </c>
      <c r="G185" s="813">
        <f>'4.Рентген Фл'!E556</f>
        <v>0</v>
      </c>
      <c r="H185" s="806">
        <f>SUM(D185:G185)</f>
        <v>52.89</v>
      </c>
      <c r="I185" s="813">
        <f>'4.Рентген Фл'!G566+'4.Рентген Фл'!G571</f>
        <v>3.05</v>
      </c>
      <c r="J185" s="813">
        <f>'4.Рентген Фл'!G567+'4.Рентген Фл'!G572</f>
        <v>0</v>
      </c>
      <c r="K185" s="813">
        <f>'4.Рентген Фл'!G568+'4.Рентген Фл'!G573</f>
        <v>0</v>
      </c>
      <c r="L185" s="813">
        <f>'4.Рентген Фл'!G569+'4.Рентген Фл'!G574</f>
        <v>0.4</v>
      </c>
      <c r="M185" s="806">
        <f>SUM(I185:L185)</f>
        <v>3.4499999999999997</v>
      </c>
      <c r="N185" s="806">
        <f>H185+M185</f>
        <v>56.34</v>
      </c>
      <c r="O185" s="813"/>
      <c r="P185" s="806">
        <f t="shared" si="20"/>
        <v>56</v>
      </c>
      <c r="Q185" s="806">
        <f>'4.Рентген Фл'!E529</f>
        <v>56</v>
      </c>
      <c r="R185" s="806">
        <f t="shared" si="19"/>
        <v>0</v>
      </c>
      <c r="S185" s="806"/>
      <c r="T185" s="806"/>
      <c r="U185" s="806"/>
      <c r="V185" s="806"/>
      <c r="W185" s="806"/>
      <c r="X185" s="806"/>
      <c r="Y185" s="806"/>
      <c r="Z185" s="807"/>
      <c r="AA185" s="808"/>
      <c r="AB185" s="808"/>
      <c r="AC185" s="809"/>
      <c r="AD185" s="809"/>
      <c r="AE185" s="809"/>
      <c r="AF185" s="809"/>
      <c r="AG185" s="809"/>
      <c r="AH185" s="809"/>
      <c r="AI185" s="809"/>
      <c r="AJ185" s="809"/>
      <c r="AK185" s="809"/>
      <c r="AL185" s="809"/>
      <c r="AM185" s="809"/>
      <c r="AN185" s="809"/>
      <c r="AO185" s="810"/>
      <c r="AP185" s="810"/>
      <c r="AQ185" s="810"/>
      <c r="AR185" s="810"/>
      <c r="AS185" s="810"/>
      <c r="AT185" s="810"/>
      <c r="AU185" s="810"/>
      <c r="AV185" s="810"/>
      <c r="AW185" s="810"/>
      <c r="AX185" s="810"/>
      <c r="AY185" s="810"/>
      <c r="AZ185" s="810"/>
      <c r="BA185" s="810"/>
      <c r="BB185" s="810"/>
      <c r="BC185" s="810"/>
      <c r="BD185" s="810"/>
      <c r="BE185" s="810"/>
      <c r="BF185" s="810"/>
      <c r="BG185" s="810"/>
      <c r="BH185" s="810"/>
      <c r="BI185" s="810"/>
      <c r="BJ185" s="810"/>
      <c r="BK185" s="810"/>
      <c r="BL185" s="810"/>
      <c r="BM185" s="810"/>
      <c r="BN185" s="810"/>
      <c r="BO185" s="810"/>
    </row>
    <row r="186" spans="1:67" s="811" customFormat="1" x14ac:dyDescent="0.45">
      <c r="A186" s="800"/>
      <c r="B186" s="801"/>
      <c r="C186" s="812" t="s">
        <v>1128</v>
      </c>
      <c r="D186" s="813">
        <f>'4.Рентген Фл'!E591+'4.Рентген Фл'!E592</f>
        <v>26.05</v>
      </c>
      <c r="E186" s="813">
        <f>'4.Рентген Фл'!E594</f>
        <v>5.73</v>
      </c>
      <c r="F186" s="813">
        <f>'4.Рентген Фл'!F606</f>
        <v>5.91</v>
      </c>
      <c r="G186" s="813">
        <f>'4.Рентген Фл'!E608</f>
        <v>0</v>
      </c>
      <c r="H186" s="806">
        <f>SUM(D186:G186)</f>
        <v>37.69</v>
      </c>
      <c r="I186" s="813">
        <f>'4.Рентген Фл'!G618+'4.Рентген Фл'!G623</f>
        <v>3.05</v>
      </c>
      <c r="J186" s="813">
        <f>'4.Рентген Фл'!G619+'4.Рентген Фл'!G624</f>
        <v>0</v>
      </c>
      <c r="K186" s="813">
        <f>'4.Рентген Фл'!G620+'4.Рентген Фл'!G625</f>
        <v>0</v>
      </c>
      <c r="L186" s="813">
        <f>'4.Рентген Фл'!G621+'4.Рентген Фл'!G626</f>
        <v>0.4</v>
      </c>
      <c r="M186" s="806">
        <f>SUM(I186:L186)</f>
        <v>3.4499999999999997</v>
      </c>
      <c r="N186" s="806">
        <f>H186+M186</f>
        <v>41.14</v>
      </c>
      <c r="O186" s="813"/>
      <c r="P186" s="806">
        <f t="shared" si="20"/>
        <v>41</v>
      </c>
      <c r="Q186" s="806">
        <f>'4.Рентген Фл'!E582</f>
        <v>41</v>
      </c>
      <c r="R186" s="806">
        <f t="shared" si="19"/>
        <v>0</v>
      </c>
      <c r="S186" s="806"/>
      <c r="T186" s="806"/>
      <c r="U186" s="806"/>
      <c r="V186" s="806"/>
      <c r="W186" s="806"/>
      <c r="X186" s="806"/>
      <c r="Y186" s="806"/>
      <c r="Z186" s="807"/>
      <c r="AA186" s="808"/>
      <c r="AB186" s="808"/>
      <c r="AC186" s="809"/>
      <c r="AD186" s="809"/>
      <c r="AE186" s="809"/>
      <c r="AF186" s="809"/>
      <c r="AG186" s="809"/>
      <c r="AH186" s="809"/>
      <c r="AI186" s="809"/>
      <c r="AJ186" s="809"/>
      <c r="AK186" s="809"/>
      <c r="AL186" s="809"/>
      <c r="AM186" s="809"/>
      <c r="AN186" s="809"/>
      <c r="AO186" s="810"/>
      <c r="AP186" s="810"/>
      <c r="AQ186" s="810"/>
      <c r="AR186" s="810"/>
      <c r="AS186" s="810"/>
      <c r="AT186" s="810"/>
      <c r="AU186" s="810"/>
      <c r="AV186" s="810"/>
      <c r="AW186" s="810"/>
      <c r="AX186" s="810"/>
      <c r="AY186" s="810"/>
      <c r="AZ186" s="810"/>
      <c r="BA186" s="810"/>
      <c r="BB186" s="810"/>
      <c r="BC186" s="810"/>
      <c r="BD186" s="810"/>
      <c r="BE186" s="810"/>
      <c r="BF186" s="810"/>
      <c r="BG186" s="810"/>
      <c r="BH186" s="810"/>
      <c r="BI186" s="810"/>
      <c r="BJ186" s="810"/>
      <c r="BK186" s="810"/>
      <c r="BL186" s="810"/>
      <c r="BM186" s="810"/>
      <c r="BN186" s="810"/>
      <c r="BO186" s="810"/>
    </row>
    <row r="187" spans="1:67" s="811" customFormat="1" x14ac:dyDescent="0.45">
      <c r="A187" s="800"/>
      <c r="B187" s="801" t="s">
        <v>636</v>
      </c>
      <c r="C187" s="812" t="s">
        <v>681</v>
      </c>
      <c r="D187" s="813"/>
      <c r="E187" s="813"/>
      <c r="F187" s="813"/>
      <c r="G187" s="813"/>
      <c r="H187" s="806"/>
      <c r="I187" s="813"/>
      <c r="J187" s="813"/>
      <c r="K187" s="813"/>
      <c r="L187" s="813"/>
      <c r="M187" s="806"/>
      <c r="N187" s="806"/>
      <c r="O187" s="813"/>
      <c r="P187" s="806"/>
      <c r="Q187" s="806"/>
      <c r="R187" s="806"/>
      <c r="S187" s="806"/>
      <c r="T187" s="806"/>
      <c r="U187" s="806"/>
      <c r="V187" s="806"/>
      <c r="W187" s="806"/>
      <c r="X187" s="806"/>
      <c r="Y187" s="806"/>
      <c r="Z187" s="807"/>
      <c r="AA187" s="808"/>
      <c r="AB187" s="808"/>
      <c r="AC187" s="809"/>
      <c r="AD187" s="809"/>
      <c r="AE187" s="809"/>
      <c r="AF187" s="809"/>
      <c r="AG187" s="809"/>
      <c r="AH187" s="809"/>
      <c r="AI187" s="809"/>
      <c r="AJ187" s="809"/>
      <c r="AK187" s="809"/>
      <c r="AL187" s="809"/>
      <c r="AM187" s="809"/>
      <c r="AN187" s="809"/>
      <c r="AO187" s="810"/>
      <c r="AP187" s="810"/>
      <c r="AQ187" s="810"/>
      <c r="AR187" s="810"/>
      <c r="AS187" s="810"/>
      <c r="AT187" s="810"/>
      <c r="AU187" s="810"/>
      <c r="AV187" s="810"/>
      <c r="AW187" s="810"/>
      <c r="AX187" s="810"/>
      <c r="AY187" s="810"/>
      <c r="AZ187" s="810"/>
      <c r="BA187" s="810"/>
      <c r="BB187" s="810"/>
      <c r="BC187" s="810"/>
      <c r="BD187" s="810"/>
      <c r="BE187" s="810"/>
      <c r="BF187" s="810"/>
      <c r="BG187" s="810"/>
      <c r="BH187" s="810"/>
      <c r="BI187" s="810"/>
      <c r="BJ187" s="810"/>
      <c r="BK187" s="810"/>
      <c r="BL187" s="810"/>
      <c r="BM187" s="810"/>
      <c r="BN187" s="810"/>
      <c r="BO187" s="810"/>
    </row>
    <row r="188" spans="1:67" s="811" customFormat="1" x14ac:dyDescent="0.45">
      <c r="A188" s="800"/>
      <c r="B188" s="801"/>
      <c r="C188" s="812" t="s">
        <v>1130</v>
      </c>
      <c r="D188" s="813">
        <f>'4.Рентген Фл'!E644+'4.Рентген Фл'!E645</f>
        <v>26.05</v>
      </c>
      <c r="E188" s="813">
        <f>'4.Рентген Фл'!E647</f>
        <v>5.73</v>
      </c>
      <c r="F188" s="813">
        <f>'4.Рентген Фл'!F660</f>
        <v>9.8099999999999987</v>
      </c>
      <c r="G188" s="813">
        <f>'4.Рентген Фл'!E662</f>
        <v>0</v>
      </c>
      <c r="H188" s="806">
        <f>SUM(D188:G188)</f>
        <v>41.59</v>
      </c>
      <c r="I188" s="813">
        <f>'4.Рентген Фл'!G672+'4.Рентген Фл'!G677</f>
        <v>3.05</v>
      </c>
      <c r="J188" s="813">
        <f>'4.Рентген Фл'!G673+'4.Рентген Фл'!G678</f>
        <v>0</v>
      </c>
      <c r="K188" s="813">
        <f>'4.Рентген Фл'!G674+'4.Рентген Фл'!G679</f>
        <v>0</v>
      </c>
      <c r="L188" s="813">
        <f>'4.Рентген Фл'!G675+'4.Рентген Фл'!G680</f>
        <v>0.4</v>
      </c>
      <c r="M188" s="806">
        <f>SUM(I188:L188)</f>
        <v>3.4499999999999997</v>
      </c>
      <c r="N188" s="806">
        <f>H188+M188</f>
        <v>45.040000000000006</v>
      </c>
      <c r="O188" s="813"/>
      <c r="P188" s="806">
        <f t="shared" si="20"/>
        <v>45</v>
      </c>
      <c r="Q188" s="806">
        <f>'4.Рентген Фл'!E635</f>
        <v>45</v>
      </c>
      <c r="R188" s="806">
        <f t="shared" si="19"/>
        <v>0</v>
      </c>
      <c r="S188" s="806"/>
      <c r="T188" s="806"/>
      <c r="U188" s="806"/>
      <c r="V188" s="806"/>
      <c r="W188" s="806"/>
      <c r="X188" s="806"/>
      <c r="Y188" s="806"/>
      <c r="Z188" s="807"/>
      <c r="AA188" s="808"/>
      <c r="AB188" s="808"/>
      <c r="AC188" s="809"/>
      <c r="AD188" s="809"/>
      <c r="AE188" s="809"/>
      <c r="AF188" s="809"/>
      <c r="AG188" s="809"/>
      <c r="AH188" s="809"/>
      <c r="AI188" s="809"/>
      <c r="AJ188" s="809"/>
      <c r="AK188" s="809"/>
      <c r="AL188" s="809"/>
      <c r="AM188" s="809"/>
      <c r="AN188" s="809"/>
      <c r="AO188" s="810"/>
      <c r="AP188" s="810"/>
      <c r="AQ188" s="810"/>
      <c r="AR188" s="810"/>
      <c r="AS188" s="810"/>
      <c r="AT188" s="810"/>
      <c r="AU188" s="810"/>
      <c r="AV188" s="810"/>
      <c r="AW188" s="810"/>
      <c r="AX188" s="810"/>
      <c r="AY188" s="810"/>
      <c r="AZ188" s="810"/>
      <c r="BA188" s="810"/>
      <c r="BB188" s="810"/>
      <c r="BC188" s="810"/>
      <c r="BD188" s="810"/>
      <c r="BE188" s="810"/>
      <c r="BF188" s="810"/>
      <c r="BG188" s="810"/>
      <c r="BH188" s="810"/>
      <c r="BI188" s="810"/>
      <c r="BJ188" s="810"/>
      <c r="BK188" s="810"/>
      <c r="BL188" s="810"/>
      <c r="BM188" s="810"/>
      <c r="BN188" s="810"/>
      <c r="BO188" s="810"/>
    </row>
    <row r="189" spans="1:67" s="811" customFormat="1" x14ac:dyDescent="0.45">
      <c r="A189" s="800"/>
      <c r="B189" s="801"/>
      <c r="C189" s="812" t="s">
        <v>1128</v>
      </c>
      <c r="D189" s="813">
        <f>'4.Рентген Фл'!E698+'4.Рентген Фл'!E699</f>
        <v>26.05</v>
      </c>
      <c r="E189" s="813">
        <f>'4.Рентген Фл'!E701</f>
        <v>5.73</v>
      </c>
      <c r="F189" s="813">
        <f>'4.Рентген Фл'!F713</f>
        <v>5.91</v>
      </c>
      <c r="G189" s="813">
        <f>'4.Рентген Фл'!E715</f>
        <v>0</v>
      </c>
      <c r="H189" s="806">
        <f>SUM(D189:G189)</f>
        <v>37.69</v>
      </c>
      <c r="I189" s="813">
        <f>'4.Рентген Фл'!G725+'4.Рентген Фл'!G730</f>
        <v>3.05</v>
      </c>
      <c r="J189" s="813">
        <f>'4.Рентген Фл'!G726+'4.Рентген Фл'!G731</f>
        <v>0</v>
      </c>
      <c r="K189" s="813">
        <f>'4.Рентген Фл'!G727+'4.Рентген Фл'!G732</f>
        <v>0</v>
      </c>
      <c r="L189" s="813">
        <f>'4.Рентген Фл'!G728+'4.Рентген Фл'!G733</f>
        <v>0.4</v>
      </c>
      <c r="M189" s="806">
        <f>SUM(I189:L189)</f>
        <v>3.4499999999999997</v>
      </c>
      <c r="N189" s="806">
        <f>H189+M189</f>
        <v>41.14</v>
      </c>
      <c r="O189" s="813"/>
      <c r="P189" s="806">
        <f t="shared" si="20"/>
        <v>41</v>
      </c>
      <c r="Q189" s="806">
        <f>'4.Рентген Фл'!E689</f>
        <v>41</v>
      </c>
      <c r="R189" s="806">
        <f t="shared" si="19"/>
        <v>0</v>
      </c>
      <c r="S189" s="806"/>
      <c r="T189" s="806"/>
      <c r="U189" s="806"/>
      <c r="V189" s="806"/>
      <c r="W189" s="806"/>
      <c r="X189" s="806"/>
      <c r="Y189" s="806"/>
      <c r="Z189" s="807"/>
      <c r="AA189" s="808"/>
      <c r="AB189" s="808"/>
      <c r="AC189" s="809"/>
      <c r="AD189" s="809"/>
      <c r="AE189" s="809"/>
      <c r="AF189" s="809"/>
      <c r="AG189" s="809"/>
      <c r="AH189" s="809"/>
      <c r="AI189" s="809"/>
      <c r="AJ189" s="809"/>
      <c r="AK189" s="809"/>
      <c r="AL189" s="809"/>
      <c r="AM189" s="809"/>
      <c r="AN189" s="809"/>
      <c r="AO189" s="810"/>
      <c r="AP189" s="810"/>
      <c r="AQ189" s="810"/>
      <c r="AR189" s="810"/>
      <c r="AS189" s="810"/>
      <c r="AT189" s="810"/>
      <c r="AU189" s="810"/>
      <c r="AV189" s="810"/>
      <c r="AW189" s="810"/>
      <c r="AX189" s="810"/>
      <c r="AY189" s="810"/>
      <c r="AZ189" s="810"/>
      <c r="BA189" s="810"/>
      <c r="BB189" s="810"/>
      <c r="BC189" s="810"/>
      <c r="BD189" s="810"/>
      <c r="BE189" s="810"/>
      <c r="BF189" s="810"/>
      <c r="BG189" s="810"/>
      <c r="BH189" s="810"/>
      <c r="BI189" s="810"/>
      <c r="BJ189" s="810"/>
      <c r="BK189" s="810"/>
      <c r="BL189" s="810"/>
      <c r="BM189" s="810"/>
      <c r="BN189" s="810"/>
      <c r="BO189" s="810"/>
    </row>
    <row r="190" spans="1:67" s="811" customFormat="1" x14ac:dyDescent="0.45">
      <c r="A190" s="800"/>
      <c r="B190" s="801" t="s">
        <v>638</v>
      </c>
      <c r="C190" s="812" t="s">
        <v>683</v>
      </c>
      <c r="D190" s="813"/>
      <c r="E190" s="813"/>
      <c r="F190" s="813"/>
      <c r="G190" s="813"/>
      <c r="H190" s="806"/>
      <c r="I190" s="813"/>
      <c r="J190" s="813"/>
      <c r="K190" s="813"/>
      <c r="L190" s="813"/>
      <c r="M190" s="806"/>
      <c r="N190" s="806"/>
      <c r="O190" s="813"/>
      <c r="P190" s="806"/>
      <c r="Q190" s="806"/>
      <c r="R190" s="806"/>
      <c r="S190" s="806"/>
      <c r="T190" s="806"/>
      <c r="U190" s="806"/>
      <c r="V190" s="806"/>
      <c r="W190" s="806"/>
      <c r="X190" s="806"/>
      <c r="Y190" s="806"/>
      <c r="Z190" s="807"/>
      <c r="AA190" s="808"/>
      <c r="AB190" s="808"/>
      <c r="AC190" s="809"/>
      <c r="AD190" s="809"/>
      <c r="AE190" s="809"/>
      <c r="AF190" s="809"/>
      <c r="AG190" s="809"/>
      <c r="AH190" s="809"/>
      <c r="AI190" s="809"/>
      <c r="AJ190" s="809"/>
      <c r="AK190" s="809"/>
      <c r="AL190" s="809"/>
      <c r="AM190" s="809"/>
      <c r="AN190" s="809"/>
      <c r="AO190" s="810"/>
      <c r="AP190" s="810"/>
      <c r="AQ190" s="810"/>
      <c r="AR190" s="810"/>
      <c r="AS190" s="810"/>
      <c r="AT190" s="810"/>
      <c r="AU190" s="810"/>
      <c r="AV190" s="810"/>
      <c r="AW190" s="810"/>
      <c r="AX190" s="810"/>
      <c r="AY190" s="810"/>
      <c r="AZ190" s="810"/>
      <c r="BA190" s="810"/>
      <c r="BB190" s="810"/>
      <c r="BC190" s="810"/>
      <c r="BD190" s="810"/>
      <c r="BE190" s="810"/>
      <c r="BF190" s="810"/>
      <c r="BG190" s="810"/>
      <c r="BH190" s="810"/>
      <c r="BI190" s="810"/>
      <c r="BJ190" s="810"/>
      <c r="BK190" s="810"/>
      <c r="BL190" s="810"/>
      <c r="BM190" s="810"/>
      <c r="BN190" s="810"/>
      <c r="BO190" s="810"/>
    </row>
    <row r="191" spans="1:67" s="811" customFormat="1" x14ac:dyDescent="0.45">
      <c r="A191" s="800"/>
      <c r="B191" s="801"/>
      <c r="C191" s="812" t="s">
        <v>1130</v>
      </c>
      <c r="D191" s="813">
        <f>'4.Рентген Фл'!E750+'4.Рентген Фл'!E751</f>
        <v>26.05</v>
      </c>
      <c r="E191" s="813">
        <f>'4.Рентген Фл'!E753</f>
        <v>5.73</v>
      </c>
      <c r="F191" s="813">
        <f>'4.Рентген Фл'!F766</f>
        <v>9.8099999999999987</v>
      </c>
      <c r="G191" s="813">
        <f>'4.Рентген Фл'!E768</f>
        <v>0</v>
      </c>
      <c r="H191" s="806">
        <f>SUM(D191:G191)</f>
        <v>41.59</v>
      </c>
      <c r="I191" s="813">
        <f>'4.Рентген Фл'!G778+'4.Рентген Фл'!G783</f>
        <v>3.05</v>
      </c>
      <c r="J191" s="813">
        <f>'4.Рентген Фл'!G779+'4.Рентген Фл'!G784</f>
        <v>0</v>
      </c>
      <c r="K191" s="813">
        <f>'4.Рентген Фл'!G780+'4.Рентген Фл'!G785</f>
        <v>0</v>
      </c>
      <c r="L191" s="813">
        <f>'4.Рентген Фл'!G781+'4.Рентген Фл'!G786</f>
        <v>0.4</v>
      </c>
      <c r="M191" s="806">
        <f>SUM(I191:L191)</f>
        <v>3.4499999999999997</v>
      </c>
      <c r="N191" s="806">
        <f>H191+M191</f>
        <v>45.040000000000006</v>
      </c>
      <c r="O191" s="813"/>
      <c r="P191" s="806">
        <f t="shared" si="20"/>
        <v>45</v>
      </c>
      <c r="Q191" s="806">
        <f>'4.Рентген Фл'!E741</f>
        <v>45</v>
      </c>
      <c r="R191" s="806">
        <f t="shared" si="19"/>
        <v>0</v>
      </c>
      <c r="S191" s="806"/>
      <c r="T191" s="806"/>
      <c r="U191" s="806"/>
      <c r="V191" s="806"/>
      <c r="W191" s="806"/>
      <c r="X191" s="806"/>
      <c r="Y191" s="806"/>
      <c r="Z191" s="807"/>
      <c r="AA191" s="808"/>
      <c r="AB191" s="808"/>
      <c r="AC191" s="809"/>
      <c r="AD191" s="809"/>
      <c r="AE191" s="809"/>
      <c r="AF191" s="809"/>
      <c r="AG191" s="809"/>
      <c r="AH191" s="809"/>
      <c r="AI191" s="809"/>
      <c r="AJ191" s="809"/>
      <c r="AK191" s="809"/>
      <c r="AL191" s="809"/>
      <c r="AM191" s="809"/>
      <c r="AN191" s="809"/>
      <c r="AO191" s="810"/>
      <c r="AP191" s="810"/>
      <c r="AQ191" s="810"/>
      <c r="AR191" s="810"/>
      <c r="AS191" s="810"/>
      <c r="AT191" s="810"/>
      <c r="AU191" s="810"/>
      <c r="AV191" s="810"/>
      <c r="AW191" s="810"/>
      <c r="AX191" s="810"/>
      <c r="AY191" s="810"/>
      <c r="AZ191" s="810"/>
      <c r="BA191" s="810"/>
      <c r="BB191" s="810"/>
      <c r="BC191" s="810"/>
      <c r="BD191" s="810"/>
      <c r="BE191" s="810"/>
      <c r="BF191" s="810"/>
      <c r="BG191" s="810"/>
      <c r="BH191" s="810"/>
      <c r="BI191" s="810"/>
      <c r="BJ191" s="810"/>
      <c r="BK191" s="810"/>
      <c r="BL191" s="810"/>
      <c r="BM191" s="810"/>
      <c r="BN191" s="810"/>
      <c r="BO191" s="810"/>
    </row>
    <row r="192" spans="1:67" s="811" customFormat="1" x14ac:dyDescent="0.45">
      <c r="A192" s="800"/>
      <c r="B192" s="801"/>
      <c r="C192" s="812" t="s">
        <v>1128</v>
      </c>
      <c r="D192" s="813">
        <f>'4.Рентген Фл'!E803+'4.Рентген Фл'!E804</f>
        <v>26.05</v>
      </c>
      <c r="E192" s="813">
        <f>'4.Рентген Фл'!E806</f>
        <v>5.73</v>
      </c>
      <c r="F192" s="813">
        <f>'4.Рентген Фл'!F818</f>
        <v>5.91</v>
      </c>
      <c r="G192" s="813">
        <f>'4.Рентген Фл'!E820</f>
        <v>0</v>
      </c>
      <c r="H192" s="806">
        <f>SUM(D192:G192)</f>
        <v>37.69</v>
      </c>
      <c r="I192" s="813">
        <f>'4.Рентген Фл'!G830+'4.Рентген Фл'!G835</f>
        <v>3.05</v>
      </c>
      <c r="J192" s="813">
        <f>'4.Рентген Фл'!G831+'4.Рентген Фл'!G836</f>
        <v>0</v>
      </c>
      <c r="K192" s="813">
        <f>'4.Рентген Фл'!G832+'4.Рентген Фл'!G837</f>
        <v>0</v>
      </c>
      <c r="L192" s="813">
        <f>'4.Рентген Фл'!G833+'4.Рентген Фл'!G838</f>
        <v>0.4</v>
      </c>
      <c r="M192" s="806">
        <f>SUM(I192:L192)</f>
        <v>3.4499999999999997</v>
      </c>
      <c r="N192" s="806">
        <f>H192+M192</f>
        <v>41.14</v>
      </c>
      <c r="O192" s="813"/>
      <c r="P192" s="806">
        <f t="shared" si="20"/>
        <v>41</v>
      </c>
      <c r="Q192" s="806">
        <f>'4.Рентген Фл'!E794</f>
        <v>41</v>
      </c>
      <c r="R192" s="806">
        <f t="shared" si="19"/>
        <v>0</v>
      </c>
      <c r="S192" s="806"/>
      <c r="T192" s="806"/>
      <c r="U192" s="806"/>
      <c r="V192" s="806"/>
      <c r="W192" s="806"/>
      <c r="X192" s="806"/>
      <c r="Y192" s="806"/>
      <c r="Z192" s="807"/>
      <c r="AA192" s="808"/>
      <c r="AB192" s="808"/>
      <c r="AC192" s="809"/>
      <c r="AD192" s="809"/>
      <c r="AE192" s="809"/>
      <c r="AF192" s="809"/>
      <c r="AG192" s="809"/>
      <c r="AH192" s="809"/>
      <c r="AI192" s="809"/>
      <c r="AJ192" s="809"/>
      <c r="AK192" s="809"/>
      <c r="AL192" s="809"/>
      <c r="AM192" s="809"/>
      <c r="AN192" s="809"/>
      <c r="AO192" s="810"/>
      <c r="AP192" s="810"/>
      <c r="AQ192" s="810"/>
      <c r="AR192" s="810"/>
      <c r="AS192" s="810"/>
      <c r="AT192" s="810"/>
      <c r="AU192" s="810"/>
      <c r="AV192" s="810"/>
      <c r="AW192" s="810"/>
      <c r="AX192" s="810"/>
      <c r="AY192" s="810"/>
      <c r="AZ192" s="810"/>
      <c r="BA192" s="810"/>
      <c r="BB192" s="810"/>
      <c r="BC192" s="810"/>
      <c r="BD192" s="810"/>
      <c r="BE192" s="810"/>
      <c r="BF192" s="810"/>
      <c r="BG192" s="810"/>
      <c r="BH192" s="810"/>
      <c r="BI192" s="810"/>
      <c r="BJ192" s="810"/>
      <c r="BK192" s="810"/>
      <c r="BL192" s="810"/>
      <c r="BM192" s="810"/>
      <c r="BN192" s="810"/>
      <c r="BO192" s="810"/>
    </row>
    <row r="193" spans="1:67" s="811" customFormat="1" x14ac:dyDescent="0.45">
      <c r="A193" s="800"/>
      <c r="B193" s="801"/>
      <c r="C193" s="812"/>
      <c r="D193" s="813"/>
      <c r="E193" s="813"/>
      <c r="F193" s="813"/>
      <c r="G193" s="813"/>
      <c r="H193" s="806"/>
      <c r="I193" s="813"/>
      <c r="J193" s="813"/>
      <c r="K193" s="813"/>
      <c r="L193" s="813"/>
      <c r="M193" s="806"/>
      <c r="N193" s="806"/>
      <c r="O193" s="813"/>
      <c r="P193" s="806"/>
      <c r="Q193" s="806"/>
      <c r="R193" s="806"/>
      <c r="S193" s="806"/>
      <c r="T193" s="806"/>
      <c r="U193" s="806"/>
      <c r="V193" s="806"/>
      <c r="W193" s="806"/>
      <c r="X193" s="806"/>
      <c r="Y193" s="806"/>
      <c r="Z193" s="807"/>
      <c r="AA193" s="808"/>
      <c r="AB193" s="808"/>
      <c r="AC193" s="809"/>
      <c r="AD193" s="809"/>
      <c r="AE193" s="809"/>
      <c r="AF193" s="809"/>
      <c r="AG193" s="809"/>
      <c r="AH193" s="809"/>
      <c r="AI193" s="809"/>
      <c r="AJ193" s="809"/>
      <c r="AK193" s="809"/>
      <c r="AL193" s="809"/>
      <c r="AM193" s="809"/>
      <c r="AN193" s="809"/>
      <c r="AO193" s="810"/>
      <c r="AP193" s="810"/>
      <c r="AQ193" s="810"/>
      <c r="AR193" s="810"/>
      <c r="AS193" s="810"/>
      <c r="AT193" s="810"/>
      <c r="AU193" s="810"/>
      <c r="AV193" s="810"/>
      <c r="AW193" s="810"/>
      <c r="AX193" s="810"/>
      <c r="AY193" s="810"/>
      <c r="AZ193" s="810"/>
      <c r="BA193" s="810"/>
      <c r="BB193" s="810"/>
      <c r="BC193" s="810"/>
      <c r="BD193" s="810"/>
      <c r="BE193" s="810"/>
      <c r="BF193" s="810"/>
      <c r="BG193" s="810"/>
      <c r="BH193" s="810"/>
      <c r="BI193" s="810"/>
      <c r="BJ193" s="810"/>
      <c r="BK193" s="810"/>
      <c r="BL193" s="810"/>
      <c r="BM193" s="810"/>
      <c r="BN193" s="810"/>
      <c r="BO193" s="810"/>
    </row>
    <row r="194" spans="1:67" s="825" customFormat="1" x14ac:dyDescent="0.45">
      <c r="A194" s="819"/>
      <c r="B194" s="820" t="s">
        <v>640</v>
      </c>
      <c r="C194" s="821" t="s">
        <v>685</v>
      </c>
      <c r="D194" s="806">
        <f>'4.Рентген Фл'!E857+'4.Рентген Фл'!E858</f>
        <v>20.6</v>
      </c>
      <c r="E194" s="806">
        <f>'4.Рентген Фл'!E860</f>
        <v>4.53</v>
      </c>
      <c r="F194" s="806">
        <f>'4.Рентген Фл'!E862</f>
        <v>5.91</v>
      </c>
      <c r="G194" s="806">
        <f>'4.Рентген Фл'!E874</f>
        <v>0</v>
      </c>
      <c r="H194" s="806">
        <f>SUM(D194:G194)</f>
        <v>31.040000000000003</v>
      </c>
      <c r="I194" s="806">
        <f>'4.Рентген Фл'!G884+'4.Рентген Фл'!G889</f>
        <v>2.4000000000000004</v>
      </c>
      <c r="J194" s="806">
        <f>'4.Рентген Фл'!G885+'4.Рентген Фл'!G890</f>
        <v>0</v>
      </c>
      <c r="K194" s="806">
        <f>'4.Рентген Фл'!G886+'4.Рентген Фл'!G891</f>
        <v>0</v>
      </c>
      <c r="L194" s="806">
        <f>'4.Рентген Фл'!G887+'4.Рентген Фл'!G892</f>
        <v>0.30000000000000004</v>
      </c>
      <c r="M194" s="806">
        <f>SUM(I194:L194)</f>
        <v>2.7</v>
      </c>
      <c r="N194" s="806">
        <f>H194+M194</f>
        <v>33.74</v>
      </c>
      <c r="O194" s="806"/>
      <c r="P194" s="806">
        <f t="shared" si="20"/>
        <v>34</v>
      </c>
      <c r="Q194" s="806">
        <f>'4.Рентген Фл'!E848</f>
        <v>34</v>
      </c>
      <c r="R194" s="806">
        <f t="shared" si="19"/>
        <v>0</v>
      </c>
      <c r="S194" s="806"/>
      <c r="T194" s="806"/>
      <c r="U194" s="806"/>
      <c r="V194" s="806"/>
      <c r="W194" s="806"/>
      <c r="X194" s="806"/>
      <c r="Y194" s="806"/>
      <c r="Z194" s="822"/>
      <c r="AA194" s="808"/>
      <c r="AB194" s="808"/>
      <c r="AC194" s="823"/>
      <c r="AD194" s="823"/>
      <c r="AE194" s="823"/>
      <c r="AF194" s="823"/>
      <c r="AG194" s="823"/>
      <c r="AH194" s="823"/>
      <c r="AI194" s="823"/>
      <c r="AJ194" s="823"/>
      <c r="AK194" s="823"/>
      <c r="AL194" s="823"/>
      <c r="AM194" s="823"/>
      <c r="AN194" s="823"/>
      <c r="AO194" s="824"/>
      <c r="AP194" s="824"/>
      <c r="AQ194" s="824"/>
      <c r="AR194" s="824"/>
      <c r="AS194" s="824"/>
      <c r="AT194" s="824"/>
      <c r="AU194" s="824"/>
      <c r="AV194" s="824"/>
      <c r="AW194" s="824"/>
      <c r="AX194" s="824"/>
      <c r="AY194" s="824"/>
      <c r="AZ194" s="824"/>
      <c r="BA194" s="824"/>
      <c r="BB194" s="824"/>
      <c r="BC194" s="824"/>
      <c r="BD194" s="824"/>
      <c r="BE194" s="824"/>
      <c r="BF194" s="824"/>
      <c r="BG194" s="824"/>
      <c r="BH194" s="824"/>
      <c r="BI194" s="824"/>
      <c r="BJ194" s="824"/>
      <c r="BK194" s="824"/>
      <c r="BL194" s="824"/>
      <c r="BM194" s="824"/>
      <c r="BN194" s="824"/>
      <c r="BO194" s="824"/>
    </row>
    <row r="195" spans="1:67" s="811" customFormat="1" x14ac:dyDescent="0.45">
      <c r="A195" s="800"/>
      <c r="B195" s="801" t="s">
        <v>642</v>
      </c>
      <c r="C195" s="812" t="s">
        <v>687</v>
      </c>
      <c r="D195" s="813"/>
      <c r="E195" s="813"/>
      <c r="F195" s="813"/>
      <c r="G195" s="813"/>
      <c r="H195" s="806"/>
      <c r="I195" s="813"/>
      <c r="J195" s="813"/>
      <c r="K195" s="813"/>
      <c r="L195" s="813"/>
      <c r="M195" s="806"/>
      <c r="N195" s="806"/>
      <c r="O195" s="813"/>
      <c r="P195" s="806"/>
      <c r="Q195" s="806"/>
      <c r="R195" s="806"/>
      <c r="S195" s="806"/>
      <c r="T195" s="806"/>
      <c r="U195" s="806"/>
      <c r="V195" s="806"/>
      <c r="W195" s="806"/>
      <c r="X195" s="806"/>
      <c r="Y195" s="806"/>
      <c r="Z195" s="807"/>
      <c r="AA195" s="808"/>
      <c r="AB195" s="808"/>
      <c r="AC195" s="809"/>
      <c r="AD195" s="809"/>
      <c r="AE195" s="809"/>
      <c r="AF195" s="809"/>
      <c r="AG195" s="809"/>
      <c r="AH195" s="809"/>
      <c r="AI195" s="809"/>
      <c r="AJ195" s="809"/>
      <c r="AK195" s="809"/>
      <c r="AL195" s="809"/>
      <c r="AM195" s="809"/>
      <c r="AN195" s="809"/>
      <c r="AO195" s="810"/>
      <c r="AP195" s="810"/>
      <c r="AQ195" s="810"/>
      <c r="AR195" s="810"/>
      <c r="AS195" s="810"/>
      <c r="AT195" s="810"/>
      <c r="AU195" s="810"/>
      <c r="AV195" s="810"/>
      <c r="AW195" s="810"/>
      <c r="AX195" s="810"/>
      <c r="AY195" s="810"/>
      <c r="AZ195" s="810"/>
      <c r="BA195" s="810"/>
      <c r="BB195" s="810"/>
      <c r="BC195" s="810"/>
      <c r="BD195" s="810"/>
      <c r="BE195" s="810"/>
      <c r="BF195" s="810"/>
      <c r="BG195" s="810"/>
      <c r="BH195" s="810"/>
      <c r="BI195" s="810"/>
      <c r="BJ195" s="810"/>
      <c r="BK195" s="810"/>
      <c r="BL195" s="810"/>
      <c r="BM195" s="810"/>
      <c r="BN195" s="810"/>
      <c r="BO195" s="810"/>
    </row>
    <row r="196" spans="1:67" s="811" customFormat="1" x14ac:dyDescent="0.45">
      <c r="A196" s="800"/>
      <c r="B196" s="801"/>
      <c r="C196" s="812" t="s">
        <v>1130</v>
      </c>
      <c r="D196" s="813">
        <f>'4.Рентген Фл'!E910+'4.Рентген Фл'!E911</f>
        <v>26.05</v>
      </c>
      <c r="E196" s="813">
        <f>'4.Рентген Фл'!E913</f>
        <v>5.73</v>
      </c>
      <c r="F196" s="813">
        <f>'4.Рентген Фл'!F926</f>
        <v>25.81</v>
      </c>
      <c r="G196" s="813">
        <f>'4.Рентген Фл'!E928</f>
        <v>0</v>
      </c>
      <c r="H196" s="806">
        <f>SUM(D196:G196)</f>
        <v>57.59</v>
      </c>
      <c r="I196" s="813">
        <f>'4.Рентген Фл'!G938+'4.Рентген Фл'!G943</f>
        <v>3.05</v>
      </c>
      <c r="J196" s="813">
        <f>'4.Рентген Фл'!G939+'4.Рентген Фл'!G944</f>
        <v>0</v>
      </c>
      <c r="K196" s="813">
        <f>'4.Рентген Фл'!G940+'4.Рентген Фл'!G945</f>
        <v>0</v>
      </c>
      <c r="L196" s="813">
        <f>'4.Рентген Фл'!G941+'4.Рентген Фл'!G946</f>
        <v>0.4</v>
      </c>
      <c r="M196" s="806">
        <f>SUM(I196:L196)</f>
        <v>3.4499999999999997</v>
      </c>
      <c r="N196" s="806">
        <f>H196+M196</f>
        <v>61.040000000000006</v>
      </c>
      <c r="O196" s="813"/>
      <c r="P196" s="806">
        <f t="shared" si="20"/>
        <v>61</v>
      </c>
      <c r="Q196" s="806">
        <f>'4.Рентген Фл'!E901</f>
        <v>61</v>
      </c>
      <c r="R196" s="806">
        <f t="shared" si="19"/>
        <v>0</v>
      </c>
      <c r="S196" s="806"/>
      <c r="T196" s="806"/>
      <c r="U196" s="806"/>
      <c r="V196" s="806"/>
      <c r="W196" s="806"/>
      <c r="X196" s="806"/>
      <c r="Y196" s="806"/>
      <c r="Z196" s="807"/>
      <c r="AA196" s="808"/>
      <c r="AB196" s="808"/>
      <c r="AC196" s="809"/>
      <c r="AD196" s="809"/>
      <c r="AE196" s="809"/>
      <c r="AF196" s="809"/>
      <c r="AG196" s="809"/>
      <c r="AH196" s="809"/>
      <c r="AI196" s="809"/>
      <c r="AJ196" s="809"/>
      <c r="AK196" s="809"/>
      <c r="AL196" s="809"/>
      <c r="AM196" s="809"/>
      <c r="AN196" s="809"/>
      <c r="AO196" s="810"/>
      <c r="AP196" s="810"/>
      <c r="AQ196" s="810"/>
      <c r="AR196" s="810"/>
      <c r="AS196" s="810"/>
      <c r="AT196" s="810"/>
      <c r="AU196" s="810"/>
      <c r="AV196" s="810"/>
      <c r="AW196" s="810"/>
      <c r="AX196" s="810"/>
      <c r="AY196" s="810"/>
      <c r="AZ196" s="810"/>
      <c r="BA196" s="810"/>
      <c r="BB196" s="810"/>
      <c r="BC196" s="810"/>
      <c r="BD196" s="810"/>
      <c r="BE196" s="810"/>
      <c r="BF196" s="810"/>
      <c r="BG196" s="810"/>
      <c r="BH196" s="810"/>
      <c r="BI196" s="810"/>
      <c r="BJ196" s="810"/>
      <c r="BK196" s="810"/>
      <c r="BL196" s="810"/>
      <c r="BM196" s="810"/>
      <c r="BN196" s="810"/>
      <c r="BO196" s="810"/>
    </row>
    <row r="197" spans="1:67" s="811" customFormat="1" x14ac:dyDescent="0.45">
      <c r="A197" s="800"/>
      <c r="B197" s="801"/>
      <c r="C197" s="812" t="s">
        <v>1128</v>
      </c>
      <c r="D197" s="813">
        <f>'4.Рентген Фл'!E963+'4.Рентген Фл'!E964</f>
        <v>26.05</v>
      </c>
      <c r="E197" s="813">
        <f>'4.Рентген Фл'!E966</f>
        <v>5.73</v>
      </c>
      <c r="F197" s="813">
        <f>'4.Рентген Фл'!F978</f>
        <v>5.91</v>
      </c>
      <c r="G197" s="813">
        <f>'4.Рентген Фл'!E980</f>
        <v>0</v>
      </c>
      <c r="H197" s="806">
        <f>SUM(D197:G197)</f>
        <v>37.69</v>
      </c>
      <c r="I197" s="813">
        <f>'4.Рентген Фл'!G990+'4.Рентген Фл'!G995</f>
        <v>3.05</v>
      </c>
      <c r="J197" s="813">
        <f>'4.Рентген Фл'!G991+'4.Рентген Фл'!G996</f>
        <v>0</v>
      </c>
      <c r="K197" s="813">
        <f>'4.Рентген Фл'!G992+'4.Рентген Фл'!G997</f>
        <v>0</v>
      </c>
      <c r="L197" s="813">
        <f>'4.Рентген Фл'!G993+'4.Рентген Фл'!G998</f>
        <v>0.4</v>
      </c>
      <c r="M197" s="806">
        <f>SUM(I197:L197)</f>
        <v>3.4499999999999997</v>
      </c>
      <c r="N197" s="806">
        <f>H197+M197</f>
        <v>41.14</v>
      </c>
      <c r="O197" s="813"/>
      <c r="P197" s="806">
        <f t="shared" si="20"/>
        <v>41</v>
      </c>
      <c r="Q197" s="806">
        <f>'4.Рентген Фл'!E954</f>
        <v>41</v>
      </c>
      <c r="R197" s="806">
        <f t="shared" si="19"/>
        <v>0</v>
      </c>
      <c r="S197" s="806"/>
      <c r="T197" s="806"/>
      <c r="U197" s="806"/>
      <c r="V197" s="806"/>
      <c r="W197" s="806"/>
      <c r="X197" s="806"/>
      <c r="Y197" s="806"/>
      <c r="Z197" s="807"/>
      <c r="AA197" s="808"/>
      <c r="AB197" s="808"/>
      <c r="AC197" s="809"/>
      <c r="AD197" s="809"/>
      <c r="AE197" s="809"/>
      <c r="AF197" s="809"/>
      <c r="AG197" s="809"/>
      <c r="AH197" s="809"/>
      <c r="AI197" s="809"/>
      <c r="AJ197" s="809"/>
      <c r="AK197" s="809"/>
      <c r="AL197" s="809"/>
      <c r="AM197" s="809"/>
      <c r="AN197" s="809"/>
      <c r="AO197" s="810"/>
      <c r="AP197" s="810"/>
      <c r="AQ197" s="810"/>
      <c r="AR197" s="810"/>
      <c r="AS197" s="810"/>
      <c r="AT197" s="810"/>
      <c r="AU197" s="810"/>
      <c r="AV197" s="810"/>
      <c r="AW197" s="810"/>
      <c r="AX197" s="810"/>
      <c r="AY197" s="810"/>
      <c r="AZ197" s="810"/>
      <c r="BA197" s="810"/>
      <c r="BB197" s="810"/>
      <c r="BC197" s="810"/>
      <c r="BD197" s="810"/>
      <c r="BE197" s="810"/>
      <c r="BF197" s="810"/>
      <c r="BG197" s="810"/>
      <c r="BH197" s="810"/>
      <c r="BI197" s="810"/>
      <c r="BJ197" s="810"/>
      <c r="BK197" s="810"/>
      <c r="BL197" s="810"/>
      <c r="BM197" s="810"/>
      <c r="BN197" s="810"/>
      <c r="BO197" s="810"/>
    </row>
    <row r="198" spans="1:67" s="811" customFormat="1" x14ac:dyDescent="0.45">
      <c r="A198" s="800"/>
      <c r="B198" s="801" t="s">
        <v>644</v>
      </c>
      <c r="C198" s="812" t="s">
        <v>689</v>
      </c>
      <c r="D198" s="813"/>
      <c r="E198" s="813"/>
      <c r="F198" s="813"/>
      <c r="G198" s="813"/>
      <c r="H198" s="806"/>
      <c r="I198" s="813"/>
      <c r="J198" s="813"/>
      <c r="K198" s="813"/>
      <c r="L198" s="813"/>
      <c r="M198" s="806"/>
      <c r="N198" s="806"/>
      <c r="O198" s="813"/>
      <c r="P198" s="806"/>
      <c r="Q198" s="806"/>
      <c r="R198" s="806"/>
      <c r="S198" s="806"/>
      <c r="T198" s="806"/>
      <c r="U198" s="806"/>
      <c r="V198" s="806"/>
      <c r="W198" s="806"/>
      <c r="X198" s="806"/>
      <c r="Y198" s="806"/>
      <c r="Z198" s="807"/>
      <c r="AA198" s="808"/>
      <c r="AB198" s="808"/>
      <c r="AC198" s="809"/>
      <c r="AD198" s="809"/>
      <c r="AE198" s="809"/>
      <c r="AF198" s="809"/>
      <c r="AG198" s="809"/>
      <c r="AH198" s="809"/>
      <c r="AI198" s="809"/>
      <c r="AJ198" s="809"/>
      <c r="AK198" s="809"/>
      <c r="AL198" s="809"/>
      <c r="AM198" s="809"/>
      <c r="AN198" s="809"/>
      <c r="AO198" s="810"/>
      <c r="AP198" s="810"/>
      <c r="AQ198" s="810"/>
      <c r="AR198" s="810"/>
      <c r="AS198" s="810"/>
      <c r="AT198" s="810"/>
      <c r="AU198" s="810"/>
      <c r="AV198" s="810"/>
      <c r="AW198" s="810"/>
      <c r="AX198" s="810"/>
      <c r="AY198" s="810"/>
      <c r="AZ198" s="810"/>
      <c r="BA198" s="810"/>
      <c r="BB198" s="810"/>
      <c r="BC198" s="810"/>
      <c r="BD198" s="810"/>
      <c r="BE198" s="810"/>
      <c r="BF198" s="810"/>
      <c r="BG198" s="810"/>
      <c r="BH198" s="810"/>
      <c r="BI198" s="810"/>
      <c r="BJ198" s="810"/>
      <c r="BK198" s="810"/>
      <c r="BL198" s="810"/>
      <c r="BM198" s="810"/>
      <c r="BN198" s="810"/>
      <c r="BO198" s="810"/>
    </row>
    <row r="199" spans="1:67" s="811" customFormat="1" x14ac:dyDescent="0.45">
      <c r="A199" s="800"/>
      <c r="B199" s="801"/>
      <c r="C199" s="812" t="s">
        <v>1130</v>
      </c>
      <c r="D199" s="813">
        <f>'4.Рентген Фл'!E1015+'4.Рентген Фл'!E1016</f>
        <v>26.05</v>
      </c>
      <c r="E199" s="813">
        <f>'4.Рентген Фл'!E1018</f>
        <v>5.73</v>
      </c>
      <c r="F199" s="813">
        <f>'4.Рентген Фл'!F1031</f>
        <v>45.71</v>
      </c>
      <c r="G199" s="813">
        <f>'4.Рентген Фл'!E1033</f>
        <v>0</v>
      </c>
      <c r="H199" s="806">
        <f>SUM(D199:G199)</f>
        <v>77.490000000000009</v>
      </c>
      <c r="I199" s="813">
        <f>'4.Рентген Фл'!G1043+'4.Рентген Фл'!G1048</f>
        <v>3.05</v>
      </c>
      <c r="J199" s="813">
        <f>'4.Рентген Фл'!G1044+'4.Рентген Фл'!G1049</f>
        <v>0</v>
      </c>
      <c r="K199" s="813">
        <f>'4.Рентген Фл'!G1045+'4.Рентген Фл'!G1050</f>
        <v>0</v>
      </c>
      <c r="L199" s="813">
        <f>'4.Рентген Фл'!G1046+'4.Рентген Фл'!G1051</f>
        <v>0.4</v>
      </c>
      <c r="M199" s="806">
        <f>SUM(I199:L199)</f>
        <v>3.4499999999999997</v>
      </c>
      <c r="N199" s="806">
        <f>H199+M199</f>
        <v>80.940000000000012</v>
      </c>
      <c r="O199" s="813"/>
      <c r="P199" s="806">
        <f t="shared" si="20"/>
        <v>81</v>
      </c>
      <c r="Q199" s="806">
        <f>'4.Рентген Фл'!E1006</f>
        <v>81</v>
      </c>
      <c r="R199" s="806">
        <f t="shared" si="19"/>
        <v>0</v>
      </c>
      <c r="S199" s="806"/>
      <c r="T199" s="806"/>
      <c r="U199" s="806"/>
      <c r="V199" s="806"/>
      <c r="W199" s="806"/>
      <c r="X199" s="806"/>
      <c r="Y199" s="806"/>
      <c r="Z199" s="807"/>
      <c r="AA199" s="808"/>
      <c r="AB199" s="808"/>
      <c r="AC199" s="809"/>
      <c r="AD199" s="809"/>
      <c r="AE199" s="809"/>
      <c r="AF199" s="809"/>
      <c r="AG199" s="809"/>
      <c r="AH199" s="809"/>
      <c r="AI199" s="809"/>
      <c r="AJ199" s="809"/>
      <c r="AK199" s="809"/>
      <c r="AL199" s="809"/>
      <c r="AM199" s="809"/>
      <c r="AN199" s="809"/>
      <c r="AO199" s="810"/>
      <c r="AP199" s="810"/>
      <c r="AQ199" s="810"/>
      <c r="AR199" s="810"/>
      <c r="AS199" s="810"/>
      <c r="AT199" s="810"/>
      <c r="AU199" s="810"/>
      <c r="AV199" s="810"/>
      <c r="AW199" s="810"/>
      <c r="AX199" s="810"/>
      <c r="AY199" s="810"/>
      <c r="AZ199" s="810"/>
      <c r="BA199" s="810"/>
      <c r="BB199" s="810"/>
      <c r="BC199" s="810"/>
      <c r="BD199" s="810"/>
      <c r="BE199" s="810"/>
      <c r="BF199" s="810"/>
      <c r="BG199" s="810"/>
      <c r="BH199" s="810"/>
      <c r="BI199" s="810"/>
      <c r="BJ199" s="810"/>
      <c r="BK199" s="810"/>
      <c r="BL199" s="810"/>
      <c r="BM199" s="810"/>
      <c r="BN199" s="810"/>
      <c r="BO199" s="810"/>
    </row>
    <row r="200" spans="1:67" s="811" customFormat="1" x14ac:dyDescent="0.45">
      <c r="A200" s="800"/>
      <c r="B200" s="801"/>
      <c r="C200" s="812" t="s">
        <v>1128</v>
      </c>
      <c r="D200" s="813">
        <f>'4.Рентген Фл'!E1069+'4.Рентген Фл'!E1070</f>
        <v>26.05</v>
      </c>
      <c r="E200" s="813">
        <f>'4.Рентген Фл'!E1072</f>
        <v>5.73</v>
      </c>
      <c r="F200" s="813">
        <f>'4.Рентген Фл'!F1084</f>
        <v>5.91</v>
      </c>
      <c r="G200" s="813">
        <f>'4.Рентген Фл'!E1086</f>
        <v>0</v>
      </c>
      <c r="H200" s="806">
        <f>SUM(D200:G200)</f>
        <v>37.69</v>
      </c>
      <c r="I200" s="813">
        <f>'4.Рентген Фл'!G1096+'4.Рентген Фл'!G1101</f>
        <v>3.05</v>
      </c>
      <c r="J200" s="813">
        <f>'4.Рентген Фл'!G1097+'4.Рентген Фл'!G1102</f>
        <v>0</v>
      </c>
      <c r="K200" s="813">
        <f>'4.Рентген Фл'!G1098+'4.Рентген Фл'!G1103</f>
        <v>0</v>
      </c>
      <c r="L200" s="813">
        <f>'4.Рентген Фл'!G1099+'4.Рентген Фл'!G1104</f>
        <v>0.4</v>
      </c>
      <c r="M200" s="806">
        <f>SUM(I200:L200)</f>
        <v>3.4499999999999997</v>
      </c>
      <c r="N200" s="806">
        <f>H200+M200</f>
        <v>41.14</v>
      </c>
      <c r="O200" s="813"/>
      <c r="P200" s="806">
        <f t="shared" si="20"/>
        <v>41</v>
      </c>
      <c r="Q200" s="806">
        <f>'4.Рентген Фл'!E1060</f>
        <v>41</v>
      </c>
      <c r="R200" s="806">
        <f t="shared" si="19"/>
        <v>0</v>
      </c>
      <c r="S200" s="806"/>
      <c r="T200" s="806"/>
      <c r="U200" s="806"/>
      <c r="V200" s="806"/>
      <c r="W200" s="806"/>
      <c r="X200" s="806"/>
      <c r="Y200" s="806"/>
      <c r="Z200" s="807"/>
      <c r="AA200" s="808"/>
      <c r="AB200" s="808"/>
      <c r="AC200" s="809"/>
      <c r="AD200" s="809"/>
      <c r="AE200" s="809"/>
      <c r="AF200" s="809"/>
      <c r="AG200" s="809"/>
      <c r="AH200" s="809"/>
      <c r="AI200" s="809"/>
      <c r="AJ200" s="809"/>
      <c r="AK200" s="809"/>
      <c r="AL200" s="809"/>
      <c r="AM200" s="809"/>
      <c r="AN200" s="809"/>
      <c r="AO200" s="810"/>
      <c r="AP200" s="810"/>
      <c r="AQ200" s="810"/>
      <c r="AR200" s="810"/>
      <c r="AS200" s="810"/>
      <c r="AT200" s="810"/>
      <c r="AU200" s="810"/>
      <c r="AV200" s="810"/>
      <c r="AW200" s="810"/>
      <c r="AX200" s="810"/>
      <c r="AY200" s="810"/>
      <c r="AZ200" s="810"/>
      <c r="BA200" s="810"/>
      <c r="BB200" s="810"/>
      <c r="BC200" s="810"/>
      <c r="BD200" s="810"/>
      <c r="BE200" s="810"/>
      <c r="BF200" s="810"/>
      <c r="BG200" s="810"/>
      <c r="BH200" s="810"/>
      <c r="BI200" s="810"/>
      <c r="BJ200" s="810"/>
      <c r="BK200" s="810"/>
      <c r="BL200" s="810"/>
      <c r="BM200" s="810"/>
      <c r="BN200" s="810"/>
      <c r="BO200" s="810"/>
    </row>
    <row r="201" spans="1:67" s="811" customFormat="1" x14ac:dyDescent="0.45">
      <c r="A201" s="800"/>
      <c r="B201" s="801" t="s">
        <v>646</v>
      </c>
      <c r="C201" s="812" t="s">
        <v>691</v>
      </c>
      <c r="D201" s="813"/>
      <c r="E201" s="813"/>
      <c r="F201" s="813"/>
      <c r="G201" s="813"/>
      <c r="H201" s="806"/>
      <c r="I201" s="813"/>
      <c r="J201" s="813"/>
      <c r="K201" s="813"/>
      <c r="L201" s="813"/>
      <c r="M201" s="806"/>
      <c r="N201" s="806"/>
      <c r="O201" s="813"/>
      <c r="P201" s="806"/>
      <c r="Q201" s="806"/>
      <c r="R201" s="806"/>
      <c r="S201" s="806"/>
      <c r="T201" s="806"/>
      <c r="U201" s="806"/>
      <c r="V201" s="806"/>
      <c r="W201" s="806"/>
      <c r="X201" s="806"/>
      <c r="Y201" s="806"/>
      <c r="Z201" s="807"/>
      <c r="AA201" s="808"/>
      <c r="AB201" s="808"/>
      <c r="AC201" s="809"/>
      <c r="AD201" s="809"/>
      <c r="AE201" s="809"/>
      <c r="AF201" s="809"/>
      <c r="AG201" s="809"/>
      <c r="AH201" s="809"/>
      <c r="AI201" s="809"/>
      <c r="AJ201" s="809"/>
      <c r="AK201" s="809"/>
      <c r="AL201" s="809"/>
      <c r="AM201" s="809"/>
      <c r="AN201" s="809"/>
      <c r="AO201" s="810"/>
      <c r="AP201" s="810"/>
      <c r="AQ201" s="810"/>
      <c r="AR201" s="810"/>
      <c r="AS201" s="810"/>
      <c r="AT201" s="810"/>
      <c r="AU201" s="810"/>
      <c r="AV201" s="810"/>
      <c r="AW201" s="810"/>
      <c r="AX201" s="810"/>
      <c r="AY201" s="810"/>
      <c r="AZ201" s="810"/>
      <c r="BA201" s="810"/>
      <c r="BB201" s="810"/>
      <c r="BC201" s="810"/>
      <c r="BD201" s="810"/>
      <c r="BE201" s="810"/>
      <c r="BF201" s="810"/>
      <c r="BG201" s="810"/>
      <c r="BH201" s="810"/>
      <c r="BI201" s="810"/>
      <c r="BJ201" s="810"/>
      <c r="BK201" s="810"/>
      <c r="BL201" s="810"/>
      <c r="BM201" s="810"/>
      <c r="BN201" s="810"/>
      <c r="BO201" s="810"/>
    </row>
    <row r="202" spans="1:67" s="811" customFormat="1" x14ac:dyDescent="0.45">
      <c r="A202" s="800"/>
      <c r="B202" s="801"/>
      <c r="C202" s="812" t="s">
        <v>1130</v>
      </c>
      <c r="D202" s="813">
        <f>'4.Рентген Фл'!E1121+'4.Рентген Фл'!E1122</f>
        <v>26.05</v>
      </c>
      <c r="E202" s="813">
        <f>'4.Рентген Фл'!E1124</f>
        <v>5.73</v>
      </c>
      <c r="F202" s="813">
        <f>'4.Рентген Фл'!F1137</f>
        <v>25.81</v>
      </c>
      <c r="G202" s="813">
        <f>'4.Рентген Фл'!E1139</f>
        <v>0</v>
      </c>
      <c r="H202" s="806">
        <f>SUM(D202:G202)</f>
        <v>57.59</v>
      </c>
      <c r="I202" s="813">
        <f>'4.Рентген Фл'!G1149+'4.Рентген Фл'!G1154</f>
        <v>3.05</v>
      </c>
      <c r="J202" s="813">
        <f>'4.Рентген Фл'!G1150+'4.Рентген Фл'!G1155</f>
        <v>0</v>
      </c>
      <c r="K202" s="813">
        <f>'4.Рентген Фл'!G1151+'4.Рентген Фл'!G1156</f>
        <v>0</v>
      </c>
      <c r="L202" s="813">
        <f>'4.Рентген Фл'!G1152+'4.Рентген Фл'!G1157</f>
        <v>0.4</v>
      </c>
      <c r="M202" s="806">
        <f>SUM(I202:L202)</f>
        <v>3.4499999999999997</v>
      </c>
      <c r="N202" s="806">
        <f>H202+M202</f>
        <v>61.040000000000006</v>
      </c>
      <c r="O202" s="813"/>
      <c r="P202" s="806">
        <f t="shared" si="20"/>
        <v>61</v>
      </c>
      <c r="Q202" s="806">
        <f>'4.Рентген Фл'!E1112</f>
        <v>61</v>
      </c>
      <c r="R202" s="806">
        <f t="shared" si="19"/>
        <v>0</v>
      </c>
      <c r="S202" s="806"/>
      <c r="T202" s="806"/>
      <c r="U202" s="806"/>
      <c r="V202" s="806"/>
      <c r="W202" s="806"/>
      <c r="X202" s="806"/>
      <c r="Y202" s="806"/>
      <c r="Z202" s="807"/>
      <c r="AA202" s="808"/>
      <c r="AB202" s="808"/>
      <c r="AC202" s="809"/>
      <c r="AD202" s="809"/>
      <c r="AE202" s="809"/>
      <c r="AF202" s="809"/>
      <c r="AG202" s="809"/>
      <c r="AH202" s="809"/>
      <c r="AI202" s="809"/>
      <c r="AJ202" s="809"/>
      <c r="AK202" s="809"/>
      <c r="AL202" s="809"/>
      <c r="AM202" s="809"/>
      <c r="AN202" s="809"/>
      <c r="AO202" s="810"/>
      <c r="AP202" s="810"/>
      <c r="AQ202" s="810"/>
      <c r="AR202" s="810"/>
      <c r="AS202" s="810"/>
      <c r="AT202" s="810"/>
      <c r="AU202" s="810"/>
      <c r="AV202" s="810"/>
      <c r="AW202" s="810"/>
      <c r="AX202" s="810"/>
      <c r="AY202" s="810"/>
      <c r="AZ202" s="810"/>
      <c r="BA202" s="810"/>
      <c r="BB202" s="810"/>
      <c r="BC202" s="810"/>
      <c r="BD202" s="810"/>
      <c r="BE202" s="810"/>
      <c r="BF202" s="810"/>
      <c r="BG202" s="810"/>
      <c r="BH202" s="810"/>
      <c r="BI202" s="810"/>
      <c r="BJ202" s="810"/>
      <c r="BK202" s="810"/>
      <c r="BL202" s="810"/>
      <c r="BM202" s="810"/>
      <c r="BN202" s="810"/>
      <c r="BO202" s="810"/>
    </row>
    <row r="203" spans="1:67" s="811" customFormat="1" x14ac:dyDescent="0.45">
      <c r="A203" s="800"/>
      <c r="B203" s="801"/>
      <c r="C203" s="812" t="s">
        <v>1128</v>
      </c>
      <c r="D203" s="813">
        <f>'4.Рентген Фл'!E1174+'4.Рентген Фл'!E1175</f>
        <v>26.05</v>
      </c>
      <c r="E203" s="813">
        <f>'4.Рентген Фл'!E1177</f>
        <v>5.73</v>
      </c>
      <c r="F203" s="813">
        <f>'4.Рентген Фл'!F1189</f>
        <v>5.91</v>
      </c>
      <c r="G203" s="813">
        <f>'4.Рентген Фл'!E1191</f>
        <v>0</v>
      </c>
      <c r="H203" s="806">
        <f>SUM(D203:G203)</f>
        <v>37.69</v>
      </c>
      <c r="I203" s="813">
        <f>'4.Рентген Фл'!G1201+'4.Рентген Фл'!G1206</f>
        <v>3.05</v>
      </c>
      <c r="J203" s="813">
        <f>'4.Рентген Фл'!G1202+'4.Рентген Фл'!G1207</f>
        <v>0</v>
      </c>
      <c r="K203" s="813">
        <f>'4.Рентген Фл'!G1203+'4.Рентген Фл'!G1208</f>
        <v>0</v>
      </c>
      <c r="L203" s="813">
        <f>'4.Рентген Фл'!G1204+'4.Рентген Фл'!G1209</f>
        <v>0.4</v>
      </c>
      <c r="M203" s="806">
        <f>SUM(I203:L203)</f>
        <v>3.4499999999999997</v>
      </c>
      <c r="N203" s="806">
        <f>H203+M203</f>
        <v>41.14</v>
      </c>
      <c r="O203" s="813"/>
      <c r="P203" s="806">
        <f t="shared" si="20"/>
        <v>41</v>
      </c>
      <c r="Q203" s="806">
        <f>'4.Рентген Фл'!E1165</f>
        <v>41</v>
      </c>
      <c r="R203" s="806">
        <f t="shared" si="19"/>
        <v>0</v>
      </c>
      <c r="S203" s="806"/>
      <c r="T203" s="806"/>
      <c r="U203" s="806"/>
      <c r="V203" s="806"/>
      <c r="W203" s="806"/>
      <c r="X203" s="806"/>
      <c r="Y203" s="806"/>
      <c r="Z203" s="807"/>
      <c r="AA203" s="808"/>
      <c r="AB203" s="808"/>
      <c r="AC203" s="809"/>
      <c r="AD203" s="809"/>
      <c r="AE203" s="809"/>
      <c r="AF203" s="809"/>
      <c r="AG203" s="809"/>
      <c r="AH203" s="809"/>
      <c r="AI203" s="809"/>
      <c r="AJ203" s="809"/>
      <c r="AK203" s="809"/>
      <c r="AL203" s="809"/>
      <c r="AM203" s="809"/>
      <c r="AN203" s="809"/>
      <c r="AO203" s="810"/>
      <c r="AP203" s="810"/>
      <c r="AQ203" s="810"/>
      <c r="AR203" s="810"/>
      <c r="AS203" s="810"/>
      <c r="AT203" s="810"/>
      <c r="AU203" s="810"/>
      <c r="AV203" s="810"/>
      <c r="AW203" s="810"/>
      <c r="AX203" s="810"/>
      <c r="AY203" s="810"/>
      <c r="AZ203" s="810"/>
      <c r="BA203" s="810"/>
      <c r="BB203" s="810"/>
      <c r="BC203" s="810"/>
      <c r="BD203" s="810"/>
      <c r="BE203" s="810"/>
      <c r="BF203" s="810"/>
      <c r="BG203" s="810"/>
      <c r="BH203" s="810"/>
      <c r="BI203" s="810"/>
      <c r="BJ203" s="810"/>
      <c r="BK203" s="810"/>
      <c r="BL203" s="810"/>
      <c r="BM203" s="810"/>
      <c r="BN203" s="810"/>
      <c r="BO203" s="810"/>
    </row>
    <row r="204" spans="1:67" s="811" customFormat="1" x14ac:dyDescent="0.45">
      <c r="A204" s="800"/>
      <c r="B204" s="801" t="s">
        <v>648</v>
      </c>
      <c r="C204" s="812" t="s">
        <v>693</v>
      </c>
      <c r="D204" s="813"/>
      <c r="E204" s="813"/>
      <c r="F204" s="813"/>
      <c r="G204" s="813"/>
      <c r="H204" s="806"/>
      <c r="I204" s="813"/>
      <c r="J204" s="813"/>
      <c r="K204" s="813"/>
      <c r="L204" s="813"/>
      <c r="M204" s="806"/>
      <c r="N204" s="806"/>
      <c r="O204" s="813"/>
      <c r="P204" s="806"/>
      <c r="Q204" s="806"/>
      <c r="R204" s="806"/>
      <c r="S204" s="806"/>
      <c r="T204" s="806"/>
      <c r="U204" s="806"/>
      <c r="V204" s="806"/>
      <c r="W204" s="806"/>
      <c r="X204" s="806"/>
      <c r="Y204" s="806"/>
      <c r="Z204" s="807"/>
      <c r="AA204" s="808"/>
      <c r="AB204" s="808"/>
      <c r="AC204" s="809"/>
      <c r="AD204" s="809"/>
      <c r="AE204" s="809"/>
      <c r="AF204" s="809"/>
      <c r="AG204" s="809"/>
      <c r="AH204" s="809"/>
      <c r="AI204" s="809"/>
      <c r="AJ204" s="809"/>
      <c r="AK204" s="809"/>
      <c r="AL204" s="809"/>
      <c r="AM204" s="809"/>
      <c r="AN204" s="809"/>
      <c r="AO204" s="810"/>
      <c r="AP204" s="810"/>
      <c r="AQ204" s="810"/>
      <c r="AR204" s="810"/>
      <c r="AS204" s="810"/>
      <c r="AT204" s="810"/>
      <c r="AU204" s="810"/>
      <c r="AV204" s="810"/>
      <c r="AW204" s="810"/>
      <c r="AX204" s="810"/>
      <c r="AY204" s="810"/>
      <c r="AZ204" s="810"/>
      <c r="BA204" s="810"/>
      <c r="BB204" s="810"/>
      <c r="BC204" s="810"/>
      <c r="BD204" s="810"/>
      <c r="BE204" s="810"/>
      <c r="BF204" s="810"/>
      <c r="BG204" s="810"/>
      <c r="BH204" s="810"/>
      <c r="BI204" s="810"/>
      <c r="BJ204" s="810"/>
      <c r="BK204" s="810"/>
      <c r="BL204" s="810"/>
      <c r="BM204" s="810"/>
      <c r="BN204" s="810"/>
      <c r="BO204" s="810"/>
    </row>
    <row r="205" spans="1:67" s="811" customFormat="1" x14ac:dyDescent="0.45">
      <c r="A205" s="800"/>
      <c r="B205" s="801"/>
      <c r="C205" s="812" t="s">
        <v>1130</v>
      </c>
      <c r="D205" s="813">
        <f>'4.Рентген Фл'!E1226+'4.Рентген Фл'!E1227</f>
        <v>26.05</v>
      </c>
      <c r="E205" s="813">
        <f>'4.Рентген Фл'!E1229</f>
        <v>5.73</v>
      </c>
      <c r="F205" s="813">
        <f>'4.Рентген Фл'!E1231</f>
        <v>45.71</v>
      </c>
      <c r="G205" s="813">
        <f>'4.Рентген Фл'!E1244</f>
        <v>0</v>
      </c>
      <c r="H205" s="806">
        <f>SUM(D205:G205)</f>
        <v>77.490000000000009</v>
      </c>
      <c r="I205" s="813">
        <f>'4.Рентген Фл'!G1254+'4.Рентген Фл'!G1259</f>
        <v>3.05</v>
      </c>
      <c r="J205" s="813">
        <f>'4.Рентген Фл'!G1255+'4.Рентген Фл'!G1260</f>
        <v>0</v>
      </c>
      <c r="K205" s="813">
        <f>'4.Рентген Фл'!G1256+'4.Рентген Фл'!G1261</f>
        <v>0</v>
      </c>
      <c r="L205" s="813">
        <f>'4.Рентген Фл'!G1257+'4.Рентген Фл'!G1262</f>
        <v>0.4</v>
      </c>
      <c r="M205" s="806">
        <f>SUM(I205:L205)</f>
        <v>3.4499999999999997</v>
      </c>
      <c r="N205" s="806">
        <f>H205+M205</f>
        <v>80.940000000000012</v>
      </c>
      <c r="O205" s="813"/>
      <c r="P205" s="806">
        <f t="shared" si="20"/>
        <v>81</v>
      </c>
      <c r="Q205" s="806">
        <f>'4.Рентген Фл'!E1217</f>
        <v>81</v>
      </c>
      <c r="R205" s="806">
        <f t="shared" si="19"/>
        <v>0</v>
      </c>
      <c r="S205" s="806"/>
      <c r="T205" s="806"/>
      <c r="U205" s="806"/>
      <c r="V205" s="806"/>
      <c r="W205" s="806"/>
      <c r="X205" s="806"/>
      <c r="Y205" s="806"/>
      <c r="Z205" s="807"/>
      <c r="AA205" s="808"/>
      <c r="AB205" s="808"/>
      <c r="AC205" s="809"/>
      <c r="AD205" s="809"/>
      <c r="AE205" s="809"/>
      <c r="AF205" s="809"/>
      <c r="AG205" s="809"/>
      <c r="AH205" s="809"/>
      <c r="AI205" s="809"/>
      <c r="AJ205" s="809"/>
      <c r="AK205" s="809"/>
      <c r="AL205" s="809"/>
      <c r="AM205" s="809"/>
      <c r="AN205" s="809"/>
      <c r="AO205" s="810"/>
      <c r="AP205" s="810"/>
      <c r="AQ205" s="810"/>
      <c r="AR205" s="810"/>
      <c r="AS205" s="810"/>
      <c r="AT205" s="810"/>
      <c r="AU205" s="810"/>
      <c r="AV205" s="810"/>
      <c r="AW205" s="810"/>
      <c r="AX205" s="810"/>
      <c r="AY205" s="810"/>
      <c r="AZ205" s="810"/>
      <c r="BA205" s="810"/>
      <c r="BB205" s="810"/>
      <c r="BC205" s="810"/>
      <c r="BD205" s="810"/>
      <c r="BE205" s="810"/>
      <c r="BF205" s="810"/>
      <c r="BG205" s="810"/>
      <c r="BH205" s="810"/>
      <c r="BI205" s="810"/>
      <c r="BJ205" s="810"/>
      <c r="BK205" s="810"/>
      <c r="BL205" s="810"/>
      <c r="BM205" s="810"/>
      <c r="BN205" s="810"/>
      <c r="BO205" s="810"/>
    </row>
    <row r="206" spans="1:67" s="811" customFormat="1" x14ac:dyDescent="0.45">
      <c r="A206" s="800"/>
      <c r="B206" s="801"/>
      <c r="C206" s="812" t="s">
        <v>1128</v>
      </c>
      <c r="D206" s="813">
        <f>'4.Рентген Фл'!E1279+'4.Рентген Фл'!E1280</f>
        <v>26.05</v>
      </c>
      <c r="E206" s="813">
        <f>'4.Рентген Фл'!E1282</f>
        <v>5.73</v>
      </c>
      <c r="F206" s="813">
        <f>'4.Рентген Фл'!F1294</f>
        <v>5.91</v>
      </c>
      <c r="G206" s="813">
        <f>'4.Рентген Фл'!E1296</f>
        <v>0</v>
      </c>
      <c r="H206" s="806">
        <f>SUM(D206:G206)</f>
        <v>37.69</v>
      </c>
      <c r="I206" s="813">
        <f>'4.Рентген Фл'!G1306+'4.Рентген Фл'!G1311</f>
        <v>3.05</v>
      </c>
      <c r="J206" s="813">
        <f>'4.Рентген Фл'!G1307+'4.Рентген Фл'!G1312</f>
        <v>0</v>
      </c>
      <c r="K206" s="813">
        <f>'4.Рентген Фл'!G1308+'4.Рентген Фл'!G1313</f>
        <v>0</v>
      </c>
      <c r="L206" s="813">
        <f>'4.Рентген Фл'!G1309+'4.Рентген Фл'!G1314</f>
        <v>0.4</v>
      </c>
      <c r="M206" s="806">
        <f>SUM(I206:L206)</f>
        <v>3.4499999999999997</v>
      </c>
      <c r="N206" s="806">
        <f>H206+M206</f>
        <v>41.14</v>
      </c>
      <c r="O206" s="813"/>
      <c r="P206" s="806">
        <f t="shared" si="20"/>
        <v>41</v>
      </c>
      <c r="Q206" s="806">
        <f>'4.Рентген Фл'!E1270</f>
        <v>41</v>
      </c>
      <c r="R206" s="806">
        <f t="shared" si="19"/>
        <v>0</v>
      </c>
      <c r="S206" s="806"/>
      <c r="T206" s="806"/>
      <c r="U206" s="806"/>
      <c r="V206" s="806"/>
      <c r="W206" s="806"/>
      <c r="X206" s="806"/>
      <c r="Y206" s="806"/>
      <c r="Z206" s="807"/>
      <c r="AA206" s="808"/>
      <c r="AB206" s="808"/>
      <c r="AC206" s="809"/>
      <c r="AD206" s="809"/>
      <c r="AE206" s="809"/>
      <c r="AF206" s="809"/>
      <c r="AG206" s="809"/>
      <c r="AH206" s="809"/>
      <c r="AI206" s="809"/>
      <c r="AJ206" s="809"/>
      <c r="AK206" s="809"/>
      <c r="AL206" s="809"/>
      <c r="AM206" s="809"/>
      <c r="AN206" s="809"/>
      <c r="AO206" s="810"/>
      <c r="AP206" s="810"/>
      <c r="AQ206" s="810"/>
      <c r="AR206" s="810"/>
      <c r="AS206" s="810"/>
      <c r="AT206" s="810"/>
      <c r="AU206" s="810"/>
      <c r="AV206" s="810"/>
      <c r="AW206" s="810"/>
      <c r="AX206" s="810"/>
      <c r="AY206" s="810"/>
      <c r="AZ206" s="810"/>
      <c r="BA206" s="810"/>
      <c r="BB206" s="810"/>
      <c r="BC206" s="810"/>
      <c r="BD206" s="810"/>
      <c r="BE206" s="810"/>
      <c r="BF206" s="810"/>
      <c r="BG206" s="810"/>
      <c r="BH206" s="810"/>
      <c r="BI206" s="810"/>
      <c r="BJ206" s="810"/>
      <c r="BK206" s="810"/>
      <c r="BL206" s="810"/>
      <c r="BM206" s="810"/>
      <c r="BN206" s="810"/>
      <c r="BO206" s="810"/>
    </row>
    <row r="207" spans="1:67" s="811" customFormat="1" x14ac:dyDescent="0.45">
      <c r="A207" s="800"/>
      <c r="B207" s="801" t="s">
        <v>650</v>
      </c>
      <c r="C207" s="814" t="s">
        <v>695</v>
      </c>
      <c r="D207" s="813"/>
      <c r="E207" s="813"/>
      <c r="F207" s="813"/>
      <c r="G207" s="813"/>
      <c r="H207" s="806"/>
      <c r="I207" s="813"/>
      <c r="J207" s="813"/>
      <c r="K207" s="813"/>
      <c r="L207" s="813"/>
      <c r="M207" s="806"/>
      <c r="N207" s="806"/>
      <c r="O207" s="813"/>
      <c r="P207" s="806"/>
      <c r="Q207" s="806"/>
      <c r="R207" s="806"/>
      <c r="S207" s="806"/>
      <c r="T207" s="806"/>
      <c r="U207" s="806"/>
      <c r="V207" s="806"/>
      <c r="W207" s="806"/>
      <c r="X207" s="806"/>
      <c r="Y207" s="806"/>
      <c r="Z207" s="807"/>
      <c r="AA207" s="808"/>
      <c r="AB207" s="808"/>
      <c r="AC207" s="809"/>
      <c r="AD207" s="809"/>
      <c r="AE207" s="809"/>
      <c r="AF207" s="809"/>
      <c r="AG207" s="809"/>
      <c r="AH207" s="809"/>
      <c r="AI207" s="809"/>
      <c r="AJ207" s="809"/>
      <c r="AK207" s="809"/>
      <c r="AL207" s="809"/>
      <c r="AM207" s="809"/>
      <c r="AN207" s="809"/>
      <c r="AO207" s="810"/>
      <c r="AP207" s="810"/>
      <c r="AQ207" s="810"/>
      <c r="AR207" s="810"/>
      <c r="AS207" s="810"/>
      <c r="AT207" s="810"/>
      <c r="AU207" s="810"/>
      <c r="AV207" s="810"/>
      <c r="AW207" s="810"/>
      <c r="AX207" s="810"/>
      <c r="AY207" s="810"/>
      <c r="AZ207" s="810"/>
      <c r="BA207" s="810"/>
      <c r="BB207" s="810"/>
      <c r="BC207" s="810"/>
      <c r="BD207" s="810"/>
      <c r="BE207" s="810"/>
      <c r="BF207" s="810"/>
      <c r="BG207" s="810"/>
      <c r="BH207" s="810"/>
      <c r="BI207" s="810"/>
      <c r="BJ207" s="810"/>
      <c r="BK207" s="810"/>
      <c r="BL207" s="810"/>
      <c r="BM207" s="810"/>
      <c r="BN207" s="810"/>
      <c r="BO207" s="810"/>
    </row>
    <row r="208" spans="1:67" s="811" customFormat="1" x14ac:dyDescent="0.45">
      <c r="A208" s="800"/>
      <c r="B208" s="801"/>
      <c r="C208" s="812" t="s">
        <v>1130</v>
      </c>
      <c r="D208" s="813">
        <f>'4.Рентген Фл'!E1331+'4.Рентген Фл'!E1332</f>
        <v>26.05</v>
      </c>
      <c r="E208" s="813">
        <f>'4.Рентген Фл'!E1334</f>
        <v>5.73</v>
      </c>
      <c r="F208" s="813">
        <f>'4.Рентген Фл'!F1347</f>
        <v>85.509999999999991</v>
      </c>
      <c r="G208" s="813">
        <f>'4.Рентген Фл'!E1349</f>
        <v>0</v>
      </c>
      <c r="H208" s="806">
        <f>SUM(D208:G208)</f>
        <v>117.28999999999999</v>
      </c>
      <c r="I208" s="813">
        <f>'4.Рентген Фл'!G1359+'4.Рентген Фл'!G1364</f>
        <v>3.05</v>
      </c>
      <c r="J208" s="813">
        <f>'4.Рентген Фл'!G1360+'4.Рентген Фл'!G1365</f>
        <v>0</v>
      </c>
      <c r="K208" s="813">
        <f>'4.Рентген Фл'!G1361+'4.Рентген Фл'!G1366</f>
        <v>0</v>
      </c>
      <c r="L208" s="813">
        <f>'4.Рентген Фл'!G1362+'4.Рентген Фл'!G1367</f>
        <v>0.4</v>
      </c>
      <c r="M208" s="806">
        <f>SUM(I208:L208)</f>
        <v>3.4499999999999997</v>
      </c>
      <c r="N208" s="806">
        <f>H208+M208</f>
        <v>120.74</v>
      </c>
      <c r="O208" s="813"/>
      <c r="P208" s="806">
        <f t="shared" si="20"/>
        <v>121</v>
      </c>
      <c r="Q208" s="806">
        <f>'4.Рентген Фл'!E1322</f>
        <v>121</v>
      </c>
      <c r="R208" s="806">
        <f t="shared" si="19"/>
        <v>0</v>
      </c>
      <c r="S208" s="806"/>
      <c r="T208" s="806"/>
      <c r="U208" s="806"/>
      <c r="V208" s="806"/>
      <c r="W208" s="806"/>
      <c r="X208" s="806"/>
      <c r="Y208" s="806"/>
      <c r="Z208" s="807"/>
      <c r="AA208" s="808"/>
      <c r="AB208" s="808"/>
      <c r="AC208" s="809"/>
      <c r="AD208" s="809"/>
      <c r="AE208" s="809"/>
      <c r="AF208" s="809"/>
      <c r="AG208" s="809"/>
      <c r="AH208" s="809"/>
      <c r="AI208" s="809"/>
      <c r="AJ208" s="809"/>
      <c r="AK208" s="809"/>
      <c r="AL208" s="809"/>
      <c r="AM208" s="809"/>
      <c r="AN208" s="809"/>
      <c r="AO208" s="810"/>
      <c r="AP208" s="810"/>
      <c r="AQ208" s="810"/>
      <c r="AR208" s="810"/>
      <c r="AS208" s="810"/>
      <c r="AT208" s="810"/>
      <c r="AU208" s="810"/>
      <c r="AV208" s="810"/>
      <c r="AW208" s="810"/>
      <c r="AX208" s="810"/>
      <c r="AY208" s="810"/>
      <c r="AZ208" s="810"/>
      <c r="BA208" s="810"/>
      <c r="BB208" s="810"/>
      <c r="BC208" s="810"/>
      <c r="BD208" s="810"/>
      <c r="BE208" s="810"/>
      <c r="BF208" s="810"/>
      <c r="BG208" s="810"/>
      <c r="BH208" s="810"/>
      <c r="BI208" s="810"/>
      <c r="BJ208" s="810"/>
      <c r="BK208" s="810"/>
      <c r="BL208" s="810"/>
      <c r="BM208" s="810"/>
      <c r="BN208" s="810"/>
      <c r="BO208" s="810"/>
    </row>
    <row r="209" spans="1:67" s="811" customFormat="1" x14ac:dyDescent="0.45">
      <c r="A209" s="800"/>
      <c r="B209" s="801"/>
      <c r="C209" s="812" t="s">
        <v>1128</v>
      </c>
      <c r="D209" s="813">
        <f>'4.Рентген Фл'!E1384+'4.Рентген Фл'!E1385</f>
        <v>26.05</v>
      </c>
      <c r="E209" s="813">
        <f>'4.Рентген Фл'!E1387</f>
        <v>5.73</v>
      </c>
      <c r="F209" s="813">
        <f>'4.Рентген Фл'!F1399</f>
        <v>5.91</v>
      </c>
      <c r="G209" s="813">
        <f>'4.Рентген Фл'!E1401</f>
        <v>0</v>
      </c>
      <c r="H209" s="806">
        <f>SUM(D209:G209)</f>
        <v>37.69</v>
      </c>
      <c r="I209" s="813">
        <f>'4.Рентген Фл'!G1411+'4.Рентген Фл'!G1416</f>
        <v>3.05</v>
      </c>
      <c r="J209" s="813">
        <f>'4.Рентген Фл'!G1412+'4.Рентген Фл'!G1417</f>
        <v>0</v>
      </c>
      <c r="K209" s="813">
        <f>'4.Рентген Фл'!G1413+'4.Рентген Фл'!G1418</f>
        <v>0</v>
      </c>
      <c r="L209" s="813">
        <f>'4.Рентген Фл'!G1414+'4.Рентген Фл'!G1419</f>
        <v>0.4</v>
      </c>
      <c r="M209" s="806">
        <f>SUM(I209:L209)</f>
        <v>3.4499999999999997</v>
      </c>
      <c r="N209" s="806">
        <f>H209+M209</f>
        <v>41.14</v>
      </c>
      <c r="O209" s="813"/>
      <c r="P209" s="806">
        <f t="shared" si="20"/>
        <v>41</v>
      </c>
      <c r="Q209" s="806">
        <f>'4.Рентген Фл'!E1375</f>
        <v>41</v>
      </c>
      <c r="R209" s="806">
        <f t="shared" si="19"/>
        <v>0</v>
      </c>
      <c r="S209" s="806"/>
      <c r="T209" s="806"/>
      <c r="U209" s="806"/>
      <c r="V209" s="806"/>
      <c r="W209" s="806"/>
      <c r="X209" s="806"/>
      <c r="Y209" s="806"/>
      <c r="Z209" s="807"/>
      <c r="AA209" s="808"/>
      <c r="AB209" s="808"/>
      <c r="AC209" s="809"/>
      <c r="AD209" s="809"/>
      <c r="AE209" s="809"/>
      <c r="AF209" s="809"/>
      <c r="AG209" s="809"/>
      <c r="AH209" s="809"/>
      <c r="AI209" s="809"/>
      <c r="AJ209" s="809"/>
      <c r="AK209" s="809"/>
      <c r="AL209" s="809"/>
      <c r="AM209" s="809"/>
      <c r="AN209" s="809"/>
      <c r="AO209" s="810"/>
      <c r="AP209" s="810"/>
      <c r="AQ209" s="810"/>
      <c r="AR209" s="810"/>
      <c r="AS209" s="810"/>
      <c r="AT209" s="810"/>
      <c r="AU209" s="810"/>
      <c r="AV209" s="810"/>
      <c r="AW209" s="810"/>
      <c r="AX209" s="810"/>
      <c r="AY209" s="810"/>
      <c r="AZ209" s="810"/>
      <c r="BA209" s="810"/>
      <c r="BB209" s="810"/>
      <c r="BC209" s="810"/>
      <c r="BD209" s="810"/>
      <c r="BE209" s="810"/>
      <c r="BF209" s="810"/>
      <c r="BG209" s="810"/>
      <c r="BH209" s="810"/>
      <c r="BI209" s="810"/>
      <c r="BJ209" s="810"/>
      <c r="BK209" s="810"/>
      <c r="BL209" s="810"/>
      <c r="BM209" s="810"/>
      <c r="BN209" s="810"/>
      <c r="BO209" s="810"/>
    </row>
    <row r="210" spans="1:67" s="811" customFormat="1" x14ac:dyDescent="0.45">
      <c r="A210" s="800"/>
      <c r="B210" s="801" t="s">
        <v>652</v>
      </c>
      <c r="C210" s="814" t="s">
        <v>697</v>
      </c>
      <c r="D210" s="813"/>
      <c r="E210" s="813"/>
      <c r="F210" s="813"/>
      <c r="G210" s="813"/>
      <c r="H210" s="806"/>
      <c r="I210" s="813"/>
      <c r="J210" s="813"/>
      <c r="K210" s="813"/>
      <c r="L210" s="813"/>
      <c r="M210" s="806"/>
      <c r="N210" s="806"/>
      <c r="O210" s="813"/>
      <c r="P210" s="806"/>
      <c r="Q210" s="806"/>
      <c r="R210" s="806"/>
      <c r="S210" s="806"/>
      <c r="T210" s="806"/>
      <c r="U210" s="806"/>
      <c r="V210" s="806"/>
      <c r="W210" s="806"/>
      <c r="X210" s="806"/>
      <c r="Y210" s="806"/>
      <c r="Z210" s="807"/>
      <c r="AA210" s="808"/>
      <c r="AB210" s="808"/>
      <c r="AC210" s="809"/>
      <c r="AD210" s="809"/>
      <c r="AE210" s="809"/>
      <c r="AF210" s="809"/>
      <c r="AG210" s="809"/>
      <c r="AH210" s="809"/>
      <c r="AI210" s="809"/>
      <c r="AJ210" s="809"/>
      <c r="AK210" s="809"/>
      <c r="AL210" s="809"/>
      <c r="AM210" s="809"/>
      <c r="AN210" s="809"/>
      <c r="AO210" s="810"/>
      <c r="AP210" s="810"/>
      <c r="AQ210" s="810"/>
      <c r="AR210" s="810"/>
      <c r="AS210" s="810"/>
      <c r="AT210" s="810"/>
      <c r="AU210" s="810"/>
      <c r="AV210" s="810"/>
      <c r="AW210" s="810"/>
      <c r="AX210" s="810"/>
      <c r="AY210" s="810"/>
      <c r="AZ210" s="810"/>
      <c r="BA210" s="810"/>
      <c r="BB210" s="810"/>
      <c r="BC210" s="810"/>
      <c r="BD210" s="810"/>
      <c r="BE210" s="810"/>
      <c r="BF210" s="810"/>
      <c r="BG210" s="810"/>
      <c r="BH210" s="810"/>
      <c r="BI210" s="810"/>
      <c r="BJ210" s="810"/>
      <c r="BK210" s="810"/>
      <c r="BL210" s="810"/>
      <c r="BM210" s="810"/>
      <c r="BN210" s="810"/>
      <c r="BO210" s="810"/>
    </row>
    <row r="211" spans="1:67" s="811" customFormat="1" x14ac:dyDescent="0.45">
      <c r="A211" s="800"/>
      <c r="B211" s="801"/>
      <c r="C211" s="812" t="s">
        <v>1130</v>
      </c>
      <c r="D211" s="813">
        <f>'4.Рентген Фл'!E1438+'4.Рентген Фл'!E1439</f>
        <v>26.05</v>
      </c>
      <c r="E211" s="813">
        <f>'4.Рентген Фл'!E1441</f>
        <v>5.73</v>
      </c>
      <c r="F211" s="813">
        <f>'4.Рентген Фл'!F1454</f>
        <v>65.61</v>
      </c>
      <c r="G211" s="813">
        <f>'4.Рентген Фл'!E1456</f>
        <v>0</v>
      </c>
      <c r="H211" s="806">
        <f>SUM(D211:G211)</f>
        <v>97.39</v>
      </c>
      <c r="I211" s="813">
        <f>'4.Рентген Фл'!G1466+'4.Рентген Фл'!G1471</f>
        <v>3.05</v>
      </c>
      <c r="J211" s="813">
        <f>'4.Рентген Фл'!G1467+'4.Рентген Фл'!G1472</f>
        <v>0</v>
      </c>
      <c r="K211" s="813">
        <f>'4.Рентген Фл'!G1468+'4.Рентген Фл'!G1473</f>
        <v>0</v>
      </c>
      <c r="L211" s="813">
        <f>'4.Рентген Фл'!G1469+'4.Рентген Фл'!G1474</f>
        <v>0.4</v>
      </c>
      <c r="M211" s="806">
        <f>SUM(I211:L211)</f>
        <v>3.4499999999999997</v>
      </c>
      <c r="N211" s="806">
        <f>H211+M211</f>
        <v>100.84</v>
      </c>
      <c r="O211" s="813"/>
      <c r="P211" s="806">
        <f t="shared" si="20"/>
        <v>101</v>
      </c>
      <c r="Q211" s="806">
        <f>'4.Рентген Фл'!E1429</f>
        <v>101</v>
      </c>
      <c r="R211" s="806">
        <f t="shared" si="19"/>
        <v>0</v>
      </c>
      <c r="S211" s="806"/>
      <c r="T211" s="806"/>
      <c r="U211" s="806"/>
      <c r="V211" s="806"/>
      <c r="W211" s="806"/>
      <c r="X211" s="806"/>
      <c r="Y211" s="806"/>
      <c r="Z211" s="807"/>
      <c r="AA211" s="808"/>
      <c r="AB211" s="808"/>
      <c r="AC211" s="809"/>
      <c r="AD211" s="809"/>
      <c r="AE211" s="809"/>
      <c r="AF211" s="809"/>
      <c r="AG211" s="809"/>
      <c r="AH211" s="809"/>
      <c r="AI211" s="809"/>
      <c r="AJ211" s="809"/>
      <c r="AK211" s="809"/>
      <c r="AL211" s="809"/>
      <c r="AM211" s="809"/>
      <c r="AN211" s="809"/>
      <c r="AO211" s="810"/>
      <c r="AP211" s="810"/>
      <c r="AQ211" s="810"/>
      <c r="AR211" s="810"/>
      <c r="AS211" s="810"/>
      <c r="AT211" s="810"/>
      <c r="AU211" s="810"/>
      <c r="AV211" s="810"/>
      <c r="AW211" s="810"/>
      <c r="AX211" s="810"/>
      <c r="AY211" s="810"/>
      <c r="AZ211" s="810"/>
      <c r="BA211" s="810"/>
      <c r="BB211" s="810"/>
      <c r="BC211" s="810"/>
      <c r="BD211" s="810"/>
      <c r="BE211" s="810"/>
      <c r="BF211" s="810"/>
      <c r="BG211" s="810"/>
      <c r="BH211" s="810"/>
      <c r="BI211" s="810"/>
      <c r="BJ211" s="810"/>
      <c r="BK211" s="810"/>
      <c r="BL211" s="810"/>
      <c r="BM211" s="810"/>
      <c r="BN211" s="810"/>
      <c r="BO211" s="810"/>
    </row>
    <row r="212" spans="1:67" s="811" customFormat="1" x14ac:dyDescent="0.45">
      <c r="A212" s="800"/>
      <c r="B212" s="801"/>
      <c r="C212" s="812" t="s">
        <v>1128</v>
      </c>
      <c r="D212" s="813">
        <f>'4.Рентген Фл'!E1491+'4.Рентген Фл'!E1492</f>
        <v>26.05</v>
      </c>
      <c r="E212" s="813">
        <f>'4.Рентген Фл'!E1494</f>
        <v>5.73</v>
      </c>
      <c r="F212" s="813">
        <f>'4.Рентген Фл'!F1506</f>
        <v>5.91</v>
      </c>
      <c r="G212" s="813">
        <f>'4.Рентген Фл'!E1508</f>
        <v>0</v>
      </c>
      <c r="H212" s="806">
        <f>SUM(D212:G212)</f>
        <v>37.69</v>
      </c>
      <c r="I212" s="813">
        <f>'4.Рентген Фл'!G1518+'4.Рентген Фл'!G1523</f>
        <v>3.05</v>
      </c>
      <c r="J212" s="813">
        <f>'4.Рентген Фл'!G1519+'4.Рентген Фл'!G1524</f>
        <v>0</v>
      </c>
      <c r="K212" s="813">
        <f>'4.Рентген Фл'!G1520+'4.Рентген Фл'!G1525</f>
        <v>0</v>
      </c>
      <c r="L212" s="813">
        <f>'4.Рентген Фл'!G1521+'4.Рентген Фл'!G1526</f>
        <v>0.4</v>
      </c>
      <c r="M212" s="806">
        <f>SUM(I212:L212)</f>
        <v>3.4499999999999997</v>
      </c>
      <c r="N212" s="806">
        <f>H212+M212</f>
        <v>41.14</v>
      </c>
      <c r="O212" s="813"/>
      <c r="P212" s="806">
        <f t="shared" si="20"/>
        <v>41</v>
      </c>
      <c r="Q212" s="806">
        <f>'4.Рентген Фл'!E1482</f>
        <v>41</v>
      </c>
      <c r="R212" s="806">
        <f t="shared" si="19"/>
        <v>0</v>
      </c>
      <c r="S212" s="806"/>
      <c r="T212" s="806"/>
      <c r="U212" s="806"/>
      <c r="V212" s="806"/>
      <c r="W212" s="806"/>
      <c r="X212" s="806"/>
      <c r="Y212" s="806"/>
      <c r="Z212" s="807"/>
      <c r="AA212" s="808"/>
      <c r="AB212" s="808"/>
      <c r="AC212" s="809"/>
      <c r="AD212" s="809"/>
      <c r="AE212" s="809"/>
      <c r="AF212" s="809"/>
      <c r="AG212" s="809"/>
      <c r="AH212" s="809"/>
      <c r="AI212" s="809"/>
      <c r="AJ212" s="809"/>
      <c r="AK212" s="809"/>
      <c r="AL212" s="809"/>
      <c r="AM212" s="809"/>
      <c r="AN212" s="809"/>
      <c r="AO212" s="810"/>
      <c r="AP212" s="810"/>
      <c r="AQ212" s="810"/>
      <c r="AR212" s="810"/>
      <c r="AS212" s="810"/>
      <c r="AT212" s="810"/>
      <c r="AU212" s="810"/>
      <c r="AV212" s="810"/>
      <c r="AW212" s="810"/>
      <c r="AX212" s="810"/>
      <c r="AY212" s="810"/>
      <c r="AZ212" s="810"/>
      <c r="BA212" s="810"/>
      <c r="BB212" s="810"/>
      <c r="BC212" s="810"/>
      <c r="BD212" s="810"/>
      <c r="BE212" s="810"/>
      <c r="BF212" s="810"/>
      <c r="BG212" s="810"/>
      <c r="BH212" s="810"/>
      <c r="BI212" s="810"/>
      <c r="BJ212" s="810"/>
      <c r="BK212" s="810"/>
      <c r="BL212" s="810"/>
      <c r="BM212" s="810"/>
      <c r="BN212" s="810"/>
      <c r="BO212" s="810"/>
    </row>
    <row r="213" spans="1:67" s="811" customFormat="1" x14ac:dyDescent="0.45">
      <c r="A213" s="800"/>
      <c r="B213" s="801" t="s">
        <v>654</v>
      </c>
      <c r="C213" s="812" t="s">
        <v>699</v>
      </c>
      <c r="D213" s="813"/>
      <c r="E213" s="813"/>
      <c r="F213" s="813"/>
      <c r="G213" s="813"/>
      <c r="H213" s="806"/>
      <c r="I213" s="813"/>
      <c r="J213" s="813"/>
      <c r="K213" s="813"/>
      <c r="L213" s="813"/>
      <c r="M213" s="806"/>
      <c r="N213" s="806"/>
      <c r="O213" s="813"/>
      <c r="P213" s="806"/>
      <c r="Q213" s="806"/>
      <c r="R213" s="806"/>
      <c r="S213" s="806"/>
      <c r="T213" s="806"/>
      <c r="U213" s="806"/>
      <c r="V213" s="806"/>
      <c r="W213" s="806"/>
      <c r="X213" s="806"/>
      <c r="Y213" s="806"/>
      <c r="Z213" s="807"/>
      <c r="AA213" s="808"/>
      <c r="AB213" s="808"/>
      <c r="AC213" s="809"/>
      <c r="AD213" s="809"/>
      <c r="AE213" s="809"/>
      <c r="AF213" s="809"/>
      <c r="AG213" s="809"/>
      <c r="AH213" s="809"/>
      <c r="AI213" s="809"/>
      <c r="AJ213" s="809"/>
      <c r="AK213" s="809"/>
      <c r="AL213" s="809"/>
      <c r="AM213" s="809"/>
      <c r="AN213" s="809"/>
      <c r="AO213" s="810"/>
      <c r="AP213" s="810"/>
      <c r="AQ213" s="810"/>
      <c r="AR213" s="810"/>
      <c r="AS213" s="810"/>
      <c r="AT213" s="810"/>
      <c r="AU213" s="810"/>
      <c r="AV213" s="810"/>
      <c r="AW213" s="810"/>
      <c r="AX213" s="810"/>
      <c r="AY213" s="810"/>
      <c r="AZ213" s="810"/>
      <c r="BA213" s="810"/>
      <c r="BB213" s="810"/>
      <c r="BC213" s="810"/>
      <c r="BD213" s="810"/>
      <c r="BE213" s="810"/>
      <c r="BF213" s="810"/>
      <c r="BG213" s="810"/>
      <c r="BH213" s="810"/>
      <c r="BI213" s="810"/>
      <c r="BJ213" s="810"/>
      <c r="BK213" s="810"/>
      <c r="BL213" s="810"/>
      <c r="BM213" s="810"/>
      <c r="BN213" s="810"/>
      <c r="BO213" s="810"/>
    </row>
    <row r="214" spans="1:67" s="811" customFormat="1" x14ac:dyDescent="0.45">
      <c r="A214" s="800"/>
      <c r="B214" s="801"/>
      <c r="C214" s="812" t="s">
        <v>1130</v>
      </c>
      <c r="D214" s="813">
        <f>'4.Рентген Фл'!E1543+'4.Рентген Фл'!E1544</f>
        <v>26.05</v>
      </c>
      <c r="E214" s="813">
        <f>'4.Рентген Фл'!E1546</f>
        <v>5.73</v>
      </c>
      <c r="F214" s="813">
        <f>'4.Рентген Фл'!F1559</f>
        <v>25.81</v>
      </c>
      <c r="G214" s="813">
        <f>'4.Рентген Фл'!E1561</f>
        <v>0</v>
      </c>
      <c r="H214" s="806">
        <f>SUM(D214:G214)</f>
        <v>57.59</v>
      </c>
      <c r="I214" s="813">
        <f>'4.Рентген Фл'!G1571+'4.Рентген Фл'!G1576</f>
        <v>3.05</v>
      </c>
      <c r="J214" s="813">
        <f>'4.Рентген Фл'!G1572+'4.Рентген Фл'!G1577</f>
        <v>0</v>
      </c>
      <c r="K214" s="813">
        <f>'4.Рентген Фл'!G1573+'4.Рентген Фл'!G1578</f>
        <v>0</v>
      </c>
      <c r="L214" s="813">
        <f>'4.Рентген Фл'!G1574+'4.Рентген Фл'!G1579</f>
        <v>0.4</v>
      </c>
      <c r="M214" s="806">
        <f>SUM(I214:L214)</f>
        <v>3.4499999999999997</v>
      </c>
      <c r="N214" s="806">
        <f>H214+M214</f>
        <v>61.040000000000006</v>
      </c>
      <c r="O214" s="813"/>
      <c r="P214" s="806">
        <f t="shared" si="20"/>
        <v>61</v>
      </c>
      <c r="Q214" s="806">
        <f>'4.Рентген Фл'!E1534</f>
        <v>61</v>
      </c>
      <c r="R214" s="806">
        <f t="shared" si="19"/>
        <v>0</v>
      </c>
      <c r="S214" s="806"/>
      <c r="T214" s="806"/>
      <c r="U214" s="806"/>
      <c r="V214" s="806"/>
      <c r="W214" s="806"/>
      <c r="X214" s="806"/>
      <c r="Y214" s="806"/>
      <c r="Z214" s="807"/>
      <c r="AA214" s="808"/>
      <c r="AB214" s="808"/>
      <c r="AC214" s="809"/>
      <c r="AD214" s="809"/>
      <c r="AE214" s="809"/>
      <c r="AF214" s="809"/>
      <c r="AG214" s="809"/>
      <c r="AH214" s="809"/>
      <c r="AI214" s="809"/>
      <c r="AJ214" s="809"/>
      <c r="AK214" s="809"/>
      <c r="AL214" s="809"/>
      <c r="AM214" s="809"/>
      <c r="AN214" s="809"/>
      <c r="AO214" s="810"/>
      <c r="AP214" s="810"/>
      <c r="AQ214" s="810"/>
      <c r="AR214" s="810"/>
      <c r="AS214" s="810"/>
      <c r="AT214" s="810"/>
      <c r="AU214" s="810"/>
      <c r="AV214" s="810"/>
      <c r="AW214" s="810"/>
      <c r="AX214" s="810"/>
      <c r="AY214" s="810"/>
      <c r="AZ214" s="810"/>
      <c r="BA214" s="810"/>
      <c r="BB214" s="810"/>
      <c r="BC214" s="810"/>
      <c r="BD214" s="810"/>
      <c r="BE214" s="810"/>
      <c r="BF214" s="810"/>
      <c r="BG214" s="810"/>
      <c r="BH214" s="810"/>
      <c r="BI214" s="810"/>
      <c r="BJ214" s="810"/>
      <c r="BK214" s="810"/>
      <c r="BL214" s="810"/>
      <c r="BM214" s="810"/>
      <c r="BN214" s="810"/>
      <c r="BO214" s="810"/>
    </row>
    <row r="215" spans="1:67" s="811" customFormat="1" x14ac:dyDescent="0.45">
      <c r="A215" s="800"/>
      <c r="B215" s="801"/>
      <c r="C215" s="812" t="s">
        <v>1128</v>
      </c>
      <c r="D215" s="813">
        <f>'4.Рентген Фл'!E1596+'4.Рентген Фл'!E1597</f>
        <v>26.05</v>
      </c>
      <c r="E215" s="813">
        <f>'4.Рентген Фл'!E1599</f>
        <v>5.73</v>
      </c>
      <c r="F215" s="813">
        <f>'4.Рентген Фл'!F1611</f>
        <v>5.91</v>
      </c>
      <c r="G215" s="813">
        <f>'4.Рентген Фл'!E1613</f>
        <v>0</v>
      </c>
      <c r="H215" s="806">
        <f>SUM(D215:G215)</f>
        <v>37.69</v>
      </c>
      <c r="I215" s="813">
        <f>'4.Рентген Фл'!G1623+'4.Рентген Фл'!G1628</f>
        <v>3.05</v>
      </c>
      <c r="J215" s="813">
        <f>'4.Рентген Фл'!G1624+'4.Рентген Фл'!G1629</f>
        <v>0</v>
      </c>
      <c r="K215" s="813">
        <f>'4.Рентген Фл'!G1625+'4.Рентген Фл'!G1630</f>
        <v>0</v>
      </c>
      <c r="L215" s="813">
        <f>'4.Рентген Фл'!G1626+'4.Рентген Фл'!G1631</f>
        <v>0.4</v>
      </c>
      <c r="M215" s="806">
        <f>SUM(I215:L215)</f>
        <v>3.4499999999999997</v>
      </c>
      <c r="N215" s="806">
        <f>H215+M215</f>
        <v>41.14</v>
      </c>
      <c r="O215" s="813"/>
      <c r="P215" s="806">
        <f t="shared" si="20"/>
        <v>41</v>
      </c>
      <c r="Q215" s="806">
        <f>'4.Рентген Фл'!E1587</f>
        <v>41</v>
      </c>
      <c r="R215" s="806">
        <f t="shared" si="19"/>
        <v>0</v>
      </c>
      <c r="S215" s="806"/>
      <c r="T215" s="806"/>
      <c r="U215" s="806"/>
      <c r="V215" s="806"/>
      <c r="W215" s="806"/>
      <c r="X215" s="806"/>
      <c r="Y215" s="806"/>
      <c r="Z215" s="807"/>
      <c r="AA215" s="808"/>
      <c r="AB215" s="808"/>
      <c r="AC215" s="809"/>
      <c r="AD215" s="809"/>
      <c r="AE215" s="809"/>
      <c r="AF215" s="809"/>
      <c r="AG215" s="809"/>
      <c r="AH215" s="809"/>
      <c r="AI215" s="809"/>
      <c r="AJ215" s="809"/>
      <c r="AK215" s="809"/>
      <c r="AL215" s="809"/>
      <c r="AM215" s="809"/>
      <c r="AN215" s="809"/>
      <c r="AO215" s="810"/>
      <c r="AP215" s="810"/>
      <c r="AQ215" s="810"/>
      <c r="AR215" s="810"/>
      <c r="AS215" s="810"/>
      <c r="AT215" s="810"/>
      <c r="AU215" s="810"/>
      <c r="AV215" s="810"/>
      <c r="AW215" s="810"/>
      <c r="AX215" s="810"/>
      <c r="AY215" s="810"/>
      <c r="AZ215" s="810"/>
      <c r="BA215" s="810"/>
      <c r="BB215" s="810"/>
      <c r="BC215" s="810"/>
      <c r="BD215" s="810"/>
      <c r="BE215" s="810"/>
      <c r="BF215" s="810"/>
      <c r="BG215" s="810"/>
      <c r="BH215" s="810"/>
      <c r="BI215" s="810"/>
      <c r="BJ215" s="810"/>
      <c r="BK215" s="810"/>
      <c r="BL215" s="810"/>
      <c r="BM215" s="810"/>
      <c r="BN215" s="810"/>
      <c r="BO215" s="810"/>
    </row>
    <row r="216" spans="1:67" s="811" customFormat="1" x14ac:dyDescent="0.45">
      <c r="A216" s="800"/>
      <c r="B216" s="801" t="s">
        <v>656</v>
      </c>
      <c r="C216" s="812" t="s">
        <v>700</v>
      </c>
      <c r="D216" s="813"/>
      <c r="E216" s="813"/>
      <c r="F216" s="813"/>
      <c r="G216" s="813"/>
      <c r="H216" s="806"/>
      <c r="I216" s="813"/>
      <c r="J216" s="813"/>
      <c r="K216" s="813"/>
      <c r="L216" s="813"/>
      <c r="M216" s="806"/>
      <c r="N216" s="806"/>
      <c r="O216" s="813"/>
      <c r="P216" s="806"/>
      <c r="Q216" s="806"/>
      <c r="R216" s="806"/>
      <c r="S216" s="806"/>
      <c r="T216" s="806"/>
      <c r="U216" s="806"/>
      <c r="V216" s="806"/>
      <c r="W216" s="806"/>
      <c r="X216" s="806"/>
      <c r="Y216" s="806"/>
      <c r="Z216" s="807"/>
      <c r="AA216" s="808"/>
      <c r="AB216" s="808"/>
      <c r="AC216" s="809"/>
      <c r="AD216" s="809"/>
      <c r="AE216" s="809"/>
      <c r="AF216" s="809"/>
      <c r="AG216" s="809"/>
      <c r="AH216" s="809"/>
      <c r="AI216" s="809"/>
      <c r="AJ216" s="809"/>
      <c r="AK216" s="809"/>
      <c r="AL216" s="809"/>
      <c r="AM216" s="809"/>
      <c r="AN216" s="809"/>
      <c r="AO216" s="810"/>
      <c r="AP216" s="810"/>
      <c r="AQ216" s="810"/>
      <c r="AR216" s="810"/>
      <c r="AS216" s="810"/>
      <c r="AT216" s="810"/>
      <c r="AU216" s="810"/>
      <c r="AV216" s="810"/>
      <c r="AW216" s="810"/>
      <c r="AX216" s="810"/>
      <c r="AY216" s="810"/>
      <c r="AZ216" s="810"/>
      <c r="BA216" s="810"/>
      <c r="BB216" s="810"/>
      <c r="BC216" s="810"/>
      <c r="BD216" s="810"/>
      <c r="BE216" s="810"/>
      <c r="BF216" s="810"/>
      <c r="BG216" s="810"/>
      <c r="BH216" s="810"/>
      <c r="BI216" s="810"/>
      <c r="BJ216" s="810"/>
      <c r="BK216" s="810"/>
      <c r="BL216" s="810"/>
      <c r="BM216" s="810"/>
      <c r="BN216" s="810"/>
      <c r="BO216" s="810"/>
    </row>
    <row r="217" spans="1:67" s="811" customFormat="1" x14ac:dyDescent="0.45">
      <c r="A217" s="800"/>
      <c r="B217" s="801"/>
      <c r="C217" s="812" t="s">
        <v>1130</v>
      </c>
      <c r="D217" s="813">
        <f>'4.Рентген Фл'!E1648+'4.Рентген Фл'!E1649</f>
        <v>26.05</v>
      </c>
      <c r="E217" s="813">
        <f>'4.Рентген Фл'!E1651</f>
        <v>5.73</v>
      </c>
      <c r="F217" s="813">
        <f>'4.Рентген Фл'!F1664</f>
        <v>65.61</v>
      </c>
      <c r="G217" s="813">
        <f>'4.Рентген Фл'!E1666</f>
        <v>0</v>
      </c>
      <c r="H217" s="806">
        <f>SUM(D217:G217)</f>
        <v>97.39</v>
      </c>
      <c r="I217" s="813">
        <f>'4.Рентген Фл'!G1676+'4.Рентген Фл'!G1681</f>
        <v>3.05</v>
      </c>
      <c r="J217" s="813">
        <f>'4.Рентген Фл'!G1677+'4.Рентген Фл'!G1682</f>
        <v>0</v>
      </c>
      <c r="K217" s="813">
        <f>'4.Рентген Фл'!G1678+'4.Рентген Фл'!G1683</f>
        <v>0</v>
      </c>
      <c r="L217" s="813">
        <f>'4.Рентген Фл'!G1679+'4.Рентген Фл'!G1684</f>
        <v>0.4</v>
      </c>
      <c r="M217" s="806">
        <f>SUM(I217:L217)</f>
        <v>3.4499999999999997</v>
      </c>
      <c r="N217" s="806">
        <f>H217+M217</f>
        <v>100.84</v>
      </c>
      <c r="O217" s="813"/>
      <c r="P217" s="806">
        <f t="shared" si="20"/>
        <v>101</v>
      </c>
      <c r="Q217" s="806">
        <f>'4.Рентген Фл'!E1639</f>
        <v>101</v>
      </c>
      <c r="R217" s="806">
        <f t="shared" si="19"/>
        <v>0</v>
      </c>
      <c r="S217" s="806"/>
      <c r="T217" s="806"/>
      <c r="U217" s="806"/>
      <c r="V217" s="806"/>
      <c r="W217" s="806"/>
      <c r="X217" s="806"/>
      <c r="Y217" s="806"/>
      <c r="Z217" s="807"/>
      <c r="AA217" s="808"/>
      <c r="AB217" s="808"/>
      <c r="AC217" s="809"/>
      <c r="AD217" s="809"/>
      <c r="AE217" s="809"/>
      <c r="AF217" s="809"/>
      <c r="AG217" s="809"/>
      <c r="AH217" s="809"/>
      <c r="AI217" s="809"/>
      <c r="AJ217" s="809"/>
      <c r="AK217" s="809"/>
      <c r="AL217" s="809"/>
      <c r="AM217" s="809"/>
      <c r="AN217" s="809"/>
      <c r="AO217" s="810"/>
      <c r="AP217" s="810"/>
      <c r="AQ217" s="810"/>
      <c r="AR217" s="810"/>
      <c r="AS217" s="810"/>
      <c r="AT217" s="810"/>
      <c r="AU217" s="810"/>
      <c r="AV217" s="810"/>
      <c r="AW217" s="810"/>
      <c r="AX217" s="810"/>
      <c r="AY217" s="810"/>
      <c r="AZ217" s="810"/>
      <c r="BA217" s="810"/>
      <c r="BB217" s="810"/>
      <c r="BC217" s="810"/>
      <c r="BD217" s="810"/>
      <c r="BE217" s="810"/>
      <c r="BF217" s="810"/>
      <c r="BG217" s="810"/>
      <c r="BH217" s="810"/>
      <c r="BI217" s="810"/>
      <c r="BJ217" s="810"/>
      <c r="BK217" s="810"/>
      <c r="BL217" s="810"/>
      <c r="BM217" s="810"/>
      <c r="BN217" s="810"/>
      <c r="BO217" s="810"/>
    </row>
    <row r="218" spans="1:67" s="811" customFormat="1" x14ac:dyDescent="0.45">
      <c r="A218" s="800"/>
      <c r="B218" s="801"/>
      <c r="C218" s="812" t="s">
        <v>1128</v>
      </c>
      <c r="D218" s="813">
        <f>'4.Рентген Фл'!E1702+'4.Рентген Фл'!E1703</f>
        <v>26.05</v>
      </c>
      <c r="E218" s="813">
        <f>'4.Рентген Фл'!E1705</f>
        <v>5.73</v>
      </c>
      <c r="F218" s="813">
        <f>'4.Рентген Фл'!F1717</f>
        <v>5.91</v>
      </c>
      <c r="G218" s="813">
        <f>'4.Рентген Фл'!E1719</f>
        <v>0</v>
      </c>
      <c r="H218" s="806">
        <f>SUM(D218:G218)</f>
        <v>37.69</v>
      </c>
      <c r="I218" s="813">
        <f>'4.Рентген Фл'!G1729+'4.Рентген Фл'!G1734</f>
        <v>3.05</v>
      </c>
      <c r="J218" s="813">
        <f>'4.Рентген Фл'!G1730+'4.Рентген Фл'!G1735</f>
        <v>0</v>
      </c>
      <c r="K218" s="813">
        <f>'4.Рентген Фл'!G1731+'4.Рентген Фл'!G1736</f>
        <v>0</v>
      </c>
      <c r="L218" s="813">
        <f>'4.Рентген Фл'!G1732+'4.Рентген Фл'!G1737</f>
        <v>0.4</v>
      </c>
      <c r="M218" s="806">
        <f>SUM(I218:L218)</f>
        <v>3.4499999999999997</v>
      </c>
      <c r="N218" s="806">
        <f>H218+M218</f>
        <v>41.14</v>
      </c>
      <c r="O218" s="813"/>
      <c r="P218" s="806">
        <f t="shared" si="20"/>
        <v>41</v>
      </c>
      <c r="Q218" s="806">
        <f>'4.Рентген Фл'!E1693</f>
        <v>41</v>
      </c>
      <c r="R218" s="806">
        <f t="shared" si="19"/>
        <v>0</v>
      </c>
      <c r="S218" s="806"/>
      <c r="T218" s="806"/>
      <c r="U218" s="806"/>
      <c r="V218" s="806"/>
      <c r="W218" s="806"/>
      <c r="X218" s="806"/>
      <c r="Y218" s="806"/>
      <c r="Z218" s="807"/>
      <c r="AA218" s="808"/>
      <c r="AB218" s="808"/>
      <c r="AC218" s="809"/>
      <c r="AD218" s="809"/>
      <c r="AE218" s="809"/>
      <c r="AF218" s="809"/>
      <c r="AG218" s="809"/>
      <c r="AH218" s="809"/>
      <c r="AI218" s="809"/>
      <c r="AJ218" s="809"/>
      <c r="AK218" s="809"/>
      <c r="AL218" s="809"/>
      <c r="AM218" s="809"/>
      <c r="AN218" s="809"/>
      <c r="AO218" s="810"/>
      <c r="AP218" s="810"/>
      <c r="AQ218" s="810"/>
      <c r="AR218" s="810"/>
      <c r="AS218" s="810"/>
      <c r="AT218" s="810"/>
      <c r="AU218" s="810"/>
      <c r="AV218" s="810"/>
      <c r="AW218" s="810"/>
      <c r="AX218" s="810"/>
      <c r="AY218" s="810"/>
      <c r="AZ218" s="810"/>
      <c r="BA218" s="810"/>
      <c r="BB218" s="810"/>
      <c r="BC218" s="810"/>
      <c r="BD218" s="810"/>
      <c r="BE218" s="810"/>
      <c r="BF218" s="810"/>
      <c r="BG218" s="810"/>
      <c r="BH218" s="810"/>
      <c r="BI218" s="810"/>
      <c r="BJ218" s="810"/>
      <c r="BK218" s="810"/>
      <c r="BL218" s="810"/>
      <c r="BM218" s="810"/>
      <c r="BN218" s="810"/>
      <c r="BO218" s="810"/>
    </row>
    <row r="219" spans="1:67" s="825" customFormat="1" x14ac:dyDescent="0.45">
      <c r="A219" s="819"/>
      <c r="B219" s="820" t="s">
        <v>658</v>
      </c>
      <c r="C219" s="826" t="s">
        <v>148</v>
      </c>
      <c r="D219" s="806">
        <f>'4.Рентген Фл'!E1755+'4.Рентген Фл'!E1756</f>
        <v>15.9</v>
      </c>
      <c r="E219" s="817">
        <f>'4.Рентген Фл'!E1758</f>
        <v>3.5</v>
      </c>
      <c r="F219" s="806">
        <f>'4.Рентген Фл'!E1760</f>
        <v>10.709999999999999</v>
      </c>
      <c r="G219" s="806">
        <f>'4.Рентген Фл'!E1772</f>
        <v>0</v>
      </c>
      <c r="H219" s="806">
        <f>SUM(D219:G219)</f>
        <v>30.11</v>
      </c>
      <c r="I219" s="806">
        <f>'4.Рентген Фл'!G1782+'4.Рентген Фл'!G1787</f>
        <v>1.95</v>
      </c>
      <c r="J219" s="806">
        <f>'4.Рентген Фл'!G1783+'4.Рентген Фл'!G1788</f>
        <v>0</v>
      </c>
      <c r="K219" s="806">
        <f>'4.Рентген Фл'!G1784+'4.Рентген Фл'!G1789</f>
        <v>0</v>
      </c>
      <c r="L219" s="806">
        <f>'4.Рентген Фл'!G1785+'4.Рентген Фл'!G1790</f>
        <v>0.3</v>
      </c>
      <c r="M219" s="806">
        <f>SUM(I219:L219)</f>
        <v>2.25</v>
      </c>
      <c r="N219" s="806">
        <f>H219+M219</f>
        <v>32.36</v>
      </c>
      <c r="O219" s="817"/>
      <c r="P219" s="806">
        <f t="shared" si="20"/>
        <v>32</v>
      </c>
      <c r="Q219" s="806">
        <f>'4.Рентген Фл'!E1746</f>
        <v>32</v>
      </c>
      <c r="R219" s="806">
        <f t="shared" si="19"/>
        <v>0</v>
      </c>
      <c r="S219" s="817"/>
      <c r="T219" s="817"/>
      <c r="U219" s="817"/>
      <c r="V219" s="817"/>
      <c r="W219" s="817"/>
      <c r="X219" s="817"/>
      <c r="Y219" s="817"/>
      <c r="Z219" s="827"/>
      <c r="AA219" s="808"/>
      <c r="AB219" s="808"/>
      <c r="AC219" s="823"/>
      <c r="AD219" s="823"/>
      <c r="AE219" s="823"/>
      <c r="AF219" s="823"/>
      <c r="AG219" s="823"/>
      <c r="AH219" s="823"/>
      <c r="AI219" s="823"/>
      <c r="AJ219" s="823"/>
      <c r="AK219" s="823"/>
      <c r="AL219" s="823"/>
      <c r="AM219" s="823"/>
      <c r="AN219" s="823"/>
      <c r="AO219" s="824"/>
      <c r="AP219" s="824"/>
      <c r="AQ219" s="824"/>
      <c r="AR219" s="824"/>
      <c r="AS219" s="824"/>
      <c r="AT219" s="824"/>
      <c r="AU219" s="824"/>
      <c r="AV219" s="824"/>
      <c r="AW219" s="824"/>
      <c r="AX219" s="824"/>
      <c r="AY219" s="824"/>
      <c r="AZ219" s="824"/>
      <c r="BA219" s="824"/>
      <c r="BB219" s="824"/>
      <c r="BC219" s="824"/>
      <c r="BD219" s="824"/>
      <c r="BE219" s="824"/>
      <c r="BF219" s="824"/>
      <c r="BG219" s="824"/>
      <c r="BH219" s="824"/>
      <c r="BI219" s="824"/>
      <c r="BJ219" s="824"/>
      <c r="BK219" s="824"/>
      <c r="BL219" s="824"/>
      <c r="BM219" s="824"/>
      <c r="BN219" s="824"/>
      <c r="BO219" s="824"/>
    </row>
    <row r="220" spans="1:67" s="811" customFormat="1" x14ac:dyDescent="0.45">
      <c r="A220" s="800"/>
      <c r="B220" s="801"/>
      <c r="C220" s="815"/>
      <c r="D220" s="816"/>
      <c r="E220" s="816"/>
      <c r="F220" s="816"/>
      <c r="G220" s="816"/>
      <c r="H220" s="817"/>
      <c r="I220" s="816"/>
      <c r="J220" s="816"/>
      <c r="K220" s="816"/>
      <c r="L220" s="816"/>
      <c r="M220" s="817"/>
      <c r="N220" s="817"/>
      <c r="O220" s="816"/>
      <c r="P220" s="806"/>
      <c r="Q220" s="817"/>
      <c r="R220" s="806"/>
      <c r="S220" s="816"/>
      <c r="T220" s="816"/>
      <c r="U220" s="816"/>
      <c r="V220" s="816"/>
      <c r="W220" s="816"/>
      <c r="X220" s="817"/>
      <c r="Y220" s="817"/>
      <c r="Z220" s="818"/>
      <c r="AA220" s="808"/>
      <c r="AB220" s="808"/>
      <c r="AC220" s="809"/>
      <c r="AD220" s="809"/>
      <c r="AE220" s="809"/>
      <c r="AF220" s="809"/>
      <c r="AG220" s="809"/>
      <c r="AH220" s="809"/>
      <c r="AI220" s="809"/>
      <c r="AJ220" s="809"/>
      <c r="AK220" s="809"/>
      <c r="AL220" s="809"/>
      <c r="AM220" s="809"/>
      <c r="AN220" s="809"/>
      <c r="AO220" s="810"/>
      <c r="AP220" s="810"/>
      <c r="AQ220" s="810"/>
      <c r="AR220" s="810"/>
      <c r="AS220" s="810"/>
      <c r="AT220" s="810"/>
      <c r="AU220" s="810"/>
      <c r="AV220" s="810"/>
      <c r="AW220" s="810"/>
      <c r="AX220" s="810"/>
      <c r="AY220" s="810"/>
      <c r="AZ220" s="810"/>
      <c r="BA220" s="810"/>
      <c r="BB220" s="810"/>
      <c r="BC220" s="810"/>
      <c r="BD220" s="810"/>
      <c r="BE220" s="810"/>
      <c r="BF220" s="810"/>
      <c r="BG220" s="810"/>
      <c r="BH220" s="810"/>
      <c r="BI220" s="810"/>
      <c r="BJ220" s="810"/>
      <c r="BK220" s="810"/>
      <c r="BL220" s="810"/>
      <c r="BM220" s="810"/>
      <c r="BN220" s="810"/>
      <c r="BO220" s="810"/>
    </row>
    <row r="221" spans="1:67" s="811" customFormat="1" x14ac:dyDescent="0.45">
      <c r="A221" s="800"/>
      <c r="B221" s="801" t="s">
        <v>501</v>
      </c>
      <c r="C221" s="812" t="s">
        <v>677</v>
      </c>
      <c r="D221" s="813"/>
      <c r="E221" s="813"/>
      <c r="F221" s="813"/>
      <c r="G221" s="813"/>
      <c r="H221" s="806"/>
      <c r="I221" s="813"/>
      <c r="J221" s="813"/>
      <c r="K221" s="813"/>
      <c r="L221" s="813"/>
      <c r="M221" s="806"/>
      <c r="N221" s="806"/>
      <c r="O221" s="813"/>
      <c r="P221" s="806"/>
      <c r="Q221" s="806"/>
      <c r="R221" s="806"/>
      <c r="S221" s="806"/>
      <c r="T221" s="806"/>
      <c r="U221" s="806"/>
      <c r="V221" s="806"/>
      <c r="W221" s="806"/>
      <c r="X221" s="806"/>
      <c r="Y221" s="806"/>
      <c r="Z221" s="807"/>
      <c r="AA221" s="808"/>
      <c r="AB221" s="808"/>
      <c r="AC221" s="809"/>
      <c r="AD221" s="809"/>
      <c r="AE221" s="809"/>
      <c r="AF221" s="809"/>
      <c r="AG221" s="809"/>
      <c r="AH221" s="809"/>
      <c r="AI221" s="809"/>
      <c r="AJ221" s="809"/>
      <c r="AK221" s="809"/>
      <c r="AL221" s="809"/>
      <c r="AM221" s="809"/>
      <c r="AN221" s="809"/>
      <c r="AO221" s="810"/>
      <c r="AP221" s="810"/>
      <c r="AQ221" s="810"/>
      <c r="AR221" s="810"/>
      <c r="AS221" s="810"/>
      <c r="AT221" s="810"/>
      <c r="AU221" s="810"/>
      <c r="AV221" s="810"/>
      <c r="AW221" s="810"/>
      <c r="AX221" s="810"/>
      <c r="AY221" s="810"/>
      <c r="AZ221" s="810"/>
      <c r="BA221" s="810"/>
      <c r="BB221" s="810"/>
      <c r="BC221" s="810"/>
      <c r="BD221" s="810"/>
      <c r="BE221" s="810"/>
      <c r="BF221" s="810"/>
      <c r="BG221" s="810"/>
      <c r="BH221" s="810"/>
      <c r="BI221" s="810"/>
      <c r="BJ221" s="810"/>
      <c r="BK221" s="810"/>
      <c r="BL221" s="810"/>
      <c r="BM221" s="810"/>
      <c r="BN221" s="810"/>
      <c r="BO221" s="810"/>
    </row>
    <row r="222" spans="1:67" s="811" customFormat="1" x14ac:dyDescent="0.45">
      <c r="A222" s="800"/>
      <c r="B222" s="801"/>
      <c r="C222" s="812" t="s">
        <v>510</v>
      </c>
      <c r="D222" s="813">
        <f>'4.Рентген Фл'!E1806+'4.Рентген Фл'!E1807</f>
        <v>26.05</v>
      </c>
      <c r="E222" s="813">
        <f>'4.Рентген Фл'!E1809</f>
        <v>5.73</v>
      </c>
      <c r="F222" s="813">
        <f>'4.Рентген Фл'!E1811</f>
        <v>18.11</v>
      </c>
      <c r="G222" s="813">
        <f>'4.Рентген Фл'!E1824</f>
        <v>0</v>
      </c>
      <c r="H222" s="806">
        <f>SUM(D222:G222)</f>
        <v>49.89</v>
      </c>
      <c r="I222" s="813">
        <f>'4.Рентген Фл'!G1834+'4.Рентген Фл'!G1839</f>
        <v>3.05</v>
      </c>
      <c r="J222" s="813">
        <f>'4.Рентген Фл'!G1835+'4.Рентген Фл'!G1840</f>
        <v>0</v>
      </c>
      <c r="K222" s="813">
        <f>'4.Рентген Фл'!G1836+'4.Рентген Фл'!G1841</f>
        <v>0</v>
      </c>
      <c r="L222" s="813">
        <f>'4.Рентген Фл'!G1837+'4.Рентген Фл'!G1842</f>
        <v>0.4</v>
      </c>
      <c r="M222" s="806">
        <f>SUM(I222:L222)</f>
        <v>3.4499999999999997</v>
      </c>
      <c r="N222" s="806">
        <f>H222+M222</f>
        <v>53.34</v>
      </c>
      <c r="O222" s="813"/>
      <c r="P222" s="806">
        <f t="shared" si="20"/>
        <v>53</v>
      </c>
      <c r="Q222" s="806">
        <f>'4.Рентген Фл'!E1797</f>
        <v>53</v>
      </c>
      <c r="R222" s="806">
        <f>P222-Q222</f>
        <v>0</v>
      </c>
      <c r="S222" s="806"/>
      <c r="T222" s="806"/>
      <c r="U222" s="806"/>
      <c r="V222" s="806"/>
      <c r="W222" s="806"/>
      <c r="X222" s="806"/>
      <c r="Y222" s="806"/>
      <c r="Z222" s="807"/>
      <c r="AA222" s="808"/>
      <c r="AB222" s="808"/>
      <c r="AC222" s="809"/>
      <c r="AD222" s="809"/>
      <c r="AE222" s="809"/>
      <c r="AF222" s="809"/>
      <c r="AG222" s="809"/>
      <c r="AH222" s="809"/>
      <c r="AI222" s="809"/>
      <c r="AJ222" s="809"/>
      <c r="AK222" s="809"/>
      <c r="AL222" s="809"/>
      <c r="AM222" s="809"/>
      <c r="AN222" s="809"/>
      <c r="AO222" s="810"/>
      <c r="AP222" s="810"/>
      <c r="AQ222" s="810"/>
      <c r="AR222" s="810"/>
      <c r="AS222" s="810"/>
      <c r="AT222" s="810"/>
      <c r="AU222" s="810"/>
      <c r="AV222" s="810"/>
      <c r="AW222" s="810"/>
      <c r="AX222" s="810"/>
      <c r="AY222" s="810"/>
      <c r="AZ222" s="810"/>
      <c r="BA222" s="810"/>
      <c r="BB222" s="810"/>
      <c r="BC222" s="810"/>
      <c r="BD222" s="810"/>
      <c r="BE222" s="810"/>
      <c r="BF222" s="810"/>
      <c r="BG222" s="810"/>
      <c r="BH222" s="810"/>
      <c r="BI222" s="810"/>
      <c r="BJ222" s="810"/>
      <c r="BK222" s="810"/>
      <c r="BL222" s="810"/>
      <c r="BM222" s="810"/>
      <c r="BN222" s="810"/>
      <c r="BO222" s="810"/>
    </row>
    <row r="223" spans="1:67" s="811" customFormat="1" x14ac:dyDescent="0.45">
      <c r="A223" s="800"/>
      <c r="B223" s="801" t="s">
        <v>505</v>
      </c>
      <c r="C223" s="812" t="s">
        <v>677</v>
      </c>
      <c r="D223" s="813"/>
      <c r="E223" s="813"/>
      <c r="F223" s="813"/>
      <c r="G223" s="813"/>
      <c r="H223" s="806"/>
      <c r="I223" s="813"/>
      <c r="J223" s="813"/>
      <c r="K223" s="813"/>
      <c r="L223" s="813"/>
      <c r="M223" s="806"/>
      <c r="N223" s="806"/>
      <c r="O223" s="813"/>
      <c r="P223" s="806"/>
      <c r="Q223" s="806"/>
      <c r="R223" s="806"/>
      <c r="S223" s="806"/>
      <c r="T223" s="806"/>
      <c r="U223" s="806"/>
      <c r="V223" s="806"/>
      <c r="W223" s="806"/>
      <c r="X223" s="806"/>
      <c r="Y223" s="806"/>
      <c r="Z223" s="807"/>
      <c r="AA223" s="808"/>
      <c r="AB223" s="808"/>
      <c r="AC223" s="809"/>
      <c r="AD223" s="809"/>
      <c r="AE223" s="809"/>
      <c r="AF223" s="809"/>
      <c r="AG223" s="809"/>
      <c r="AH223" s="809"/>
      <c r="AI223" s="809"/>
      <c r="AJ223" s="809"/>
      <c r="AK223" s="809"/>
      <c r="AL223" s="809"/>
      <c r="AM223" s="809"/>
      <c r="AN223" s="809"/>
      <c r="AO223" s="810"/>
      <c r="AP223" s="810"/>
      <c r="AQ223" s="810"/>
      <c r="AR223" s="810"/>
      <c r="AS223" s="810"/>
      <c r="AT223" s="810"/>
      <c r="AU223" s="810"/>
      <c r="AV223" s="810"/>
      <c r="AW223" s="810"/>
      <c r="AX223" s="810"/>
      <c r="AY223" s="810"/>
      <c r="AZ223" s="810"/>
      <c r="BA223" s="810"/>
      <c r="BB223" s="810"/>
      <c r="BC223" s="810"/>
      <c r="BD223" s="810"/>
      <c r="BE223" s="810"/>
      <c r="BF223" s="810"/>
      <c r="BG223" s="810"/>
      <c r="BH223" s="810"/>
      <c r="BI223" s="810"/>
      <c r="BJ223" s="810"/>
      <c r="BK223" s="810"/>
      <c r="BL223" s="810"/>
      <c r="BM223" s="810"/>
      <c r="BN223" s="810"/>
      <c r="BO223" s="810"/>
    </row>
    <row r="224" spans="1:67" s="811" customFormat="1" x14ac:dyDescent="0.45">
      <c r="A224" s="800"/>
      <c r="B224" s="801"/>
      <c r="C224" s="812" t="s">
        <v>511</v>
      </c>
      <c r="D224" s="813">
        <f>'4.Рентген Фл'!E1861+'4.Рентген Фл'!E1862</f>
        <v>26.05</v>
      </c>
      <c r="E224" s="813">
        <f>'4.Рентген Фл'!E1864</f>
        <v>5.73</v>
      </c>
      <c r="F224" s="813">
        <f>'4.Рентген Фл'!E1866</f>
        <v>25.81</v>
      </c>
      <c r="G224" s="813">
        <f>'4.Рентген Фл'!E1879</f>
        <v>0</v>
      </c>
      <c r="H224" s="806">
        <f>SUM(D224:G224)</f>
        <v>57.59</v>
      </c>
      <c r="I224" s="813">
        <f>'4.Рентген Фл'!G1889+'4.Рентген Фл'!G1894</f>
        <v>3.05</v>
      </c>
      <c r="J224" s="813">
        <f>'4.Рентген Фл'!G1890+'4.Рентген Фл'!G1895</f>
        <v>0</v>
      </c>
      <c r="K224" s="813">
        <f>'4.Рентген Фл'!G1891+'4.Рентген Фл'!G1896</f>
        <v>0</v>
      </c>
      <c r="L224" s="813">
        <f>'4.Рентген Фл'!G1892+'4.Рентген Фл'!G1897</f>
        <v>0.4</v>
      </c>
      <c r="M224" s="806">
        <f>SUM(I224:L224)</f>
        <v>3.4499999999999997</v>
      </c>
      <c r="N224" s="806">
        <f>H224+M224</f>
        <v>61.040000000000006</v>
      </c>
      <c r="O224" s="813"/>
      <c r="P224" s="806">
        <f t="shared" si="20"/>
        <v>61</v>
      </c>
      <c r="Q224" s="806">
        <f>'4.Рентген Фл'!E1852</f>
        <v>61</v>
      </c>
      <c r="R224" s="806">
        <f>P224-Q224</f>
        <v>0</v>
      </c>
      <c r="S224" s="806"/>
      <c r="T224" s="806"/>
      <c r="U224" s="806"/>
      <c r="V224" s="806"/>
      <c r="W224" s="806"/>
      <c r="X224" s="806"/>
      <c r="Y224" s="806"/>
      <c r="Z224" s="807"/>
      <c r="AA224" s="808"/>
      <c r="AB224" s="808"/>
      <c r="AC224" s="809"/>
      <c r="AD224" s="809"/>
      <c r="AE224" s="809"/>
      <c r="AF224" s="809"/>
      <c r="AG224" s="809"/>
      <c r="AH224" s="809"/>
      <c r="AI224" s="809"/>
      <c r="AJ224" s="809"/>
      <c r="AK224" s="809"/>
      <c r="AL224" s="809"/>
      <c r="AM224" s="809"/>
      <c r="AN224" s="809"/>
      <c r="AO224" s="810"/>
      <c r="AP224" s="810"/>
      <c r="AQ224" s="810"/>
      <c r="AR224" s="810"/>
      <c r="AS224" s="810"/>
      <c r="AT224" s="810"/>
      <c r="AU224" s="810"/>
      <c r="AV224" s="810"/>
      <c r="AW224" s="810"/>
      <c r="AX224" s="810"/>
      <c r="AY224" s="810"/>
      <c r="AZ224" s="810"/>
      <c r="BA224" s="810"/>
      <c r="BB224" s="810"/>
      <c r="BC224" s="810"/>
      <c r="BD224" s="810"/>
      <c r="BE224" s="810"/>
      <c r="BF224" s="810"/>
      <c r="BG224" s="810"/>
      <c r="BH224" s="810"/>
      <c r="BI224" s="810"/>
      <c r="BJ224" s="810"/>
      <c r="BK224" s="810"/>
      <c r="BL224" s="810"/>
      <c r="BM224" s="810"/>
      <c r="BN224" s="810"/>
      <c r="BO224" s="810"/>
    </row>
    <row r="225" spans="1:67" s="811" customFormat="1" x14ac:dyDescent="0.45">
      <c r="A225" s="800"/>
      <c r="B225" s="801" t="s">
        <v>507</v>
      </c>
      <c r="C225" s="812" t="s">
        <v>679</v>
      </c>
      <c r="D225" s="813"/>
      <c r="E225" s="813"/>
      <c r="F225" s="813"/>
      <c r="G225" s="813"/>
      <c r="H225" s="806"/>
      <c r="I225" s="813"/>
      <c r="J225" s="813"/>
      <c r="K225" s="813"/>
      <c r="L225" s="813"/>
      <c r="M225" s="806"/>
      <c r="N225" s="806"/>
      <c r="O225" s="813"/>
      <c r="P225" s="806"/>
      <c r="Q225" s="806"/>
      <c r="R225" s="806"/>
      <c r="S225" s="806"/>
      <c r="T225" s="806"/>
      <c r="U225" s="806"/>
      <c r="V225" s="806"/>
      <c r="W225" s="806"/>
      <c r="X225" s="806"/>
      <c r="Y225" s="806"/>
      <c r="Z225" s="807"/>
      <c r="AA225" s="808"/>
      <c r="AB225" s="808"/>
      <c r="AC225" s="809"/>
      <c r="AD225" s="809"/>
      <c r="AE225" s="809"/>
      <c r="AF225" s="809"/>
      <c r="AG225" s="809"/>
      <c r="AH225" s="809"/>
      <c r="AI225" s="809"/>
      <c r="AJ225" s="809"/>
      <c r="AK225" s="809"/>
      <c r="AL225" s="809"/>
      <c r="AM225" s="809"/>
      <c r="AN225" s="809"/>
      <c r="AO225" s="810"/>
      <c r="AP225" s="810"/>
      <c r="AQ225" s="810"/>
      <c r="AR225" s="810"/>
      <c r="AS225" s="810"/>
      <c r="AT225" s="810"/>
      <c r="AU225" s="810"/>
      <c r="AV225" s="810"/>
      <c r="AW225" s="810"/>
      <c r="AX225" s="810"/>
      <c r="AY225" s="810"/>
      <c r="AZ225" s="810"/>
      <c r="BA225" s="810"/>
      <c r="BB225" s="810"/>
      <c r="BC225" s="810"/>
      <c r="BD225" s="810"/>
      <c r="BE225" s="810"/>
      <c r="BF225" s="810"/>
      <c r="BG225" s="810"/>
      <c r="BH225" s="810"/>
      <c r="BI225" s="810"/>
      <c r="BJ225" s="810"/>
      <c r="BK225" s="810"/>
      <c r="BL225" s="810"/>
      <c r="BM225" s="810"/>
      <c r="BN225" s="810"/>
      <c r="BO225" s="810"/>
    </row>
    <row r="226" spans="1:67" s="811" customFormat="1" x14ac:dyDescent="0.45">
      <c r="A226" s="800"/>
      <c r="B226" s="801"/>
      <c r="C226" s="812" t="s">
        <v>510</v>
      </c>
      <c r="D226" s="813">
        <f>'4.Рентген Фл'!E1916+'4.Рентген Фл'!E1917</f>
        <v>26.05</v>
      </c>
      <c r="E226" s="813">
        <f>'4.Рентген Фл'!E1919</f>
        <v>5.73</v>
      </c>
      <c r="F226" s="813">
        <f>'4.Рентген Фл'!E1921</f>
        <v>30.31</v>
      </c>
      <c r="G226" s="813">
        <f>'4.Рентген Фл'!E1934</f>
        <v>0</v>
      </c>
      <c r="H226" s="806">
        <f>SUM(D226:G226)</f>
        <v>62.09</v>
      </c>
      <c r="I226" s="813">
        <f>'4.Рентген Фл'!G1944+'4.Рентген Фл'!G1949</f>
        <v>3.05</v>
      </c>
      <c r="J226" s="813">
        <f>'4.Рентген Фл'!G1945+'4.Рентген Фл'!G1950</f>
        <v>0</v>
      </c>
      <c r="K226" s="813">
        <f>'4.Рентген Фл'!G1946+'4.Рентген Фл'!G1951</f>
        <v>0</v>
      </c>
      <c r="L226" s="813">
        <f>'4.Рентген Фл'!G1947+'4.Рентген Фл'!G1952</f>
        <v>0.4</v>
      </c>
      <c r="M226" s="806">
        <f>SUM(I226:L226)</f>
        <v>3.4499999999999997</v>
      </c>
      <c r="N226" s="806">
        <f>H226+M226</f>
        <v>65.540000000000006</v>
      </c>
      <c r="O226" s="813"/>
      <c r="P226" s="806">
        <f t="shared" si="20"/>
        <v>66</v>
      </c>
      <c r="Q226" s="806">
        <f>'4.Рентген Фл'!E1907</f>
        <v>66</v>
      </c>
      <c r="R226" s="806">
        <f>P226-Q226</f>
        <v>0</v>
      </c>
      <c r="S226" s="806"/>
      <c r="T226" s="806"/>
      <c r="U226" s="806"/>
      <c r="V226" s="806"/>
      <c r="W226" s="806"/>
      <c r="X226" s="806"/>
      <c r="Y226" s="806"/>
      <c r="Z226" s="807"/>
      <c r="AA226" s="808"/>
      <c r="AB226" s="808"/>
      <c r="AC226" s="809"/>
      <c r="AD226" s="809"/>
      <c r="AE226" s="809"/>
      <c r="AF226" s="809"/>
      <c r="AG226" s="809"/>
      <c r="AH226" s="809"/>
      <c r="AI226" s="809"/>
      <c r="AJ226" s="809"/>
      <c r="AK226" s="809"/>
      <c r="AL226" s="809"/>
      <c r="AM226" s="809"/>
      <c r="AN226" s="809"/>
      <c r="AO226" s="810"/>
      <c r="AP226" s="810"/>
      <c r="AQ226" s="810"/>
      <c r="AR226" s="810"/>
      <c r="AS226" s="810"/>
      <c r="AT226" s="810"/>
      <c r="AU226" s="810"/>
      <c r="AV226" s="810"/>
      <c r="AW226" s="810"/>
      <c r="AX226" s="810"/>
      <c r="AY226" s="810"/>
      <c r="AZ226" s="810"/>
      <c r="BA226" s="810"/>
      <c r="BB226" s="810"/>
      <c r="BC226" s="810"/>
      <c r="BD226" s="810"/>
      <c r="BE226" s="810"/>
      <c r="BF226" s="810"/>
      <c r="BG226" s="810"/>
      <c r="BH226" s="810"/>
      <c r="BI226" s="810"/>
      <c r="BJ226" s="810"/>
      <c r="BK226" s="810"/>
      <c r="BL226" s="810"/>
      <c r="BM226" s="810"/>
      <c r="BN226" s="810"/>
      <c r="BO226" s="810"/>
    </row>
    <row r="227" spans="1:67" s="811" customFormat="1" x14ac:dyDescent="0.45">
      <c r="A227" s="800"/>
      <c r="B227" s="801" t="s">
        <v>507</v>
      </c>
      <c r="C227" s="812" t="s">
        <v>679</v>
      </c>
      <c r="D227" s="813"/>
      <c r="E227" s="813"/>
      <c r="F227" s="813"/>
      <c r="G227" s="813"/>
      <c r="H227" s="806"/>
      <c r="I227" s="813"/>
      <c r="J227" s="813"/>
      <c r="K227" s="813"/>
      <c r="L227" s="813"/>
      <c r="M227" s="806"/>
      <c r="N227" s="806"/>
      <c r="O227" s="813"/>
      <c r="P227" s="806"/>
      <c r="Q227" s="806"/>
      <c r="R227" s="806"/>
      <c r="S227" s="806"/>
      <c r="T227" s="806"/>
      <c r="U227" s="806"/>
      <c r="V227" s="806"/>
      <c r="W227" s="806"/>
      <c r="X227" s="806"/>
      <c r="Y227" s="806"/>
      <c r="Z227" s="807"/>
      <c r="AA227" s="808"/>
      <c r="AB227" s="808"/>
      <c r="AC227" s="809"/>
      <c r="AD227" s="809"/>
      <c r="AE227" s="809"/>
      <c r="AF227" s="809"/>
      <c r="AG227" s="809"/>
      <c r="AH227" s="809"/>
      <c r="AI227" s="809"/>
      <c r="AJ227" s="809"/>
      <c r="AK227" s="809"/>
      <c r="AL227" s="809"/>
      <c r="AM227" s="809"/>
      <c r="AN227" s="809"/>
      <c r="AO227" s="810"/>
      <c r="AP227" s="810"/>
      <c r="AQ227" s="810"/>
      <c r="AR227" s="810"/>
      <c r="AS227" s="810"/>
      <c r="AT227" s="810"/>
      <c r="AU227" s="810"/>
      <c r="AV227" s="810"/>
      <c r="AW227" s="810"/>
      <c r="AX227" s="810"/>
      <c r="AY227" s="810"/>
      <c r="AZ227" s="810"/>
      <c r="BA227" s="810"/>
      <c r="BB227" s="810"/>
      <c r="BC227" s="810"/>
      <c r="BD227" s="810"/>
      <c r="BE227" s="810"/>
      <c r="BF227" s="810"/>
      <c r="BG227" s="810"/>
      <c r="BH227" s="810"/>
      <c r="BI227" s="810"/>
      <c r="BJ227" s="810"/>
      <c r="BK227" s="810"/>
      <c r="BL227" s="810"/>
      <c r="BM227" s="810"/>
      <c r="BN227" s="810"/>
      <c r="BO227" s="810"/>
    </row>
    <row r="228" spans="1:67" s="811" customFormat="1" x14ac:dyDescent="0.45">
      <c r="A228" s="800"/>
      <c r="B228" s="801"/>
      <c r="C228" s="812" t="s">
        <v>511</v>
      </c>
      <c r="D228" s="813">
        <f>'4.Рентген Фл'!E1971+'4.Рентген Фл'!E1972</f>
        <v>26.05</v>
      </c>
      <c r="E228" s="813">
        <f>'4.Рентген Фл'!E1974</f>
        <v>5.73</v>
      </c>
      <c r="F228" s="813">
        <f>'4.Рентген Фл'!E1976</f>
        <v>45.71</v>
      </c>
      <c r="G228" s="813">
        <f>'4.Рентген Фл'!E1989</f>
        <v>0</v>
      </c>
      <c r="H228" s="806">
        <f>SUM(D228:G228)</f>
        <v>77.490000000000009</v>
      </c>
      <c r="I228" s="813">
        <f>'4.Рентген Фл'!G1999+'4.Рентген Фл'!G2004</f>
        <v>3.05</v>
      </c>
      <c r="J228" s="813">
        <f>'4.Рентген Фл'!G2000+'4.Рентген Фл'!G2005</f>
        <v>0</v>
      </c>
      <c r="K228" s="813">
        <f>'4.Рентген Фл'!G2001+'4.Рентген Фл'!G2006</f>
        <v>0</v>
      </c>
      <c r="L228" s="813">
        <f>'4.Рентген Фл'!G2002+'4.Рентген Фл'!G2007</f>
        <v>0.4</v>
      </c>
      <c r="M228" s="806">
        <f>SUM(I228:L228)</f>
        <v>3.4499999999999997</v>
      </c>
      <c r="N228" s="806">
        <f>H228+M228</f>
        <v>80.940000000000012</v>
      </c>
      <c r="O228" s="813"/>
      <c r="P228" s="806">
        <f t="shared" si="20"/>
        <v>81</v>
      </c>
      <c r="Q228" s="806">
        <f>'4.Рентген Фл'!E1962</f>
        <v>81</v>
      </c>
      <c r="R228" s="806">
        <f>P228-Q228</f>
        <v>0</v>
      </c>
      <c r="S228" s="806"/>
      <c r="T228" s="806"/>
      <c r="U228" s="806"/>
      <c r="V228" s="806"/>
      <c r="W228" s="806"/>
      <c r="X228" s="806"/>
      <c r="Y228" s="806"/>
      <c r="Z228" s="807"/>
      <c r="AA228" s="808"/>
      <c r="AB228" s="808"/>
      <c r="AC228" s="809"/>
      <c r="AD228" s="809"/>
      <c r="AE228" s="809"/>
      <c r="AF228" s="809"/>
      <c r="AG228" s="809"/>
      <c r="AH228" s="809"/>
      <c r="AI228" s="809"/>
      <c r="AJ228" s="809"/>
      <c r="AK228" s="809"/>
      <c r="AL228" s="809"/>
      <c r="AM228" s="809"/>
      <c r="AN228" s="809"/>
      <c r="AO228" s="810"/>
      <c r="AP228" s="810"/>
      <c r="AQ228" s="810"/>
      <c r="AR228" s="810"/>
      <c r="AS228" s="810"/>
      <c r="AT228" s="810"/>
      <c r="AU228" s="810"/>
      <c r="AV228" s="810"/>
      <c r="AW228" s="810"/>
      <c r="AX228" s="810"/>
      <c r="AY228" s="810"/>
      <c r="AZ228" s="810"/>
      <c r="BA228" s="810"/>
      <c r="BB228" s="810"/>
      <c r="BC228" s="810"/>
      <c r="BD228" s="810"/>
      <c r="BE228" s="810"/>
      <c r="BF228" s="810"/>
      <c r="BG228" s="810"/>
      <c r="BH228" s="810"/>
      <c r="BI228" s="810"/>
      <c r="BJ228" s="810"/>
      <c r="BK228" s="810"/>
      <c r="BL228" s="810"/>
      <c r="BM228" s="810"/>
      <c r="BN228" s="810"/>
      <c r="BO228" s="810"/>
    </row>
    <row r="229" spans="1:67" s="6" customFormat="1" x14ac:dyDescent="0.45">
      <c r="A229" s="517"/>
      <c r="B229" s="381"/>
      <c r="C229" s="396"/>
      <c r="D229" s="383"/>
      <c r="E229" s="383"/>
      <c r="F229" s="383"/>
      <c r="G229" s="383"/>
      <c r="H229" s="384"/>
      <c r="I229" s="383"/>
      <c r="J229" s="383"/>
      <c r="K229" s="383"/>
      <c r="L229" s="383"/>
      <c r="M229" s="384"/>
      <c r="N229" s="384"/>
      <c r="O229" s="383"/>
      <c r="P229" s="384"/>
      <c r="Q229" s="384"/>
      <c r="R229" s="384"/>
      <c r="S229" s="384"/>
      <c r="T229" s="384"/>
      <c r="U229" s="384"/>
      <c r="V229" s="384"/>
      <c r="W229" s="384"/>
      <c r="X229" s="384"/>
      <c r="Y229" s="384"/>
      <c r="Z229" s="763"/>
      <c r="AA229" s="755"/>
      <c r="AB229" s="755"/>
      <c r="AC229" s="748"/>
      <c r="AD229" s="748"/>
      <c r="AE229" s="748"/>
      <c r="AF229" s="748"/>
      <c r="AG229" s="748"/>
      <c r="AH229" s="748"/>
      <c r="AI229" s="748"/>
      <c r="AJ229" s="748"/>
      <c r="AK229" s="748"/>
      <c r="AL229" s="748"/>
      <c r="AM229" s="748"/>
      <c r="AN229" s="748"/>
      <c r="AO229" s="375"/>
      <c r="AP229" s="375"/>
      <c r="AQ229" s="375"/>
      <c r="AR229" s="375"/>
      <c r="AS229" s="375"/>
      <c r="AT229" s="375"/>
      <c r="AU229" s="375"/>
      <c r="AV229" s="375"/>
      <c r="AW229" s="375"/>
      <c r="AX229" s="375"/>
      <c r="AY229" s="375"/>
      <c r="AZ229" s="375"/>
      <c r="BA229" s="375"/>
      <c r="BB229" s="375"/>
      <c r="BC229" s="375"/>
      <c r="BD229" s="375"/>
      <c r="BE229" s="375"/>
      <c r="BF229" s="375"/>
      <c r="BG229" s="375"/>
      <c r="BH229" s="375"/>
      <c r="BI229" s="375"/>
      <c r="BJ229" s="375"/>
      <c r="BK229" s="375"/>
      <c r="BL229" s="375"/>
      <c r="BM229" s="375"/>
      <c r="BN229" s="375"/>
      <c r="BO229" s="375"/>
    </row>
    <row r="230" spans="1:67" s="811" customFormat="1" x14ac:dyDescent="0.45">
      <c r="A230" s="800"/>
      <c r="B230" s="801"/>
      <c r="C230" s="802"/>
      <c r="D230" s="803" t="s">
        <v>1118</v>
      </c>
      <c r="E230" s="804">
        <v>0.22</v>
      </c>
      <c r="F230" s="803" t="s">
        <v>1119</v>
      </c>
      <c r="G230" s="803" t="s">
        <v>1125</v>
      </c>
      <c r="H230" s="805" t="s">
        <v>1120</v>
      </c>
      <c r="I230" s="803" t="s">
        <v>1121</v>
      </c>
      <c r="J230" s="803" t="s">
        <v>1122</v>
      </c>
      <c r="K230" s="803" t="s">
        <v>1126</v>
      </c>
      <c r="L230" s="803" t="s">
        <v>1123</v>
      </c>
      <c r="M230" s="805" t="s">
        <v>1127</v>
      </c>
      <c r="N230" s="805" t="s">
        <v>988</v>
      </c>
      <c r="O230" s="803" t="s">
        <v>1181</v>
      </c>
      <c r="P230" s="805" t="s">
        <v>998</v>
      </c>
      <c r="Q230" s="805"/>
      <c r="R230" s="806"/>
      <c r="S230" s="805"/>
      <c r="T230" s="805"/>
      <c r="U230" s="805"/>
      <c r="V230" s="805"/>
      <c r="W230" s="805"/>
      <c r="X230" s="805"/>
      <c r="Y230" s="805"/>
      <c r="Z230" s="807"/>
      <c r="AA230" s="808"/>
      <c r="AB230" s="808"/>
      <c r="AC230" s="809"/>
      <c r="AD230" s="809"/>
      <c r="AE230" s="809"/>
      <c r="AF230" s="809"/>
      <c r="AG230" s="809"/>
      <c r="AH230" s="809"/>
      <c r="AI230" s="809"/>
      <c r="AJ230" s="809"/>
      <c r="AK230" s="809"/>
      <c r="AL230" s="809"/>
      <c r="AM230" s="809"/>
      <c r="AN230" s="809"/>
      <c r="AO230" s="810"/>
      <c r="AP230" s="810"/>
      <c r="AQ230" s="810"/>
      <c r="AR230" s="810"/>
      <c r="AS230" s="810"/>
      <c r="AT230" s="810"/>
      <c r="AU230" s="810"/>
      <c r="AV230" s="810"/>
      <c r="AW230" s="810"/>
      <c r="AX230" s="810"/>
      <c r="AY230" s="810"/>
      <c r="AZ230" s="810"/>
      <c r="BA230" s="810"/>
      <c r="BB230" s="810"/>
      <c r="BC230" s="810"/>
      <c r="BD230" s="810"/>
      <c r="BE230" s="810"/>
      <c r="BF230" s="810"/>
      <c r="BG230" s="810"/>
      <c r="BH230" s="810"/>
      <c r="BI230" s="810"/>
      <c r="BJ230" s="810"/>
      <c r="BK230" s="810"/>
      <c r="BL230" s="810"/>
      <c r="BM230" s="810"/>
      <c r="BN230" s="810"/>
      <c r="BO230" s="810"/>
    </row>
    <row r="231" spans="1:67" s="825" customFormat="1" x14ac:dyDescent="0.45">
      <c r="A231" s="819"/>
      <c r="B231" s="801"/>
      <c r="C231" s="821" t="s">
        <v>669</v>
      </c>
      <c r="D231" s="806"/>
      <c r="E231" s="806"/>
      <c r="F231" s="806"/>
      <c r="G231" s="806"/>
      <c r="H231" s="806"/>
      <c r="I231" s="806"/>
      <c r="J231" s="806"/>
      <c r="K231" s="806"/>
      <c r="L231" s="806"/>
      <c r="M231" s="806"/>
      <c r="N231" s="806"/>
      <c r="O231" s="806"/>
      <c r="P231" s="806"/>
      <c r="Q231" s="806"/>
      <c r="R231" s="806"/>
      <c r="S231" s="806"/>
      <c r="T231" s="806"/>
      <c r="U231" s="806"/>
      <c r="V231" s="806"/>
      <c r="W231" s="806"/>
      <c r="X231" s="806"/>
      <c r="Y231" s="806"/>
      <c r="Z231" s="822"/>
      <c r="AA231" s="808"/>
      <c r="AB231" s="808"/>
      <c r="AC231" s="823"/>
      <c r="AD231" s="823"/>
      <c r="AE231" s="823"/>
      <c r="AF231" s="823"/>
      <c r="AG231" s="823"/>
      <c r="AH231" s="823"/>
      <c r="AI231" s="823"/>
      <c r="AJ231" s="823"/>
      <c r="AK231" s="823"/>
      <c r="AL231" s="823"/>
      <c r="AM231" s="823"/>
      <c r="AN231" s="823"/>
      <c r="AO231" s="824"/>
      <c r="AP231" s="824"/>
      <c r="AQ231" s="824"/>
      <c r="AR231" s="824"/>
      <c r="AS231" s="824"/>
      <c r="AT231" s="824"/>
      <c r="AU231" s="824"/>
      <c r="AV231" s="824"/>
      <c r="AW231" s="824"/>
      <c r="AX231" s="824"/>
      <c r="AY231" s="824"/>
      <c r="AZ231" s="824"/>
      <c r="BA231" s="824"/>
      <c r="BB231" s="824"/>
      <c r="BC231" s="824"/>
      <c r="BD231" s="824"/>
      <c r="BE231" s="824"/>
      <c r="BF231" s="824"/>
      <c r="BG231" s="824"/>
      <c r="BH231" s="824"/>
      <c r="BI231" s="824"/>
      <c r="BJ231" s="824"/>
      <c r="BK231" s="824"/>
      <c r="BL231" s="824"/>
      <c r="BM231" s="824"/>
      <c r="BN231" s="824"/>
      <c r="BO231" s="824"/>
    </row>
    <row r="232" spans="1:67" s="811" customFormat="1" x14ac:dyDescent="0.45">
      <c r="A232" s="800"/>
      <c r="B232" s="801" t="s">
        <v>240</v>
      </c>
      <c r="C232" s="812" t="s">
        <v>1129</v>
      </c>
      <c r="D232" s="813">
        <f>'4.Рентген НОВИЙ'!E13+'4.Рентген НОВИЙ'!E14</f>
        <v>26.05</v>
      </c>
      <c r="E232" s="813">
        <f>'4.Рентген НОВИЙ'!E16</f>
        <v>5.73</v>
      </c>
      <c r="F232" s="813">
        <f>'4.Рентген НОВИЙ'!E18</f>
        <v>3.1799999999999997</v>
      </c>
      <c r="G232" s="813">
        <f>'4.Рентген НОВИЙ'!E29</f>
        <v>48.15</v>
      </c>
      <c r="H232" s="806">
        <f>SUM(D232:G232)</f>
        <v>83.11</v>
      </c>
      <c r="I232" s="813">
        <f>'4.Рентген НОВИЙ'!G39+'4.Рентген НОВИЙ'!G44</f>
        <v>3.05</v>
      </c>
      <c r="J232" s="813">
        <f>'4.Рентген НОВИЙ'!G40+'4.Рентген НОВИЙ'!G45</f>
        <v>0</v>
      </c>
      <c r="K232" s="813">
        <f>'4.Рентген НОВИЙ'!G41+'4.Рентген НОВИЙ'!G46</f>
        <v>0</v>
      </c>
      <c r="L232" s="813">
        <f>'4.Рентген НОВИЙ'!G42+'4.Рентген НОВИЙ'!G47</f>
        <v>0.4</v>
      </c>
      <c r="M232" s="806">
        <f>SUM(I232:L232)</f>
        <v>3.4499999999999997</v>
      </c>
      <c r="N232" s="806">
        <f>H232+M232</f>
        <v>86.56</v>
      </c>
      <c r="O232" s="813"/>
      <c r="P232" s="806">
        <f>ROUND(N232,0)</f>
        <v>87</v>
      </c>
      <c r="Q232" s="806">
        <f>'4.Рентген НОВИЙ'!E4</f>
        <v>87</v>
      </c>
      <c r="R232" s="806">
        <f>P232-Q232</f>
        <v>0</v>
      </c>
      <c r="S232" s="806"/>
      <c r="T232" s="806"/>
      <c r="U232" s="806"/>
      <c r="V232" s="806"/>
      <c r="W232" s="806"/>
      <c r="X232" s="806"/>
      <c r="Y232" s="806"/>
      <c r="Z232" s="807"/>
      <c r="AA232" s="808"/>
      <c r="AB232" s="808"/>
      <c r="AC232" s="809"/>
      <c r="AD232" s="809"/>
      <c r="AE232" s="809"/>
      <c r="AF232" s="809"/>
      <c r="AG232" s="809"/>
      <c r="AH232" s="809"/>
      <c r="AI232" s="809"/>
      <c r="AJ232" s="809"/>
      <c r="AK232" s="809"/>
      <c r="AL232" s="809"/>
      <c r="AM232" s="809"/>
      <c r="AN232" s="809"/>
      <c r="AO232" s="810"/>
      <c r="AP232" s="810"/>
      <c r="AQ232" s="810"/>
      <c r="AR232" s="810"/>
      <c r="AS232" s="810"/>
      <c r="AT232" s="810"/>
      <c r="AU232" s="810"/>
      <c r="AV232" s="810"/>
      <c r="AW232" s="810"/>
      <c r="AX232" s="810"/>
      <c r="AY232" s="810"/>
      <c r="AZ232" s="810"/>
      <c r="BA232" s="810"/>
      <c r="BB232" s="810"/>
      <c r="BC232" s="810"/>
      <c r="BD232" s="810"/>
      <c r="BE232" s="810"/>
      <c r="BF232" s="810"/>
      <c r="BG232" s="810"/>
      <c r="BH232" s="810"/>
      <c r="BI232" s="810"/>
      <c r="BJ232" s="810"/>
      <c r="BK232" s="810"/>
      <c r="BL232" s="810"/>
      <c r="BM232" s="810"/>
      <c r="BN232" s="810"/>
      <c r="BO232" s="810"/>
    </row>
    <row r="233" spans="1:67" s="811" customFormat="1" x14ac:dyDescent="0.45">
      <c r="A233" s="800"/>
      <c r="B233" s="801" t="s">
        <v>241</v>
      </c>
      <c r="C233" s="812" t="s">
        <v>235</v>
      </c>
      <c r="D233" s="813">
        <f>'4.Рентген НОВИЙ'!E64+'4.Рентген НОВИЙ'!E65</f>
        <v>26.05</v>
      </c>
      <c r="E233" s="813">
        <f>'4.Рентген НОВИЙ'!E67</f>
        <v>5.73</v>
      </c>
      <c r="F233" s="813">
        <f>'4.Рентген НОВИЙ'!E69</f>
        <v>31.1</v>
      </c>
      <c r="G233" s="813">
        <f>'4.Рентген НОВИЙ'!E80</f>
        <v>48.15</v>
      </c>
      <c r="H233" s="806">
        <f>SUM(D233:G233)</f>
        <v>111.03</v>
      </c>
      <c r="I233" s="813">
        <f>'4.Рентген НОВИЙ'!G90+'4.Рентген НОВИЙ'!G95</f>
        <v>3.05</v>
      </c>
      <c r="J233" s="813">
        <f>'4.Рентген НОВИЙ'!G91+'4.Рентген НОВИЙ'!G96</f>
        <v>0</v>
      </c>
      <c r="K233" s="813">
        <f>'4.Рентген НОВИЙ'!G92+'4.Рентген НОВИЙ'!G97</f>
        <v>0</v>
      </c>
      <c r="L233" s="813">
        <f>'4.Рентген НОВИЙ'!G93+'4.Рентген НОВИЙ'!G98</f>
        <v>0.4</v>
      </c>
      <c r="M233" s="806">
        <f>SUM(I233:L233)</f>
        <v>3.4499999999999997</v>
      </c>
      <c r="N233" s="806">
        <f>H233+M233</f>
        <v>114.48</v>
      </c>
      <c r="O233" s="813"/>
      <c r="P233" s="806">
        <f>ROUND(N233,0)</f>
        <v>114</v>
      </c>
      <c r="Q233" s="806">
        <f>'4.Рентген НОВИЙ'!E55</f>
        <v>114</v>
      </c>
      <c r="R233" s="806">
        <f>P233-Q233</f>
        <v>0</v>
      </c>
      <c r="S233" s="806"/>
      <c r="T233" s="806"/>
      <c r="U233" s="806"/>
      <c r="V233" s="806"/>
      <c r="W233" s="806"/>
      <c r="X233" s="806"/>
      <c r="Y233" s="806"/>
      <c r="Z233" s="807"/>
      <c r="AA233" s="808"/>
      <c r="AB233" s="808"/>
      <c r="AC233" s="809"/>
      <c r="AD233" s="809"/>
      <c r="AE233" s="809"/>
      <c r="AF233" s="809"/>
      <c r="AG233" s="809"/>
      <c r="AH233" s="809"/>
      <c r="AI233" s="809"/>
      <c r="AJ233" s="809"/>
      <c r="AK233" s="809"/>
      <c r="AL233" s="809"/>
      <c r="AM233" s="809"/>
      <c r="AN233" s="809"/>
      <c r="AO233" s="810"/>
      <c r="AP233" s="810"/>
      <c r="AQ233" s="810"/>
      <c r="AR233" s="810"/>
      <c r="AS233" s="810"/>
      <c r="AT233" s="810"/>
      <c r="AU233" s="810"/>
      <c r="AV233" s="810"/>
      <c r="AW233" s="810"/>
      <c r="AX233" s="810"/>
      <c r="AY233" s="810"/>
      <c r="AZ233" s="810"/>
      <c r="BA233" s="810"/>
      <c r="BB233" s="810"/>
      <c r="BC233" s="810"/>
      <c r="BD233" s="810"/>
      <c r="BE233" s="810"/>
      <c r="BF233" s="810"/>
      <c r="BG233" s="810"/>
      <c r="BH233" s="810"/>
      <c r="BI233" s="810"/>
      <c r="BJ233" s="810"/>
      <c r="BK233" s="810"/>
      <c r="BL233" s="810"/>
      <c r="BM233" s="810"/>
      <c r="BN233" s="810"/>
      <c r="BO233" s="810"/>
    </row>
    <row r="234" spans="1:67" s="811" customFormat="1" x14ac:dyDescent="0.45">
      <c r="A234" s="800"/>
      <c r="B234" s="801" t="s">
        <v>242</v>
      </c>
      <c r="C234" s="812" t="s">
        <v>236</v>
      </c>
      <c r="D234" s="813">
        <f>'4.Рентген НОВИЙ'!E115+'4.Рентген НОВИЙ'!E116</f>
        <v>26.05</v>
      </c>
      <c r="E234" s="813">
        <f>'4.Рентген НОВИЙ'!E118</f>
        <v>5.73</v>
      </c>
      <c r="F234" s="813">
        <f>'4.Рентген НОВИЙ'!E120</f>
        <v>18.720000000000002</v>
      </c>
      <c r="G234" s="813">
        <f>'4.Рентген НОВИЙ'!E131</f>
        <v>48.15</v>
      </c>
      <c r="H234" s="806">
        <f>SUM(D234:G234)</f>
        <v>98.65</v>
      </c>
      <c r="I234" s="813">
        <f>'4.Рентген НОВИЙ'!G141+'4.Рентген НОВИЙ'!G146</f>
        <v>3.05</v>
      </c>
      <c r="J234" s="813">
        <f>'4.Рентген НОВИЙ'!G142+'4.Рентген НОВИЙ'!G147</f>
        <v>0</v>
      </c>
      <c r="K234" s="813">
        <f>'4.Рентген НОВИЙ'!G143+'4.Рентген НОВИЙ'!G148</f>
        <v>0</v>
      </c>
      <c r="L234" s="813">
        <f>'4.Рентген НОВИЙ'!G144+'4.Рентген НОВИЙ'!G149</f>
        <v>0.4</v>
      </c>
      <c r="M234" s="806">
        <f>SUM(I234:L234)</f>
        <v>3.4499999999999997</v>
      </c>
      <c r="N234" s="806">
        <f>H234+M234</f>
        <v>102.10000000000001</v>
      </c>
      <c r="O234" s="813"/>
      <c r="P234" s="806">
        <f>ROUND(N234,0)</f>
        <v>102</v>
      </c>
      <c r="Q234" s="806">
        <f>'4.Рентген НОВИЙ'!E106</f>
        <v>102</v>
      </c>
      <c r="R234" s="806">
        <f>P234-Q234</f>
        <v>0</v>
      </c>
      <c r="S234" s="806"/>
      <c r="T234" s="806"/>
      <c r="U234" s="806"/>
      <c r="V234" s="806"/>
      <c r="W234" s="806"/>
      <c r="X234" s="806"/>
      <c r="Y234" s="806"/>
      <c r="Z234" s="807"/>
      <c r="AA234" s="808"/>
      <c r="AB234" s="808"/>
      <c r="AC234" s="809"/>
      <c r="AD234" s="809"/>
      <c r="AE234" s="809"/>
      <c r="AF234" s="809"/>
      <c r="AG234" s="809"/>
      <c r="AH234" s="809"/>
      <c r="AI234" s="809"/>
      <c r="AJ234" s="809"/>
      <c r="AK234" s="809"/>
      <c r="AL234" s="809"/>
      <c r="AM234" s="809"/>
      <c r="AN234" s="809"/>
      <c r="AO234" s="810"/>
      <c r="AP234" s="810"/>
      <c r="AQ234" s="810"/>
      <c r="AR234" s="810"/>
      <c r="AS234" s="810"/>
      <c r="AT234" s="810"/>
      <c r="AU234" s="810"/>
      <c r="AV234" s="810"/>
      <c r="AW234" s="810"/>
      <c r="AX234" s="810"/>
      <c r="AY234" s="810"/>
      <c r="AZ234" s="810"/>
      <c r="BA234" s="810"/>
      <c r="BB234" s="810"/>
      <c r="BC234" s="810"/>
      <c r="BD234" s="810"/>
      <c r="BE234" s="810"/>
      <c r="BF234" s="810"/>
      <c r="BG234" s="810"/>
      <c r="BH234" s="810"/>
      <c r="BI234" s="810"/>
      <c r="BJ234" s="810"/>
      <c r="BK234" s="810"/>
      <c r="BL234" s="810"/>
      <c r="BM234" s="810"/>
      <c r="BN234" s="810"/>
      <c r="BO234" s="810"/>
    </row>
    <row r="235" spans="1:67" s="811" customFormat="1" x14ac:dyDescent="0.45">
      <c r="A235" s="800"/>
      <c r="B235" s="801" t="s">
        <v>243</v>
      </c>
      <c r="C235" s="812" t="s">
        <v>237</v>
      </c>
      <c r="D235" s="813">
        <f>'4.Рентген НОВИЙ'!E166+'4.Рентген НОВИЙ'!E167</f>
        <v>26.05</v>
      </c>
      <c r="E235" s="813">
        <f>'4.Рентген НОВИЙ'!E169</f>
        <v>5.73</v>
      </c>
      <c r="F235" s="813">
        <f>'4.Рентген НОВИЙ'!E171</f>
        <v>34.56</v>
      </c>
      <c r="G235" s="813">
        <f>'4.Рентген НОВИЙ'!E182</f>
        <v>48.15</v>
      </c>
      <c r="H235" s="806">
        <f>SUM(D235:G235)</f>
        <v>114.49000000000001</v>
      </c>
      <c r="I235" s="813">
        <f>'4.Рентген НОВИЙ'!G192+'4.Рентген НОВИЙ'!G197</f>
        <v>3.05</v>
      </c>
      <c r="J235" s="813">
        <f>'4.Рентген НОВИЙ'!G193+'4.Рентген НОВИЙ'!G198</f>
        <v>0</v>
      </c>
      <c r="K235" s="813">
        <f>'4.Рентген НОВИЙ'!G194+'4.Рентген НОВИЙ'!G199</f>
        <v>0</v>
      </c>
      <c r="L235" s="813">
        <f>'4.Рентген НОВИЙ'!G195+'4.Рентген НОВИЙ'!G200</f>
        <v>0.4</v>
      </c>
      <c r="M235" s="806">
        <f>SUM(I235:L235)</f>
        <v>3.4499999999999997</v>
      </c>
      <c r="N235" s="806">
        <f>H235+M235</f>
        <v>117.94000000000001</v>
      </c>
      <c r="O235" s="813"/>
      <c r="P235" s="806">
        <f>ROUND(N235,0)</f>
        <v>118</v>
      </c>
      <c r="Q235" s="806">
        <f>'4.Рентген НОВИЙ'!E157</f>
        <v>118</v>
      </c>
      <c r="R235" s="806">
        <f>P235-Q235</f>
        <v>0</v>
      </c>
      <c r="S235" s="806"/>
      <c r="T235" s="806"/>
      <c r="U235" s="806"/>
      <c r="V235" s="806"/>
      <c r="W235" s="806"/>
      <c r="X235" s="806"/>
      <c r="Y235" s="806"/>
      <c r="Z235" s="807"/>
      <c r="AA235" s="808"/>
      <c r="AB235" s="808"/>
      <c r="AC235" s="809"/>
      <c r="AD235" s="809"/>
      <c r="AE235" s="809"/>
      <c r="AF235" s="809"/>
      <c r="AG235" s="809"/>
      <c r="AH235" s="809"/>
      <c r="AI235" s="809"/>
      <c r="AJ235" s="809"/>
      <c r="AK235" s="809"/>
      <c r="AL235" s="809"/>
      <c r="AM235" s="809"/>
      <c r="AN235" s="809"/>
      <c r="AO235" s="810"/>
      <c r="AP235" s="810"/>
      <c r="AQ235" s="810"/>
      <c r="AR235" s="810"/>
      <c r="AS235" s="810"/>
      <c r="AT235" s="810"/>
      <c r="AU235" s="810"/>
      <c r="AV235" s="810"/>
      <c r="AW235" s="810"/>
      <c r="AX235" s="810"/>
      <c r="AY235" s="810"/>
      <c r="AZ235" s="810"/>
      <c r="BA235" s="810"/>
      <c r="BB235" s="810"/>
      <c r="BC235" s="810"/>
      <c r="BD235" s="810"/>
      <c r="BE235" s="810"/>
      <c r="BF235" s="810"/>
      <c r="BG235" s="810"/>
      <c r="BH235" s="810"/>
      <c r="BI235" s="810"/>
      <c r="BJ235" s="810"/>
      <c r="BK235" s="810"/>
      <c r="BL235" s="810"/>
      <c r="BM235" s="810"/>
      <c r="BN235" s="810"/>
      <c r="BO235" s="810"/>
    </row>
    <row r="236" spans="1:67" s="811" customFormat="1" x14ac:dyDescent="0.45">
      <c r="A236" s="800"/>
      <c r="B236" s="801" t="s">
        <v>244</v>
      </c>
      <c r="C236" s="812" t="s">
        <v>1128</v>
      </c>
      <c r="D236" s="813">
        <f>'4.Рентген НОВИЙ'!E217+'4.Рентген НОВИЙ'!E218</f>
        <v>26.05</v>
      </c>
      <c r="E236" s="813">
        <f>'4.Рентген НОВИЙ'!E220</f>
        <v>5.73</v>
      </c>
      <c r="F236" s="813">
        <f>'4.Рентген НОВИЙ'!E222</f>
        <v>2.88</v>
      </c>
      <c r="G236" s="813">
        <f>'4.Рентген НОВИЙ'!E232</f>
        <v>48.15</v>
      </c>
      <c r="H236" s="806">
        <f>SUM(D236:G236)</f>
        <v>82.81</v>
      </c>
      <c r="I236" s="813">
        <f>'4.Рентген НОВИЙ'!G242+'4.Рентген НОВИЙ'!G247</f>
        <v>3.05</v>
      </c>
      <c r="J236" s="813">
        <f>'4.Рентген НОВИЙ'!G243+'4.Рентген НОВИЙ'!G248</f>
        <v>0</v>
      </c>
      <c r="K236" s="813">
        <f>'4.Рентген НОВИЙ'!G244+'4.Рентген НОВИЙ'!G249</f>
        <v>0</v>
      </c>
      <c r="L236" s="813">
        <f>'4.Рентген НОВИЙ'!G245+'4.Рентген НОВИЙ'!G250</f>
        <v>0.4</v>
      </c>
      <c r="M236" s="806">
        <f>SUM(I236:L236)</f>
        <v>3.4499999999999997</v>
      </c>
      <c r="N236" s="806">
        <f>H236+M236</f>
        <v>86.26</v>
      </c>
      <c r="O236" s="813"/>
      <c r="P236" s="806">
        <f>ROUND(N236,0)</f>
        <v>86</v>
      </c>
      <c r="Q236" s="806">
        <f>'4.Рентген НОВИЙ'!E208</f>
        <v>86</v>
      </c>
      <c r="R236" s="806">
        <f>P236-Q236</f>
        <v>0</v>
      </c>
      <c r="S236" s="806"/>
      <c r="T236" s="806"/>
      <c r="U236" s="806"/>
      <c r="V236" s="806"/>
      <c r="W236" s="806"/>
      <c r="X236" s="806"/>
      <c r="Y236" s="806"/>
      <c r="Z236" s="807"/>
      <c r="AA236" s="808"/>
      <c r="AB236" s="808"/>
      <c r="AC236" s="809"/>
      <c r="AD236" s="809"/>
      <c r="AE236" s="809"/>
      <c r="AF236" s="809"/>
      <c r="AG236" s="809"/>
      <c r="AH236" s="809"/>
      <c r="AI236" s="809"/>
      <c r="AJ236" s="809"/>
      <c r="AK236" s="809"/>
      <c r="AL236" s="809"/>
      <c r="AM236" s="809"/>
      <c r="AN236" s="809"/>
      <c r="AO236" s="810"/>
      <c r="AP236" s="810"/>
      <c r="AQ236" s="810"/>
      <c r="AR236" s="810"/>
      <c r="AS236" s="810"/>
      <c r="AT236" s="810"/>
      <c r="AU236" s="810"/>
      <c r="AV236" s="810"/>
      <c r="AW236" s="810"/>
      <c r="AX236" s="810"/>
      <c r="AY236" s="810"/>
      <c r="AZ236" s="810"/>
      <c r="BA236" s="810"/>
      <c r="BB236" s="810"/>
      <c r="BC236" s="810"/>
      <c r="BD236" s="810"/>
      <c r="BE236" s="810"/>
      <c r="BF236" s="810"/>
      <c r="BG236" s="810"/>
      <c r="BH236" s="810"/>
      <c r="BI236" s="810"/>
      <c r="BJ236" s="810"/>
      <c r="BK236" s="810"/>
      <c r="BL236" s="810"/>
      <c r="BM236" s="810"/>
      <c r="BN236" s="810"/>
      <c r="BO236" s="810"/>
    </row>
    <row r="237" spans="1:67" s="825" customFormat="1" x14ac:dyDescent="0.45">
      <c r="A237" s="819"/>
      <c r="B237" s="820"/>
      <c r="C237" s="821" t="s">
        <v>673</v>
      </c>
      <c r="D237" s="806"/>
      <c r="E237" s="806"/>
      <c r="F237" s="806"/>
      <c r="G237" s="806"/>
      <c r="H237" s="806"/>
      <c r="I237" s="806"/>
      <c r="J237" s="806"/>
      <c r="K237" s="806"/>
      <c r="L237" s="806"/>
      <c r="M237" s="806"/>
      <c r="N237" s="806"/>
      <c r="O237" s="806"/>
      <c r="P237" s="806"/>
      <c r="Q237" s="806"/>
      <c r="R237" s="806"/>
      <c r="S237" s="806"/>
      <c r="T237" s="806"/>
      <c r="U237" s="806"/>
      <c r="V237" s="806"/>
      <c r="W237" s="806"/>
      <c r="X237" s="806"/>
      <c r="Y237" s="806"/>
      <c r="Z237" s="822"/>
      <c r="AA237" s="808"/>
      <c r="AB237" s="808"/>
      <c r="AC237" s="823"/>
      <c r="AD237" s="823"/>
      <c r="AE237" s="823"/>
      <c r="AF237" s="823"/>
      <c r="AG237" s="823"/>
      <c r="AH237" s="823"/>
      <c r="AI237" s="823"/>
      <c r="AJ237" s="823"/>
      <c r="AK237" s="823"/>
      <c r="AL237" s="823"/>
      <c r="AM237" s="823"/>
      <c r="AN237" s="823"/>
      <c r="AO237" s="824"/>
      <c r="AP237" s="824"/>
      <c r="AQ237" s="824"/>
      <c r="AR237" s="824"/>
      <c r="AS237" s="824"/>
      <c r="AT237" s="824"/>
      <c r="AU237" s="824"/>
      <c r="AV237" s="824"/>
      <c r="AW237" s="824"/>
      <c r="AX237" s="824"/>
      <c r="AY237" s="824"/>
      <c r="AZ237" s="824"/>
      <c r="BA237" s="824"/>
      <c r="BB237" s="824"/>
      <c r="BC237" s="824"/>
      <c r="BD237" s="824"/>
      <c r="BE237" s="824"/>
      <c r="BF237" s="824"/>
      <c r="BG237" s="824"/>
      <c r="BH237" s="824"/>
      <c r="BI237" s="824"/>
      <c r="BJ237" s="824"/>
      <c r="BK237" s="824"/>
      <c r="BL237" s="824"/>
      <c r="BM237" s="824"/>
      <c r="BN237" s="824"/>
      <c r="BO237" s="824"/>
    </row>
    <row r="238" spans="1:67" s="811" customFormat="1" x14ac:dyDescent="0.45">
      <c r="A238" s="800"/>
      <c r="B238" s="801" t="s">
        <v>245</v>
      </c>
      <c r="C238" s="812" t="s">
        <v>1129</v>
      </c>
      <c r="D238" s="813">
        <f>'4.Рентген НОВИЙ'!E269+'4.Рентген НОВИЙ'!E270</f>
        <v>26.05</v>
      </c>
      <c r="E238" s="813">
        <f>'4.Рентген НОВИЙ'!E272</f>
        <v>5.73</v>
      </c>
      <c r="F238" s="813">
        <f>'4.Рентген НОВИЙ'!E274</f>
        <v>3.1799999999999997</v>
      </c>
      <c r="G238" s="813">
        <f>'4.Рентген НОВИЙ'!E285</f>
        <v>48.15</v>
      </c>
      <c r="H238" s="806">
        <f>SUM(D238:G238)</f>
        <v>83.11</v>
      </c>
      <c r="I238" s="813">
        <f>'4.Рентген НОВИЙ'!G295+'4.Рентген НОВИЙ'!G300</f>
        <v>3.05</v>
      </c>
      <c r="J238" s="813">
        <f>'4.Рентген НОВИЙ'!G296+'4.Рентген НОВИЙ'!G301</f>
        <v>0</v>
      </c>
      <c r="K238" s="813">
        <f>'4.Рентген НОВИЙ'!G297+'4.Рентген НОВИЙ'!G302</f>
        <v>0</v>
      </c>
      <c r="L238" s="813">
        <f>'4.Рентген НОВИЙ'!G298+'4.Рентген НОВИЙ'!G303</f>
        <v>0.4</v>
      </c>
      <c r="M238" s="806">
        <f>SUM(I238:L238)</f>
        <v>3.4499999999999997</v>
      </c>
      <c r="N238" s="806">
        <f>H238+M238</f>
        <v>86.56</v>
      </c>
      <c r="O238" s="813"/>
      <c r="P238" s="806">
        <f t="shared" ref="P238:P286" si="21">ROUND(N238,0)</f>
        <v>87</v>
      </c>
      <c r="Q238" s="806">
        <f>'4.Рентген НОВИЙ'!E260</f>
        <v>87</v>
      </c>
      <c r="R238" s="806">
        <f>P238-Q238</f>
        <v>0</v>
      </c>
      <c r="S238" s="806"/>
      <c r="T238" s="806"/>
      <c r="U238" s="806"/>
      <c r="V238" s="806"/>
      <c r="W238" s="806"/>
      <c r="X238" s="806"/>
      <c r="Y238" s="806"/>
      <c r="Z238" s="807"/>
      <c r="AA238" s="808"/>
      <c r="AB238" s="808"/>
      <c r="AC238" s="809"/>
      <c r="AD238" s="809"/>
      <c r="AE238" s="809"/>
      <c r="AF238" s="809"/>
      <c r="AG238" s="809"/>
      <c r="AH238" s="809"/>
      <c r="AI238" s="809"/>
      <c r="AJ238" s="809"/>
      <c r="AK238" s="809"/>
      <c r="AL238" s="809"/>
      <c r="AM238" s="809"/>
      <c r="AN238" s="809"/>
      <c r="AO238" s="810"/>
      <c r="AP238" s="810"/>
      <c r="AQ238" s="810"/>
      <c r="AR238" s="810"/>
      <c r="AS238" s="810"/>
      <c r="AT238" s="810"/>
      <c r="AU238" s="810"/>
      <c r="AV238" s="810"/>
      <c r="AW238" s="810"/>
      <c r="AX238" s="810"/>
      <c r="AY238" s="810"/>
      <c r="AZ238" s="810"/>
      <c r="BA238" s="810"/>
      <c r="BB238" s="810"/>
      <c r="BC238" s="810"/>
      <c r="BD238" s="810"/>
      <c r="BE238" s="810"/>
      <c r="BF238" s="810"/>
      <c r="BG238" s="810"/>
      <c r="BH238" s="810"/>
      <c r="BI238" s="810"/>
      <c r="BJ238" s="810"/>
      <c r="BK238" s="810"/>
      <c r="BL238" s="810"/>
      <c r="BM238" s="810"/>
      <c r="BN238" s="810"/>
      <c r="BO238" s="810"/>
    </row>
    <row r="239" spans="1:67" s="811" customFormat="1" x14ac:dyDescent="0.45">
      <c r="A239" s="800"/>
      <c r="B239" s="801" t="s">
        <v>251</v>
      </c>
      <c r="C239" s="812" t="s">
        <v>236</v>
      </c>
      <c r="D239" s="813">
        <f>'4.Рентген НОВИЙ'!E320+'4.Рентген НОВИЙ'!E321</f>
        <v>26.05</v>
      </c>
      <c r="E239" s="813">
        <f>'4.Рентген НОВИЙ'!E323</f>
        <v>5.73</v>
      </c>
      <c r="F239" s="813">
        <f>'4.Рентген НОВИЙ'!E325</f>
        <v>18.720000000000002</v>
      </c>
      <c r="G239" s="813">
        <f>'4.Рентген НОВИЙ'!E336</f>
        <v>48.15</v>
      </c>
      <c r="H239" s="806">
        <f>SUM(D239:G239)</f>
        <v>98.65</v>
      </c>
      <c r="I239" s="813">
        <f>'4.Рентген НОВИЙ'!G346+'4.Рентген НОВИЙ'!G351</f>
        <v>3.05</v>
      </c>
      <c r="J239" s="813">
        <f>'4.Рентген НОВИЙ'!G347+'4.Рентген НОВИЙ'!G352</f>
        <v>0</v>
      </c>
      <c r="K239" s="813">
        <f>'4.Рентген НОВИЙ'!G348+'4.Рентген НОВИЙ'!G353</f>
        <v>0</v>
      </c>
      <c r="L239" s="813">
        <f>'4.Рентген НОВИЙ'!G349+'4.Рентген НОВИЙ'!G354</f>
        <v>0.4</v>
      </c>
      <c r="M239" s="806">
        <f>SUM(I239:L239)</f>
        <v>3.4499999999999997</v>
      </c>
      <c r="N239" s="806">
        <f>H239+M239</f>
        <v>102.10000000000001</v>
      </c>
      <c r="O239" s="813"/>
      <c r="P239" s="806">
        <f t="shared" si="21"/>
        <v>102</v>
      </c>
      <c r="Q239" s="806">
        <f>'4.Рентген НОВИЙ'!E311</f>
        <v>102</v>
      </c>
      <c r="R239" s="806">
        <f>P239-Q239</f>
        <v>0</v>
      </c>
      <c r="S239" s="806"/>
      <c r="T239" s="806"/>
      <c r="U239" s="806"/>
      <c r="V239" s="806"/>
      <c r="W239" s="806"/>
      <c r="X239" s="806"/>
      <c r="Y239" s="806"/>
      <c r="Z239" s="807"/>
      <c r="AA239" s="808"/>
      <c r="AB239" s="808"/>
      <c r="AC239" s="809"/>
      <c r="AD239" s="809"/>
      <c r="AE239" s="809"/>
      <c r="AF239" s="809"/>
      <c r="AG239" s="809"/>
      <c r="AH239" s="809"/>
      <c r="AI239" s="809"/>
      <c r="AJ239" s="809"/>
      <c r="AK239" s="809"/>
      <c r="AL239" s="809"/>
      <c r="AM239" s="809"/>
      <c r="AN239" s="809"/>
      <c r="AO239" s="810"/>
      <c r="AP239" s="810"/>
      <c r="AQ239" s="810"/>
      <c r="AR239" s="810"/>
      <c r="AS239" s="810"/>
      <c r="AT239" s="810"/>
      <c r="AU239" s="810"/>
      <c r="AV239" s="810"/>
      <c r="AW239" s="810"/>
      <c r="AX239" s="810"/>
      <c r="AY239" s="810"/>
      <c r="AZ239" s="810"/>
      <c r="BA239" s="810"/>
      <c r="BB239" s="810"/>
      <c r="BC239" s="810"/>
      <c r="BD239" s="810"/>
      <c r="BE239" s="810"/>
      <c r="BF239" s="810"/>
      <c r="BG239" s="810"/>
      <c r="BH239" s="810"/>
      <c r="BI239" s="810"/>
      <c r="BJ239" s="810"/>
      <c r="BK239" s="810"/>
      <c r="BL239" s="810"/>
      <c r="BM239" s="810"/>
      <c r="BN239" s="810"/>
      <c r="BO239" s="810"/>
    </row>
    <row r="240" spans="1:67" s="811" customFormat="1" x14ac:dyDescent="0.45">
      <c r="A240" s="800"/>
      <c r="B240" s="801" t="s">
        <v>289</v>
      </c>
      <c r="C240" s="812" t="s">
        <v>237</v>
      </c>
      <c r="D240" s="813">
        <f>'4.Рентген НОВИЙ'!E371+'4.Рентген НОВИЙ'!E372</f>
        <v>26.05</v>
      </c>
      <c r="E240" s="813">
        <f>'4.Рентген НОВИЙ'!E374</f>
        <v>5.73</v>
      </c>
      <c r="F240" s="813">
        <f>'4.Рентген НОВИЙ'!E376</f>
        <v>34.56</v>
      </c>
      <c r="G240" s="813">
        <f>'4.Рентген НОВИЙ'!E387</f>
        <v>48.15</v>
      </c>
      <c r="H240" s="806">
        <f>SUM(D240:G240)</f>
        <v>114.49000000000001</v>
      </c>
      <c r="I240" s="813">
        <f>'4.Рентген НОВИЙ'!G397+'4.Рентген НОВИЙ'!G402</f>
        <v>3.05</v>
      </c>
      <c r="J240" s="813">
        <f>'4.Рентген НОВИЙ'!G398+'4.Рентген НОВИЙ'!G403</f>
        <v>0</v>
      </c>
      <c r="K240" s="813">
        <f>'4.Рентген НОВИЙ'!G399+'4.Рентген НОВИЙ'!G404</f>
        <v>0</v>
      </c>
      <c r="L240" s="813">
        <f>'4.Рентген НОВИЙ'!G400+'4.Рентген НОВИЙ'!G405</f>
        <v>0.4</v>
      </c>
      <c r="M240" s="806">
        <f>SUM(I240:L240)</f>
        <v>3.4499999999999997</v>
      </c>
      <c r="N240" s="806">
        <f>H240+M240</f>
        <v>117.94000000000001</v>
      </c>
      <c r="O240" s="813"/>
      <c r="P240" s="806">
        <f t="shared" si="21"/>
        <v>118</v>
      </c>
      <c r="Q240" s="806">
        <f>'4.Рентген НОВИЙ'!E362</f>
        <v>118</v>
      </c>
      <c r="R240" s="806">
        <f>P240-Q240</f>
        <v>0</v>
      </c>
      <c r="S240" s="806"/>
      <c r="T240" s="806"/>
      <c r="U240" s="806"/>
      <c r="V240" s="806"/>
      <c r="W240" s="806"/>
      <c r="X240" s="806"/>
      <c r="Y240" s="806"/>
      <c r="Z240" s="807"/>
      <c r="AA240" s="808"/>
      <c r="AB240" s="808"/>
      <c r="AC240" s="809"/>
      <c r="AD240" s="809"/>
      <c r="AE240" s="809"/>
      <c r="AF240" s="809"/>
      <c r="AG240" s="809"/>
      <c r="AH240" s="809"/>
      <c r="AI240" s="809"/>
      <c r="AJ240" s="809"/>
      <c r="AK240" s="809"/>
      <c r="AL240" s="809"/>
      <c r="AM240" s="809"/>
      <c r="AN240" s="809"/>
      <c r="AO240" s="810"/>
      <c r="AP240" s="810"/>
      <c r="AQ240" s="810"/>
      <c r="AR240" s="810"/>
      <c r="AS240" s="810"/>
      <c r="AT240" s="810"/>
      <c r="AU240" s="810"/>
      <c r="AV240" s="810"/>
      <c r="AW240" s="810"/>
      <c r="AX240" s="810"/>
      <c r="AY240" s="810"/>
      <c r="AZ240" s="810"/>
      <c r="BA240" s="810"/>
      <c r="BB240" s="810"/>
      <c r="BC240" s="810"/>
      <c r="BD240" s="810"/>
      <c r="BE240" s="810"/>
      <c r="BF240" s="810"/>
      <c r="BG240" s="810"/>
      <c r="BH240" s="810"/>
      <c r="BI240" s="810"/>
      <c r="BJ240" s="810"/>
      <c r="BK240" s="810"/>
      <c r="BL240" s="810"/>
      <c r="BM240" s="810"/>
      <c r="BN240" s="810"/>
      <c r="BO240" s="810"/>
    </row>
    <row r="241" spans="1:67" s="811" customFormat="1" x14ac:dyDescent="0.45">
      <c r="A241" s="800"/>
      <c r="B241" s="801" t="s">
        <v>252</v>
      </c>
      <c r="C241" s="812" t="s">
        <v>1128</v>
      </c>
      <c r="D241" s="813">
        <f>'4.Рентген НОВИЙ'!E422+'4.Рентген НОВИЙ'!E423</f>
        <v>26.05</v>
      </c>
      <c r="E241" s="813">
        <f>'4.Рентген НОВИЙ'!E425</f>
        <v>5.73</v>
      </c>
      <c r="F241" s="813">
        <f>'4.Рентген НОВИЙ'!E427</f>
        <v>2.88</v>
      </c>
      <c r="G241" s="813">
        <f>'4.Рентген НОВИЙ'!E437</f>
        <v>48.15</v>
      </c>
      <c r="H241" s="806">
        <f>SUM(D241:G241)</f>
        <v>82.81</v>
      </c>
      <c r="I241" s="813">
        <f>'4.Рентген НОВИЙ'!G447+'4.Рентген НОВИЙ'!G452</f>
        <v>3.05</v>
      </c>
      <c r="J241" s="813">
        <f>'4.Рентген НОВИЙ'!G448+'4.Рентген НОВИЙ'!G453</f>
        <v>0</v>
      </c>
      <c r="K241" s="813">
        <f>'4.Рентген НОВИЙ'!G449+'4.Рентген НОВИЙ'!G454</f>
        <v>0</v>
      </c>
      <c r="L241" s="813">
        <f>'4.Рентген НОВИЙ'!G450+'4.Рентген НОВИЙ'!G455</f>
        <v>0.4</v>
      </c>
      <c r="M241" s="806">
        <f>SUM(I241:L241)</f>
        <v>3.4499999999999997</v>
      </c>
      <c r="N241" s="806">
        <f>H241+M241</f>
        <v>86.26</v>
      </c>
      <c r="O241" s="813"/>
      <c r="P241" s="806">
        <f t="shared" si="21"/>
        <v>86</v>
      </c>
      <c r="Q241" s="806">
        <f>'4.Рентген НОВИЙ'!E413</f>
        <v>86</v>
      </c>
      <c r="R241" s="806">
        <f>P241-Q241</f>
        <v>0</v>
      </c>
      <c r="S241" s="806"/>
      <c r="T241" s="806"/>
      <c r="U241" s="806"/>
      <c r="V241" s="806"/>
      <c r="W241" s="806"/>
      <c r="X241" s="806"/>
      <c r="Y241" s="806"/>
      <c r="Z241" s="807"/>
      <c r="AA241" s="808"/>
      <c r="AB241" s="808"/>
      <c r="AC241" s="809"/>
      <c r="AD241" s="809"/>
      <c r="AE241" s="809"/>
      <c r="AF241" s="809"/>
      <c r="AG241" s="809"/>
      <c r="AH241" s="809"/>
      <c r="AI241" s="809"/>
      <c r="AJ241" s="809"/>
      <c r="AK241" s="809"/>
      <c r="AL241" s="809"/>
      <c r="AM241" s="809"/>
      <c r="AN241" s="809"/>
      <c r="AO241" s="810"/>
      <c r="AP241" s="810"/>
      <c r="AQ241" s="810"/>
      <c r="AR241" s="810"/>
      <c r="AS241" s="810"/>
      <c r="AT241" s="810"/>
      <c r="AU241" s="810"/>
      <c r="AV241" s="810"/>
      <c r="AW241" s="810"/>
      <c r="AX241" s="810"/>
      <c r="AY241" s="810"/>
      <c r="AZ241" s="810"/>
      <c r="BA241" s="810"/>
      <c r="BB241" s="810"/>
      <c r="BC241" s="810"/>
      <c r="BD241" s="810"/>
      <c r="BE241" s="810"/>
      <c r="BF241" s="810"/>
      <c r="BG241" s="810"/>
      <c r="BH241" s="810"/>
      <c r="BI241" s="810"/>
      <c r="BJ241" s="810"/>
      <c r="BK241" s="810"/>
      <c r="BL241" s="810"/>
      <c r="BM241" s="810"/>
      <c r="BN241" s="810"/>
      <c r="BO241" s="810"/>
    </row>
    <row r="242" spans="1:67" s="825" customFormat="1" x14ac:dyDescent="0.45">
      <c r="A242" s="819"/>
      <c r="B242" s="820"/>
      <c r="C242" s="821" t="s">
        <v>677</v>
      </c>
      <c r="D242" s="806"/>
      <c r="E242" s="806"/>
      <c r="F242" s="806"/>
      <c r="G242" s="806"/>
      <c r="H242" s="806"/>
      <c r="I242" s="806"/>
      <c r="J242" s="806"/>
      <c r="K242" s="806"/>
      <c r="L242" s="806"/>
      <c r="M242" s="806"/>
      <c r="N242" s="806"/>
      <c r="O242" s="806"/>
      <c r="P242" s="806"/>
      <c r="Q242" s="806"/>
      <c r="R242" s="806"/>
      <c r="S242" s="806"/>
      <c r="T242" s="806"/>
      <c r="U242" s="806"/>
      <c r="V242" s="806"/>
      <c r="W242" s="806"/>
      <c r="X242" s="806"/>
      <c r="Y242" s="806"/>
      <c r="Z242" s="822"/>
      <c r="AA242" s="808"/>
      <c r="AB242" s="808"/>
      <c r="AC242" s="823"/>
      <c r="AD242" s="823"/>
      <c r="AE242" s="823"/>
      <c r="AF242" s="823"/>
      <c r="AG242" s="823"/>
      <c r="AH242" s="823"/>
      <c r="AI242" s="823"/>
      <c r="AJ242" s="823"/>
      <c r="AK242" s="823"/>
      <c r="AL242" s="823"/>
      <c r="AM242" s="823"/>
      <c r="AN242" s="823"/>
      <c r="AO242" s="824"/>
      <c r="AP242" s="824"/>
      <c r="AQ242" s="824"/>
      <c r="AR242" s="824"/>
      <c r="AS242" s="824"/>
      <c r="AT242" s="824"/>
      <c r="AU242" s="824"/>
      <c r="AV242" s="824"/>
      <c r="AW242" s="824"/>
      <c r="AX242" s="824"/>
      <c r="AY242" s="824"/>
      <c r="AZ242" s="824"/>
      <c r="BA242" s="824"/>
      <c r="BB242" s="824"/>
      <c r="BC242" s="824"/>
      <c r="BD242" s="824"/>
      <c r="BE242" s="824"/>
      <c r="BF242" s="824"/>
      <c r="BG242" s="824"/>
      <c r="BH242" s="824"/>
      <c r="BI242" s="824"/>
      <c r="BJ242" s="824"/>
      <c r="BK242" s="824"/>
      <c r="BL242" s="824"/>
      <c r="BM242" s="824"/>
      <c r="BN242" s="824"/>
      <c r="BO242" s="824"/>
    </row>
    <row r="243" spans="1:67" s="811" customFormat="1" x14ac:dyDescent="0.45">
      <c r="A243" s="800"/>
      <c r="B243" s="801" t="s">
        <v>246</v>
      </c>
      <c r="C243" s="812" t="s">
        <v>1129</v>
      </c>
      <c r="D243" s="813">
        <f>D241</f>
        <v>26.05</v>
      </c>
      <c r="E243" s="813">
        <f>E241</f>
        <v>5.73</v>
      </c>
      <c r="F243" s="813">
        <f>'4.Рентген НОВИЙ'!E479</f>
        <v>3.1799999999999997</v>
      </c>
      <c r="G243" s="813">
        <f>G241</f>
        <v>48.15</v>
      </c>
      <c r="H243" s="806">
        <f t="shared" ref="H243:H249" si="22">SUM(D243:G243)</f>
        <v>83.11</v>
      </c>
      <c r="I243" s="813">
        <f>I241</f>
        <v>3.05</v>
      </c>
      <c r="J243" s="813">
        <f>J241</f>
        <v>0</v>
      </c>
      <c r="K243" s="813">
        <f>K241</f>
        <v>0</v>
      </c>
      <c r="L243" s="813">
        <f>L241</f>
        <v>0.4</v>
      </c>
      <c r="M243" s="806">
        <f t="shared" ref="M243:M249" si="23">SUM(I243:L243)</f>
        <v>3.4499999999999997</v>
      </c>
      <c r="N243" s="806">
        <f t="shared" ref="N243:N249" si="24">H243+M243</f>
        <v>86.56</v>
      </c>
      <c r="O243" s="813"/>
      <c r="P243" s="806">
        <f t="shared" si="21"/>
        <v>87</v>
      </c>
      <c r="Q243" s="806">
        <f>'4.Рентген НОВИЙ'!E465</f>
        <v>87</v>
      </c>
      <c r="R243" s="806">
        <f t="shared" ref="R243:R249" si="25">P243-Q243</f>
        <v>0</v>
      </c>
      <c r="S243" s="806"/>
      <c r="T243" s="806"/>
      <c r="U243" s="806"/>
      <c r="V243" s="806"/>
      <c r="W243" s="806"/>
      <c r="X243" s="806"/>
      <c r="Y243" s="806"/>
      <c r="Z243" s="807"/>
      <c r="AA243" s="808"/>
      <c r="AB243" s="808"/>
      <c r="AC243" s="809"/>
      <c r="AD243" s="809"/>
      <c r="AE243" s="809"/>
      <c r="AF243" s="809"/>
      <c r="AG243" s="809"/>
      <c r="AH243" s="809"/>
      <c r="AI243" s="809"/>
      <c r="AJ243" s="809"/>
      <c r="AK243" s="809"/>
      <c r="AL243" s="809"/>
      <c r="AM243" s="809"/>
      <c r="AN243" s="809"/>
      <c r="AO243" s="810"/>
      <c r="AP243" s="810"/>
      <c r="AQ243" s="810"/>
      <c r="AR243" s="810"/>
      <c r="AS243" s="810"/>
      <c r="AT243" s="810"/>
      <c r="AU243" s="810"/>
      <c r="AV243" s="810"/>
      <c r="AW243" s="810"/>
      <c r="AX243" s="810"/>
      <c r="AY243" s="810"/>
      <c r="AZ243" s="810"/>
      <c r="BA243" s="810"/>
      <c r="BB243" s="810"/>
      <c r="BC243" s="810"/>
      <c r="BD243" s="810"/>
      <c r="BE243" s="810"/>
      <c r="BF243" s="810"/>
      <c r="BG243" s="810"/>
      <c r="BH243" s="810"/>
      <c r="BI243" s="810"/>
      <c r="BJ243" s="810"/>
      <c r="BK243" s="810"/>
      <c r="BL243" s="810"/>
      <c r="BM243" s="810"/>
      <c r="BN243" s="810"/>
      <c r="BO243" s="810"/>
    </row>
    <row r="244" spans="1:67" s="811" customFormat="1" x14ac:dyDescent="0.45">
      <c r="A244" s="800"/>
      <c r="B244" s="801" t="s">
        <v>253</v>
      </c>
      <c r="C244" s="812" t="s">
        <v>290</v>
      </c>
      <c r="D244" s="813">
        <f t="shared" ref="D244:E249" si="26">D243</f>
        <v>26.05</v>
      </c>
      <c r="E244" s="813">
        <f t="shared" si="26"/>
        <v>5.73</v>
      </c>
      <c r="F244" s="813">
        <f>'4.Рентген НОВИЙ'!E530</f>
        <v>31.1</v>
      </c>
      <c r="G244" s="813">
        <f t="shared" ref="G244:G249" si="27">G243</f>
        <v>48.15</v>
      </c>
      <c r="H244" s="806">
        <f t="shared" si="22"/>
        <v>111.03</v>
      </c>
      <c r="I244" s="813">
        <f t="shared" ref="I244:I249" si="28">I243</f>
        <v>3.05</v>
      </c>
      <c r="J244" s="813">
        <f t="shared" ref="J244:L249" si="29">J243</f>
        <v>0</v>
      </c>
      <c r="K244" s="813">
        <f t="shared" si="29"/>
        <v>0</v>
      </c>
      <c r="L244" s="813">
        <f t="shared" si="29"/>
        <v>0.4</v>
      </c>
      <c r="M244" s="806">
        <f>SUM(I244:L244)</f>
        <v>3.4499999999999997</v>
      </c>
      <c r="N244" s="806">
        <f t="shared" si="24"/>
        <v>114.48</v>
      </c>
      <c r="O244" s="813"/>
      <c r="P244" s="806">
        <f t="shared" si="21"/>
        <v>114</v>
      </c>
      <c r="Q244" s="806">
        <f>'4.Рентген НОВИЙ'!E516</f>
        <v>114</v>
      </c>
      <c r="R244" s="806">
        <f>P244-Q244</f>
        <v>0</v>
      </c>
      <c r="S244" s="806"/>
      <c r="T244" s="806"/>
      <c r="U244" s="806"/>
      <c r="V244" s="806"/>
      <c r="W244" s="806"/>
      <c r="X244" s="806"/>
      <c r="Y244" s="806"/>
      <c r="Z244" s="807"/>
      <c r="AA244" s="808"/>
      <c r="AB244" s="808"/>
      <c r="AC244" s="809"/>
      <c r="AD244" s="809"/>
      <c r="AE244" s="809"/>
      <c r="AF244" s="809"/>
      <c r="AG244" s="809"/>
      <c r="AH244" s="809"/>
      <c r="AI244" s="809"/>
      <c r="AJ244" s="809"/>
      <c r="AK244" s="809"/>
      <c r="AL244" s="809"/>
      <c r="AM244" s="809"/>
      <c r="AN244" s="809"/>
      <c r="AO244" s="810"/>
      <c r="AP244" s="810"/>
      <c r="AQ244" s="810"/>
      <c r="AR244" s="810"/>
      <c r="AS244" s="810"/>
      <c r="AT244" s="810"/>
      <c r="AU244" s="810"/>
      <c r="AV244" s="810"/>
      <c r="AW244" s="810"/>
      <c r="AX244" s="810"/>
      <c r="AY244" s="810"/>
      <c r="AZ244" s="810"/>
      <c r="BA244" s="810"/>
      <c r="BB244" s="810"/>
      <c r="BC244" s="810"/>
      <c r="BD244" s="810"/>
      <c r="BE244" s="810"/>
      <c r="BF244" s="810"/>
      <c r="BG244" s="810"/>
      <c r="BH244" s="810"/>
      <c r="BI244" s="810"/>
      <c r="BJ244" s="810"/>
      <c r="BK244" s="810"/>
      <c r="BL244" s="810"/>
      <c r="BM244" s="810"/>
      <c r="BN244" s="810"/>
      <c r="BO244" s="810"/>
    </row>
    <row r="245" spans="1:67" s="811" customFormat="1" x14ac:dyDescent="0.45">
      <c r="A245" s="800"/>
      <c r="B245" s="801" t="s">
        <v>254</v>
      </c>
      <c r="C245" s="812" t="s">
        <v>236</v>
      </c>
      <c r="D245" s="813">
        <f t="shared" si="26"/>
        <v>26.05</v>
      </c>
      <c r="E245" s="813">
        <f t="shared" si="26"/>
        <v>5.73</v>
      </c>
      <c r="F245" s="813">
        <f>'4.Рентген НОВИЙ'!E581</f>
        <v>18.720000000000002</v>
      </c>
      <c r="G245" s="813">
        <f t="shared" si="27"/>
        <v>48.15</v>
      </c>
      <c r="H245" s="806">
        <f t="shared" si="22"/>
        <v>98.65</v>
      </c>
      <c r="I245" s="813">
        <f t="shared" si="28"/>
        <v>3.05</v>
      </c>
      <c r="J245" s="813">
        <f t="shared" si="29"/>
        <v>0</v>
      </c>
      <c r="K245" s="813">
        <f t="shared" si="29"/>
        <v>0</v>
      </c>
      <c r="L245" s="813">
        <f t="shared" si="29"/>
        <v>0.4</v>
      </c>
      <c r="M245" s="806">
        <f>SUM(I245:L245)</f>
        <v>3.4499999999999997</v>
      </c>
      <c r="N245" s="806">
        <f t="shared" si="24"/>
        <v>102.10000000000001</v>
      </c>
      <c r="O245" s="813"/>
      <c r="P245" s="806">
        <f t="shared" si="21"/>
        <v>102</v>
      </c>
      <c r="Q245" s="806">
        <f>'4.Рентген НОВИЙ'!E567</f>
        <v>102</v>
      </c>
      <c r="R245" s="806">
        <f>P245-Q245</f>
        <v>0</v>
      </c>
      <c r="S245" s="806"/>
      <c r="T245" s="806"/>
      <c r="U245" s="806"/>
      <c r="V245" s="806"/>
      <c r="W245" s="806"/>
      <c r="X245" s="806"/>
      <c r="Y245" s="806"/>
      <c r="Z245" s="807"/>
      <c r="AA245" s="808"/>
      <c r="AB245" s="808"/>
      <c r="AC245" s="809"/>
      <c r="AD245" s="809"/>
      <c r="AE245" s="809"/>
      <c r="AF245" s="809"/>
      <c r="AG245" s="809"/>
      <c r="AH245" s="809"/>
      <c r="AI245" s="809"/>
      <c r="AJ245" s="809"/>
      <c r="AK245" s="809"/>
      <c r="AL245" s="809"/>
      <c r="AM245" s="809"/>
      <c r="AN245" s="809"/>
      <c r="AO245" s="810"/>
      <c r="AP245" s="810"/>
      <c r="AQ245" s="810"/>
      <c r="AR245" s="810"/>
      <c r="AS245" s="810"/>
      <c r="AT245" s="810"/>
      <c r="AU245" s="810"/>
      <c r="AV245" s="810"/>
      <c r="AW245" s="810"/>
      <c r="AX245" s="810"/>
      <c r="AY245" s="810"/>
      <c r="AZ245" s="810"/>
      <c r="BA245" s="810"/>
      <c r="BB245" s="810"/>
      <c r="BC245" s="810"/>
      <c r="BD245" s="810"/>
      <c r="BE245" s="810"/>
      <c r="BF245" s="810"/>
      <c r="BG245" s="810"/>
      <c r="BH245" s="810"/>
      <c r="BI245" s="810"/>
      <c r="BJ245" s="810"/>
      <c r="BK245" s="810"/>
      <c r="BL245" s="810"/>
      <c r="BM245" s="810"/>
      <c r="BN245" s="810"/>
      <c r="BO245" s="810"/>
    </row>
    <row r="246" spans="1:67" s="811" customFormat="1" x14ac:dyDescent="0.45">
      <c r="A246" s="800"/>
      <c r="B246" s="801" t="s">
        <v>255</v>
      </c>
      <c r="C246" s="812" t="s">
        <v>237</v>
      </c>
      <c r="D246" s="813">
        <f t="shared" si="26"/>
        <v>26.05</v>
      </c>
      <c r="E246" s="813">
        <f t="shared" si="26"/>
        <v>5.73</v>
      </c>
      <c r="F246" s="813">
        <f>'4.Рентген НОВИЙ'!E632</f>
        <v>34.56</v>
      </c>
      <c r="G246" s="813">
        <f t="shared" si="27"/>
        <v>48.15</v>
      </c>
      <c r="H246" s="806">
        <f t="shared" si="22"/>
        <v>114.49000000000001</v>
      </c>
      <c r="I246" s="813">
        <f t="shared" si="28"/>
        <v>3.05</v>
      </c>
      <c r="J246" s="813">
        <f t="shared" si="29"/>
        <v>0</v>
      </c>
      <c r="K246" s="813">
        <f t="shared" si="29"/>
        <v>0</v>
      </c>
      <c r="L246" s="813">
        <f t="shared" si="29"/>
        <v>0.4</v>
      </c>
      <c r="M246" s="806">
        <f t="shared" si="23"/>
        <v>3.4499999999999997</v>
      </c>
      <c r="N246" s="806">
        <f t="shared" si="24"/>
        <v>117.94000000000001</v>
      </c>
      <c r="O246" s="813"/>
      <c r="P246" s="806">
        <f>ROUND(N246,0)</f>
        <v>118</v>
      </c>
      <c r="Q246" s="806">
        <f>'4.Рентген НОВИЙ'!E618</f>
        <v>118</v>
      </c>
      <c r="R246" s="806">
        <f t="shared" si="25"/>
        <v>0</v>
      </c>
      <c r="S246" s="806"/>
      <c r="T246" s="806"/>
      <c r="U246" s="806"/>
      <c r="V246" s="806"/>
      <c r="W246" s="806"/>
      <c r="X246" s="806"/>
      <c r="Y246" s="806"/>
      <c r="Z246" s="807"/>
      <c r="AA246" s="808"/>
      <c r="AB246" s="808"/>
      <c r="AC246" s="809"/>
      <c r="AD246" s="809"/>
      <c r="AE246" s="809"/>
      <c r="AF246" s="809"/>
      <c r="AG246" s="809"/>
      <c r="AH246" s="809"/>
      <c r="AI246" s="809"/>
      <c r="AJ246" s="809"/>
      <c r="AK246" s="809"/>
      <c r="AL246" s="809"/>
      <c r="AM246" s="809"/>
      <c r="AN246" s="809"/>
      <c r="AO246" s="810"/>
      <c r="AP246" s="810"/>
      <c r="AQ246" s="810"/>
      <c r="AR246" s="810"/>
      <c r="AS246" s="810"/>
      <c r="AT246" s="810"/>
      <c r="AU246" s="810"/>
      <c r="AV246" s="810"/>
      <c r="AW246" s="810"/>
      <c r="AX246" s="810"/>
      <c r="AY246" s="810"/>
      <c r="AZ246" s="810"/>
      <c r="BA246" s="810"/>
      <c r="BB246" s="810"/>
      <c r="BC246" s="810"/>
      <c r="BD246" s="810"/>
      <c r="BE246" s="810"/>
      <c r="BF246" s="810"/>
      <c r="BG246" s="810"/>
      <c r="BH246" s="810"/>
      <c r="BI246" s="810"/>
      <c r="BJ246" s="810"/>
      <c r="BK246" s="810"/>
      <c r="BL246" s="810"/>
      <c r="BM246" s="810"/>
      <c r="BN246" s="810"/>
      <c r="BO246" s="810"/>
    </row>
    <row r="247" spans="1:67" s="811" customFormat="1" x14ac:dyDescent="0.45">
      <c r="A247" s="800"/>
      <c r="B247" s="801" t="s">
        <v>256</v>
      </c>
      <c r="C247" s="812" t="s">
        <v>238</v>
      </c>
      <c r="D247" s="813">
        <f t="shared" si="26"/>
        <v>26.05</v>
      </c>
      <c r="E247" s="813">
        <f t="shared" si="26"/>
        <v>5.73</v>
      </c>
      <c r="F247" s="813">
        <f>'4.Рентген НОВИЙ'!E683</f>
        <v>50.400000000000006</v>
      </c>
      <c r="G247" s="813">
        <f t="shared" si="27"/>
        <v>48.15</v>
      </c>
      <c r="H247" s="806">
        <f t="shared" si="22"/>
        <v>130.33000000000001</v>
      </c>
      <c r="I247" s="813">
        <f t="shared" si="28"/>
        <v>3.05</v>
      </c>
      <c r="J247" s="813">
        <f t="shared" si="29"/>
        <v>0</v>
      </c>
      <c r="K247" s="813">
        <f t="shared" si="29"/>
        <v>0</v>
      </c>
      <c r="L247" s="813">
        <f t="shared" si="29"/>
        <v>0.4</v>
      </c>
      <c r="M247" s="806">
        <f>SUM(I247:L247)</f>
        <v>3.4499999999999997</v>
      </c>
      <c r="N247" s="806">
        <f t="shared" si="24"/>
        <v>133.78</v>
      </c>
      <c r="O247" s="813"/>
      <c r="P247" s="806">
        <f>ROUND(N247,0)</f>
        <v>134</v>
      </c>
      <c r="Q247" s="806">
        <f>'4.Рентген НОВИЙ'!E669</f>
        <v>134</v>
      </c>
      <c r="R247" s="806">
        <f>P247-Q247</f>
        <v>0</v>
      </c>
      <c r="S247" s="806"/>
      <c r="T247" s="806"/>
      <c r="U247" s="806"/>
      <c r="V247" s="806"/>
      <c r="W247" s="806"/>
      <c r="X247" s="806"/>
      <c r="Y247" s="806"/>
      <c r="Z247" s="807"/>
      <c r="AA247" s="808"/>
      <c r="AB247" s="808"/>
      <c r="AC247" s="809"/>
      <c r="AD247" s="809"/>
      <c r="AE247" s="809"/>
      <c r="AF247" s="809"/>
      <c r="AG247" s="809"/>
      <c r="AH247" s="809"/>
      <c r="AI247" s="809"/>
      <c r="AJ247" s="809"/>
      <c r="AK247" s="809"/>
      <c r="AL247" s="809"/>
      <c r="AM247" s="809"/>
      <c r="AN247" s="809"/>
      <c r="AO247" s="810"/>
      <c r="AP247" s="810"/>
      <c r="AQ247" s="810"/>
      <c r="AR247" s="810"/>
      <c r="AS247" s="810"/>
      <c r="AT247" s="810"/>
      <c r="AU247" s="810"/>
      <c r="AV247" s="810"/>
      <c r="AW247" s="810"/>
      <c r="AX247" s="810"/>
      <c r="AY247" s="810"/>
      <c r="AZ247" s="810"/>
      <c r="BA247" s="810"/>
      <c r="BB247" s="810"/>
      <c r="BC247" s="810"/>
      <c r="BD247" s="810"/>
      <c r="BE247" s="810"/>
      <c r="BF247" s="810"/>
      <c r="BG247" s="810"/>
      <c r="BH247" s="810"/>
      <c r="BI247" s="810"/>
      <c r="BJ247" s="810"/>
      <c r="BK247" s="810"/>
      <c r="BL247" s="810"/>
      <c r="BM247" s="810"/>
      <c r="BN247" s="810"/>
      <c r="BO247" s="810"/>
    </row>
    <row r="248" spans="1:67" s="811" customFormat="1" x14ac:dyDescent="0.45">
      <c r="A248" s="800"/>
      <c r="B248" s="801" t="s">
        <v>257</v>
      </c>
      <c r="C248" s="812" t="s">
        <v>239</v>
      </c>
      <c r="D248" s="813">
        <f t="shared" si="26"/>
        <v>26.05</v>
      </c>
      <c r="E248" s="813">
        <f t="shared" si="26"/>
        <v>5.73</v>
      </c>
      <c r="F248" s="813">
        <f>'4.Рентген НОВИЙ'!E734</f>
        <v>66.239999999999995</v>
      </c>
      <c r="G248" s="813">
        <f t="shared" si="27"/>
        <v>48.15</v>
      </c>
      <c r="H248" s="806">
        <f t="shared" si="22"/>
        <v>146.16999999999999</v>
      </c>
      <c r="I248" s="813">
        <f t="shared" si="28"/>
        <v>3.05</v>
      </c>
      <c r="J248" s="813">
        <f t="shared" si="29"/>
        <v>0</v>
      </c>
      <c r="K248" s="813">
        <f t="shared" si="29"/>
        <v>0</v>
      </c>
      <c r="L248" s="813">
        <f t="shared" si="29"/>
        <v>0.4</v>
      </c>
      <c r="M248" s="806">
        <f>SUM(I248:L248)</f>
        <v>3.4499999999999997</v>
      </c>
      <c r="N248" s="806">
        <f t="shared" si="24"/>
        <v>149.61999999999998</v>
      </c>
      <c r="O248" s="813"/>
      <c r="P248" s="806">
        <f>ROUND(N248,0)</f>
        <v>150</v>
      </c>
      <c r="Q248" s="806">
        <f>'4.Рентген НОВИЙ'!E720</f>
        <v>150</v>
      </c>
      <c r="R248" s="806">
        <f>P248-Q248</f>
        <v>0</v>
      </c>
      <c r="S248" s="806"/>
      <c r="T248" s="806"/>
      <c r="U248" s="806"/>
      <c r="V248" s="806"/>
      <c r="W248" s="806"/>
      <c r="X248" s="806"/>
      <c r="Y248" s="806"/>
      <c r="Z248" s="807"/>
      <c r="AA248" s="808"/>
      <c r="AB248" s="808"/>
      <c r="AC248" s="809"/>
      <c r="AD248" s="809"/>
      <c r="AE248" s="809"/>
      <c r="AF248" s="809"/>
      <c r="AG248" s="809"/>
      <c r="AH248" s="809"/>
      <c r="AI248" s="809"/>
      <c r="AJ248" s="809"/>
      <c r="AK248" s="809"/>
      <c r="AL248" s="809"/>
      <c r="AM248" s="809"/>
      <c r="AN248" s="809"/>
      <c r="AO248" s="810"/>
      <c r="AP248" s="810"/>
      <c r="AQ248" s="810"/>
      <c r="AR248" s="810"/>
      <c r="AS248" s="810"/>
      <c r="AT248" s="810"/>
      <c r="AU248" s="810"/>
      <c r="AV248" s="810"/>
      <c r="AW248" s="810"/>
      <c r="AX248" s="810"/>
      <c r="AY248" s="810"/>
      <c r="AZ248" s="810"/>
      <c r="BA248" s="810"/>
      <c r="BB248" s="810"/>
      <c r="BC248" s="810"/>
      <c r="BD248" s="810"/>
      <c r="BE248" s="810"/>
      <c r="BF248" s="810"/>
      <c r="BG248" s="810"/>
      <c r="BH248" s="810"/>
      <c r="BI248" s="810"/>
      <c r="BJ248" s="810"/>
      <c r="BK248" s="810"/>
      <c r="BL248" s="810"/>
      <c r="BM248" s="810"/>
      <c r="BN248" s="810"/>
      <c r="BO248" s="810"/>
    </row>
    <row r="249" spans="1:67" s="811" customFormat="1" x14ac:dyDescent="0.45">
      <c r="A249" s="800"/>
      <c r="B249" s="801" t="s">
        <v>258</v>
      </c>
      <c r="C249" s="812" t="s">
        <v>1128</v>
      </c>
      <c r="D249" s="813">
        <f t="shared" si="26"/>
        <v>26.05</v>
      </c>
      <c r="E249" s="813">
        <f t="shared" si="26"/>
        <v>5.73</v>
      </c>
      <c r="F249" s="813">
        <f>'4.Рентген НОВИЙ'!E785</f>
        <v>2.88</v>
      </c>
      <c r="G249" s="813">
        <f t="shared" si="27"/>
        <v>48.15</v>
      </c>
      <c r="H249" s="806">
        <f t="shared" si="22"/>
        <v>82.81</v>
      </c>
      <c r="I249" s="813">
        <f t="shared" si="28"/>
        <v>3.05</v>
      </c>
      <c r="J249" s="813">
        <f t="shared" si="29"/>
        <v>0</v>
      </c>
      <c r="K249" s="813">
        <f t="shared" si="29"/>
        <v>0</v>
      </c>
      <c r="L249" s="813">
        <f t="shared" si="29"/>
        <v>0.4</v>
      </c>
      <c r="M249" s="806">
        <f t="shared" si="23"/>
        <v>3.4499999999999997</v>
      </c>
      <c r="N249" s="806">
        <f t="shared" si="24"/>
        <v>86.26</v>
      </c>
      <c r="O249" s="813"/>
      <c r="P249" s="806">
        <f t="shared" si="21"/>
        <v>86</v>
      </c>
      <c r="Q249" s="806">
        <f>'4.Рентген НОВИЙ'!E771</f>
        <v>86</v>
      </c>
      <c r="R249" s="806">
        <f t="shared" si="25"/>
        <v>0</v>
      </c>
      <c r="S249" s="806"/>
      <c r="T249" s="806"/>
      <c r="U249" s="806"/>
      <c r="V249" s="806"/>
      <c r="W249" s="806"/>
      <c r="X249" s="806"/>
      <c r="Y249" s="806"/>
      <c r="Z249" s="807"/>
      <c r="AA249" s="808"/>
      <c r="AB249" s="808"/>
      <c r="AC249" s="809"/>
      <c r="AD249" s="809"/>
      <c r="AE249" s="809"/>
      <c r="AF249" s="809"/>
      <c r="AG249" s="809"/>
      <c r="AH249" s="809"/>
      <c r="AI249" s="809"/>
      <c r="AJ249" s="809"/>
      <c r="AK249" s="809"/>
      <c r="AL249" s="809"/>
      <c r="AM249" s="809"/>
      <c r="AN249" s="809"/>
      <c r="AO249" s="810"/>
      <c r="AP249" s="810"/>
      <c r="AQ249" s="810"/>
      <c r="AR249" s="810"/>
      <c r="AS249" s="810"/>
      <c r="AT249" s="810"/>
      <c r="AU249" s="810"/>
      <c r="AV249" s="810"/>
      <c r="AW249" s="810"/>
      <c r="AX249" s="810"/>
      <c r="AY249" s="810"/>
      <c r="AZ249" s="810"/>
      <c r="BA249" s="810"/>
      <c r="BB249" s="810"/>
      <c r="BC249" s="810"/>
      <c r="BD249" s="810"/>
      <c r="BE249" s="810"/>
      <c r="BF249" s="810"/>
      <c r="BG249" s="810"/>
      <c r="BH249" s="810"/>
      <c r="BI249" s="810"/>
      <c r="BJ249" s="810"/>
      <c r="BK249" s="810"/>
      <c r="BL249" s="810"/>
      <c r="BM249" s="810"/>
      <c r="BN249" s="810"/>
      <c r="BO249" s="810"/>
    </row>
    <row r="250" spans="1:67" s="825" customFormat="1" x14ac:dyDescent="0.45">
      <c r="A250" s="819"/>
      <c r="B250" s="820"/>
      <c r="C250" s="821" t="s">
        <v>681</v>
      </c>
      <c r="D250" s="813"/>
      <c r="E250" s="813"/>
      <c r="F250" s="813"/>
      <c r="G250" s="813"/>
      <c r="H250" s="806"/>
      <c r="I250" s="806"/>
      <c r="J250" s="806"/>
      <c r="K250" s="806"/>
      <c r="L250" s="806"/>
      <c r="M250" s="806"/>
      <c r="N250" s="806"/>
      <c r="O250" s="806"/>
      <c r="P250" s="806"/>
      <c r="Q250" s="806"/>
      <c r="R250" s="806"/>
      <c r="S250" s="806"/>
      <c r="T250" s="806"/>
      <c r="U250" s="806"/>
      <c r="V250" s="806"/>
      <c r="W250" s="806"/>
      <c r="X250" s="806"/>
      <c r="Y250" s="806"/>
      <c r="Z250" s="822"/>
      <c r="AA250" s="808"/>
      <c r="AB250" s="808"/>
      <c r="AC250" s="823"/>
      <c r="AD250" s="823"/>
      <c r="AE250" s="823"/>
      <c r="AF250" s="823"/>
      <c r="AG250" s="823"/>
      <c r="AH250" s="823"/>
      <c r="AI250" s="823"/>
      <c r="AJ250" s="823"/>
      <c r="AK250" s="823"/>
      <c r="AL250" s="823"/>
      <c r="AM250" s="823"/>
      <c r="AN250" s="823"/>
      <c r="AO250" s="824"/>
      <c r="AP250" s="824"/>
      <c r="AQ250" s="824"/>
      <c r="AR250" s="824"/>
      <c r="AS250" s="824"/>
      <c r="AT250" s="824"/>
      <c r="AU250" s="824"/>
      <c r="AV250" s="824"/>
      <c r="AW250" s="824"/>
      <c r="AX250" s="824"/>
      <c r="AY250" s="824"/>
      <c r="AZ250" s="824"/>
      <c r="BA250" s="824"/>
      <c r="BB250" s="824"/>
      <c r="BC250" s="824"/>
      <c r="BD250" s="824"/>
      <c r="BE250" s="824"/>
      <c r="BF250" s="824"/>
      <c r="BG250" s="824"/>
      <c r="BH250" s="824"/>
      <c r="BI250" s="824"/>
      <c r="BJ250" s="824"/>
      <c r="BK250" s="824"/>
      <c r="BL250" s="824"/>
      <c r="BM250" s="824"/>
      <c r="BN250" s="824"/>
      <c r="BO250" s="824"/>
    </row>
    <row r="251" spans="1:67" s="811" customFormat="1" x14ac:dyDescent="0.45">
      <c r="A251" s="800"/>
      <c r="B251" s="801" t="s">
        <v>247</v>
      </c>
      <c r="C251" s="812" t="s">
        <v>1129</v>
      </c>
      <c r="D251" s="813">
        <f>D249</f>
        <v>26.05</v>
      </c>
      <c r="E251" s="813">
        <f>E249</f>
        <v>5.73</v>
      </c>
      <c r="F251" s="813">
        <f>'4.Рентген НОВИЙ'!E837</f>
        <v>3.1799999999999997</v>
      </c>
      <c r="G251" s="813">
        <f>G249</f>
        <v>48.15</v>
      </c>
      <c r="H251" s="806">
        <f>SUM(D251:G251)</f>
        <v>83.11</v>
      </c>
      <c r="I251" s="813">
        <f>I249</f>
        <v>3.05</v>
      </c>
      <c r="J251" s="813">
        <f>J249</f>
        <v>0</v>
      </c>
      <c r="K251" s="813">
        <f>K249</f>
        <v>0</v>
      </c>
      <c r="L251" s="813">
        <f>L249</f>
        <v>0.4</v>
      </c>
      <c r="M251" s="806">
        <f>SUM(I251:L251)</f>
        <v>3.4499999999999997</v>
      </c>
      <c r="N251" s="806">
        <f>H251+M251</f>
        <v>86.56</v>
      </c>
      <c r="O251" s="813"/>
      <c r="P251" s="806">
        <f t="shared" si="21"/>
        <v>87</v>
      </c>
      <c r="Q251" s="806">
        <f>'4.Рентген НОВИЙ'!E823</f>
        <v>87</v>
      </c>
      <c r="R251" s="806">
        <f>P251-Q251</f>
        <v>0</v>
      </c>
      <c r="S251" s="806"/>
      <c r="T251" s="806"/>
      <c r="U251" s="806"/>
      <c r="V251" s="806"/>
      <c r="W251" s="806"/>
      <c r="X251" s="806"/>
      <c r="Y251" s="806"/>
      <c r="Z251" s="807"/>
      <c r="AA251" s="808"/>
      <c r="AB251" s="808"/>
      <c r="AC251" s="809"/>
      <c r="AD251" s="809"/>
      <c r="AE251" s="809"/>
      <c r="AF251" s="809"/>
      <c r="AG251" s="809"/>
      <c r="AH251" s="809"/>
      <c r="AI251" s="809"/>
      <c r="AJ251" s="809"/>
      <c r="AK251" s="809"/>
      <c r="AL251" s="809"/>
      <c r="AM251" s="809"/>
      <c r="AN251" s="809"/>
      <c r="AO251" s="810"/>
      <c r="AP251" s="810"/>
      <c r="AQ251" s="810"/>
      <c r="AR251" s="810"/>
      <c r="AS251" s="810"/>
      <c r="AT251" s="810"/>
      <c r="AU251" s="810"/>
      <c r="AV251" s="810"/>
      <c r="AW251" s="810"/>
      <c r="AX251" s="810"/>
      <c r="AY251" s="810"/>
      <c r="AZ251" s="810"/>
      <c r="BA251" s="810"/>
      <c r="BB251" s="810"/>
      <c r="BC251" s="810"/>
      <c r="BD251" s="810"/>
      <c r="BE251" s="810"/>
      <c r="BF251" s="810"/>
      <c r="BG251" s="810"/>
      <c r="BH251" s="810"/>
      <c r="BI251" s="810"/>
      <c r="BJ251" s="810"/>
      <c r="BK251" s="810"/>
      <c r="BL251" s="810"/>
      <c r="BM251" s="810"/>
      <c r="BN251" s="810"/>
      <c r="BO251" s="810"/>
    </row>
    <row r="252" spans="1:67" s="811" customFormat="1" x14ac:dyDescent="0.45">
      <c r="A252" s="800"/>
      <c r="B252" s="801" t="s">
        <v>259</v>
      </c>
      <c r="C252" s="812" t="s">
        <v>290</v>
      </c>
      <c r="D252" s="813">
        <f>D251</f>
        <v>26.05</v>
      </c>
      <c r="E252" s="813">
        <f>E251</f>
        <v>5.73</v>
      </c>
      <c r="F252" s="813">
        <f>'4.Рентген НОВИЙ'!E889</f>
        <v>31.1</v>
      </c>
      <c r="G252" s="813">
        <f>G251</f>
        <v>48.15</v>
      </c>
      <c r="H252" s="806">
        <f>SUM(D252:G252)</f>
        <v>111.03</v>
      </c>
      <c r="I252" s="813">
        <f>I251</f>
        <v>3.05</v>
      </c>
      <c r="J252" s="813">
        <f>J251</f>
        <v>0</v>
      </c>
      <c r="K252" s="813">
        <f>K251</f>
        <v>0</v>
      </c>
      <c r="L252" s="813">
        <f>L251</f>
        <v>0.4</v>
      </c>
      <c r="M252" s="806">
        <f>SUM(I252:L252)</f>
        <v>3.4499999999999997</v>
      </c>
      <c r="N252" s="806">
        <f>H252+M252</f>
        <v>114.48</v>
      </c>
      <c r="O252" s="813"/>
      <c r="P252" s="806">
        <f>ROUND(N252,0)</f>
        <v>114</v>
      </c>
      <c r="Q252" s="806">
        <f>'4.Рентген НОВИЙ'!E875</f>
        <v>114</v>
      </c>
      <c r="R252" s="806">
        <f>P252-Q252</f>
        <v>0</v>
      </c>
      <c r="S252" s="806"/>
      <c r="T252" s="806"/>
      <c r="U252" s="806"/>
      <c r="V252" s="806"/>
      <c r="W252" s="806"/>
      <c r="X252" s="806"/>
      <c r="Y252" s="806"/>
      <c r="Z252" s="807"/>
      <c r="AA252" s="808"/>
      <c r="AB252" s="808"/>
      <c r="AC252" s="809"/>
      <c r="AD252" s="809"/>
      <c r="AE252" s="809"/>
      <c r="AF252" s="809"/>
      <c r="AG252" s="809"/>
      <c r="AH252" s="809"/>
      <c r="AI252" s="809"/>
      <c r="AJ252" s="809"/>
      <c r="AK252" s="809"/>
      <c r="AL252" s="809"/>
      <c r="AM252" s="809"/>
      <c r="AN252" s="809"/>
      <c r="AO252" s="810"/>
      <c r="AP252" s="810"/>
      <c r="AQ252" s="810"/>
      <c r="AR252" s="810"/>
      <c r="AS252" s="810"/>
      <c r="AT252" s="810"/>
      <c r="AU252" s="810"/>
      <c r="AV252" s="810"/>
      <c r="AW252" s="810"/>
      <c r="AX252" s="810"/>
      <c r="AY252" s="810"/>
      <c r="AZ252" s="810"/>
      <c r="BA252" s="810"/>
      <c r="BB252" s="810"/>
      <c r="BC252" s="810"/>
      <c r="BD252" s="810"/>
      <c r="BE252" s="810"/>
      <c r="BF252" s="810"/>
      <c r="BG252" s="810"/>
      <c r="BH252" s="810"/>
      <c r="BI252" s="810"/>
      <c r="BJ252" s="810"/>
      <c r="BK252" s="810"/>
      <c r="BL252" s="810"/>
      <c r="BM252" s="810"/>
      <c r="BN252" s="810"/>
      <c r="BO252" s="810"/>
    </row>
    <row r="253" spans="1:67" s="811" customFormat="1" x14ac:dyDescent="0.45">
      <c r="A253" s="800"/>
      <c r="B253" s="801" t="s">
        <v>260</v>
      </c>
      <c r="C253" s="812" t="s">
        <v>236</v>
      </c>
      <c r="D253" s="813">
        <f>D252</f>
        <v>26.05</v>
      </c>
      <c r="E253" s="813">
        <f>E251</f>
        <v>5.73</v>
      </c>
      <c r="F253" s="813">
        <f>'4.Рентген НОВИЙ'!E942</f>
        <v>18.720000000000002</v>
      </c>
      <c r="G253" s="813">
        <f>G251</f>
        <v>48.15</v>
      </c>
      <c r="H253" s="806">
        <f>SUM(D253:G253)</f>
        <v>98.65</v>
      </c>
      <c r="I253" s="813">
        <f t="shared" ref="I253:L254" si="30">I251</f>
        <v>3.05</v>
      </c>
      <c r="J253" s="813">
        <f t="shared" si="30"/>
        <v>0</v>
      </c>
      <c r="K253" s="813">
        <f t="shared" si="30"/>
        <v>0</v>
      </c>
      <c r="L253" s="813">
        <f t="shared" si="30"/>
        <v>0.4</v>
      </c>
      <c r="M253" s="806">
        <f>SUM(I253:L253)</f>
        <v>3.4499999999999997</v>
      </c>
      <c r="N253" s="806">
        <f>H253+M253</f>
        <v>102.10000000000001</v>
      </c>
      <c r="O253" s="813"/>
      <c r="P253" s="806">
        <f>ROUND(N253,0)</f>
        <v>102</v>
      </c>
      <c r="Q253" s="806">
        <f>'4.Рентген НОВИЙ'!E928</f>
        <v>102</v>
      </c>
      <c r="R253" s="806">
        <f>P253-Q253</f>
        <v>0</v>
      </c>
      <c r="S253" s="806"/>
      <c r="T253" s="806"/>
      <c r="U253" s="806"/>
      <c r="V253" s="806"/>
      <c r="W253" s="806"/>
      <c r="X253" s="806"/>
      <c r="Y253" s="806"/>
      <c r="Z253" s="807"/>
      <c r="AA253" s="808"/>
      <c r="AB253" s="808"/>
      <c r="AC253" s="809"/>
      <c r="AD253" s="809"/>
      <c r="AE253" s="809"/>
      <c r="AF253" s="809"/>
      <c r="AG253" s="809"/>
      <c r="AH253" s="809"/>
      <c r="AI253" s="809"/>
      <c r="AJ253" s="809"/>
      <c r="AK253" s="809"/>
      <c r="AL253" s="809"/>
      <c r="AM253" s="809"/>
      <c r="AN253" s="809"/>
      <c r="AO253" s="810"/>
      <c r="AP253" s="810"/>
      <c r="AQ253" s="810"/>
      <c r="AR253" s="810"/>
      <c r="AS253" s="810"/>
      <c r="AT253" s="810"/>
      <c r="AU253" s="810"/>
      <c r="AV253" s="810"/>
      <c r="AW253" s="810"/>
      <c r="AX253" s="810"/>
      <c r="AY253" s="810"/>
      <c r="AZ253" s="810"/>
      <c r="BA253" s="810"/>
      <c r="BB253" s="810"/>
      <c r="BC253" s="810"/>
      <c r="BD253" s="810"/>
      <c r="BE253" s="810"/>
      <c r="BF253" s="810"/>
      <c r="BG253" s="810"/>
      <c r="BH253" s="810"/>
      <c r="BI253" s="810"/>
      <c r="BJ253" s="810"/>
      <c r="BK253" s="810"/>
      <c r="BL253" s="810"/>
      <c r="BM253" s="810"/>
      <c r="BN253" s="810"/>
      <c r="BO253" s="810"/>
    </row>
    <row r="254" spans="1:67" s="811" customFormat="1" x14ac:dyDescent="0.45">
      <c r="A254" s="800"/>
      <c r="B254" s="801" t="s">
        <v>261</v>
      </c>
      <c r="C254" s="812" t="s">
        <v>1128</v>
      </c>
      <c r="D254" s="813">
        <f>D253</f>
        <v>26.05</v>
      </c>
      <c r="E254" s="813">
        <f>E252</f>
        <v>5.73</v>
      </c>
      <c r="F254" s="813">
        <f>'4.Рентген НОВИЙ'!E994</f>
        <v>2.88</v>
      </c>
      <c r="G254" s="813">
        <f>G252</f>
        <v>48.15</v>
      </c>
      <c r="H254" s="806">
        <f>SUM(D254:G254)</f>
        <v>82.81</v>
      </c>
      <c r="I254" s="813">
        <f t="shared" si="30"/>
        <v>3.05</v>
      </c>
      <c r="J254" s="813">
        <f t="shared" si="30"/>
        <v>0</v>
      </c>
      <c r="K254" s="813">
        <f t="shared" si="30"/>
        <v>0</v>
      </c>
      <c r="L254" s="813">
        <f t="shared" si="30"/>
        <v>0.4</v>
      </c>
      <c r="M254" s="806">
        <f>SUM(I254:L254)</f>
        <v>3.4499999999999997</v>
      </c>
      <c r="N254" s="806">
        <f>H254+M254</f>
        <v>86.26</v>
      </c>
      <c r="O254" s="813"/>
      <c r="P254" s="806">
        <f t="shared" si="21"/>
        <v>86</v>
      </c>
      <c r="Q254" s="806">
        <f>'4.Рентген НОВИЙ'!E980</f>
        <v>86</v>
      </c>
      <c r="R254" s="806">
        <f>P254-Q254</f>
        <v>0</v>
      </c>
      <c r="S254" s="806"/>
      <c r="T254" s="806"/>
      <c r="U254" s="806"/>
      <c r="V254" s="806"/>
      <c r="W254" s="806"/>
      <c r="X254" s="806"/>
      <c r="Y254" s="806"/>
      <c r="Z254" s="807"/>
      <c r="AA254" s="808"/>
      <c r="AB254" s="808"/>
      <c r="AC254" s="809"/>
      <c r="AD254" s="809"/>
      <c r="AE254" s="809"/>
      <c r="AF254" s="809"/>
      <c r="AG254" s="809"/>
      <c r="AH254" s="809"/>
      <c r="AI254" s="809"/>
      <c r="AJ254" s="809"/>
      <c r="AK254" s="809"/>
      <c r="AL254" s="809"/>
      <c r="AM254" s="809"/>
      <c r="AN254" s="809"/>
      <c r="AO254" s="810"/>
      <c r="AP254" s="810"/>
      <c r="AQ254" s="810"/>
      <c r="AR254" s="810"/>
      <c r="AS254" s="810"/>
      <c r="AT254" s="810"/>
      <c r="AU254" s="810"/>
      <c r="AV254" s="810"/>
      <c r="AW254" s="810"/>
      <c r="AX254" s="810"/>
      <c r="AY254" s="810"/>
      <c r="AZ254" s="810"/>
      <c r="BA254" s="810"/>
      <c r="BB254" s="810"/>
      <c r="BC254" s="810"/>
      <c r="BD254" s="810"/>
      <c r="BE254" s="810"/>
      <c r="BF254" s="810"/>
      <c r="BG254" s="810"/>
      <c r="BH254" s="810"/>
      <c r="BI254" s="810"/>
      <c r="BJ254" s="810"/>
      <c r="BK254" s="810"/>
      <c r="BL254" s="810"/>
      <c r="BM254" s="810"/>
      <c r="BN254" s="810"/>
      <c r="BO254" s="810"/>
    </row>
    <row r="255" spans="1:67" s="825" customFormat="1" x14ac:dyDescent="0.45">
      <c r="A255" s="819"/>
      <c r="B255" s="820"/>
      <c r="C255" s="821" t="s">
        <v>683</v>
      </c>
      <c r="D255" s="813"/>
      <c r="E255" s="813"/>
      <c r="F255" s="813"/>
      <c r="G255" s="813"/>
      <c r="H255" s="806"/>
      <c r="I255" s="806"/>
      <c r="J255" s="806"/>
      <c r="K255" s="806"/>
      <c r="L255" s="806"/>
      <c r="M255" s="806"/>
      <c r="N255" s="806"/>
      <c r="O255" s="806"/>
      <c r="P255" s="806"/>
      <c r="Q255" s="806"/>
      <c r="R255" s="806"/>
      <c r="S255" s="806"/>
      <c r="T255" s="806"/>
      <c r="U255" s="806"/>
      <c r="V255" s="806"/>
      <c r="W255" s="806"/>
      <c r="X255" s="806"/>
      <c r="Y255" s="806"/>
      <c r="Z255" s="822"/>
      <c r="AA255" s="808"/>
      <c r="AB255" s="808"/>
      <c r="AC255" s="823"/>
      <c r="AD255" s="823"/>
      <c r="AE255" s="823"/>
      <c r="AF255" s="823"/>
      <c r="AG255" s="823"/>
      <c r="AH255" s="823"/>
      <c r="AI255" s="823"/>
      <c r="AJ255" s="823"/>
      <c r="AK255" s="823"/>
      <c r="AL255" s="823"/>
      <c r="AM255" s="823"/>
      <c r="AN255" s="823"/>
      <c r="AO255" s="824"/>
      <c r="AP255" s="824"/>
      <c r="AQ255" s="824"/>
      <c r="AR255" s="824"/>
      <c r="AS255" s="824"/>
      <c r="AT255" s="824"/>
      <c r="AU255" s="824"/>
      <c r="AV255" s="824"/>
      <c r="AW255" s="824"/>
      <c r="AX255" s="824"/>
      <c r="AY255" s="824"/>
      <c r="AZ255" s="824"/>
      <c r="BA255" s="824"/>
      <c r="BB255" s="824"/>
      <c r="BC255" s="824"/>
      <c r="BD255" s="824"/>
      <c r="BE255" s="824"/>
      <c r="BF255" s="824"/>
      <c r="BG255" s="824"/>
      <c r="BH255" s="824"/>
      <c r="BI255" s="824"/>
      <c r="BJ255" s="824"/>
      <c r="BK255" s="824"/>
      <c r="BL255" s="824"/>
      <c r="BM255" s="824"/>
      <c r="BN255" s="824"/>
      <c r="BO255" s="824"/>
    </row>
    <row r="256" spans="1:67" s="811" customFormat="1" x14ac:dyDescent="0.45">
      <c r="A256" s="800"/>
      <c r="B256" s="801" t="s">
        <v>248</v>
      </c>
      <c r="C256" s="812" t="s">
        <v>1129</v>
      </c>
      <c r="D256" s="813">
        <f>D254</f>
        <v>26.05</v>
      </c>
      <c r="E256" s="813">
        <f>E254</f>
        <v>5.73</v>
      </c>
      <c r="F256" s="813">
        <f>'4.Рентген НОВИЙ'!E1046</f>
        <v>3.1799999999999997</v>
      </c>
      <c r="G256" s="813">
        <f>G254</f>
        <v>48.15</v>
      </c>
      <c r="H256" s="806">
        <f>SUM(D256:G256)</f>
        <v>83.11</v>
      </c>
      <c r="I256" s="813">
        <f>I254</f>
        <v>3.05</v>
      </c>
      <c r="J256" s="813">
        <f>J254</f>
        <v>0</v>
      </c>
      <c r="K256" s="813">
        <f>K254</f>
        <v>0</v>
      </c>
      <c r="L256" s="813">
        <f>L254</f>
        <v>0.4</v>
      </c>
      <c r="M256" s="806">
        <f>SUM(I256:L256)</f>
        <v>3.4499999999999997</v>
      </c>
      <c r="N256" s="806">
        <f>H256+M256</f>
        <v>86.56</v>
      </c>
      <c r="O256" s="813"/>
      <c r="P256" s="806">
        <f t="shared" si="21"/>
        <v>87</v>
      </c>
      <c r="Q256" s="806">
        <f>'4.Рентген НОВИЙ'!E1032</f>
        <v>87</v>
      </c>
      <c r="R256" s="806">
        <f>P256-Q256</f>
        <v>0</v>
      </c>
      <c r="S256" s="806"/>
      <c r="T256" s="806"/>
      <c r="U256" s="806"/>
      <c r="V256" s="806"/>
      <c r="W256" s="806"/>
      <c r="X256" s="806"/>
      <c r="Y256" s="806"/>
      <c r="Z256" s="807"/>
      <c r="AA256" s="808"/>
      <c r="AB256" s="808"/>
      <c r="AC256" s="809"/>
      <c r="AD256" s="809"/>
      <c r="AE256" s="809"/>
      <c r="AF256" s="809"/>
      <c r="AG256" s="809"/>
      <c r="AH256" s="809"/>
      <c r="AI256" s="809"/>
      <c r="AJ256" s="809"/>
      <c r="AK256" s="809"/>
      <c r="AL256" s="809"/>
      <c r="AM256" s="809"/>
      <c r="AN256" s="809"/>
      <c r="AO256" s="810"/>
      <c r="AP256" s="810"/>
      <c r="AQ256" s="810"/>
      <c r="AR256" s="810"/>
      <c r="AS256" s="810"/>
      <c r="AT256" s="810"/>
      <c r="AU256" s="810"/>
      <c r="AV256" s="810"/>
      <c r="AW256" s="810"/>
      <c r="AX256" s="810"/>
      <c r="AY256" s="810"/>
      <c r="AZ256" s="810"/>
      <c r="BA256" s="810"/>
      <c r="BB256" s="810"/>
      <c r="BC256" s="810"/>
      <c r="BD256" s="810"/>
      <c r="BE256" s="810"/>
      <c r="BF256" s="810"/>
      <c r="BG256" s="810"/>
      <c r="BH256" s="810"/>
      <c r="BI256" s="810"/>
      <c r="BJ256" s="810"/>
      <c r="BK256" s="810"/>
      <c r="BL256" s="810"/>
      <c r="BM256" s="810"/>
      <c r="BN256" s="810"/>
      <c r="BO256" s="810"/>
    </row>
    <row r="257" spans="1:67" s="811" customFormat="1" x14ac:dyDescent="0.45">
      <c r="A257" s="800"/>
      <c r="B257" s="801" t="s">
        <v>262</v>
      </c>
      <c r="C257" s="812" t="s">
        <v>290</v>
      </c>
      <c r="D257" s="813">
        <f t="shared" ref="D257:E259" si="31">D256</f>
        <v>26.05</v>
      </c>
      <c r="E257" s="813">
        <f t="shared" si="31"/>
        <v>5.73</v>
      </c>
      <c r="F257" s="813">
        <f>'4.Рентген НОВИЙ'!E1097</f>
        <v>31.1</v>
      </c>
      <c r="G257" s="813">
        <f>G256</f>
        <v>48.15</v>
      </c>
      <c r="H257" s="806">
        <f>SUM(D257:G257)</f>
        <v>111.03</v>
      </c>
      <c r="I257" s="813">
        <f>I256</f>
        <v>3.05</v>
      </c>
      <c r="J257" s="813">
        <f t="shared" ref="J257:L259" si="32">J256</f>
        <v>0</v>
      </c>
      <c r="K257" s="813">
        <f t="shared" si="32"/>
        <v>0</v>
      </c>
      <c r="L257" s="813">
        <f t="shared" si="32"/>
        <v>0.4</v>
      </c>
      <c r="M257" s="806">
        <f>SUM(I257:L257)</f>
        <v>3.4499999999999997</v>
      </c>
      <c r="N257" s="806">
        <f>H257+M257</f>
        <v>114.48</v>
      </c>
      <c r="O257" s="813"/>
      <c r="P257" s="806">
        <f t="shared" si="21"/>
        <v>114</v>
      </c>
      <c r="Q257" s="806">
        <f>'4.Рентген НОВИЙ'!E1083</f>
        <v>114</v>
      </c>
      <c r="R257" s="806">
        <f>P257-Q257</f>
        <v>0</v>
      </c>
      <c r="S257" s="806"/>
      <c r="T257" s="806"/>
      <c r="U257" s="806"/>
      <c r="V257" s="806"/>
      <c r="W257" s="806"/>
      <c r="X257" s="806"/>
      <c r="Y257" s="806"/>
      <c r="Z257" s="807"/>
      <c r="AA257" s="808"/>
      <c r="AB257" s="808"/>
      <c r="AC257" s="809"/>
      <c r="AD257" s="809"/>
      <c r="AE257" s="809"/>
      <c r="AF257" s="809"/>
      <c r="AG257" s="809"/>
      <c r="AH257" s="809"/>
      <c r="AI257" s="809"/>
      <c r="AJ257" s="809"/>
      <c r="AK257" s="809"/>
      <c r="AL257" s="809"/>
      <c r="AM257" s="809"/>
      <c r="AN257" s="809"/>
      <c r="AO257" s="810"/>
      <c r="AP257" s="810"/>
      <c r="AQ257" s="810"/>
      <c r="AR257" s="810"/>
      <c r="AS257" s="810"/>
      <c r="AT257" s="810"/>
      <c r="AU257" s="810"/>
      <c r="AV257" s="810"/>
      <c r="AW257" s="810"/>
      <c r="AX257" s="810"/>
      <c r="AY257" s="810"/>
      <c r="AZ257" s="810"/>
      <c r="BA257" s="810"/>
      <c r="BB257" s="810"/>
      <c r="BC257" s="810"/>
      <c r="BD257" s="810"/>
      <c r="BE257" s="810"/>
      <c r="BF257" s="810"/>
      <c r="BG257" s="810"/>
      <c r="BH257" s="810"/>
      <c r="BI257" s="810"/>
      <c r="BJ257" s="810"/>
      <c r="BK257" s="810"/>
      <c r="BL257" s="810"/>
      <c r="BM257" s="810"/>
      <c r="BN257" s="810"/>
      <c r="BO257" s="810"/>
    </row>
    <row r="258" spans="1:67" s="811" customFormat="1" x14ac:dyDescent="0.45">
      <c r="A258" s="800"/>
      <c r="B258" s="801" t="s">
        <v>264</v>
      </c>
      <c r="C258" s="812" t="s">
        <v>237</v>
      </c>
      <c r="D258" s="813">
        <f t="shared" si="31"/>
        <v>26.05</v>
      </c>
      <c r="E258" s="813">
        <f t="shared" si="31"/>
        <v>5.73</v>
      </c>
      <c r="F258" s="813">
        <f>'4.Рентген НОВИЙ'!E1148</f>
        <v>34.56</v>
      </c>
      <c r="G258" s="813">
        <f>G257</f>
        <v>48.15</v>
      </c>
      <c r="H258" s="806">
        <f>SUM(D258:G258)</f>
        <v>114.49000000000001</v>
      </c>
      <c r="I258" s="813">
        <f>I257</f>
        <v>3.05</v>
      </c>
      <c r="J258" s="813">
        <f t="shared" si="32"/>
        <v>0</v>
      </c>
      <c r="K258" s="813">
        <f t="shared" si="32"/>
        <v>0</v>
      </c>
      <c r="L258" s="813">
        <f t="shared" si="32"/>
        <v>0.4</v>
      </c>
      <c r="M258" s="806">
        <f>SUM(I258:L258)</f>
        <v>3.4499999999999997</v>
      </c>
      <c r="N258" s="806">
        <f>H258+M258</f>
        <v>117.94000000000001</v>
      </c>
      <c r="O258" s="813"/>
      <c r="P258" s="806">
        <f t="shared" si="21"/>
        <v>118</v>
      </c>
      <c r="Q258" s="806">
        <f>'4.Рентген НОВИЙ'!E1134</f>
        <v>118</v>
      </c>
      <c r="R258" s="806">
        <f>P258-Q258</f>
        <v>0</v>
      </c>
      <c r="S258" s="806"/>
      <c r="T258" s="806"/>
      <c r="U258" s="806"/>
      <c r="V258" s="806"/>
      <c r="W258" s="806"/>
      <c r="X258" s="806"/>
      <c r="Y258" s="806"/>
      <c r="Z258" s="807"/>
      <c r="AA258" s="808"/>
      <c r="AB258" s="808"/>
      <c r="AC258" s="809"/>
      <c r="AD258" s="809"/>
      <c r="AE258" s="809"/>
      <c r="AF258" s="809"/>
      <c r="AG258" s="809"/>
      <c r="AH258" s="809"/>
      <c r="AI258" s="809"/>
      <c r="AJ258" s="809"/>
      <c r="AK258" s="809"/>
      <c r="AL258" s="809"/>
      <c r="AM258" s="809"/>
      <c r="AN258" s="809"/>
      <c r="AO258" s="810"/>
      <c r="AP258" s="810"/>
      <c r="AQ258" s="810"/>
      <c r="AR258" s="810"/>
      <c r="AS258" s="810"/>
      <c r="AT258" s="810"/>
      <c r="AU258" s="810"/>
      <c r="AV258" s="810"/>
      <c r="AW258" s="810"/>
      <c r="AX258" s="810"/>
      <c r="AY258" s="810"/>
      <c r="AZ258" s="810"/>
      <c r="BA258" s="810"/>
      <c r="BB258" s="810"/>
      <c r="BC258" s="810"/>
      <c r="BD258" s="810"/>
      <c r="BE258" s="810"/>
      <c r="BF258" s="810"/>
      <c r="BG258" s="810"/>
      <c r="BH258" s="810"/>
      <c r="BI258" s="810"/>
      <c r="BJ258" s="810"/>
      <c r="BK258" s="810"/>
      <c r="BL258" s="810"/>
      <c r="BM258" s="810"/>
      <c r="BN258" s="810"/>
      <c r="BO258" s="810"/>
    </row>
    <row r="259" spans="1:67" s="811" customFormat="1" x14ac:dyDescent="0.45">
      <c r="A259" s="800"/>
      <c r="B259" s="801" t="s">
        <v>266</v>
      </c>
      <c r="C259" s="812" t="s">
        <v>1128</v>
      </c>
      <c r="D259" s="813">
        <f t="shared" si="31"/>
        <v>26.05</v>
      </c>
      <c r="E259" s="813">
        <f t="shared" si="31"/>
        <v>5.73</v>
      </c>
      <c r="F259" s="813">
        <f>'4.Рентген НОВИЙ'!E1199</f>
        <v>2.88</v>
      </c>
      <c r="G259" s="813">
        <f>G258</f>
        <v>48.15</v>
      </c>
      <c r="H259" s="806">
        <f>SUM(D259:G259)</f>
        <v>82.81</v>
      </c>
      <c r="I259" s="813">
        <f>I258</f>
        <v>3.05</v>
      </c>
      <c r="J259" s="813">
        <f t="shared" si="32"/>
        <v>0</v>
      </c>
      <c r="K259" s="813">
        <f t="shared" si="32"/>
        <v>0</v>
      </c>
      <c r="L259" s="813">
        <f t="shared" si="32"/>
        <v>0.4</v>
      </c>
      <c r="M259" s="806">
        <f>SUM(I259:L259)</f>
        <v>3.4499999999999997</v>
      </c>
      <c r="N259" s="806">
        <f>H259+M259</f>
        <v>86.26</v>
      </c>
      <c r="O259" s="813"/>
      <c r="P259" s="806">
        <f t="shared" si="21"/>
        <v>86</v>
      </c>
      <c r="Q259" s="806">
        <f>'4.Рентген НОВИЙ'!E1185</f>
        <v>86</v>
      </c>
      <c r="R259" s="806">
        <f>P259-Q259</f>
        <v>0</v>
      </c>
      <c r="S259" s="806"/>
      <c r="T259" s="806"/>
      <c r="U259" s="806"/>
      <c r="V259" s="806"/>
      <c r="W259" s="806"/>
      <c r="X259" s="806"/>
      <c r="Y259" s="806"/>
      <c r="Z259" s="807"/>
      <c r="AA259" s="808"/>
      <c r="AB259" s="808"/>
      <c r="AC259" s="809"/>
      <c r="AD259" s="809"/>
      <c r="AE259" s="809"/>
      <c r="AF259" s="809"/>
      <c r="AG259" s="809"/>
      <c r="AH259" s="809"/>
      <c r="AI259" s="809"/>
      <c r="AJ259" s="809"/>
      <c r="AK259" s="809"/>
      <c r="AL259" s="809"/>
      <c r="AM259" s="809"/>
      <c r="AN259" s="809"/>
      <c r="AO259" s="810"/>
      <c r="AP259" s="810"/>
      <c r="AQ259" s="810"/>
      <c r="AR259" s="810"/>
      <c r="AS259" s="810"/>
      <c r="AT259" s="810"/>
      <c r="AU259" s="810"/>
      <c r="AV259" s="810"/>
      <c r="AW259" s="810"/>
      <c r="AX259" s="810"/>
      <c r="AY259" s="810"/>
      <c r="AZ259" s="810"/>
      <c r="BA259" s="810"/>
      <c r="BB259" s="810"/>
      <c r="BC259" s="810"/>
      <c r="BD259" s="810"/>
      <c r="BE259" s="810"/>
      <c r="BF259" s="810"/>
      <c r="BG259" s="810"/>
      <c r="BH259" s="810"/>
      <c r="BI259" s="810"/>
      <c r="BJ259" s="810"/>
      <c r="BK259" s="810"/>
      <c r="BL259" s="810"/>
      <c r="BM259" s="810"/>
      <c r="BN259" s="810"/>
      <c r="BO259" s="810"/>
    </row>
    <row r="260" spans="1:67" s="825" customFormat="1" x14ac:dyDescent="0.45">
      <c r="A260" s="819"/>
      <c r="B260" s="820"/>
      <c r="C260" s="821" t="s">
        <v>687</v>
      </c>
      <c r="D260" s="813"/>
      <c r="E260" s="813"/>
      <c r="F260" s="813"/>
      <c r="G260" s="813"/>
      <c r="H260" s="806"/>
      <c r="I260" s="806"/>
      <c r="J260" s="806"/>
      <c r="K260" s="806"/>
      <c r="L260" s="806"/>
      <c r="M260" s="806"/>
      <c r="N260" s="806"/>
      <c r="O260" s="806"/>
      <c r="P260" s="806"/>
      <c r="Q260" s="806"/>
      <c r="R260" s="806"/>
      <c r="S260" s="806"/>
      <c r="T260" s="806"/>
      <c r="U260" s="806"/>
      <c r="V260" s="806"/>
      <c r="W260" s="806"/>
      <c r="X260" s="806"/>
      <c r="Y260" s="806"/>
      <c r="Z260" s="822"/>
      <c r="AA260" s="808"/>
      <c r="AB260" s="808"/>
      <c r="AC260" s="823"/>
      <c r="AD260" s="823"/>
      <c r="AE260" s="823"/>
      <c r="AF260" s="823"/>
      <c r="AG260" s="823"/>
      <c r="AH260" s="823"/>
      <c r="AI260" s="823"/>
      <c r="AJ260" s="823"/>
      <c r="AK260" s="823"/>
      <c r="AL260" s="823"/>
      <c r="AM260" s="823"/>
      <c r="AN260" s="823"/>
      <c r="AO260" s="824"/>
      <c r="AP260" s="824"/>
      <c r="AQ260" s="824"/>
      <c r="AR260" s="824"/>
      <c r="AS260" s="824"/>
      <c r="AT260" s="824"/>
      <c r="AU260" s="824"/>
      <c r="AV260" s="824"/>
      <c r="AW260" s="824"/>
      <c r="AX260" s="824"/>
      <c r="AY260" s="824"/>
      <c r="AZ260" s="824"/>
      <c r="BA260" s="824"/>
      <c r="BB260" s="824"/>
      <c r="BC260" s="824"/>
      <c r="BD260" s="824"/>
      <c r="BE260" s="824"/>
      <c r="BF260" s="824"/>
      <c r="BG260" s="824"/>
      <c r="BH260" s="824"/>
      <c r="BI260" s="824"/>
      <c r="BJ260" s="824"/>
      <c r="BK260" s="824"/>
      <c r="BL260" s="824"/>
      <c r="BM260" s="824"/>
      <c r="BN260" s="824"/>
      <c r="BO260" s="824"/>
    </row>
    <row r="261" spans="1:67" s="811" customFormat="1" x14ac:dyDescent="0.45">
      <c r="A261" s="800"/>
      <c r="B261" s="801" t="s">
        <v>249</v>
      </c>
      <c r="C261" s="812" t="s">
        <v>1129</v>
      </c>
      <c r="D261" s="813">
        <f>D259</f>
        <v>26.05</v>
      </c>
      <c r="E261" s="813">
        <f>E259</f>
        <v>5.73</v>
      </c>
      <c r="F261" s="813">
        <f>'4.Рентген НОВИЙ'!E1251</f>
        <v>3.1799999999999997</v>
      </c>
      <c r="G261" s="813">
        <f>G259</f>
        <v>48.15</v>
      </c>
      <c r="H261" s="806">
        <f>SUM(D261:G261)</f>
        <v>83.11</v>
      </c>
      <c r="I261" s="813">
        <f>I259</f>
        <v>3.05</v>
      </c>
      <c r="J261" s="813">
        <f>J259</f>
        <v>0</v>
      </c>
      <c r="K261" s="813">
        <f>K259</f>
        <v>0</v>
      </c>
      <c r="L261" s="813">
        <f>L259</f>
        <v>0.4</v>
      </c>
      <c r="M261" s="806">
        <f>SUM(I261:L261)</f>
        <v>3.4499999999999997</v>
      </c>
      <c r="N261" s="806">
        <f>H261+M261</f>
        <v>86.56</v>
      </c>
      <c r="O261" s="813"/>
      <c r="P261" s="806">
        <f t="shared" si="21"/>
        <v>87</v>
      </c>
      <c r="Q261" s="806">
        <f>'4.Рентген НОВИЙ'!E1237</f>
        <v>87</v>
      </c>
      <c r="R261" s="806">
        <f>P261-Q261</f>
        <v>0</v>
      </c>
      <c r="S261" s="806"/>
      <c r="T261" s="806"/>
      <c r="U261" s="806"/>
      <c r="V261" s="806"/>
      <c r="W261" s="806"/>
      <c r="X261" s="806"/>
      <c r="Y261" s="806"/>
      <c r="Z261" s="807"/>
      <c r="AA261" s="808"/>
      <c r="AB261" s="808"/>
      <c r="AC261" s="809"/>
      <c r="AD261" s="809"/>
      <c r="AE261" s="809"/>
      <c r="AF261" s="809"/>
      <c r="AG261" s="809"/>
      <c r="AH261" s="809"/>
      <c r="AI261" s="809"/>
      <c r="AJ261" s="809"/>
      <c r="AK261" s="809"/>
      <c r="AL261" s="809"/>
      <c r="AM261" s="809"/>
      <c r="AN261" s="809"/>
      <c r="AO261" s="810"/>
      <c r="AP261" s="810"/>
      <c r="AQ261" s="810"/>
      <c r="AR261" s="810"/>
      <c r="AS261" s="810"/>
      <c r="AT261" s="810"/>
      <c r="AU261" s="810"/>
      <c r="AV261" s="810"/>
      <c r="AW261" s="810"/>
      <c r="AX261" s="810"/>
      <c r="AY261" s="810"/>
      <c r="AZ261" s="810"/>
      <c r="BA261" s="810"/>
      <c r="BB261" s="810"/>
      <c r="BC261" s="810"/>
      <c r="BD261" s="810"/>
      <c r="BE261" s="810"/>
      <c r="BF261" s="810"/>
      <c r="BG261" s="810"/>
      <c r="BH261" s="810"/>
      <c r="BI261" s="810"/>
      <c r="BJ261" s="810"/>
      <c r="BK261" s="810"/>
      <c r="BL261" s="810"/>
      <c r="BM261" s="810"/>
      <c r="BN261" s="810"/>
      <c r="BO261" s="810"/>
    </row>
    <row r="262" spans="1:67" s="811" customFormat="1" x14ac:dyDescent="0.45">
      <c r="A262" s="800"/>
      <c r="B262" s="801" t="s">
        <v>267</v>
      </c>
      <c r="C262" s="812" t="s">
        <v>290</v>
      </c>
      <c r="D262" s="813">
        <f t="shared" ref="D262:E265" si="33">D261</f>
        <v>26.05</v>
      </c>
      <c r="E262" s="813">
        <f t="shared" si="33"/>
        <v>5.73</v>
      </c>
      <c r="F262" s="813">
        <f>'4.Рентген НОВИЙ'!E1302</f>
        <v>31.1</v>
      </c>
      <c r="G262" s="813">
        <f>G261</f>
        <v>48.15</v>
      </c>
      <c r="H262" s="806">
        <f>SUM(D262:G262)</f>
        <v>111.03</v>
      </c>
      <c r="I262" s="813">
        <f t="shared" ref="I262:L265" si="34">I261</f>
        <v>3.05</v>
      </c>
      <c r="J262" s="813">
        <f t="shared" si="34"/>
        <v>0</v>
      </c>
      <c r="K262" s="813">
        <f t="shared" si="34"/>
        <v>0</v>
      </c>
      <c r="L262" s="813">
        <f t="shared" si="34"/>
        <v>0.4</v>
      </c>
      <c r="M262" s="806">
        <f>SUM(I262:L262)</f>
        <v>3.4499999999999997</v>
      </c>
      <c r="N262" s="806">
        <f>H262+M262</f>
        <v>114.48</v>
      </c>
      <c r="O262" s="813"/>
      <c r="P262" s="806">
        <f>ROUND(N262,0)</f>
        <v>114</v>
      </c>
      <c r="Q262" s="806">
        <f>'4.Рентген НОВИЙ'!E1288</f>
        <v>114</v>
      </c>
      <c r="R262" s="806">
        <f>P262-Q262</f>
        <v>0</v>
      </c>
      <c r="S262" s="806"/>
      <c r="T262" s="806"/>
      <c r="U262" s="806"/>
      <c r="V262" s="806"/>
      <c r="W262" s="806"/>
      <c r="X262" s="806"/>
      <c r="Y262" s="806"/>
      <c r="Z262" s="807"/>
      <c r="AA262" s="808"/>
      <c r="AB262" s="808"/>
      <c r="AC262" s="809"/>
      <c r="AD262" s="809"/>
      <c r="AE262" s="809"/>
      <c r="AF262" s="809"/>
      <c r="AG262" s="809"/>
      <c r="AH262" s="809"/>
      <c r="AI262" s="809"/>
      <c r="AJ262" s="809"/>
      <c r="AK262" s="809"/>
      <c r="AL262" s="809"/>
      <c r="AM262" s="809"/>
      <c r="AN262" s="809"/>
      <c r="AO262" s="810"/>
      <c r="AP262" s="810"/>
      <c r="AQ262" s="810"/>
      <c r="AR262" s="810"/>
      <c r="AS262" s="810"/>
      <c r="AT262" s="810"/>
      <c r="AU262" s="810"/>
      <c r="AV262" s="810"/>
      <c r="AW262" s="810"/>
      <c r="AX262" s="810"/>
      <c r="AY262" s="810"/>
      <c r="AZ262" s="810"/>
      <c r="BA262" s="810"/>
      <c r="BB262" s="810"/>
      <c r="BC262" s="810"/>
      <c r="BD262" s="810"/>
      <c r="BE262" s="810"/>
      <c r="BF262" s="810"/>
      <c r="BG262" s="810"/>
      <c r="BH262" s="810"/>
      <c r="BI262" s="810"/>
      <c r="BJ262" s="810"/>
      <c r="BK262" s="810"/>
      <c r="BL262" s="810"/>
      <c r="BM262" s="810"/>
      <c r="BN262" s="810"/>
      <c r="BO262" s="810"/>
    </row>
    <row r="263" spans="1:67" s="811" customFormat="1" x14ac:dyDescent="0.45">
      <c r="A263" s="800"/>
      <c r="B263" s="801" t="s">
        <v>268</v>
      </c>
      <c r="C263" s="812" t="s">
        <v>236</v>
      </c>
      <c r="D263" s="813">
        <f t="shared" si="33"/>
        <v>26.05</v>
      </c>
      <c r="E263" s="813">
        <f t="shared" si="33"/>
        <v>5.73</v>
      </c>
      <c r="F263" s="813">
        <f>'4.Рентген НОВИЙ'!E1353</f>
        <v>18.720000000000002</v>
      </c>
      <c r="G263" s="813">
        <f>G262</f>
        <v>48.15</v>
      </c>
      <c r="H263" s="806">
        <f>SUM(D263:G263)</f>
        <v>98.65</v>
      </c>
      <c r="I263" s="813">
        <f t="shared" si="34"/>
        <v>3.05</v>
      </c>
      <c r="J263" s="813">
        <f t="shared" si="34"/>
        <v>0</v>
      </c>
      <c r="K263" s="813">
        <f t="shared" si="34"/>
        <v>0</v>
      </c>
      <c r="L263" s="813">
        <f t="shared" si="34"/>
        <v>0.4</v>
      </c>
      <c r="M263" s="806">
        <f>SUM(I263:L263)</f>
        <v>3.4499999999999997</v>
      </c>
      <c r="N263" s="806">
        <f>H263+M263</f>
        <v>102.10000000000001</v>
      </c>
      <c r="O263" s="813"/>
      <c r="P263" s="806">
        <f>ROUND(N263,0)</f>
        <v>102</v>
      </c>
      <c r="Q263" s="806">
        <f>'4.Рентген НОВИЙ'!E1339</f>
        <v>102</v>
      </c>
      <c r="R263" s="806">
        <f>P263-Q263</f>
        <v>0</v>
      </c>
      <c r="S263" s="806"/>
      <c r="T263" s="806"/>
      <c r="U263" s="806"/>
      <c r="V263" s="806"/>
      <c r="W263" s="806"/>
      <c r="X263" s="806"/>
      <c r="Y263" s="806"/>
      <c r="Z263" s="807"/>
      <c r="AA263" s="808"/>
      <c r="AB263" s="808"/>
      <c r="AC263" s="809"/>
      <c r="AD263" s="809"/>
      <c r="AE263" s="809"/>
      <c r="AF263" s="809"/>
      <c r="AG263" s="809"/>
      <c r="AH263" s="809"/>
      <c r="AI263" s="809"/>
      <c r="AJ263" s="809"/>
      <c r="AK263" s="809"/>
      <c r="AL263" s="809"/>
      <c r="AM263" s="809"/>
      <c r="AN263" s="809"/>
      <c r="AO263" s="810"/>
      <c r="AP263" s="810"/>
      <c r="AQ263" s="810"/>
      <c r="AR263" s="810"/>
      <c r="AS263" s="810"/>
      <c r="AT263" s="810"/>
      <c r="AU263" s="810"/>
      <c r="AV263" s="810"/>
      <c r="AW263" s="810"/>
      <c r="AX263" s="810"/>
      <c r="AY263" s="810"/>
      <c r="AZ263" s="810"/>
      <c r="BA263" s="810"/>
      <c r="BB263" s="810"/>
      <c r="BC263" s="810"/>
      <c r="BD263" s="810"/>
      <c r="BE263" s="810"/>
      <c r="BF263" s="810"/>
      <c r="BG263" s="810"/>
      <c r="BH263" s="810"/>
      <c r="BI263" s="810"/>
      <c r="BJ263" s="810"/>
      <c r="BK263" s="810"/>
      <c r="BL263" s="810"/>
      <c r="BM263" s="810"/>
      <c r="BN263" s="810"/>
      <c r="BO263" s="810"/>
    </row>
    <row r="264" spans="1:67" s="811" customFormat="1" x14ac:dyDescent="0.45">
      <c r="A264" s="800"/>
      <c r="B264" s="801" t="s">
        <v>269</v>
      </c>
      <c r="C264" s="812" t="s">
        <v>237</v>
      </c>
      <c r="D264" s="813">
        <f t="shared" si="33"/>
        <v>26.05</v>
      </c>
      <c r="E264" s="813">
        <f t="shared" si="33"/>
        <v>5.73</v>
      </c>
      <c r="F264" s="813">
        <f>'4.Рентген НОВИЙ'!E1405</f>
        <v>34.56</v>
      </c>
      <c r="G264" s="813">
        <f>G263</f>
        <v>48.15</v>
      </c>
      <c r="H264" s="806">
        <f>SUM(D264:G264)</f>
        <v>114.49000000000001</v>
      </c>
      <c r="I264" s="813">
        <f t="shared" si="34"/>
        <v>3.05</v>
      </c>
      <c r="J264" s="813">
        <f t="shared" si="34"/>
        <v>0</v>
      </c>
      <c r="K264" s="813">
        <f t="shared" si="34"/>
        <v>0</v>
      </c>
      <c r="L264" s="813">
        <f t="shared" si="34"/>
        <v>0.4</v>
      </c>
      <c r="M264" s="806">
        <f>SUM(I264:L264)</f>
        <v>3.4499999999999997</v>
      </c>
      <c r="N264" s="806">
        <f>H264+M264</f>
        <v>117.94000000000001</v>
      </c>
      <c r="O264" s="813"/>
      <c r="P264" s="806">
        <f>ROUND(N264,0)</f>
        <v>118</v>
      </c>
      <c r="Q264" s="806">
        <f>'4.Рентген НОВИЙ'!E1391</f>
        <v>118</v>
      </c>
      <c r="R264" s="806">
        <f>P264-Q264</f>
        <v>0</v>
      </c>
      <c r="S264" s="806"/>
      <c r="T264" s="806"/>
      <c r="U264" s="806"/>
      <c r="V264" s="806"/>
      <c r="W264" s="806"/>
      <c r="X264" s="806"/>
      <c r="Y264" s="806"/>
      <c r="Z264" s="807"/>
      <c r="AA264" s="808"/>
      <c r="AB264" s="808"/>
      <c r="AC264" s="809"/>
      <c r="AD264" s="809"/>
      <c r="AE264" s="809"/>
      <c r="AF264" s="809"/>
      <c r="AG264" s="809"/>
      <c r="AH264" s="809"/>
      <c r="AI264" s="809"/>
      <c r="AJ264" s="809"/>
      <c r="AK264" s="809"/>
      <c r="AL264" s="809"/>
      <c r="AM264" s="809"/>
      <c r="AN264" s="809"/>
      <c r="AO264" s="810"/>
      <c r="AP264" s="810"/>
      <c r="AQ264" s="810"/>
      <c r="AR264" s="810"/>
      <c r="AS264" s="810"/>
      <c r="AT264" s="810"/>
      <c r="AU264" s="810"/>
      <c r="AV264" s="810"/>
      <c r="AW264" s="810"/>
      <c r="AX264" s="810"/>
      <c r="AY264" s="810"/>
      <c r="AZ264" s="810"/>
      <c r="BA264" s="810"/>
      <c r="BB264" s="810"/>
      <c r="BC264" s="810"/>
      <c r="BD264" s="810"/>
      <c r="BE264" s="810"/>
      <c r="BF264" s="810"/>
      <c r="BG264" s="810"/>
      <c r="BH264" s="810"/>
      <c r="BI264" s="810"/>
      <c r="BJ264" s="810"/>
      <c r="BK264" s="810"/>
      <c r="BL264" s="810"/>
      <c r="BM264" s="810"/>
      <c r="BN264" s="810"/>
      <c r="BO264" s="810"/>
    </row>
    <row r="265" spans="1:67" s="811" customFormat="1" x14ac:dyDescent="0.45">
      <c r="A265" s="800"/>
      <c r="B265" s="801" t="s">
        <v>271</v>
      </c>
      <c r="C265" s="812" t="s">
        <v>1128</v>
      </c>
      <c r="D265" s="813">
        <f t="shared" si="33"/>
        <v>26.05</v>
      </c>
      <c r="E265" s="813">
        <f t="shared" si="33"/>
        <v>5.73</v>
      </c>
      <c r="F265" s="813">
        <f>'4.Рентген НОВИЙ'!E1456</f>
        <v>2.88</v>
      </c>
      <c r="G265" s="813">
        <f>G264</f>
        <v>48.15</v>
      </c>
      <c r="H265" s="806">
        <f>SUM(D265:G265)</f>
        <v>82.81</v>
      </c>
      <c r="I265" s="813">
        <f t="shared" si="34"/>
        <v>3.05</v>
      </c>
      <c r="J265" s="813">
        <f t="shared" si="34"/>
        <v>0</v>
      </c>
      <c r="K265" s="813">
        <f t="shared" si="34"/>
        <v>0</v>
      </c>
      <c r="L265" s="813">
        <f t="shared" si="34"/>
        <v>0.4</v>
      </c>
      <c r="M265" s="806">
        <f>SUM(I265:L265)</f>
        <v>3.4499999999999997</v>
      </c>
      <c r="N265" s="806">
        <f>H265+M265</f>
        <v>86.26</v>
      </c>
      <c r="O265" s="813"/>
      <c r="P265" s="806">
        <f t="shared" si="21"/>
        <v>86</v>
      </c>
      <c r="Q265" s="806">
        <f>'4.Рентген НОВИЙ'!E1442</f>
        <v>86</v>
      </c>
      <c r="R265" s="806">
        <f>P265-Q265</f>
        <v>0</v>
      </c>
      <c r="S265" s="806"/>
      <c r="T265" s="806"/>
      <c r="U265" s="806"/>
      <c r="V265" s="806"/>
      <c r="W265" s="806"/>
      <c r="X265" s="806"/>
      <c r="Y265" s="806"/>
      <c r="Z265" s="807"/>
      <c r="AA265" s="808"/>
      <c r="AB265" s="808"/>
      <c r="AC265" s="809"/>
      <c r="AD265" s="809"/>
      <c r="AE265" s="809"/>
      <c r="AF265" s="809"/>
      <c r="AG265" s="809"/>
      <c r="AH265" s="809"/>
      <c r="AI265" s="809"/>
      <c r="AJ265" s="809"/>
      <c r="AK265" s="809"/>
      <c r="AL265" s="809"/>
      <c r="AM265" s="809"/>
      <c r="AN265" s="809"/>
      <c r="AO265" s="810"/>
      <c r="AP265" s="810"/>
      <c r="AQ265" s="810"/>
      <c r="AR265" s="810"/>
      <c r="AS265" s="810"/>
      <c r="AT265" s="810"/>
      <c r="AU265" s="810"/>
      <c r="AV265" s="810"/>
      <c r="AW265" s="810"/>
      <c r="AX265" s="810"/>
      <c r="AY265" s="810"/>
      <c r="AZ265" s="810"/>
      <c r="BA265" s="810"/>
      <c r="BB265" s="810"/>
      <c r="BC265" s="810"/>
      <c r="BD265" s="810"/>
      <c r="BE265" s="810"/>
      <c r="BF265" s="810"/>
      <c r="BG265" s="810"/>
      <c r="BH265" s="810"/>
      <c r="BI265" s="810"/>
      <c r="BJ265" s="810"/>
      <c r="BK265" s="810"/>
      <c r="BL265" s="810"/>
      <c r="BM265" s="810"/>
      <c r="BN265" s="810"/>
      <c r="BO265" s="810"/>
    </row>
    <row r="266" spans="1:67" s="825" customFormat="1" x14ac:dyDescent="0.45">
      <c r="A266" s="819"/>
      <c r="B266" s="820"/>
      <c r="C266" s="821" t="s">
        <v>691</v>
      </c>
      <c r="D266" s="813"/>
      <c r="E266" s="813"/>
      <c r="F266" s="813"/>
      <c r="G266" s="813"/>
      <c r="H266" s="806"/>
      <c r="I266" s="813"/>
      <c r="J266" s="813"/>
      <c r="K266" s="813"/>
      <c r="L266" s="813"/>
      <c r="M266" s="806"/>
      <c r="N266" s="806"/>
      <c r="O266" s="806"/>
      <c r="P266" s="806"/>
      <c r="Q266" s="806"/>
      <c r="R266" s="806"/>
      <c r="S266" s="806"/>
      <c r="T266" s="806"/>
      <c r="U266" s="806"/>
      <c r="V266" s="806"/>
      <c r="W266" s="806"/>
      <c r="X266" s="806"/>
      <c r="Y266" s="806"/>
      <c r="Z266" s="822"/>
      <c r="AA266" s="808"/>
      <c r="AB266" s="808"/>
      <c r="AC266" s="823"/>
      <c r="AD266" s="823"/>
      <c r="AE266" s="823"/>
      <c r="AF266" s="823"/>
      <c r="AG266" s="823"/>
      <c r="AH266" s="823"/>
      <c r="AI266" s="823"/>
      <c r="AJ266" s="823"/>
      <c r="AK266" s="823"/>
      <c r="AL266" s="823"/>
      <c r="AM266" s="823"/>
      <c r="AN266" s="823"/>
      <c r="AO266" s="824"/>
      <c r="AP266" s="824"/>
      <c r="AQ266" s="824"/>
      <c r="AR266" s="824"/>
      <c r="AS266" s="824"/>
      <c r="AT266" s="824"/>
      <c r="AU266" s="824"/>
      <c r="AV266" s="824"/>
      <c r="AW266" s="824"/>
      <c r="AX266" s="824"/>
      <c r="AY266" s="824"/>
      <c r="AZ266" s="824"/>
      <c r="BA266" s="824"/>
      <c r="BB266" s="824"/>
      <c r="BC266" s="824"/>
      <c r="BD266" s="824"/>
      <c r="BE266" s="824"/>
      <c r="BF266" s="824"/>
      <c r="BG266" s="824"/>
      <c r="BH266" s="824"/>
      <c r="BI266" s="824"/>
      <c r="BJ266" s="824"/>
      <c r="BK266" s="824"/>
      <c r="BL266" s="824"/>
      <c r="BM266" s="824"/>
      <c r="BN266" s="824"/>
      <c r="BO266" s="824"/>
    </row>
    <row r="267" spans="1:67" s="811" customFormat="1" x14ac:dyDescent="0.45">
      <c r="A267" s="800"/>
      <c r="B267" s="801" t="s">
        <v>250</v>
      </c>
      <c r="C267" s="812" t="s">
        <v>1129</v>
      </c>
      <c r="D267" s="813">
        <f>D265</f>
        <v>26.05</v>
      </c>
      <c r="E267" s="813">
        <f>E265</f>
        <v>5.73</v>
      </c>
      <c r="F267" s="813">
        <f>'4.Рентген НОВИЙ'!E1508</f>
        <v>3.1799999999999997</v>
      </c>
      <c r="G267" s="813">
        <f>G265</f>
        <v>48.15</v>
      </c>
      <c r="H267" s="806">
        <f>SUM(D267:G267)</f>
        <v>83.11</v>
      </c>
      <c r="I267" s="813">
        <f>I265</f>
        <v>3.05</v>
      </c>
      <c r="J267" s="813">
        <f>J265</f>
        <v>0</v>
      </c>
      <c r="K267" s="813">
        <f>K265</f>
        <v>0</v>
      </c>
      <c r="L267" s="813">
        <f>L265</f>
        <v>0.4</v>
      </c>
      <c r="M267" s="806">
        <f>SUM(I267:L267)</f>
        <v>3.4499999999999997</v>
      </c>
      <c r="N267" s="806">
        <f>H267+M267</f>
        <v>86.56</v>
      </c>
      <c r="O267" s="813"/>
      <c r="P267" s="806">
        <f t="shared" si="21"/>
        <v>87</v>
      </c>
      <c r="Q267" s="806">
        <f>'4.Рентген НОВИЙ'!E1494</f>
        <v>87</v>
      </c>
      <c r="R267" s="806">
        <f>P267-Q267</f>
        <v>0</v>
      </c>
      <c r="S267" s="806"/>
      <c r="T267" s="806"/>
      <c r="U267" s="806"/>
      <c r="V267" s="806"/>
      <c r="W267" s="806"/>
      <c r="X267" s="806"/>
      <c r="Y267" s="806"/>
      <c r="Z267" s="807"/>
      <c r="AA267" s="808"/>
      <c r="AB267" s="808"/>
      <c r="AC267" s="809"/>
      <c r="AD267" s="809"/>
      <c r="AE267" s="809"/>
      <c r="AF267" s="809"/>
      <c r="AG267" s="809"/>
      <c r="AH267" s="809"/>
      <c r="AI267" s="809"/>
      <c r="AJ267" s="809"/>
      <c r="AK267" s="809"/>
      <c r="AL267" s="809"/>
      <c r="AM267" s="809"/>
      <c r="AN267" s="809"/>
      <c r="AO267" s="810"/>
      <c r="AP267" s="810"/>
      <c r="AQ267" s="810"/>
      <c r="AR267" s="810"/>
      <c r="AS267" s="810"/>
      <c r="AT267" s="810"/>
      <c r="AU267" s="810"/>
      <c r="AV267" s="810"/>
      <c r="AW267" s="810"/>
      <c r="AX267" s="810"/>
      <c r="AY267" s="810"/>
      <c r="AZ267" s="810"/>
      <c r="BA267" s="810"/>
      <c r="BB267" s="810"/>
      <c r="BC267" s="810"/>
      <c r="BD267" s="810"/>
      <c r="BE267" s="810"/>
      <c r="BF267" s="810"/>
      <c r="BG267" s="810"/>
      <c r="BH267" s="810"/>
      <c r="BI267" s="810"/>
      <c r="BJ267" s="810"/>
      <c r="BK267" s="810"/>
      <c r="BL267" s="810"/>
      <c r="BM267" s="810"/>
      <c r="BN267" s="810"/>
      <c r="BO267" s="810"/>
    </row>
    <row r="268" spans="1:67" s="811" customFormat="1" x14ac:dyDescent="0.45">
      <c r="A268" s="800"/>
      <c r="B268" s="801" t="s">
        <v>272</v>
      </c>
      <c r="C268" s="812" t="s">
        <v>290</v>
      </c>
      <c r="D268" s="813">
        <f t="shared" ref="D268:E270" si="35">D267</f>
        <v>26.05</v>
      </c>
      <c r="E268" s="813">
        <f t="shared" si="35"/>
        <v>5.73</v>
      </c>
      <c r="F268" s="813">
        <f>'4.Рентген НОВИЙ'!E1559</f>
        <v>31.1</v>
      </c>
      <c r="G268" s="813">
        <f>G267</f>
        <v>48.15</v>
      </c>
      <c r="H268" s="806">
        <f>SUM(D268:G268)</f>
        <v>111.03</v>
      </c>
      <c r="I268" s="813">
        <f t="shared" ref="I268:L270" si="36">I267</f>
        <v>3.05</v>
      </c>
      <c r="J268" s="813">
        <f t="shared" si="36"/>
        <v>0</v>
      </c>
      <c r="K268" s="813">
        <f t="shared" si="36"/>
        <v>0</v>
      </c>
      <c r="L268" s="813">
        <f t="shared" si="36"/>
        <v>0.4</v>
      </c>
      <c r="M268" s="806">
        <f>SUM(I268:L268)</f>
        <v>3.4499999999999997</v>
      </c>
      <c r="N268" s="806">
        <f>H268+M268</f>
        <v>114.48</v>
      </c>
      <c r="O268" s="813"/>
      <c r="P268" s="806">
        <f t="shared" si="21"/>
        <v>114</v>
      </c>
      <c r="Q268" s="806">
        <f>'4.Рентген НОВИЙ'!E1545</f>
        <v>114</v>
      </c>
      <c r="R268" s="806">
        <f>P268-Q268</f>
        <v>0</v>
      </c>
      <c r="S268" s="806"/>
      <c r="T268" s="806"/>
      <c r="U268" s="806"/>
      <c r="V268" s="806"/>
      <c r="W268" s="806"/>
      <c r="X268" s="806"/>
      <c r="Y268" s="806"/>
      <c r="Z268" s="807"/>
      <c r="AA268" s="808"/>
      <c r="AB268" s="808"/>
      <c r="AC268" s="809"/>
      <c r="AD268" s="809"/>
      <c r="AE268" s="809"/>
      <c r="AF268" s="809"/>
      <c r="AG268" s="809"/>
      <c r="AH268" s="809"/>
      <c r="AI268" s="809"/>
      <c r="AJ268" s="809"/>
      <c r="AK268" s="809"/>
      <c r="AL268" s="809"/>
      <c r="AM268" s="809"/>
      <c r="AN268" s="809"/>
      <c r="AO268" s="810"/>
      <c r="AP268" s="810"/>
      <c r="AQ268" s="810"/>
      <c r="AR268" s="810"/>
      <c r="AS268" s="810"/>
      <c r="AT268" s="810"/>
      <c r="AU268" s="810"/>
      <c r="AV268" s="810"/>
      <c r="AW268" s="810"/>
      <c r="AX268" s="810"/>
      <c r="AY268" s="810"/>
      <c r="AZ268" s="810"/>
      <c r="BA268" s="810"/>
      <c r="BB268" s="810"/>
      <c r="BC268" s="810"/>
      <c r="BD268" s="810"/>
      <c r="BE268" s="810"/>
      <c r="BF268" s="810"/>
      <c r="BG268" s="810"/>
      <c r="BH268" s="810"/>
      <c r="BI268" s="810"/>
      <c r="BJ268" s="810"/>
      <c r="BK268" s="810"/>
      <c r="BL268" s="810"/>
      <c r="BM268" s="810"/>
      <c r="BN268" s="810"/>
      <c r="BO268" s="810"/>
    </row>
    <row r="269" spans="1:67" s="811" customFormat="1" x14ac:dyDescent="0.45">
      <c r="A269" s="800"/>
      <c r="B269" s="801" t="s">
        <v>273</v>
      </c>
      <c r="C269" s="812" t="s">
        <v>236</v>
      </c>
      <c r="D269" s="813">
        <f t="shared" si="35"/>
        <v>26.05</v>
      </c>
      <c r="E269" s="813">
        <f t="shared" si="35"/>
        <v>5.73</v>
      </c>
      <c r="F269" s="813">
        <f>'4.Рентген НОВИЙ'!E1610</f>
        <v>18.720000000000002</v>
      </c>
      <c r="G269" s="813">
        <f>G268</f>
        <v>48.15</v>
      </c>
      <c r="H269" s="806">
        <f>SUM(D269:G269)</f>
        <v>98.65</v>
      </c>
      <c r="I269" s="813">
        <f t="shared" si="36"/>
        <v>3.05</v>
      </c>
      <c r="J269" s="813">
        <f t="shared" si="36"/>
        <v>0</v>
      </c>
      <c r="K269" s="813">
        <f t="shared" si="36"/>
        <v>0</v>
      </c>
      <c r="L269" s="813">
        <f t="shared" si="36"/>
        <v>0.4</v>
      </c>
      <c r="M269" s="806">
        <f>SUM(I269:L269)</f>
        <v>3.4499999999999997</v>
      </c>
      <c r="N269" s="806">
        <f>H269+M269</f>
        <v>102.10000000000001</v>
      </c>
      <c r="O269" s="813"/>
      <c r="P269" s="806">
        <f t="shared" si="21"/>
        <v>102</v>
      </c>
      <c r="Q269" s="806">
        <f>'4.Рентген НОВИЙ'!E1596</f>
        <v>102</v>
      </c>
      <c r="R269" s="806">
        <f>P269-Q269</f>
        <v>0</v>
      </c>
      <c r="S269" s="806"/>
      <c r="T269" s="806"/>
      <c r="U269" s="806"/>
      <c r="V269" s="806"/>
      <c r="W269" s="806"/>
      <c r="X269" s="806"/>
      <c r="Y269" s="806"/>
      <c r="Z269" s="807"/>
      <c r="AA269" s="808"/>
      <c r="AB269" s="808"/>
      <c r="AC269" s="809"/>
      <c r="AD269" s="809"/>
      <c r="AE269" s="809"/>
      <c r="AF269" s="809"/>
      <c r="AG269" s="809"/>
      <c r="AH269" s="809"/>
      <c r="AI269" s="809"/>
      <c r="AJ269" s="809"/>
      <c r="AK269" s="809"/>
      <c r="AL269" s="809"/>
      <c r="AM269" s="809"/>
      <c r="AN269" s="809"/>
      <c r="AO269" s="810"/>
      <c r="AP269" s="810"/>
      <c r="AQ269" s="810"/>
      <c r="AR269" s="810"/>
      <c r="AS269" s="810"/>
      <c r="AT269" s="810"/>
      <c r="AU269" s="810"/>
      <c r="AV269" s="810"/>
      <c r="AW269" s="810"/>
      <c r="AX269" s="810"/>
      <c r="AY269" s="810"/>
      <c r="AZ269" s="810"/>
      <c r="BA269" s="810"/>
      <c r="BB269" s="810"/>
      <c r="BC269" s="810"/>
      <c r="BD269" s="810"/>
      <c r="BE269" s="810"/>
      <c r="BF269" s="810"/>
      <c r="BG269" s="810"/>
      <c r="BH269" s="810"/>
      <c r="BI269" s="810"/>
      <c r="BJ269" s="810"/>
      <c r="BK269" s="810"/>
      <c r="BL269" s="810"/>
      <c r="BM269" s="810"/>
      <c r="BN269" s="810"/>
      <c r="BO269" s="810"/>
    </row>
    <row r="270" spans="1:67" s="811" customFormat="1" x14ac:dyDescent="0.45">
      <c r="A270" s="800"/>
      <c r="B270" s="801" t="s">
        <v>274</v>
      </c>
      <c r="C270" s="812" t="s">
        <v>1128</v>
      </c>
      <c r="D270" s="813">
        <f t="shared" si="35"/>
        <v>26.05</v>
      </c>
      <c r="E270" s="813">
        <f t="shared" si="35"/>
        <v>5.73</v>
      </c>
      <c r="F270" s="813">
        <f>'4.Рентген НОВИЙ'!E1661</f>
        <v>2.88</v>
      </c>
      <c r="G270" s="813">
        <f>G269</f>
        <v>48.15</v>
      </c>
      <c r="H270" s="806">
        <f>SUM(D270:G270)</f>
        <v>82.81</v>
      </c>
      <c r="I270" s="813">
        <f t="shared" si="36"/>
        <v>3.05</v>
      </c>
      <c r="J270" s="813">
        <f t="shared" si="36"/>
        <v>0</v>
      </c>
      <c r="K270" s="813">
        <f t="shared" si="36"/>
        <v>0</v>
      </c>
      <c r="L270" s="813">
        <f t="shared" si="36"/>
        <v>0.4</v>
      </c>
      <c r="M270" s="806">
        <f>SUM(I270:L270)</f>
        <v>3.4499999999999997</v>
      </c>
      <c r="N270" s="806">
        <f>H270+M270</f>
        <v>86.26</v>
      </c>
      <c r="O270" s="813"/>
      <c r="P270" s="806">
        <f t="shared" si="21"/>
        <v>86</v>
      </c>
      <c r="Q270" s="806">
        <f>'4.Рентген НОВИЙ'!E1647</f>
        <v>86</v>
      </c>
      <c r="R270" s="806">
        <f>P270-Q270</f>
        <v>0</v>
      </c>
      <c r="S270" s="806"/>
      <c r="T270" s="806"/>
      <c r="U270" s="806"/>
      <c r="V270" s="806"/>
      <c r="W270" s="806"/>
      <c r="X270" s="806"/>
      <c r="Y270" s="806"/>
      <c r="Z270" s="807"/>
      <c r="AA270" s="808"/>
      <c r="AB270" s="808"/>
      <c r="AC270" s="809"/>
      <c r="AD270" s="809"/>
      <c r="AE270" s="809"/>
      <c r="AF270" s="809"/>
      <c r="AG270" s="809"/>
      <c r="AH270" s="809"/>
      <c r="AI270" s="809"/>
      <c r="AJ270" s="809"/>
      <c r="AK270" s="809"/>
      <c r="AL270" s="809"/>
      <c r="AM270" s="809"/>
      <c r="AN270" s="809"/>
      <c r="AO270" s="810"/>
      <c r="AP270" s="810"/>
      <c r="AQ270" s="810"/>
      <c r="AR270" s="810"/>
      <c r="AS270" s="810"/>
      <c r="AT270" s="810"/>
      <c r="AU270" s="810"/>
      <c r="AV270" s="810"/>
      <c r="AW270" s="810"/>
      <c r="AX270" s="810"/>
      <c r="AY270" s="810"/>
      <c r="AZ270" s="810"/>
      <c r="BA270" s="810"/>
      <c r="BB270" s="810"/>
      <c r="BC270" s="810"/>
      <c r="BD270" s="810"/>
      <c r="BE270" s="810"/>
      <c r="BF270" s="810"/>
      <c r="BG270" s="810"/>
      <c r="BH270" s="810"/>
      <c r="BI270" s="810"/>
      <c r="BJ270" s="810"/>
      <c r="BK270" s="810"/>
      <c r="BL270" s="810"/>
      <c r="BM270" s="810"/>
      <c r="BN270" s="810"/>
      <c r="BO270" s="810"/>
    </row>
    <row r="271" spans="1:67" s="825" customFormat="1" x14ac:dyDescent="0.45">
      <c r="A271" s="819"/>
      <c r="B271" s="820"/>
      <c r="C271" s="855" t="s">
        <v>695</v>
      </c>
      <c r="D271" s="813"/>
      <c r="E271" s="813"/>
      <c r="F271" s="813"/>
      <c r="G271" s="813"/>
      <c r="H271" s="806"/>
      <c r="I271" s="813"/>
      <c r="J271" s="813"/>
      <c r="K271" s="813"/>
      <c r="L271" s="813"/>
      <c r="M271" s="806"/>
      <c r="N271" s="806"/>
      <c r="O271" s="806"/>
      <c r="P271" s="806"/>
      <c r="Q271" s="806"/>
      <c r="R271" s="806"/>
      <c r="S271" s="806"/>
      <c r="T271" s="806"/>
      <c r="U271" s="806"/>
      <c r="V271" s="806"/>
      <c r="W271" s="806"/>
      <c r="X271" s="806"/>
      <c r="Y271" s="806"/>
      <c r="Z271" s="822"/>
      <c r="AA271" s="808"/>
      <c r="AB271" s="808"/>
      <c r="AC271" s="823"/>
      <c r="AD271" s="823"/>
      <c r="AE271" s="823"/>
      <c r="AF271" s="823"/>
      <c r="AG271" s="823"/>
      <c r="AH271" s="823"/>
      <c r="AI271" s="823"/>
      <c r="AJ271" s="823"/>
      <c r="AK271" s="823"/>
      <c r="AL271" s="823"/>
      <c r="AM271" s="823"/>
      <c r="AN271" s="823"/>
      <c r="AO271" s="824"/>
      <c r="AP271" s="824"/>
      <c r="AQ271" s="824"/>
      <c r="AR271" s="824"/>
      <c r="AS271" s="824"/>
      <c r="AT271" s="824"/>
      <c r="AU271" s="824"/>
      <c r="AV271" s="824"/>
      <c r="AW271" s="824"/>
      <c r="AX271" s="824"/>
      <c r="AY271" s="824"/>
      <c r="AZ271" s="824"/>
      <c r="BA271" s="824"/>
      <c r="BB271" s="824"/>
      <c r="BC271" s="824"/>
      <c r="BD271" s="824"/>
      <c r="BE271" s="824"/>
      <c r="BF271" s="824"/>
      <c r="BG271" s="824"/>
      <c r="BH271" s="824"/>
      <c r="BI271" s="824"/>
      <c r="BJ271" s="824"/>
      <c r="BK271" s="824"/>
      <c r="BL271" s="824"/>
      <c r="BM271" s="824"/>
      <c r="BN271" s="824"/>
      <c r="BO271" s="824"/>
    </row>
    <row r="272" spans="1:67" s="811" customFormat="1" x14ac:dyDescent="0.45">
      <c r="A272" s="800"/>
      <c r="B272" s="801" t="s">
        <v>275</v>
      </c>
      <c r="C272" s="812" t="s">
        <v>1129</v>
      </c>
      <c r="D272" s="813">
        <f>D270</f>
        <v>26.05</v>
      </c>
      <c r="E272" s="813">
        <f>E270</f>
        <v>5.73</v>
      </c>
      <c r="F272" s="813">
        <f>'4.Рентген НОВИЙ'!E1713</f>
        <v>3.1799999999999997</v>
      </c>
      <c r="G272" s="813">
        <f>G270</f>
        <v>48.15</v>
      </c>
      <c r="H272" s="806">
        <f>SUM(D272:G272)</f>
        <v>83.11</v>
      </c>
      <c r="I272" s="813">
        <f>I270</f>
        <v>3.05</v>
      </c>
      <c r="J272" s="813">
        <f>J270</f>
        <v>0</v>
      </c>
      <c r="K272" s="813">
        <f>K270</f>
        <v>0</v>
      </c>
      <c r="L272" s="813">
        <f>L270</f>
        <v>0.4</v>
      </c>
      <c r="M272" s="806">
        <f>SUM(I272:L272)</f>
        <v>3.4499999999999997</v>
      </c>
      <c r="N272" s="806">
        <f>H272+M272</f>
        <v>86.56</v>
      </c>
      <c r="O272" s="813"/>
      <c r="P272" s="806">
        <f t="shared" si="21"/>
        <v>87</v>
      </c>
      <c r="Q272" s="806">
        <f>'4.Рентген НОВИЙ'!E1699</f>
        <v>87</v>
      </c>
      <c r="R272" s="806">
        <f>P272-Q272</f>
        <v>0</v>
      </c>
      <c r="S272" s="806"/>
      <c r="T272" s="806"/>
      <c r="U272" s="806"/>
      <c r="V272" s="806"/>
      <c r="W272" s="806"/>
      <c r="X272" s="806"/>
      <c r="Y272" s="806"/>
      <c r="Z272" s="807"/>
      <c r="AA272" s="808"/>
      <c r="AB272" s="808"/>
      <c r="AC272" s="809"/>
      <c r="AD272" s="809"/>
      <c r="AE272" s="809"/>
      <c r="AF272" s="809"/>
      <c r="AG272" s="809"/>
      <c r="AH272" s="809"/>
      <c r="AI272" s="809"/>
      <c r="AJ272" s="809"/>
      <c r="AK272" s="809"/>
      <c r="AL272" s="809"/>
      <c r="AM272" s="809"/>
      <c r="AN272" s="809"/>
      <c r="AO272" s="810"/>
      <c r="AP272" s="810"/>
      <c r="AQ272" s="810"/>
      <c r="AR272" s="810"/>
      <c r="AS272" s="810"/>
      <c r="AT272" s="810"/>
      <c r="AU272" s="810"/>
      <c r="AV272" s="810"/>
      <c r="AW272" s="810"/>
      <c r="AX272" s="810"/>
      <c r="AY272" s="810"/>
      <c r="AZ272" s="810"/>
      <c r="BA272" s="810"/>
      <c r="BB272" s="810"/>
      <c r="BC272" s="810"/>
      <c r="BD272" s="810"/>
      <c r="BE272" s="810"/>
      <c r="BF272" s="810"/>
      <c r="BG272" s="810"/>
      <c r="BH272" s="810"/>
      <c r="BI272" s="810"/>
      <c r="BJ272" s="810"/>
      <c r="BK272" s="810"/>
      <c r="BL272" s="810"/>
      <c r="BM272" s="810"/>
      <c r="BN272" s="810"/>
      <c r="BO272" s="810"/>
    </row>
    <row r="273" spans="1:67" s="811" customFormat="1" x14ac:dyDescent="0.45">
      <c r="A273" s="800"/>
      <c r="B273" s="801" t="s">
        <v>276</v>
      </c>
      <c r="C273" s="812" t="s">
        <v>290</v>
      </c>
      <c r="D273" s="813">
        <f>D272</f>
        <v>26.05</v>
      </c>
      <c r="E273" s="813">
        <f>E272</f>
        <v>5.73</v>
      </c>
      <c r="F273" s="813">
        <f>'4.Рентген НОВИЙ'!E1764</f>
        <v>31.1</v>
      </c>
      <c r="G273" s="813">
        <f>G272</f>
        <v>48.15</v>
      </c>
      <c r="H273" s="806">
        <f>SUM(D273:G273)</f>
        <v>111.03</v>
      </c>
      <c r="I273" s="813">
        <f t="shared" ref="I273:L274" si="37">I272</f>
        <v>3.05</v>
      </c>
      <c r="J273" s="813">
        <f t="shared" si="37"/>
        <v>0</v>
      </c>
      <c r="K273" s="813">
        <f t="shared" si="37"/>
        <v>0</v>
      </c>
      <c r="L273" s="813">
        <f t="shared" si="37"/>
        <v>0.4</v>
      </c>
      <c r="M273" s="806">
        <f>SUM(I273:L273)</f>
        <v>3.4499999999999997</v>
      </c>
      <c r="N273" s="806">
        <f>H273+M273</f>
        <v>114.48</v>
      </c>
      <c r="O273" s="813"/>
      <c r="P273" s="806">
        <f>ROUND(N273,0)</f>
        <v>114</v>
      </c>
      <c r="Q273" s="806">
        <f>'4.Рентген НОВИЙ'!E1750</f>
        <v>114</v>
      </c>
      <c r="R273" s="806">
        <f>P273-Q273</f>
        <v>0</v>
      </c>
      <c r="S273" s="806"/>
      <c r="T273" s="806"/>
      <c r="U273" s="806"/>
      <c r="V273" s="806"/>
      <c r="W273" s="806"/>
      <c r="X273" s="806"/>
      <c r="Y273" s="806"/>
      <c r="Z273" s="807"/>
      <c r="AA273" s="808"/>
      <c r="AB273" s="808"/>
      <c r="AC273" s="809"/>
      <c r="AD273" s="809"/>
      <c r="AE273" s="809"/>
      <c r="AF273" s="809"/>
      <c r="AG273" s="809"/>
      <c r="AH273" s="809"/>
      <c r="AI273" s="809"/>
      <c r="AJ273" s="809"/>
      <c r="AK273" s="809"/>
      <c r="AL273" s="809"/>
      <c r="AM273" s="809"/>
      <c r="AN273" s="809"/>
      <c r="AO273" s="810"/>
      <c r="AP273" s="810"/>
      <c r="AQ273" s="810"/>
      <c r="AR273" s="810"/>
      <c r="AS273" s="810"/>
      <c r="AT273" s="810"/>
      <c r="AU273" s="810"/>
      <c r="AV273" s="810"/>
      <c r="AW273" s="810"/>
      <c r="AX273" s="810"/>
      <c r="AY273" s="810"/>
      <c r="AZ273" s="810"/>
      <c r="BA273" s="810"/>
      <c r="BB273" s="810"/>
      <c r="BC273" s="810"/>
      <c r="BD273" s="810"/>
      <c r="BE273" s="810"/>
      <c r="BF273" s="810"/>
      <c r="BG273" s="810"/>
      <c r="BH273" s="810"/>
      <c r="BI273" s="810"/>
      <c r="BJ273" s="810"/>
      <c r="BK273" s="810"/>
      <c r="BL273" s="810"/>
      <c r="BM273" s="810"/>
      <c r="BN273" s="810"/>
      <c r="BO273" s="810"/>
    </row>
    <row r="274" spans="1:67" s="811" customFormat="1" x14ac:dyDescent="0.45">
      <c r="A274" s="800"/>
      <c r="B274" s="801" t="s">
        <v>277</v>
      </c>
      <c r="C274" s="812" t="s">
        <v>1128</v>
      </c>
      <c r="D274" s="813">
        <f>D273</f>
        <v>26.05</v>
      </c>
      <c r="E274" s="813">
        <f>E273</f>
        <v>5.73</v>
      </c>
      <c r="F274" s="813">
        <f>'4.Рентген НОВИЙ'!E1815</f>
        <v>2.88</v>
      </c>
      <c r="G274" s="813">
        <f>G273</f>
        <v>48.15</v>
      </c>
      <c r="H274" s="806">
        <f>SUM(D274:G274)</f>
        <v>82.81</v>
      </c>
      <c r="I274" s="813">
        <f t="shared" si="37"/>
        <v>3.05</v>
      </c>
      <c r="J274" s="813">
        <f t="shared" si="37"/>
        <v>0</v>
      </c>
      <c r="K274" s="813">
        <f t="shared" si="37"/>
        <v>0</v>
      </c>
      <c r="L274" s="813">
        <f t="shared" si="37"/>
        <v>0.4</v>
      </c>
      <c r="M274" s="806">
        <f>SUM(I274:L274)</f>
        <v>3.4499999999999997</v>
      </c>
      <c r="N274" s="806">
        <f>H274+M274</f>
        <v>86.26</v>
      </c>
      <c r="O274" s="813"/>
      <c r="P274" s="806">
        <f t="shared" si="21"/>
        <v>86</v>
      </c>
      <c r="Q274" s="806">
        <f>'4.Рентген НОВИЙ'!E1801</f>
        <v>86</v>
      </c>
      <c r="R274" s="806">
        <f>P274-Q274</f>
        <v>0</v>
      </c>
      <c r="S274" s="806"/>
      <c r="T274" s="806"/>
      <c r="U274" s="806"/>
      <c r="V274" s="806"/>
      <c r="W274" s="806"/>
      <c r="X274" s="806"/>
      <c r="Y274" s="806"/>
      <c r="Z274" s="807"/>
      <c r="AA274" s="808"/>
      <c r="AB274" s="808"/>
      <c r="AC274" s="809"/>
      <c r="AD274" s="809"/>
      <c r="AE274" s="809"/>
      <c r="AF274" s="809"/>
      <c r="AG274" s="809"/>
      <c r="AH274" s="809"/>
      <c r="AI274" s="809"/>
      <c r="AJ274" s="809"/>
      <c r="AK274" s="809"/>
      <c r="AL274" s="809"/>
      <c r="AM274" s="809"/>
      <c r="AN274" s="809"/>
      <c r="AO274" s="810"/>
      <c r="AP274" s="810"/>
      <c r="AQ274" s="810"/>
      <c r="AR274" s="810"/>
      <c r="AS274" s="810"/>
      <c r="AT274" s="810"/>
      <c r="AU274" s="810"/>
      <c r="AV274" s="810"/>
      <c r="AW274" s="810"/>
      <c r="AX274" s="810"/>
      <c r="AY274" s="810"/>
      <c r="AZ274" s="810"/>
      <c r="BA274" s="810"/>
      <c r="BB274" s="810"/>
      <c r="BC274" s="810"/>
      <c r="BD274" s="810"/>
      <c r="BE274" s="810"/>
      <c r="BF274" s="810"/>
      <c r="BG274" s="810"/>
      <c r="BH274" s="810"/>
      <c r="BI274" s="810"/>
      <c r="BJ274" s="810"/>
      <c r="BK274" s="810"/>
      <c r="BL274" s="810"/>
      <c r="BM274" s="810"/>
      <c r="BN274" s="810"/>
      <c r="BO274" s="810"/>
    </row>
    <row r="275" spans="1:67" s="825" customFormat="1" x14ac:dyDescent="0.45">
      <c r="A275" s="819"/>
      <c r="B275" s="820"/>
      <c r="C275" s="855" t="s">
        <v>697</v>
      </c>
      <c r="D275" s="813"/>
      <c r="E275" s="813"/>
      <c r="F275" s="813"/>
      <c r="G275" s="813"/>
      <c r="H275" s="806"/>
      <c r="I275" s="813"/>
      <c r="J275" s="813"/>
      <c r="K275" s="813"/>
      <c r="L275" s="813"/>
      <c r="M275" s="806"/>
      <c r="N275" s="806"/>
      <c r="O275" s="806"/>
      <c r="P275" s="806"/>
      <c r="Q275" s="806"/>
      <c r="R275" s="806"/>
      <c r="S275" s="806"/>
      <c r="T275" s="806"/>
      <c r="U275" s="806"/>
      <c r="V275" s="806"/>
      <c r="W275" s="806"/>
      <c r="X275" s="806"/>
      <c r="Y275" s="806"/>
      <c r="Z275" s="822"/>
      <c r="AA275" s="808"/>
      <c r="AB275" s="808"/>
      <c r="AC275" s="823"/>
      <c r="AD275" s="823"/>
      <c r="AE275" s="823"/>
      <c r="AF275" s="823"/>
      <c r="AG275" s="823"/>
      <c r="AH275" s="823"/>
      <c r="AI275" s="823"/>
      <c r="AJ275" s="823"/>
      <c r="AK275" s="823"/>
      <c r="AL275" s="823"/>
      <c r="AM275" s="823"/>
      <c r="AN275" s="823"/>
      <c r="AO275" s="824"/>
      <c r="AP275" s="824"/>
      <c r="AQ275" s="824"/>
      <c r="AR275" s="824"/>
      <c r="AS275" s="824"/>
      <c r="AT275" s="824"/>
      <c r="AU275" s="824"/>
      <c r="AV275" s="824"/>
      <c r="AW275" s="824"/>
      <c r="AX275" s="824"/>
      <c r="AY275" s="824"/>
      <c r="AZ275" s="824"/>
      <c r="BA275" s="824"/>
      <c r="BB275" s="824"/>
      <c r="BC275" s="824"/>
      <c r="BD275" s="824"/>
      <c r="BE275" s="824"/>
      <c r="BF275" s="824"/>
      <c r="BG275" s="824"/>
      <c r="BH275" s="824"/>
      <c r="BI275" s="824"/>
      <c r="BJ275" s="824"/>
      <c r="BK275" s="824"/>
      <c r="BL275" s="824"/>
      <c r="BM275" s="824"/>
      <c r="BN275" s="824"/>
      <c r="BO275" s="824"/>
    </row>
    <row r="276" spans="1:67" s="811" customFormat="1" x14ac:dyDescent="0.45">
      <c r="A276" s="800"/>
      <c r="B276" s="801" t="s">
        <v>278</v>
      </c>
      <c r="C276" s="812" t="s">
        <v>1129</v>
      </c>
      <c r="D276" s="813">
        <f>D274</f>
        <v>26.05</v>
      </c>
      <c r="E276" s="813">
        <f>E274</f>
        <v>5.73</v>
      </c>
      <c r="F276" s="813">
        <f>'4.Рентген НОВИЙ'!E1867</f>
        <v>3.1799999999999997</v>
      </c>
      <c r="G276" s="813">
        <f>G274</f>
        <v>48.15</v>
      </c>
      <c r="H276" s="806">
        <f>SUM(D276:G276)</f>
        <v>83.11</v>
      </c>
      <c r="I276" s="813">
        <f>I274</f>
        <v>3.05</v>
      </c>
      <c r="J276" s="813">
        <f>J274</f>
        <v>0</v>
      </c>
      <c r="K276" s="813">
        <f>K274</f>
        <v>0</v>
      </c>
      <c r="L276" s="813">
        <f>L274</f>
        <v>0.4</v>
      </c>
      <c r="M276" s="806">
        <f>SUM(I276:L276)</f>
        <v>3.4499999999999997</v>
      </c>
      <c r="N276" s="806">
        <f>H276+M276</f>
        <v>86.56</v>
      </c>
      <c r="O276" s="813"/>
      <c r="P276" s="806">
        <f t="shared" si="21"/>
        <v>87</v>
      </c>
      <c r="Q276" s="806">
        <f>'4.Рентген НОВИЙ'!E1853</f>
        <v>87</v>
      </c>
      <c r="R276" s="806">
        <f>P276-Q276</f>
        <v>0</v>
      </c>
      <c r="S276" s="806"/>
      <c r="T276" s="806"/>
      <c r="U276" s="806"/>
      <c r="V276" s="806"/>
      <c r="W276" s="806"/>
      <c r="X276" s="806"/>
      <c r="Y276" s="806"/>
      <c r="Z276" s="807"/>
      <c r="AA276" s="808"/>
      <c r="AB276" s="808"/>
      <c r="AC276" s="809"/>
      <c r="AD276" s="809"/>
      <c r="AE276" s="809"/>
      <c r="AF276" s="809"/>
      <c r="AG276" s="809"/>
      <c r="AH276" s="809"/>
      <c r="AI276" s="809"/>
      <c r="AJ276" s="809"/>
      <c r="AK276" s="809"/>
      <c r="AL276" s="809"/>
      <c r="AM276" s="809"/>
      <c r="AN276" s="809"/>
      <c r="AO276" s="810"/>
      <c r="AP276" s="810"/>
      <c r="AQ276" s="810"/>
      <c r="AR276" s="810"/>
      <c r="AS276" s="810"/>
      <c r="AT276" s="810"/>
      <c r="AU276" s="810"/>
      <c r="AV276" s="810"/>
      <c r="AW276" s="810"/>
      <c r="AX276" s="810"/>
      <c r="AY276" s="810"/>
      <c r="AZ276" s="810"/>
      <c r="BA276" s="810"/>
      <c r="BB276" s="810"/>
      <c r="BC276" s="810"/>
      <c r="BD276" s="810"/>
      <c r="BE276" s="810"/>
      <c r="BF276" s="810"/>
      <c r="BG276" s="810"/>
      <c r="BH276" s="810"/>
      <c r="BI276" s="810"/>
      <c r="BJ276" s="810"/>
      <c r="BK276" s="810"/>
      <c r="BL276" s="810"/>
      <c r="BM276" s="810"/>
      <c r="BN276" s="810"/>
      <c r="BO276" s="810"/>
    </row>
    <row r="277" spans="1:67" s="811" customFormat="1" x14ac:dyDescent="0.45">
      <c r="A277" s="800"/>
      <c r="B277" s="801" t="s">
        <v>279</v>
      </c>
      <c r="C277" s="812" t="s">
        <v>290</v>
      </c>
      <c r="D277" s="813">
        <f>D276</f>
        <v>26.05</v>
      </c>
      <c r="E277" s="813">
        <f>E276</f>
        <v>5.73</v>
      </c>
      <c r="F277" s="813">
        <f>'4.Рентген НОВИЙ'!E1919</f>
        <v>31.1</v>
      </c>
      <c r="G277" s="813">
        <f>G276</f>
        <v>48.15</v>
      </c>
      <c r="H277" s="806">
        <f>SUM(D277:G277)</f>
        <v>111.03</v>
      </c>
      <c r="I277" s="813">
        <f t="shared" ref="I277:L278" si="38">I276</f>
        <v>3.05</v>
      </c>
      <c r="J277" s="813">
        <f t="shared" si="38"/>
        <v>0</v>
      </c>
      <c r="K277" s="813">
        <f t="shared" si="38"/>
        <v>0</v>
      </c>
      <c r="L277" s="813">
        <f t="shared" si="38"/>
        <v>0.4</v>
      </c>
      <c r="M277" s="806">
        <f>SUM(I277:L277)</f>
        <v>3.4499999999999997</v>
      </c>
      <c r="N277" s="806">
        <f>H277+M277</f>
        <v>114.48</v>
      </c>
      <c r="O277" s="813"/>
      <c r="P277" s="806">
        <f t="shared" si="21"/>
        <v>114</v>
      </c>
      <c r="Q277" s="806">
        <f>'4.Рентген НОВИЙ'!E1905</f>
        <v>114</v>
      </c>
      <c r="R277" s="806">
        <f>P277-Q277</f>
        <v>0</v>
      </c>
      <c r="S277" s="806"/>
      <c r="T277" s="806"/>
      <c r="U277" s="806"/>
      <c r="V277" s="806"/>
      <c r="W277" s="806"/>
      <c r="X277" s="806"/>
      <c r="Y277" s="806"/>
      <c r="Z277" s="807"/>
      <c r="AA277" s="808"/>
      <c r="AB277" s="808"/>
      <c r="AC277" s="809"/>
      <c r="AD277" s="809"/>
      <c r="AE277" s="809"/>
      <c r="AF277" s="809"/>
      <c r="AG277" s="809"/>
      <c r="AH277" s="809"/>
      <c r="AI277" s="809"/>
      <c r="AJ277" s="809"/>
      <c r="AK277" s="809"/>
      <c r="AL277" s="809"/>
      <c r="AM277" s="809"/>
      <c r="AN277" s="809"/>
      <c r="AO277" s="810"/>
      <c r="AP277" s="810"/>
      <c r="AQ277" s="810"/>
      <c r="AR277" s="810"/>
      <c r="AS277" s="810"/>
      <c r="AT277" s="810"/>
      <c r="AU277" s="810"/>
      <c r="AV277" s="810"/>
      <c r="AW277" s="810"/>
      <c r="AX277" s="810"/>
      <c r="AY277" s="810"/>
      <c r="AZ277" s="810"/>
      <c r="BA277" s="810"/>
      <c r="BB277" s="810"/>
      <c r="BC277" s="810"/>
      <c r="BD277" s="810"/>
      <c r="BE277" s="810"/>
      <c r="BF277" s="810"/>
      <c r="BG277" s="810"/>
      <c r="BH277" s="810"/>
      <c r="BI277" s="810"/>
      <c r="BJ277" s="810"/>
      <c r="BK277" s="810"/>
      <c r="BL277" s="810"/>
      <c r="BM277" s="810"/>
      <c r="BN277" s="810"/>
      <c r="BO277" s="810"/>
    </row>
    <row r="278" spans="1:67" s="811" customFormat="1" x14ac:dyDescent="0.45">
      <c r="A278" s="800"/>
      <c r="B278" s="801" t="s">
        <v>281</v>
      </c>
      <c r="C278" s="812" t="s">
        <v>1128</v>
      </c>
      <c r="D278" s="813">
        <f>D277</f>
        <v>26.05</v>
      </c>
      <c r="E278" s="813">
        <f>E277</f>
        <v>5.73</v>
      </c>
      <c r="F278" s="813">
        <f>'4.Рентген НОВИЙ'!E1970</f>
        <v>2.88</v>
      </c>
      <c r="G278" s="813">
        <f>G277</f>
        <v>48.15</v>
      </c>
      <c r="H278" s="806">
        <f>SUM(D278:G278)</f>
        <v>82.81</v>
      </c>
      <c r="I278" s="813">
        <f t="shared" si="38"/>
        <v>3.05</v>
      </c>
      <c r="J278" s="813">
        <f t="shared" si="38"/>
        <v>0</v>
      </c>
      <c r="K278" s="813">
        <f t="shared" si="38"/>
        <v>0</v>
      </c>
      <c r="L278" s="813">
        <f t="shared" si="38"/>
        <v>0.4</v>
      </c>
      <c r="M278" s="806">
        <f>SUM(I278:L278)</f>
        <v>3.4499999999999997</v>
      </c>
      <c r="N278" s="806">
        <f>H278+M278</f>
        <v>86.26</v>
      </c>
      <c r="O278" s="813"/>
      <c r="P278" s="806">
        <f t="shared" si="21"/>
        <v>86</v>
      </c>
      <c r="Q278" s="806">
        <f>'4.Рентген НОВИЙ'!E1956</f>
        <v>86</v>
      </c>
      <c r="R278" s="806">
        <f>P278-Q278</f>
        <v>0</v>
      </c>
      <c r="S278" s="806"/>
      <c r="T278" s="806"/>
      <c r="U278" s="806"/>
      <c r="V278" s="806"/>
      <c r="W278" s="806"/>
      <c r="X278" s="806"/>
      <c r="Y278" s="806"/>
      <c r="Z278" s="807"/>
      <c r="AA278" s="808"/>
      <c r="AB278" s="808"/>
      <c r="AC278" s="809"/>
      <c r="AD278" s="809"/>
      <c r="AE278" s="809"/>
      <c r="AF278" s="809"/>
      <c r="AG278" s="809"/>
      <c r="AH278" s="809"/>
      <c r="AI278" s="809"/>
      <c r="AJ278" s="809"/>
      <c r="AK278" s="809"/>
      <c r="AL278" s="809"/>
      <c r="AM278" s="809"/>
      <c r="AN278" s="809"/>
      <c r="AO278" s="810"/>
      <c r="AP278" s="810"/>
      <c r="AQ278" s="810"/>
      <c r="AR278" s="810"/>
      <c r="AS278" s="810"/>
      <c r="AT278" s="810"/>
      <c r="AU278" s="810"/>
      <c r="AV278" s="810"/>
      <c r="AW278" s="810"/>
      <c r="AX278" s="810"/>
      <c r="AY278" s="810"/>
      <c r="AZ278" s="810"/>
      <c r="BA278" s="810"/>
      <c r="BB278" s="810"/>
      <c r="BC278" s="810"/>
      <c r="BD278" s="810"/>
      <c r="BE278" s="810"/>
      <c r="BF278" s="810"/>
      <c r="BG278" s="810"/>
      <c r="BH278" s="810"/>
      <c r="BI278" s="810"/>
      <c r="BJ278" s="810"/>
      <c r="BK278" s="810"/>
      <c r="BL278" s="810"/>
      <c r="BM278" s="810"/>
      <c r="BN278" s="810"/>
      <c r="BO278" s="810"/>
    </row>
    <row r="279" spans="1:67" s="825" customFormat="1" x14ac:dyDescent="0.45">
      <c r="A279" s="819"/>
      <c r="B279" s="820"/>
      <c r="C279" s="821" t="s">
        <v>699</v>
      </c>
      <c r="D279" s="813"/>
      <c r="E279" s="813"/>
      <c r="F279" s="813"/>
      <c r="G279" s="813"/>
      <c r="H279" s="806"/>
      <c r="I279" s="813"/>
      <c r="J279" s="813"/>
      <c r="K279" s="813"/>
      <c r="L279" s="813"/>
      <c r="M279" s="806"/>
      <c r="N279" s="806"/>
      <c r="O279" s="806"/>
      <c r="P279" s="806"/>
      <c r="Q279" s="806"/>
      <c r="R279" s="806"/>
      <c r="S279" s="806"/>
      <c r="T279" s="806"/>
      <c r="U279" s="806"/>
      <c r="V279" s="806"/>
      <c r="W279" s="806"/>
      <c r="X279" s="806"/>
      <c r="Y279" s="806"/>
      <c r="Z279" s="822"/>
      <c r="AA279" s="808"/>
      <c r="AB279" s="808"/>
      <c r="AC279" s="823"/>
      <c r="AD279" s="823"/>
      <c r="AE279" s="823"/>
      <c r="AF279" s="823"/>
      <c r="AG279" s="823"/>
      <c r="AH279" s="823"/>
      <c r="AI279" s="823"/>
      <c r="AJ279" s="823"/>
      <c r="AK279" s="823"/>
      <c r="AL279" s="823"/>
      <c r="AM279" s="823"/>
      <c r="AN279" s="823"/>
      <c r="AO279" s="824"/>
      <c r="AP279" s="824"/>
      <c r="AQ279" s="824"/>
      <c r="AR279" s="824"/>
      <c r="AS279" s="824"/>
      <c r="AT279" s="824"/>
      <c r="AU279" s="824"/>
      <c r="AV279" s="824"/>
      <c r="AW279" s="824"/>
      <c r="AX279" s="824"/>
      <c r="AY279" s="824"/>
      <c r="AZ279" s="824"/>
      <c r="BA279" s="824"/>
      <c r="BB279" s="824"/>
      <c r="BC279" s="824"/>
      <c r="BD279" s="824"/>
      <c r="BE279" s="824"/>
      <c r="BF279" s="824"/>
      <c r="BG279" s="824"/>
      <c r="BH279" s="824"/>
      <c r="BI279" s="824"/>
      <c r="BJ279" s="824"/>
      <c r="BK279" s="824"/>
      <c r="BL279" s="824"/>
      <c r="BM279" s="824"/>
      <c r="BN279" s="824"/>
      <c r="BO279" s="824"/>
    </row>
    <row r="280" spans="1:67" s="811" customFormat="1" x14ac:dyDescent="0.45">
      <c r="A280" s="800"/>
      <c r="B280" s="801" t="s">
        <v>282</v>
      </c>
      <c r="C280" s="812" t="s">
        <v>1129</v>
      </c>
      <c r="D280" s="813">
        <f>D278</f>
        <v>26.05</v>
      </c>
      <c r="E280" s="813">
        <f>E278</f>
        <v>5.73</v>
      </c>
      <c r="F280" s="813">
        <f>'4.Рентген НОВИЙ'!E2022</f>
        <v>3.1799999999999997</v>
      </c>
      <c r="G280" s="813">
        <f>G278</f>
        <v>48.15</v>
      </c>
      <c r="H280" s="806">
        <f>SUM(D280:G280)</f>
        <v>83.11</v>
      </c>
      <c r="I280" s="813">
        <f>I278</f>
        <v>3.05</v>
      </c>
      <c r="J280" s="813">
        <f>J278</f>
        <v>0</v>
      </c>
      <c r="K280" s="813">
        <f>K278</f>
        <v>0</v>
      </c>
      <c r="L280" s="813">
        <f>L278</f>
        <v>0.4</v>
      </c>
      <c r="M280" s="806">
        <f>SUM(I280:L280)</f>
        <v>3.4499999999999997</v>
      </c>
      <c r="N280" s="806">
        <f>H280+M280</f>
        <v>86.56</v>
      </c>
      <c r="O280" s="813"/>
      <c r="P280" s="806">
        <f t="shared" si="21"/>
        <v>87</v>
      </c>
      <c r="Q280" s="806">
        <f>'4.Рентген НОВИЙ'!E2008</f>
        <v>87</v>
      </c>
      <c r="R280" s="806">
        <f>P280-Q280</f>
        <v>0</v>
      </c>
      <c r="S280" s="806"/>
      <c r="T280" s="806"/>
      <c r="U280" s="806"/>
      <c r="V280" s="806"/>
      <c r="W280" s="806"/>
      <c r="X280" s="806"/>
      <c r="Y280" s="806"/>
      <c r="Z280" s="807"/>
      <c r="AA280" s="808"/>
      <c r="AB280" s="808"/>
      <c r="AC280" s="809"/>
      <c r="AD280" s="809"/>
      <c r="AE280" s="809"/>
      <c r="AF280" s="809"/>
      <c r="AG280" s="809"/>
      <c r="AH280" s="809"/>
      <c r="AI280" s="809"/>
      <c r="AJ280" s="809"/>
      <c r="AK280" s="809"/>
      <c r="AL280" s="809"/>
      <c r="AM280" s="809"/>
      <c r="AN280" s="809"/>
      <c r="AO280" s="810"/>
      <c r="AP280" s="810"/>
      <c r="AQ280" s="810"/>
      <c r="AR280" s="810"/>
      <c r="AS280" s="810"/>
      <c r="AT280" s="810"/>
      <c r="AU280" s="810"/>
      <c r="AV280" s="810"/>
      <c r="AW280" s="810"/>
      <c r="AX280" s="810"/>
      <c r="AY280" s="810"/>
      <c r="AZ280" s="810"/>
      <c r="BA280" s="810"/>
      <c r="BB280" s="810"/>
      <c r="BC280" s="810"/>
      <c r="BD280" s="810"/>
      <c r="BE280" s="810"/>
      <c r="BF280" s="810"/>
      <c r="BG280" s="810"/>
      <c r="BH280" s="810"/>
      <c r="BI280" s="810"/>
      <c r="BJ280" s="810"/>
      <c r="BK280" s="810"/>
      <c r="BL280" s="810"/>
      <c r="BM280" s="810"/>
      <c r="BN280" s="810"/>
      <c r="BO280" s="810"/>
    </row>
    <row r="281" spans="1:67" s="811" customFormat="1" x14ac:dyDescent="0.45">
      <c r="A281" s="800"/>
      <c r="B281" s="801" t="s">
        <v>283</v>
      </c>
      <c r="C281" s="812" t="s">
        <v>239</v>
      </c>
      <c r="D281" s="813">
        <f>D280</f>
        <v>26.05</v>
      </c>
      <c r="E281" s="813">
        <f>E280</f>
        <v>5.73</v>
      </c>
      <c r="F281" s="813">
        <f>'4.Рентген НОВИЙ'!E2074</f>
        <v>66.239999999999995</v>
      </c>
      <c r="G281" s="813">
        <f>G280</f>
        <v>48.15</v>
      </c>
      <c r="H281" s="806">
        <f>SUM(D281:G281)</f>
        <v>146.16999999999999</v>
      </c>
      <c r="I281" s="813">
        <f t="shared" ref="I281:L282" si="39">I280</f>
        <v>3.05</v>
      </c>
      <c r="J281" s="813">
        <f t="shared" si="39"/>
        <v>0</v>
      </c>
      <c r="K281" s="813">
        <f t="shared" si="39"/>
        <v>0</v>
      </c>
      <c r="L281" s="813">
        <f t="shared" si="39"/>
        <v>0.4</v>
      </c>
      <c r="M281" s="806">
        <f>SUM(I281:L281)</f>
        <v>3.4499999999999997</v>
      </c>
      <c r="N281" s="806">
        <f>H281+M281</f>
        <v>149.61999999999998</v>
      </c>
      <c r="O281" s="813"/>
      <c r="P281" s="806">
        <f t="shared" si="21"/>
        <v>150</v>
      </c>
      <c r="Q281" s="806">
        <f>'4.Рентген НОВИЙ'!E2060</f>
        <v>150</v>
      </c>
      <c r="R281" s="806">
        <f>P281-Q281</f>
        <v>0</v>
      </c>
      <c r="S281" s="806"/>
      <c r="T281" s="806"/>
      <c r="U281" s="806"/>
      <c r="V281" s="806"/>
      <c r="W281" s="806"/>
      <c r="X281" s="806"/>
      <c r="Y281" s="806"/>
      <c r="Z281" s="807"/>
      <c r="AA281" s="808"/>
      <c r="AB281" s="808"/>
      <c r="AC281" s="809"/>
      <c r="AD281" s="809"/>
      <c r="AE281" s="809"/>
      <c r="AF281" s="809"/>
      <c r="AG281" s="809"/>
      <c r="AH281" s="809"/>
      <c r="AI281" s="809"/>
      <c r="AJ281" s="809"/>
      <c r="AK281" s="809"/>
      <c r="AL281" s="809"/>
      <c r="AM281" s="809"/>
      <c r="AN281" s="809"/>
      <c r="AO281" s="810"/>
      <c r="AP281" s="810"/>
      <c r="AQ281" s="810"/>
      <c r="AR281" s="810"/>
      <c r="AS281" s="810"/>
      <c r="AT281" s="810"/>
      <c r="AU281" s="810"/>
      <c r="AV281" s="810"/>
      <c r="AW281" s="810"/>
      <c r="AX281" s="810"/>
      <c r="AY281" s="810"/>
      <c r="AZ281" s="810"/>
      <c r="BA281" s="810"/>
      <c r="BB281" s="810"/>
      <c r="BC281" s="810"/>
      <c r="BD281" s="810"/>
      <c r="BE281" s="810"/>
      <c r="BF281" s="810"/>
      <c r="BG281" s="810"/>
      <c r="BH281" s="810"/>
      <c r="BI281" s="810"/>
      <c r="BJ281" s="810"/>
      <c r="BK281" s="810"/>
      <c r="BL281" s="810"/>
      <c r="BM281" s="810"/>
      <c r="BN281" s="810"/>
      <c r="BO281" s="810"/>
    </row>
    <row r="282" spans="1:67" s="811" customFormat="1" x14ac:dyDescent="0.45">
      <c r="A282" s="800"/>
      <c r="B282" s="801" t="s">
        <v>285</v>
      </c>
      <c r="C282" s="812" t="s">
        <v>1128</v>
      </c>
      <c r="D282" s="813">
        <f>D281</f>
        <v>26.05</v>
      </c>
      <c r="E282" s="813">
        <f>E281</f>
        <v>5.73</v>
      </c>
      <c r="F282" s="813">
        <f>'4.Рентген НОВИЙ'!E2125</f>
        <v>2.88</v>
      </c>
      <c r="G282" s="813">
        <f>G281</f>
        <v>48.15</v>
      </c>
      <c r="H282" s="806">
        <f>SUM(D282:G282)</f>
        <v>82.81</v>
      </c>
      <c r="I282" s="813">
        <f t="shared" si="39"/>
        <v>3.05</v>
      </c>
      <c r="J282" s="813">
        <f t="shared" si="39"/>
        <v>0</v>
      </c>
      <c r="K282" s="813">
        <f t="shared" si="39"/>
        <v>0</v>
      </c>
      <c r="L282" s="813">
        <f t="shared" si="39"/>
        <v>0.4</v>
      </c>
      <c r="M282" s="806">
        <f>SUM(I282:L282)</f>
        <v>3.4499999999999997</v>
      </c>
      <c r="N282" s="806">
        <f>H282+M282</f>
        <v>86.26</v>
      </c>
      <c r="O282" s="813"/>
      <c r="P282" s="806">
        <f t="shared" si="21"/>
        <v>86</v>
      </c>
      <c r="Q282" s="806">
        <f>'4.Рентген НОВИЙ'!E2111</f>
        <v>86</v>
      </c>
      <c r="R282" s="806">
        <f>P282-Q282</f>
        <v>0</v>
      </c>
      <c r="S282" s="806"/>
      <c r="T282" s="806"/>
      <c r="U282" s="806"/>
      <c r="V282" s="806"/>
      <c r="W282" s="806"/>
      <c r="X282" s="806"/>
      <c r="Y282" s="806"/>
      <c r="Z282" s="807"/>
      <c r="AA282" s="808"/>
      <c r="AB282" s="808"/>
      <c r="AC282" s="809"/>
      <c r="AD282" s="809"/>
      <c r="AE282" s="809"/>
      <c r="AF282" s="809"/>
      <c r="AG282" s="809"/>
      <c r="AH282" s="809"/>
      <c r="AI282" s="809"/>
      <c r="AJ282" s="809"/>
      <c r="AK282" s="809"/>
      <c r="AL282" s="809"/>
      <c r="AM282" s="809"/>
      <c r="AN282" s="809"/>
      <c r="AO282" s="810"/>
      <c r="AP282" s="810"/>
      <c r="AQ282" s="810"/>
      <c r="AR282" s="810"/>
      <c r="AS282" s="810"/>
      <c r="AT282" s="810"/>
      <c r="AU282" s="810"/>
      <c r="AV282" s="810"/>
      <c r="AW282" s="810"/>
      <c r="AX282" s="810"/>
      <c r="AY282" s="810"/>
      <c r="AZ282" s="810"/>
      <c r="BA282" s="810"/>
      <c r="BB282" s="810"/>
      <c r="BC282" s="810"/>
      <c r="BD282" s="810"/>
      <c r="BE282" s="810"/>
      <c r="BF282" s="810"/>
      <c r="BG282" s="810"/>
      <c r="BH282" s="810"/>
      <c r="BI282" s="810"/>
      <c r="BJ282" s="810"/>
      <c r="BK282" s="810"/>
      <c r="BL282" s="810"/>
      <c r="BM282" s="810"/>
      <c r="BN282" s="810"/>
      <c r="BO282" s="810"/>
    </row>
    <row r="283" spans="1:67" s="825" customFormat="1" x14ac:dyDescent="0.45">
      <c r="A283" s="819"/>
      <c r="B283" s="820"/>
      <c r="C283" s="821" t="s">
        <v>700</v>
      </c>
      <c r="D283" s="813"/>
      <c r="E283" s="813"/>
      <c r="F283" s="813"/>
      <c r="G283" s="813"/>
      <c r="H283" s="806"/>
      <c r="I283" s="813"/>
      <c r="J283" s="813"/>
      <c r="K283" s="813"/>
      <c r="L283" s="813"/>
      <c r="M283" s="806"/>
      <c r="N283" s="806"/>
      <c r="O283" s="806"/>
      <c r="P283" s="806"/>
      <c r="Q283" s="806"/>
      <c r="R283" s="806"/>
      <c r="S283" s="806"/>
      <c r="T283" s="806"/>
      <c r="U283" s="806"/>
      <c r="V283" s="806"/>
      <c r="W283" s="806"/>
      <c r="X283" s="806"/>
      <c r="Y283" s="806"/>
      <c r="Z283" s="822"/>
      <c r="AA283" s="808"/>
      <c r="AB283" s="808"/>
      <c r="AC283" s="823"/>
      <c r="AD283" s="823"/>
      <c r="AE283" s="823"/>
      <c r="AF283" s="823"/>
      <c r="AG283" s="823"/>
      <c r="AH283" s="823"/>
      <c r="AI283" s="823"/>
      <c r="AJ283" s="823"/>
      <c r="AK283" s="823"/>
      <c r="AL283" s="823"/>
      <c r="AM283" s="823"/>
      <c r="AN283" s="823"/>
      <c r="AO283" s="824"/>
      <c r="AP283" s="824"/>
      <c r="AQ283" s="824"/>
      <c r="AR283" s="824"/>
      <c r="AS283" s="824"/>
      <c r="AT283" s="824"/>
      <c r="AU283" s="824"/>
      <c r="AV283" s="824"/>
      <c r="AW283" s="824"/>
      <c r="AX283" s="824"/>
      <c r="AY283" s="824"/>
      <c r="AZ283" s="824"/>
      <c r="BA283" s="824"/>
      <c r="BB283" s="824"/>
      <c r="BC283" s="824"/>
      <c r="BD283" s="824"/>
      <c r="BE283" s="824"/>
      <c r="BF283" s="824"/>
      <c r="BG283" s="824"/>
      <c r="BH283" s="824"/>
      <c r="BI283" s="824"/>
      <c r="BJ283" s="824"/>
      <c r="BK283" s="824"/>
      <c r="BL283" s="824"/>
      <c r="BM283" s="824"/>
      <c r="BN283" s="824"/>
      <c r="BO283" s="824"/>
    </row>
    <row r="284" spans="1:67" s="811" customFormat="1" x14ac:dyDescent="0.45">
      <c r="A284" s="800"/>
      <c r="B284" s="801" t="s">
        <v>286</v>
      </c>
      <c r="C284" s="812" t="s">
        <v>1129</v>
      </c>
      <c r="D284" s="813">
        <f>D282</f>
        <v>26.05</v>
      </c>
      <c r="E284" s="813">
        <f>E282</f>
        <v>5.73</v>
      </c>
      <c r="F284" s="813">
        <f>'4.Рентген НОВИЙ'!E2177</f>
        <v>3.1799999999999997</v>
      </c>
      <c r="G284" s="813">
        <f>G282</f>
        <v>48.15</v>
      </c>
      <c r="H284" s="806">
        <f>SUM(D284:G284)</f>
        <v>83.11</v>
      </c>
      <c r="I284" s="813">
        <f>I282</f>
        <v>3.05</v>
      </c>
      <c r="J284" s="813">
        <f>J282</f>
        <v>0</v>
      </c>
      <c r="K284" s="813">
        <f>K282</f>
        <v>0</v>
      </c>
      <c r="L284" s="813">
        <f>L282</f>
        <v>0.4</v>
      </c>
      <c r="M284" s="806">
        <f>SUM(I284:L284)</f>
        <v>3.4499999999999997</v>
      </c>
      <c r="N284" s="806">
        <f>H284+M284</f>
        <v>86.56</v>
      </c>
      <c r="O284" s="813"/>
      <c r="P284" s="806">
        <f t="shared" si="21"/>
        <v>87</v>
      </c>
      <c r="Q284" s="806">
        <f>'4.Рентген НОВИЙ'!E2163</f>
        <v>87</v>
      </c>
      <c r="R284" s="806">
        <f>P284-Q284</f>
        <v>0</v>
      </c>
      <c r="S284" s="806"/>
      <c r="T284" s="806"/>
      <c r="U284" s="806"/>
      <c r="V284" s="806"/>
      <c r="W284" s="806"/>
      <c r="X284" s="806"/>
      <c r="Y284" s="806"/>
      <c r="Z284" s="807"/>
      <c r="AA284" s="808"/>
      <c r="AB284" s="808"/>
      <c r="AC284" s="809"/>
      <c r="AD284" s="809"/>
      <c r="AE284" s="809"/>
      <c r="AF284" s="809"/>
      <c r="AG284" s="809"/>
      <c r="AH284" s="809"/>
      <c r="AI284" s="809"/>
      <c r="AJ284" s="809"/>
      <c r="AK284" s="809"/>
      <c r="AL284" s="809"/>
      <c r="AM284" s="809"/>
      <c r="AN284" s="809"/>
      <c r="AO284" s="810"/>
      <c r="AP284" s="810"/>
      <c r="AQ284" s="810"/>
      <c r="AR284" s="810"/>
      <c r="AS284" s="810"/>
      <c r="AT284" s="810"/>
      <c r="AU284" s="810"/>
      <c r="AV284" s="810"/>
      <c r="AW284" s="810"/>
      <c r="AX284" s="810"/>
      <c r="AY284" s="810"/>
      <c r="AZ284" s="810"/>
      <c r="BA284" s="810"/>
      <c r="BB284" s="810"/>
      <c r="BC284" s="810"/>
      <c r="BD284" s="810"/>
      <c r="BE284" s="810"/>
      <c r="BF284" s="810"/>
      <c r="BG284" s="810"/>
      <c r="BH284" s="810"/>
      <c r="BI284" s="810"/>
      <c r="BJ284" s="810"/>
      <c r="BK284" s="810"/>
      <c r="BL284" s="810"/>
      <c r="BM284" s="810"/>
      <c r="BN284" s="810"/>
      <c r="BO284" s="810"/>
    </row>
    <row r="285" spans="1:67" s="811" customFormat="1" x14ac:dyDescent="0.45">
      <c r="A285" s="800"/>
      <c r="B285" s="801" t="s">
        <v>287</v>
      </c>
      <c r="C285" s="812" t="s">
        <v>239</v>
      </c>
      <c r="D285" s="813">
        <f>D284</f>
        <v>26.05</v>
      </c>
      <c r="E285" s="813">
        <f>E284</f>
        <v>5.73</v>
      </c>
      <c r="F285" s="813">
        <f>'4.Рентген НОВИЙ'!E2228</f>
        <v>66.239999999999995</v>
      </c>
      <c r="G285" s="813">
        <f>G284</f>
        <v>48.15</v>
      </c>
      <c r="H285" s="806">
        <f>SUM(D285:G285)</f>
        <v>146.16999999999999</v>
      </c>
      <c r="I285" s="813">
        <f t="shared" ref="I285:L286" si="40">I284</f>
        <v>3.05</v>
      </c>
      <c r="J285" s="813">
        <f t="shared" si="40"/>
        <v>0</v>
      </c>
      <c r="K285" s="813">
        <f t="shared" si="40"/>
        <v>0</v>
      </c>
      <c r="L285" s="813">
        <f t="shared" si="40"/>
        <v>0.4</v>
      </c>
      <c r="M285" s="806">
        <f>SUM(I285:L285)</f>
        <v>3.4499999999999997</v>
      </c>
      <c r="N285" s="806">
        <f>H285+M285</f>
        <v>149.61999999999998</v>
      </c>
      <c r="O285" s="813"/>
      <c r="P285" s="806">
        <f>ROUND(N285,0)</f>
        <v>150</v>
      </c>
      <c r="Q285" s="806">
        <f>'4.Рентген НОВИЙ'!E2214</f>
        <v>150</v>
      </c>
      <c r="R285" s="806">
        <f>P285-Q285</f>
        <v>0</v>
      </c>
      <c r="S285" s="806"/>
      <c r="T285" s="806"/>
      <c r="U285" s="806"/>
      <c r="V285" s="806"/>
      <c r="W285" s="806"/>
      <c r="X285" s="806"/>
      <c r="Y285" s="806"/>
      <c r="Z285" s="807"/>
      <c r="AA285" s="808"/>
      <c r="AB285" s="808"/>
      <c r="AC285" s="809"/>
      <c r="AD285" s="809"/>
      <c r="AE285" s="809"/>
      <c r="AF285" s="809"/>
      <c r="AG285" s="809"/>
      <c r="AH285" s="809"/>
      <c r="AI285" s="809"/>
      <c r="AJ285" s="809"/>
      <c r="AK285" s="809"/>
      <c r="AL285" s="809"/>
      <c r="AM285" s="809"/>
      <c r="AN285" s="809"/>
      <c r="AO285" s="810"/>
      <c r="AP285" s="810"/>
      <c r="AQ285" s="810"/>
      <c r="AR285" s="810"/>
      <c r="AS285" s="810"/>
      <c r="AT285" s="810"/>
      <c r="AU285" s="810"/>
      <c r="AV285" s="810"/>
      <c r="AW285" s="810"/>
      <c r="AX285" s="810"/>
      <c r="AY285" s="810"/>
      <c r="AZ285" s="810"/>
      <c r="BA285" s="810"/>
      <c r="BB285" s="810"/>
      <c r="BC285" s="810"/>
      <c r="BD285" s="810"/>
      <c r="BE285" s="810"/>
      <c r="BF285" s="810"/>
      <c r="BG285" s="810"/>
      <c r="BH285" s="810"/>
      <c r="BI285" s="810"/>
      <c r="BJ285" s="810"/>
      <c r="BK285" s="810"/>
      <c r="BL285" s="810"/>
      <c r="BM285" s="810"/>
      <c r="BN285" s="810"/>
      <c r="BO285" s="810"/>
    </row>
    <row r="286" spans="1:67" s="811" customFormat="1" x14ac:dyDescent="0.45">
      <c r="A286" s="800"/>
      <c r="B286" s="801" t="s">
        <v>288</v>
      </c>
      <c r="C286" s="812" t="s">
        <v>1128</v>
      </c>
      <c r="D286" s="813">
        <f>D285</f>
        <v>26.05</v>
      </c>
      <c r="E286" s="813">
        <f>E285</f>
        <v>5.73</v>
      </c>
      <c r="F286" s="813">
        <f>'4.Рентген НОВИЙ'!E2280</f>
        <v>2.88</v>
      </c>
      <c r="G286" s="813">
        <f>G285</f>
        <v>48.15</v>
      </c>
      <c r="H286" s="806">
        <f>SUM(D286:G286)</f>
        <v>82.81</v>
      </c>
      <c r="I286" s="813">
        <f t="shared" si="40"/>
        <v>3.05</v>
      </c>
      <c r="J286" s="813">
        <f t="shared" si="40"/>
        <v>0</v>
      </c>
      <c r="K286" s="813">
        <f t="shared" si="40"/>
        <v>0</v>
      </c>
      <c r="L286" s="813">
        <f t="shared" si="40"/>
        <v>0.4</v>
      </c>
      <c r="M286" s="806">
        <f>SUM(I286:L286)</f>
        <v>3.4499999999999997</v>
      </c>
      <c r="N286" s="806">
        <f>H286+M286</f>
        <v>86.26</v>
      </c>
      <c r="O286" s="813"/>
      <c r="P286" s="806">
        <f t="shared" si="21"/>
        <v>86</v>
      </c>
      <c r="Q286" s="806">
        <f>'4.Рентген НОВИЙ'!E2266</f>
        <v>86</v>
      </c>
      <c r="R286" s="806">
        <f>P286-Q286</f>
        <v>0</v>
      </c>
      <c r="S286" s="806"/>
      <c r="T286" s="806"/>
      <c r="U286" s="806"/>
      <c r="V286" s="806"/>
      <c r="W286" s="806"/>
      <c r="X286" s="806"/>
      <c r="Y286" s="806"/>
      <c r="Z286" s="807"/>
      <c r="AA286" s="808"/>
      <c r="AB286" s="808"/>
      <c r="AC286" s="809"/>
      <c r="AD286" s="809"/>
      <c r="AE286" s="809"/>
      <c r="AF286" s="809"/>
      <c r="AG286" s="809"/>
      <c r="AH286" s="809"/>
      <c r="AI286" s="809"/>
      <c r="AJ286" s="809"/>
      <c r="AK286" s="809"/>
      <c r="AL286" s="809"/>
      <c r="AM286" s="809"/>
      <c r="AN286" s="809"/>
      <c r="AO286" s="810"/>
      <c r="AP286" s="810"/>
      <c r="AQ286" s="810"/>
      <c r="AR286" s="810"/>
      <c r="AS286" s="810"/>
      <c r="AT286" s="810"/>
      <c r="AU286" s="810"/>
      <c r="AV286" s="810"/>
      <c r="AW286" s="810"/>
      <c r="AX286" s="810"/>
      <c r="AY286" s="810"/>
      <c r="AZ286" s="810"/>
      <c r="BA286" s="810"/>
      <c r="BB286" s="810"/>
      <c r="BC286" s="810"/>
      <c r="BD286" s="810"/>
      <c r="BE286" s="810"/>
      <c r="BF286" s="810"/>
      <c r="BG286" s="810"/>
      <c r="BH286" s="810"/>
      <c r="BI286" s="810"/>
      <c r="BJ286" s="810"/>
      <c r="BK286" s="810"/>
      <c r="BL286" s="810"/>
      <c r="BM286" s="810"/>
      <c r="BN286" s="810"/>
      <c r="BO286" s="810"/>
    </row>
    <row r="287" spans="1:67" s="811" customFormat="1" x14ac:dyDescent="0.45">
      <c r="A287" s="800"/>
      <c r="B287" s="801"/>
      <c r="C287" s="812"/>
      <c r="D287" s="813"/>
      <c r="E287" s="813"/>
      <c r="F287" s="813"/>
      <c r="G287" s="813"/>
      <c r="H287" s="806"/>
      <c r="I287" s="813"/>
      <c r="J287" s="813"/>
      <c r="K287" s="813"/>
      <c r="L287" s="813"/>
      <c r="M287" s="806"/>
      <c r="N287" s="806"/>
      <c r="O287" s="813"/>
      <c r="P287" s="806"/>
      <c r="Q287" s="806"/>
      <c r="R287" s="806"/>
      <c r="S287" s="806"/>
      <c r="T287" s="806"/>
      <c r="U287" s="806"/>
      <c r="V287" s="806"/>
      <c r="W287" s="806"/>
      <c r="X287" s="806"/>
      <c r="Y287" s="806"/>
      <c r="Z287" s="807"/>
      <c r="AA287" s="808"/>
      <c r="AB287" s="808"/>
      <c r="AC287" s="809"/>
      <c r="AD287" s="809"/>
      <c r="AE287" s="809"/>
      <c r="AF287" s="809"/>
      <c r="AG287" s="809"/>
      <c r="AH287" s="809"/>
      <c r="AI287" s="809"/>
      <c r="AJ287" s="809"/>
      <c r="AK287" s="809"/>
      <c r="AL287" s="809"/>
      <c r="AM287" s="809"/>
      <c r="AN287" s="809"/>
      <c r="AO287" s="810"/>
      <c r="AP287" s="810"/>
      <c r="AQ287" s="810"/>
      <c r="AR287" s="810"/>
      <c r="AS287" s="810"/>
      <c r="AT287" s="810"/>
      <c r="AU287" s="810"/>
      <c r="AV287" s="810"/>
      <c r="AW287" s="810"/>
      <c r="AX287" s="810"/>
      <c r="AY287" s="810"/>
      <c r="AZ287" s="810"/>
      <c r="BA287" s="810"/>
      <c r="BB287" s="810"/>
      <c r="BC287" s="810"/>
      <c r="BD287" s="810"/>
      <c r="BE287" s="810"/>
      <c r="BF287" s="810"/>
      <c r="BG287" s="810"/>
      <c r="BH287" s="810"/>
      <c r="BI287" s="810"/>
      <c r="BJ287" s="810"/>
      <c r="BK287" s="810"/>
      <c r="BL287" s="810"/>
      <c r="BM287" s="810"/>
      <c r="BN287" s="810"/>
      <c r="BO287" s="810"/>
    </row>
    <row r="288" spans="1:67" s="6" customFormat="1" x14ac:dyDescent="0.45">
      <c r="A288" s="517"/>
      <c r="B288" s="381"/>
      <c r="C288" s="396"/>
      <c r="D288" s="383"/>
      <c r="E288" s="383"/>
      <c r="F288" s="383"/>
      <c r="G288" s="383"/>
      <c r="H288" s="384"/>
      <c r="I288" s="383"/>
      <c r="J288" s="383"/>
      <c r="K288" s="383"/>
      <c r="L288" s="383"/>
      <c r="M288" s="384"/>
      <c r="N288" s="384"/>
      <c r="O288" s="383"/>
      <c r="P288" s="384"/>
      <c r="Q288" s="384"/>
      <c r="R288" s="384"/>
      <c r="S288" s="384"/>
      <c r="T288" s="384"/>
      <c r="U288" s="384"/>
      <c r="V288" s="384"/>
      <c r="W288" s="384"/>
      <c r="X288" s="384"/>
      <c r="Y288" s="384"/>
      <c r="Z288" s="763"/>
      <c r="AA288" s="755"/>
      <c r="AB288" s="755"/>
      <c r="AC288" s="748"/>
      <c r="AD288" s="748"/>
      <c r="AE288" s="748"/>
      <c r="AF288" s="748"/>
      <c r="AG288" s="748"/>
      <c r="AH288" s="748"/>
      <c r="AI288" s="748"/>
      <c r="AJ288" s="748"/>
      <c r="AK288" s="748"/>
      <c r="AL288" s="748"/>
      <c r="AM288" s="748"/>
      <c r="AN288" s="748"/>
      <c r="AO288" s="375"/>
      <c r="AP288" s="375"/>
      <c r="AQ288" s="375"/>
      <c r="AR288" s="375"/>
      <c r="AS288" s="375"/>
      <c r="AT288" s="375"/>
      <c r="AU288" s="375"/>
      <c r="AV288" s="375"/>
      <c r="AW288" s="375"/>
      <c r="AX288" s="375"/>
      <c r="AY288" s="375"/>
      <c r="AZ288" s="375"/>
      <c r="BA288" s="375"/>
      <c r="BB288" s="375"/>
      <c r="BC288" s="375"/>
      <c r="BD288" s="375"/>
      <c r="BE288" s="375"/>
      <c r="BF288" s="375"/>
      <c r="BG288" s="375"/>
      <c r="BH288" s="375"/>
      <c r="BI288" s="375"/>
      <c r="BJ288" s="375"/>
      <c r="BK288" s="375"/>
      <c r="BL288" s="375"/>
      <c r="BM288" s="375"/>
      <c r="BN288" s="375"/>
      <c r="BO288" s="375"/>
    </row>
    <row r="289" spans="1:67" s="270" customFormat="1" x14ac:dyDescent="0.45">
      <c r="A289" s="518"/>
      <c r="B289" s="397" t="s">
        <v>660</v>
      </c>
      <c r="C289" s="382" t="s">
        <v>607</v>
      </c>
      <c r="D289" s="398">
        <f>'4.РЕХ'!F13+'4.РЕХ'!F14</f>
        <v>68.400000000000006</v>
      </c>
      <c r="E289" s="398">
        <f>'4.РЕХ'!F16</f>
        <v>15.05</v>
      </c>
      <c r="F289" s="398">
        <f>'4.РЕХ'!F18</f>
        <v>4.2799999999999994</v>
      </c>
      <c r="G289" s="398">
        <f>'4.РЕХ'!F30</f>
        <v>0</v>
      </c>
      <c r="H289" s="399">
        <f t="shared" ref="H289:H295" si="41">SUM(D289:G289)</f>
        <v>87.73</v>
      </c>
      <c r="I289" s="398">
        <f>'4.РЕХ'!H39+'4.РЕХ'!H44</f>
        <v>8.8000000000000007</v>
      </c>
      <c r="J289" s="398">
        <f>'4.РЕХ'!H40+'4.РЕХ'!H45</f>
        <v>0</v>
      </c>
      <c r="K289" s="398">
        <f>'4.РЕХ'!H41+'4.РЕХ'!H46</f>
        <v>0</v>
      </c>
      <c r="L289" s="398">
        <f>'4.РЕХ'!H42+'4.РЕХ'!H47</f>
        <v>0.8</v>
      </c>
      <c r="M289" s="399">
        <f t="shared" ref="M289:M295" si="42">SUM(I289:L289)</f>
        <v>9.6000000000000014</v>
      </c>
      <c r="N289" s="399">
        <f>H289+M289</f>
        <v>97.330000000000013</v>
      </c>
      <c r="O289" s="398"/>
      <c r="P289" s="399">
        <f>ROUND(N289,0)</f>
        <v>97</v>
      </c>
      <c r="Q289" s="399">
        <f>'4.РЕХ'!F4</f>
        <v>97</v>
      </c>
      <c r="R289" s="399">
        <f t="shared" ref="R289:R295" si="43">P289-Q289</f>
        <v>0</v>
      </c>
      <c r="S289" s="398"/>
      <c r="T289" s="398"/>
      <c r="U289" s="398"/>
      <c r="V289" s="398"/>
      <c r="W289" s="398"/>
      <c r="X289" s="399"/>
      <c r="Y289" s="399"/>
      <c r="Z289" s="770" t="str">
        <f>'4.РЕХ'!M4</f>
        <v>Електроенцефалографія (ЕЕГ головного мозку)</v>
      </c>
      <c r="AA289" s="771"/>
      <c r="AB289" s="771"/>
      <c r="AC289" s="751"/>
      <c r="AD289" s="751"/>
      <c r="AE289" s="751"/>
      <c r="AF289" s="751"/>
      <c r="AG289" s="751"/>
      <c r="AH289" s="751"/>
      <c r="AI289" s="751"/>
      <c r="AJ289" s="751"/>
      <c r="AK289" s="751"/>
      <c r="AL289" s="751"/>
      <c r="AM289" s="751"/>
      <c r="AN289" s="751"/>
      <c r="AO289" s="400"/>
      <c r="AP289" s="400"/>
      <c r="AQ289" s="400"/>
      <c r="AR289" s="400"/>
      <c r="AS289" s="400"/>
      <c r="AT289" s="400"/>
      <c r="AU289" s="400"/>
      <c r="AV289" s="400"/>
      <c r="AW289" s="400"/>
      <c r="AX289" s="400"/>
      <c r="AY289" s="400"/>
      <c r="AZ289" s="400"/>
      <c r="BA289" s="400"/>
      <c r="BB289" s="400"/>
      <c r="BC289" s="400"/>
      <c r="BD289" s="400"/>
      <c r="BE289" s="400"/>
      <c r="BF289" s="400"/>
      <c r="BG289" s="400"/>
      <c r="BH289" s="400"/>
      <c r="BI289" s="400"/>
      <c r="BJ289" s="400"/>
      <c r="BK289" s="400"/>
      <c r="BL289" s="400"/>
      <c r="BM289" s="400"/>
      <c r="BN289" s="400"/>
      <c r="BO289" s="400"/>
    </row>
    <row r="290" spans="1:67" s="270" customFormat="1" x14ac:dyDescent="0.45">
      <c r="A290" s="518"/>
      <c r="B290" s="397" t="s">
        <v>662</v>
      </c>
      <c r="C290" s="382" t="s">
        <v>0</v>
      </c>
      <c r="D290" s="398">
        <f>'4.РЕХ'!F67+'4.РЕХ'!F68</f>
        <v>51.3</v>
      </c>
      <c r="E290" s="398">
        <f>'4.РЕХ'!F70</f>
        <v>11.29</v>
      </c>
      <c r="F290" s="398">
        <f>'4.РЕХ'!F72</f>
        <v>9.08</v>
      </c>
      <c r="G290" s="398">
        <f>'4.РЕХ'!F84</f>
        <v>0</v>
      </c>
      <c r="H290" s="399">
        <f t="shared" si="41"/>
        <v>71.67</v>
      </c>
      <c r="I290" s="398">
        <f>'4.РЕХ'!H93+'4.РЕХ'!H98</f>
        <v>10.8</v>
      </c>
      <c r="J290" s="398">
        <f>'4.РЕХ'!H94+'4.РЕХ'!H99</f>
        <v>7.8</v>
      </c>
      <c r="K290" s="398">
        <f>'4.РЕХ'!H95+'4.РЕХ'!H100</f>
        <v>9</v>
      </c>
      <c r="L290" s="398">
        <f>'4.РЕХ'!H96+'4.РЕХ'!H101</f>
        <v>3.3</v>
      </c>
      <c r="M290" s="399">
        <f t="shared" si="42"/>
        <v>30.900000000000002</v>
      </c>
      <c r="N290" s="399">
        <f t="shared" ref="N290:N295" si="44">H290+M290</f>
        <v>102.57000000000001</v>
      </c>
      <c r="O290" s="398"/>
      <c r="P290" s="399">
        <f t="shared" ref="P290:P295" si="45">ROUND(N290,0)</f>
        <v>103</v>
      </c>
      <c r="Q290" s="399">
        <f>'4.РЕХ'!F58</f>
        <v>103</v>
      </c>
      <c r="R290" s="399">
        <f t="shared" si="43"/>
        <v>0</v>
      </c>
      <c r="S290" s="398"/>
      <c r="T290" s="398"/>
      <c r="U290" s="398"/>
      <c r="V290" s="398"/>
      <c r="W290" s="398"/>
      <c r="X290" s="399"/>
      <c r="Y290" s="399"/>
      <c r="Z290" s="770" t="str">
        <f>'4.РЕХ'!M5</f>
        <v>Спірографія легень</v>
      </c>
      <c r="AA290" s="771"/>
      <c r="AB290" s="771"/>
      <c r="AC290" s="751"/>
      <c r="AD290" s="751"/>
      <c r="AE290" s="751"/>
      <c r="AF290" s="751"/>
      <c r="AG290" s="751"/>
      <c r="AH290" s="751"/>
      <c r="AI290" s="751"/>
      <c r="AJ290" s="751"/>
      <c r="AK290" s="751"/>
      <c r="AL290" s="751"/>
      <c r="AM290" s="751"/>
      <c r="AN290" s="751"/>
      <c r="AO290" s="400"/>
      <c r="AP290" s="400"/>
      <c r="AQ290" s="400"/>
      <c r="AR290" s="400"/>
      <c r="AS290" s="400"/>
      <c r="AT290" s="400"/>
      <c r="AU290" s="400"/>
      <c r="AV290" s="400"/>
      <c r="AW290" s="400"/>
      <c r="AX290" s="400"/>
      <c r="AY290" s="400"/>
      <c r="AZ290" s="400"/>
      <c r="BA290" s="400"/>
      <c r="BB290" s="400"/>
      <c r="BC290" s="400"/>
      <c r="BD290" s="400"/>
      <c r="BE290" s="400"/>
      <c r="BF290" s="400"/>
      <c r="BG290" s="400"/>
      <c r="BH290" s="400"/>
      <c r="BI290" s="400"/>
      <c r="BJ290" s="400"/>
      <c r="BK290" s="400"/>
      <c r="BL290" s="400"/>
      <c r="BM290" s="400"/>
      <c r="BN290" s="400"/>
      <c r="BO290" s="400"/>
    </row>
    <row r="291" spans="1:67" s="270" customFormat="1" x14ac:dyDescent="0.45">
      <c r="A291" s="518"/>
      <c r="B291" s="397" t="s">
        <v>664</v>
      </c>
      <c r="C291" s="382" t="s">
        <v>920</v>
      </c>
      <c r="D291" s="398">
        <f>'4.РЕХ'!F120+'4.РЕХ'!F121</f>
        <v>10.199999999999999</v>
      </c>
      <c r="E291" s="398">
        <f>'4.РЕХ'!F123</f>
        <v>2.2400000000000002</v>
      </c>
      <c r="F291" s="398">
        <f>'4.РЕХ'!F125</f>
        <v>3.2</v>
      </c>
      <c r="G291" s="398">
        <f>'4.РЕХ'!F137</f>
        <v>0</v>
      </c>
      <c r="H291" s="399">
        <f t="shared" si="41"/>
        <v>15.64</v>
      </c>
      <c r="I291" s="398">
        <f>'4.РЕХ'!H146+'4.РЕХ'!H151</f>
        <v>1.32</v>
      </c>
      <c r="J291" s="398">
        <f>'4.РЕХ'!H147+'4.РЕХ'!H152</f>
        <v>0</v>
      </c>
      <c r="K291" s="398">
        <f>'4.РЕХ'!H148+'4.РЕХ'!H153</f>
        <v>0</v>
      </c>
      <c r="L291" s="398">
        <f>'4.РЕХ'!H149+'4.РЕХ'!H154</f>
        <v>0.12</v>
      </c>
      <c r="M291" s="399">
        <f t="shared" si="42"/>
        <v>1.44</v>
      </c>
      <c r="N291" s="399">
        <f t="shared" si="44"/>
        <v>17.080000000000002</v>
      </c>
      <c r="O291" s="398"/>
      <c r="P291" s="399">
        <f t="shared" si="45"/>
        <v>17</v>
      </c>
      <c r="Q291" s="399">
        <f>'4.РЕХ'!F111</f>
        <v>17</v>
      </c>
      <c r="R291" s="399">
        <f t="shared" si="43"/>
        <v>0</v>
      </c>
      <c r="S291" s="398"/>
      <c r="T291" s="398"/>
      <c r="U291" s="398"/>
      <c r="V291" s="398"/>
      <c r="W291" s="398"/>
      <c r="X291" s="399"/>
      <c r="Y291" s="399"/>
      <c r="Z291" s="770" t="str">
        <f>'4.РЕХ'!M6</f>
        <v>Електрокардіографі́я серця (ЕКГ)</v>
      </c>
      <c r="AA291" s="771"/>
      <c r="AB291" s="771"/>
      <c r="AC291" s="751"/>
      <c r="AD291" s="751"/>
      <c r="AE291" s="751"/>
      <c r="AF291" s="751"/>
      <c r="AG291" s="751"/>
      <c r="AH291" s="751"/>
      <c r="AI291" s="751"/>
      <c r="AJ291" s="751"/>
      <c r="AK291" s="751"/>
      <c r="AL291" s="751"/>
      <c r="AM291" s="751"/>
      <c r="AN291" s="751"/>
      <c r="AO291" s="400"/>
      <c r="AP291" s="400"/>
      <c r="AQ291" s="400"/>
      <c r="AR291" s="400"/>
      <c r="AS291" s="400"/>
      <c r="AT291" s="400"/>
      <c r="AU291" s="400"/>
      <c r="AV291" s="400"/>
      <c r="AW291" s="400"/>
      <c r="AX291" s="400"/>
      <c r="AY291" s="400"/>
      <c r="AZ291" s="400"/>
      <c r="BA291" s="400"/>
      <c r="BB291" s="400"/>
      <c r="BC291" s="400"/>
      <c r="BD291" s="400"/>
      <c r="BE291" s="400"/>
      <c r="BF291" s="400"/>
      <c r="BG291" s="400"/>
      <c r="BH291" s="400"/>
      <c r="BI291" s="400"/>
      <c r="BJ291" s="400"/>
      <c r="BK291" s="400"/>
      <c r="BL291" s="400"/>
      <c r="BM291" s="400"/>
      <c r="BN291" s="400"/>
      <c r="BO291" s="400"/>
    </row>
    <row r="292" spans="1:67" s="270" customFormat="1" x14ac:dyDescent="0.45">
      <c r="A292" s="518"/>
      <c r="B292" s="397" t="s">
        <v>666</v>
      </c>
      <c r="C292" s="394" t="s">
        <v>617</v>
      </c>
      <c r="D292" s="398">
        <f>'4.Ендоскопія'!F13+'4.Ендоскопія'!F14</f>
        <v>52.5</v>
      </c>
      <c r="E292" s="398">
        <f>'4.Ендоскопія'!F16</f>
        <v>11.55</v>
      </c>
      <c r="F292" s="398">
        <f>'4.Ендоскопія'!G30</f>
        <v>25.320000000000004</v>
      </c>
      <c r="G292" s="398">
        <f>'4.Ендоскопія'!H35</f>
        <v>0.3</v>
      </c>
      <c r="H292" s="399">
        <f t="shared" si="41"/>
        <v>89.67</v>
      </c>
      <c r="I292" s="398">
        <f>'4.Ендоскопія'!H41+'4.Ендоскопія'!H46</f>
        <v>6.9</v>
      </c>
      <c r="J292" s="398">
        <f>'4.Ендоскопія'!H42+'4.Ендоскопія'!H47</f>
        <v>0</v>
      </c>
      <c r="K292" s="398">
        <f>'4.Ендоскопія'!H43+'4.Ендоскопія'!H48</f>
        <v>0</v>
      </c>
      <c r="L292" s="398">
        <f>'4.Ендоскопія'!H44+'4.Ендоскопія'!H49</f>
        <v>0.89999999999999991</v>
      </c>
      <c r="M292" s="399">
        <f t="shared" si="42"/>
        <v>7.8000000000000007</v>
      </c>
      <c r="N292" s="399">
        <f t="shared" si="44"/>
        <v>97.47</v>
      </c>
      <c r="O292" s="398"/>
      <c r="P292" s="399">
        <f t="shared" si="45"/>
        <v>97</v>
      </c>
      <c r="Q292" s="399">
        <f>'4.Ендоскопія'!F4</f>
        <v>97</v>
      </c>
      <c r="R292" s="399">
        <f t="shared" si="43"/>
        <v>0</v>
      </c>
      <c r="S292" s="398"/>
      <c r="T292" s="398"/>
      <c r="U292" s="398"/>
      <c r="V292" s="398"/>
      <c r="W292" s="398"/>
      <c r="X292" s="399"/>
      <c r="Y292" s="399"/>
      <c r="Z292" s="770" t="str">
        <f>'4.Ендоскопія'!M4</f>
        <v>Ендоскопічне видалення стороннього тіла з езофагогастродуоденальної зони</v>
      </c>
      <c r="AA292" s="771"/>
      <c r="AB292" s="771"/>
      <c r="AC292" s="751"/>
      <c r="AD292" s="751"/>
      <c r="AE292" s="751"/>
      <c r="AF292" s="751"/>
      <c r="AG292" s="751"/>
      <c r="AH292" s="751"/>
      <c r="AI292" s="751"/>
      <c r="AJ292" s="751"/>
      <c r="AK292" s="751"/>
      <c r="AL292" s="751"/>
      <c r="AM292" s="751"/>
      <c r="AN292" s="751"/>
      <c r="AO292" s="400"/>
      <c r="AP292" s="400"/>
      <c r="AQ292" s="400"/>
      <c r="AR292" s="400"/>
      <c r="AS292" s="400"/>
      <c r="AT292" s="400"/>
      <c r="AU292" s="400"/>
      <c r="AV292" s="400"/>
      <c r="AW292" s="400"/>
      <c r="AX292" s="400"/>
      <c r="AY292" s="400"/>
      <c r="AZ292" s="400"/>
      <c r="BA292" s="400"/>
      <c r="BB292" s="400"/>
      <c r="BC292" s="400"/>
      <c r="BD292" s="400"/>
      <c r="BE292" s="400"/>
      <c r="BF292" s="400"/>
      <c r="BG292" s="400"/>
      <c r="BH292" s="400"/>
      <c r="BI292" s="400"/>
      <c r="BJ292" s="400"/>
      <c r="BK292" s="400"/>
      <c r="BL292" s="400"/>
      <c r="BM292" s="400"/>
      <c r="BN292" s="400"/>
      <c r="BO292" s="400"/>
    </row>
    <row r="293" spans="1:67" s="270" customFormat="1" ht="33.6" x14ac:dyDescent="0.45">
      <c r="A293" s="518"/>
      <c r="B293" s="397" t="s">
        <v>668</v>
      </c>
      <c r="C293" s="394" t="s">
        <v>625</v>
      </c>
      <c r="D293" s="398">
        <f>'4.Ендоскопія'!F70+'4.Ендоскопія'!F71</f>
        <v>70</v>
      </c>
      <c r="E293" s="398">
        <f>'4.Ендоскопія'!F73</f>
        <v>15.4</v>
      </c>
      <c r="F293" s="398">
        <f>'4.Ендоскопія'!G87</f>
        <v>25.320000000000004</v>
      </c>
      <c r="G293" s="398">
        <f>'4.Ендоскопія'!H92</f>
        <v>0.4</v>
      </c>
      <c r="H293" s="399">
        <f t="shared" si="41"/>
        <v>111.12000000000002</v>
      </c>
      <c r="I293" s="398">
        <f>'4.Ендоскопія'!H98+'4.Ендоскопія'!H103</f>
        <v>9.1999999999999993</v>
      </c>
      <c r="J293" s="398">
        <f>'4.Ендоскопія'!H99+'4.Ендоскопія'!H104</f>
        <v>0</v>
      </c>
      <c r="K293" s="398">
        <f>'4.Ендоскопія'!H100+'4.Ендоскопія'!H105</f>
        <v>0</v>
      </c>
      <c r="L293" s="398">
        <f>'4.Ендоскопія'!H101+'4.Ендоскопія'!H106</f>
        <v>1.2000000000000002</v>
      </c>
      <c r="M293" s="399">
        <f t="shared" si="42"/>
        <v>10.399999999999999</v>
      </c>
      <c r="N293" s="399">
        <f t="shared" si="44"/>
        <v>121.52000000000001</v>
      </c>
      <c r="O293" s="398"/>
      <c r="P293" s="399">
        <f t="shared" si="45"/>
        <v>122</v>
      </c>
      <c r="Q293" s="399">
        <f>'4.Ендоскопія'!F61</f>
        <v>122</v>
      </c>
      <c r="R293" s="399">
        <f t="shared" si="43"/>
        <v>0</v>
      </c>
      <c r="S293" s="398"/>
      <c r="T293" s="398"/>
      <c r="U293" s="398"/>
      <c r="V293" s="398"/>
      <c r="W293" s="398"/>
      <c r="X293" s="399"/>
      <c r="Y293" s="399"/>
      <c r="Z293" s="770" t="str">
        <f>'4.Ендоскопія'!M5</f>
        <v>Ендоскопічна зупинка кровотечі при езофагогастродуоденоскопії (ін'єкцією засобів, що коагулюють)</v>
      </c>
      <c r="AA293" s="771"/>
      <c r="AB293" s="771"/>
      <c r="AC293" s="751"/>
      <c r="AD293" s="751"/>
      <c r="AE293" s="751"/>
      <c r="AF293" s="751"/>
      <c r="AG293" s="751"/>
      <c r="AH293" s="751"/>
      <c r="AI293" s="751"/>
      <c r="AJ293" s="751"/>
      <c r="AK293" s="751"/>
      <c r="AL293" s="751"/>
      <c r="AM293" s="751"/>
      <c r="AN293" s="751"/>
      <c r="AO293" s="400"/>
      <c r="AP293" s="400"/>
      <c r="AQ293" s="400"/>
      <c r="AR293" s="400"/>
      <c r="AS293" s="400"/>
      <c r="AT293" s="400"/>
      <c r="AU293" s="400"/>
      <c r="AV293" s="400"/>
      <c r="AW293" s="400"/>
      <c r="AX293" s="400"/>
      <c r="AY293" s="400"/>
      <c r="AZ293" s="400"/>
      <c r="BA293" s="400"/>
      <c r="BB293" s="400"/>
      <c r="BC293" s="400"/>
      <c r="BD293" s="400"/>
      <c r="BE293" s="400"/>
      <c r="BF293" s="400"/>
      <c r="BG293" s="400"/>
      <c r="BH293" s="400"/>
      <c r="BI293" s="400"/>
      <c r="BJ293" s="400"/>
      <c r="BK293" s="400"/>
      <c r="BL293" s="400"/>
      <c r="BM293" s="400"/>
      <c r="BN293" s="400"/>
      <c r="BO293" s="400"/>
    </row>
    <row r="294" spans="1:67" s="270" customFormat="1" x14ac:dyDescent="0.45">
      <c r="A294" s="518"/>
      <c r="B294" s="397" t="s">
        <v>670</v>
      </c>
      <c r="C294" s="394" t="s">
        <v>633</v>
      </c>
      <c r="D294" s="398">
        <f>'4.Ендоскопія'!F126+'4.Ендоскопія'!F127</f>
        <v>70</v>
      </c>
      <c r="E294" s="398">
        <f>'4.Ендоскопія'!F129</f>
        <v>15.4</v>
      </c>
      <c r="F294" s="398">
        <f>'4.Ендоскопія'!G143</f>
        <v>25.320000000000004</v>
      </c>
      <c r="G294" s="398">
        <f>'4.Ендоскопія'!H148</f>
        <v>0.4</v>
      </c>
      <c r="H294" s="399">
        <f t="shared" si="41"/>
        <v>111.12000000000002</v>
      </c>
      <c r="I294" s="398">
        <f>'4.Ендоскопія'!H154+'4.Ендоскопія'!H159</f>
        <v>9.1999999999999993</v>
      </c>
      <c r="J294" s="398">
        <f>'4.Ендоскопія'!H155+'4.Ендоскопія'!H160</f>
        <v>0</v>
      </c>
      <c r="K294" s="398">
        <f>'4.Ендоскопія'!H156+'4.Ендоскопія'!H161</f>
        <v>0</v>
      </c>
      <c r="L294" s="398">
        <f>'4.Ендоскопія'!H157+'4.Ендоскопія'!H162</f>
        <v>1.2000000000000002</v>
      </c>
      <c r="M294" s="399">
        <f t="shared" si="42"/>
        <v>10.399999999999999</v>
      </c>
      <c r="N294" s="399">
        <f t="shared" si="44"/>
        <v>121.52000000000001</v>
      </c>
      <c r="O294" s="398"/>
      <c r="P294" s="399">
        <f t="shared" si="45"/>
        <v>122</v>
      </c>
      <c r="Q294" s="399">
        <f>'4.Ендоскопія'!F117</f>
        <v>122</v>
      </c>
      <c r="R294" s="399">
        <f t="shared" si="43"/>
        <v>0</v>
      </c>
      <c r="S294" s="398"/>
      <c r="T294" s="398"/>
      <c r="U294" s="398"/>
      <c r="V294" s="398"/>
      <c r="W294" s="398"/>
      <c r="X294" s="399"/>
      <c r="Y294" s="399"/>
      <c r="Z294" s="770" t="str">
        <f>'4.Ендоскопія'!M6</f>
        <v>Введення з допомогою ендоскопа зонда для ентерального харчування</v>
      </c>
      <c r="AA294" s="771"/>
      <c r="AB294" s="771"/>
      <c r="AC294" s="751"/>
      <c r="AD294" s="751"/>
      <c r="AE294" s="751"/>
      <c r="AF294" s="751"/>
      <c r="AG294" s="751"/>
      <c r="AH294" s="751"/>
      <c r="AI294" s="751"/>
      <c r="AJ294" s="751"/>
      <c r="AK294" s="751"/>
      <c r="AL294" s="751"/>
      <c r="AM294" s="751"/>
      <c r="AN294" s="751"/>
      <c r="AO294" s="400"/>
      <c r="AP294" s="400"/>
      <c r="AQ294" s="400"/>
      <c r="AR294" s="400"/>
      <c r="AS294" s="400"/>
      <c r="AT294" s="400"/>
      <c r="AU294" s="400"/>
      <c r="AV294" s="400"/>
      <c r="AW294" s="400"/>
      <c r="AX294" s="400"/>
      <c r="AY294" s="400"/>
      <c r="AZ294" s="400"/>
      <c r="BA294" s="400"/>
      <c r="BB294" s="400"/>
      <c r="BC294" s="400"/>
      <c r="BD294" s="400"/>
      <c r="BE294" s="400"/>
      <c r="BF294" s="400"/>
      <c r="BG294" s="400"/>
      <c r="BH294" s="400"/>
      <c r="BI294" s="400"/>
      <c r="BJ294" s="400"/>
      <c r="BK294" s="400"/>
      <c r="BL294" s="400"/>
      <c r="BM294" s="400"/>
      <c r="BN294" s="400"/>
      <c r="BO294" s="400"/>
    </row>
    <row r="295" spans="1:67" s="270" customFormat="1" x14ac:dyDescent="0.45">
      <c r="A295" s="518"/>
      <c r="B295" s="397" t="s">
        <v>672</v>
      </c>
      <c r="C295" s="395" t="s">
        <v>1218</v>
      </c>
      <c r="D295" s="398">
        <f>'4.Ендоскопія'!F181+'4.Ендоскопія'!F182</f>
        <v>70</v>
      </c>
      <c r="E295" s="398">
        <f>'4.Ендоскопія'!F184</f>
        <v>15.4</v>
      </c>
      <c r="F295" s="398">
        <f>'4.Ендоскопія'!G198</f>
        <v>25.320000000000004</v>
      </c>
      <c r="G295" s="398">
        <f>'4.Ендоскопія'!H203</f>
        <v>0.4</v>
      </c>
      <c r="H295" s="399">
        <f t="shared" si="41"/>
        <v>111.12000000000002</v>
      </c>
      <c r="I295" s="398">
        <f>'4.Ендоскопія'!H209+'4.Ендоскопія'!H214</f>
        <v>9.1999999999999993</v>
      </c>
      <c r="J295" s="398">
        <f>'4.Ендоскопія'!H210+'4.Ендоскопія'!H215</f>
        <v>0</v>
      </c>
      <c r="K295" s="398">
        <f>'4.Ендоскопія'!H211+'4.Ендоскопія'!H216</f>
        <v>0</v>
      </c>
      <c r="L295" s="398">
        <f>'4.Ендоскопія'!H212+'4.Ендоскопія'!H217</f>
        <v>1.2000000000000002</v>
      </c>
      <c r="M295" s="399">
        <f t="shared" si="42"/>
        <v>10.399999999999999</v>
      </c>
      <c r="N295" s="399">
        <f t="shared" si="44"/>
        <v>121.52000000000001</v>
      </c>
      <c r="O295" s="398"/>
      <c r="P295" s="399">
        <f t="shared" si="45"/>
        <v>122</v>
      </c>
      <c r="Q295" s="399">
        <f>'4.Ендоскопія'!F172</f>
        <v>122</v>
      </c>
      <c r="R295" s="399">
        <f t="shared" si="43"/>
        <v>0</v>
      </c>
      <c r="S295" s="398"/>
      <c r="T295" s="398"/>
      <c r="U295" s="398"/>
      <c r="V295" s="398"/>
      <c r="W295" s="398"/>
      <c r="X295" s="399"/>
      <c r="Y295" s="399"/>
      <c r="Z295" s="770" t="str">
        <f>'4.Ендоскопія'!M7</f>
        <v>Фіброезофагогастродуеденоскопія</v>
      </c>
      <c r="AA295" s="771"/>
      <c r="AB295" s="771"/>
      <c r="AC295" s="751"/>
      <c r="AD295" s="751"/>
      <c r="AE295" s="751"/>
      <c r="AF295" s="751"/>
      <c r="AG295" s="751"/>
      <c r="AH295" s="751"/>
      <c r="AI295" s="751"/>
      <c r="AJ295" s="751"/>
      <c r="AK295" s="751"/>
      <c r="AL295" s="751"/>
      <c r="AM295" s="751"/>
      <c r="AN295" s="751"/>
      <c r="AO295" s="400"/>
      <c r="AP295" s="400"/>
      <c r="AQ295" s="400"/>
      <c r="AR295" s="400"/>
      <c r="AS295" s="400"/>
      <c r="AT295" s="400"/>
      <c r="AU295" s="400"/>
      <c r="AV295" s="400"/>
      <c r="AW295" s="400"/>
      <c r="AX295" s="400"/>
      <c r="AY295" s="400"/>
      <c r="AZ295" s="400"/>
      <c r="BA295" s="400"/>
      <c r="BB295" s="400"/>
      <c r="BC295" s="400"/>
      <c r="BD295" s="400"/>
      <c r="BE295" s="400"/>
      <c r="BF295" s="400"/>
      <c r="BG295" s="400"/>
      <c r="BH295" s="400"/>
      <c r="BI295" s="400"/>
      <c r="BJ295" s="400"/>
      <c r="BK295" s="400"/>
      <c r="BL295" s="400"/>
      <c r="BM295" s="400"/>
      <c r="BN295" s="400"/>
      <c r="BO295" s="400"/>
    </row>
    <row r="296" spans="1:67" s="6" customFormat="1" x14ac:dyDescent="0.45">
      <c r="A296" s="517"/>
      <c r="B296" s="381"/>
      <c r="C296" s="385"/>
      <c r="D296" s="378"/>
      <c r="E296" s="378"/>
      <c r="F296" s="378"/>
      <c r="G296" s="378"/>
      <c r="H296" s="380"/>
      <c r="I296" s="378"/>
      <c r="J296" s="378"/>
      <c r="K296" s="378"/>
      <c r="L296" s="378"/>
      <c r="M296" s="380"/>
      <c r="N296" s="380"/>
      <c r="O296" s="378"/>
      <c r="P296" s="380"/>
      <c r="Q296" s="380"/>
      <c r="R296" s="384"/>
      <c r="S296" s="378"/>
      <c r="T296" s="378"/>
      <c r="U296" s="378"/>
      <c r="V296" s="378"/>
      <c r="W296" s="378"/>
      <c r="X296" s="380"/>
      <c r="Y296" s="380"/>
      <c r="Z296" s="754"/>
      <c r="AA296" s="755"/>
      <c r="AB296" s="755"/>
      <c r="AC296" s="748"/>
      <c r="AD296" s="748"/>
      <c r="AE296" s="748"/>
      <c r="AF296" s="748"/>
      <c r="AG296" s="748"/>
      <c r="AH296" s="748"/>
      <c r="AI296" s="748"/>
      <c r="AJ296" s="748"/>
      <c r="AK296" s="748"/>
      <c r="AL296" s="748"/>
      <c r="AM296" s="748"/>
      <c r="AN296" s="748"/>
      <c r="AO296" s="375"/>
      <c r="AP296" s="375"/>
      <c r="AQ296" s="375"/>
      <c r="AR296" s="375"/>
      <c r="AS296" s="375"/>
      <c r="AT296" s="375"/>
      <c r="AU296" s="375"/>
      <c r="AV296" s="375"/>
      <c r="AW296" s="375"/>
      <c r="AX296" s="375"/>
      <c r="AY296" s="375"/>
      <c r="AZ296" s="375"/>
      <c r="BA296" s="375"/>
      <c r="BB296" s="375"/>
      <c r="BC296" s="375"/>
      <c r="BD296" s="375"/>
      <c r="BE296" s="375"/>
      <c r="BF296" s="375"/>
      <c r="BG296" s="375"/>
      <c r="BH296" s="375"/>
      <c r="BI296" s="375"/>
      <c r="BJ296" s="375"/>
      <c r="BK296" s="375"/>
      <c r="BL296" s="375"/>
      <c r="BM296" s="375"/>
      <c r="BN296" s="375"/>
      <c r="BO296" s="375"/>
    </row>
    <row r="297" spans="1:67" s="6" customFormat="1" x14ac:dyDescent="0.45">
      <c r="A297" s="517"/>
      <c r="B297" s="381"/>
      <c r="C297" s="385"/>
      <c r="D297" s="378"/>
      <c r="E297" s="378"/>
      <c r="F297" s="378"/>
      <c r="G297" s="378"/>
      <c r="H297" s="380"/>
      <c r="I297" s="378"/>
      <c r="J297" s="378"/>
      <c r="K297" s="378"/>
      <c r="L297" s="378"/>
      <c r="M297" s="380"/>
      <c r="N297" s="380"/>
      <c r="O297" s="378"/>
      <c r="P297" s="380"/>
      <c r="Q297" s="380"/>
      <c r="R297" s="384"/>
      <c r="S297" s="378"/>
      <c r="T297" s="378"/>
      <c r="U297" s="378"/>
      <c r="V297" s="378"/>
      <c r="W297" s="378"/>
      <c r="X297" s="380"/>
      <c r="Y297" s="380"/>
      <c r="Z297" s="754"/>
      <c r="AA297" s="755"/>
      <c r="AB297" s="755"/>
      <c r="AC297" s="748"/>
      <c r="AD297" s="748"/>
      <c r="AE297" s="748"/>
      <c r="AF297" s="748"/>
      <c r="AG297" s="748"/>
      <c r="AH297" s="748"/>
      <c r="AI297" s="748"/>
      <c r="AJ297" s="748"/>
      <c r="AK297" s="748"/>
      <c r="AL297" s="748"/>
      <c r="AM297" s="748"/>
      <c r="AN297" s="748"/>
      <c r="AO297" s="375"/>
      <c r="AP297" s="375"/>
      <c r="AQ297" s="375"/>
      <c r="AR297" s="375"/>
      <c r="AS297" s="375"/>
      <c r="AT297" s="375"/>
      <c r="AU297" s="375"/>
      <c r="AV297" s="375"/>
      <c r="AW297" s="375"/>
      <c r="AX297" s="375"/>
      <c r="AY297" s="375"/>
      <c r="AZ297" s="375"/>
      <c r="BA297" s="375"/>
      <c r="BB297" s="375"/>
      <c r="BC297" s="375"/>
      <c r="BD297" s="375"/>
      <c r="BE297" s="375"/>
      <c r="BF297" s="375"/>
      <c r="BG297" s="375"/>
      <c r="BH297" s="375"/>
      <c r="BI297" s="375"/>
      <c r="BJ297" s="375"/>
      <c r="BK297" s="375"/>
      <c r="BL297" s="375"/>
      <c r="BM297" s="375"/>
      <c r="BN297" s="375"/>
      <c r="BO297" s="375"/>
    </row>
    <row r="298" spans="1:67" s="6" customFormat="1" x14ac:dyDescent="0.45">
      <c r="A298" s="517"/>
      <c r="B298" s="381"/>
      <c r="C298" s="385"/>
      <c r="D298" s="378"/>
      <c r="E298" s="378"/>
      <c r="F298" s="378"/>
      <c r="G298" s="378"/>
      <c r="H298" s="380"/>
      <c r="I298" s="378"/>
      <c r="J298" s="378"/>
      <c r="K298" s="378"/>
      <c r="L298" s="378"/>
      <c r="M298" s="380"/>
      <c r="N298" s="380"/>
      <c r="O298" s="378"/>
      <c r="P298" s="380"/>
      <c r="Q298" s="380"/>
      <c r="R298" s="384"/>
      <c r="S298" s="378"/>
      <c r="T298" s="378"/>
      <c r="U298" s="378"/>
      <c r="V298" s="378"/>
      <c r="W298" s="378"/>
      <c r="X298" s="380"/>
      <c r="Y298" s="380"/>
      <c r="Z298" s="754"/>
      <c r="AA298" s="755"/>
      <c r="AB298" s="755"/>
      <c r="AC298" s="748"/>
      <c r="AD298" s="748"/>
      <c r="AE298" s="748"/>
      <c r="AF298" s="748"/>
      <c r="AG298" s="748"/>
      <c r="AH298" s="748"/>
      <c r="AI298" s="748"/>
      <c r="AJ298" s="748"/>
      <c r="AK298" s="748"/>
      <c r="AL298" s="748"/>
      <c r="AM298" s="748"/>
      <c r="AN298" s="748"/>
      <c r="AO298" s="375"/>
      <c r="AP298" s="375"/>
      <c r="AQ298" s="375"/>
      <c r="AR298" s="375"/>
      <c r="AS298" s="375"/>
      <c r="AT298" s="375"/>
      <c r="AU298" s="375"/>
      <c r="AV298" s="375"/>
      <c r="AW298" s="375"/>
      <c r="AX298" s="375"/>
      <c r="AY298" s="375"/>
      <c r="AZ298" s="375"/>
      <c r="BA298" s="375"/>
      <c r="BB298" s="375"/>
      <c r="BC298" s="375"/>
      <c r="BD298" s="375"/>
      <c r="BE298" s="375"/>
      <c r="BF298" s="375"/>
      <c r="BG298" s="375"/>
      <c r="BH298" s="375"/>
      <c r="BI298" s="375"/>
      <c r="BJ298" s="375"/>
      <c r="BK298" s="375"/>
      <c r="BL298" s="375"/>
      <c r="BM298" s="375"/>
      <c r="BN298" s="375"/>
      <c r="BO298" s="375"/>
    </row>
    <row r="299" spans="1:67" s="6" customFormat="1" x14ac:dyDescent="0.45">
      <c r="A299" s="517"/>
      <c r="B299" s="381"/>
      <c r="C299" s="385"/>
      <c r="D299" s="378"/>
      <c r="E299" s="378"/>
      <c r="F299" s="378"/>
      <c r="G299" s="378"/>
      <c r="H299" s="380"/>
      <c r="I299" s="378"/>
      <c r="J299" s="378"/>
      <c r="K299" s="378"/>
      <c r="L299" s="378"/>
      <c r="M299" s="380"/>
      <c r="N299" s="380"/>
      <c r="O299" s="378"/>
      <c r="P299" s="380"/>
      <c r="Q299" s="380"/>
      <c r="R299" s="384"/>
      <c r="S299" s="378"/>
      <c r="T299" s="378"/>
      <c r="U299" s="378"/>
      <c r="V299" s="378"/>
      <c r="W299" s="378"/>
      <c r="X299" s="380"/>
      <c r="Y299" s="380"/>
      <c r="Z299" s="754"/>
      <c r="AA299" s="755"/>
      <c r="AB299" s="755"/>
      <c r="AC299" s="748"/>
      <c r="AD299" s="748"/>
      <c r="AE299" s="748"/>
      <c r="AF299" s="748"/>
      <c r="AG299" s="748"/>
      <c r="AH299" s="748"/>
      <c r="AI299" s="748"/>
      <c r="AJ299" s="748"/>
      <c r="AK299" s="748"/>
      <c r="AL299" s="748"/>
      <c r="AM299" s="748"/>
      <c r="AN299" s="748"/>
      <c r="AO299" s="375"/>
      <c r="AP299" s="375"/>
      <c r="AQ299" s="375"/>
      <c r="AR299" s="375"/>
      <c r="AS299" s="375"/>
      <c r="AT299" s="375"/>
      <c r="AU299" s="375"/>
      <c r="AV299" s="375"/>
      <c r="AW299" s="375"/>
      <c r="AX299" s="375"/>
      <c r="AY299" s="375"/>
      <c r="AZ299" s="375"/>
      <c r="BA299" s="375"/>
      <c r="BB299" s="375"/>
      <c r="BC299" s="375"/>
      <c r="BD299" s="375"/>
      <c r="BE299" s="375"/>
      <c r="BF299" s="375"/>
      <c r="BG299" s="375"/>
      <c r="BH299" s="375"/>
      <c r="BI299" s="375"/>
      <c r="BJ299" s="375"/>
      <c r="BK299" s="375"/>
      <c r="BL299" s="375"/>
      <c r="BM299" s="375"/>
      <c r="BN299" s="375"/>
      <c r="BO299" s="375"/>
    </row>
    <row r="300" spans="1:67" s="6" customFormat="1" x14ac:dyDescent="0.45">
      <c r="A300" s="517"/>
      <c r="B300" s="381" t="s">
        <v>701</v>
      </c>
      <c r="C300" s="401" t="s">
        <v>702</v>
      </c>
      <c r="D300" s="386" t="s">
        <v>1118</v>
      </c>
      <c r="E300" s="387">
        <v>0.22</v>
      </c>
      <c r="F300" s="386" t="s">
        <v>1119</v>
      </c>
      <c r="G300" s="386" t="s">
        <v>1125</v>
      </c>
      <c r="H300" s="388" t="s">
        <v>1120</v>
      </c>
      <c r="I300" s="386" t="s">
        <v>1121</v>
      </c>
      <c r="J300" s="386" t="s">
        <v>1122</v>
      </c>
      <c r="K300" s="386" t="s">
        <v>1126</v>
      </c>
      <c r="L300" s="386" t="s">
        <v>1123</v>
      </c>
      <c r="M300" s="388" t="s">
        <v>1127</v>
      </c>
      <c r="N300" s="388" t="s">
        <v>988</v>
      </c>
      <c r="O300" s="386" t="s">
        <v>1181</v>
      </c>
      <c r="P300" s="388" t="s">
        <v>998</v>
      </c>
      <c r="Q300" s="388"/>
      <c r="R300" s="384"/>
      <c r="S300" s="388"/>
      <c r="T300" s="388"/>
      <c r="U300" s="388"/>
      <c r="V300" s="388"/>
      <c r="W300" s="388"/>
      <c r="X300" s="388"/>
      <c r="Y300" s="388"/>
      <c r="Z300" s="762"/>
      <c r="AA300" s="755"/>
      <c r="AB300" s="755"/>
      <c r="AC300" s="748"/>
      <c r="AD300" s="748"/>
      <c r="AE300" s="748"/>
      <c r="AF300" s="748"/>
      <c r="AG300" s="748"/>
      <c r="AH300" s="748"/>
      <c r="AI300" s="748"/>
      <c r="AJ300" s="748"/>
      <c r="AK300" s="748"/>
      <c r="AL300" s="748"/>
      <c r="AM300" s="748"/>
      <c r="AN300" s="748"/>
      <c r="AO300" s="375"/>
      <c r="AP300" s="375"/>
      <c r="AQ300" s="375"/>
      <c r="AR300" s="375"/>
      <c r="AS300" s="375"/>
      <c r="AT300" s="375"/>
      <c r="AU300" s="375"/>
      <c r="AV300" s="375"/>
      <c r="AW300" s="375"/>
      <c r="AX300" s="375"/>
      <c r="AY300" s="375"/>
      <c r="AZ300" s="375"/>
      <c r="BA300" s="375"/>
      <c r="BB300" s="375"/>
      <c r="BC300" s="375"/>
      <c r="BD300" s="375"/>
      <c r="BE300" s="375"/>
      <c r="BF300" s="375"/>
      <c r="BG300" s="375"/>
      <c r="BH300" s="375"/>
      <c r="BI300" s="375"/>
      <c r="BJ300" s="375"/>
      <c r="BK300" s="375"/>
      <c r="BL300" s="375"/>
      <c r="BM300" s="375"/>
      <c r="BN300" s="375"/>
      <c r="BO300" s="375"/>
    </row>
    <row r="301" spans="1:67" s="6" customFormat="1" x14ac:dyDescent="0.45">
      <c r="A301" s="517"/>
      <c r="B301" s="381" t="s">
        <v>703</v>
      </c>
      <c r="C301" s="385" t="s">
        <v>704</v>
      </c>
      <c r="D301" s="383">
        <f>'5.Консультація Лікаря'!E13+'5.Консультація Лікаря'!E14</f>
        <v>39.049999999999997</v>
      </c>
      <c r="E301" s="383">
        <f>'5.Консультація Лікаря'!E16</f>
        <v>8.59</v>
      </c>
      <c r="F301" s="383">
        <f>'5.Консультація Лікаря'!F28</f>
        <v>3.5</v>
      </c>
      <c r="G301" s="383">
        <f>'5.Консультація Лікаря'!G33</f>
        <v>0.2</v>
      </c>
      <c r="H301" s="384">
        <f>SUM(D301:G301)</f>
        <v>51.34</v>
      </c>
      <c r="I301" s="383">
        <f>'5.Консультація Лікаря'!G39+'5.Консультація Лікаря'!G44</f>
        <v>4.95</v>
      </c>
      <c r="J301" s="383">
        <f>'5.Консультація Лікаря'!G40+'5.Консультація Лікаря'!G45</f>
        <v>0</v>
      </c>
      <c r="K301" s="383">
        <f>'5.Консультація Лікаря'!G41+'5.Консультація Лікаря'!G46</f>
        <v>0</v>
      </c>
      <c r="L301" s="383">
        <f>'5.Консультація Лікаря'!G42+'5.Консультація Лікаря'!G47</f>
        <v>0.45</v>
      </c>
      <c r="M301" s="384">
        <f>SUM(I301:L301)</f>
        <v>5.4</v>
      </c>
      <c r="N301" s="384">
        <f t="shared" ref="N301:N313" si="46">H301+M301</f>
        <v>56.74</v>
      </c>
      <c r="O301" s="383"/>
      <c r="P301" s="384">
        <f>ROUND(N301,0)</f>
        <v>57</v>
      </c>
      <c r="Q301" s="384">
        <f>'5.Консультація Лікаря'!E4</f>
        <v>57</v>
      </c>
      <c r="R301" s="384">
        <f t="shared" ref="R301:R371" si="47">P301-Q301</f>
        <v>0</v>
      </c>
      <c r="S301" s="384"/>
      <c r="T301" s="384"/>
      <c r="U301" s="384"/>
      <c r="V301" s="384"/>
      <c r="W301" s="384"/>
      <c r="X301" s="384"/>
      <c r="Y301" s="384"/>
      <c r="Z301" s="763" t="str">
        <f>'5.Консультація Лікаря'!K4</f>
        <v>Консультативна медична допомога лікаря-терапевта</v>
      </c>
      <c r="AA301" s="755"/>
      <c r="AB301" s="755"/>
      <c r="AC301" s="748"/>
      <c r="AD301" s="748"/>
      <c r="AE301" s="748"/>
      <c r="AF301" s="748"/>
      <c r="AG301" s="748"/>
      <c r="AH301" s="748"/>
      <c r="AI301" s="748"/>
      <c r="AJ301" s="748"/>
      <c r="AK301" s="748"/>
      <c r="AL301" s="748"/>
      <c r="AM301" s="748"/>
      <c r="AN301" s="748"/>
      <c r="AO301" s="375"/>
      <c r="AP301" s="375"/>
      <c r="AQ301" s="375"/>
      <c r="AR301" s="375"/>
      <c r="AS301" s="375"/>
      <c r="AT301" s="375"/>
      <c r="AU301" s="375"/>
      <c r="AV301" s="375"/>
      <c r="AW301" s="375"/>
      <c r="AX301" s="375"/>
      <c r="AY301" s="375"/>
      <c r="AZ301" s="375"/>
      <c r="BA301" s="375"/>
      <c r="BB301" s="375"/>
      <c r="BC301" s="375"/>
      <c r="BD301" s="375"/>
      <c r="BE301" s="375"/>
      <c r="BF301" s="375"/>
      <c r="BG301" s="375"/>
      <c r="BH301" s="375"/>
      <c r="BI301" s="375"/>
      <c r="BJ301" s="375"/>
      <c r="BK301" s="375"/>
      <c r="BL301" s="375"/>
      <c r="BM301" s="375"/>
      <c r="BN301" s="375"/>
      <c r="BO301" s="375"/>
    </row>
    <row r="302" spans="1:67" s="6" customFormat="1" x14ac:dyDescent="0.45">
      <c r="A302" s="517"/>
      <c r="B302" s="381" t="s">
        <v>705</v>
      </c>
      <c r="C302" s="385" t="s">
        <v>706</v>
      </c>
      <c r="D302" s="383">
        <f>'5.Консультація Лікаря'!E66+'5.Консультація Лікаря'!E67</f>
        <v>35.15</v>
      </c>
      <c r="E302" s="383">
        <f>'5.Консультація Лікаря'!E69</f>
        <v>7.73</v>
      </c>
      <c r="F302" s="383">
        <f>'5.Консультація Лікаря'!F81</f>
        <v>3.5</v>
      </c>
      <c r="G302" s="383">
        <f>'5.Консультація Лікаря'!G86</f>
        <v>0.2</v>
      </c>
      <c r="H302" s="384">
        <f t="shared" ref="H302:H313" si="48">SUM(D302:G302)</f>
        <v>46.58</v>
      </c>
      <c r="I302" s="383">
        <f>'5.Консультація Лікаря'!G92+'5.Консультація Лікаря'!G97</f>
        <v>4.95</v>
      </c>
      <c r="J302" s="383">
        <f>'5.Консультація Лікаря'!G93+'5.Консультація Лікаря'!G98</f>
        <v>0</v>
      </c>
      <c r="K302" s="383">
        <f>'5.Консультація Лікаря'!G94+'5.Консультація Лікаря'!G99</f>
        <v>0</v>
      </c>
      <c r="L302" s="383">
        <f>'5.Консультація Лікаря'!G95+'5.Консультація Лікаря'!G100</f>
        <v>0.45</v>
      </c>
      <c r="M302" s="384">
        <f t="shared" ref="M302:M311" si="49">SUM(I302:L302)</f>
        <v>5.4</v>
      </c>
      <c r="N302" s="384">
        <f t="shared" si="46"/>
        <v>51.98</v>
      </c>
      <c r="O302" s="383"/>
      <c r="P302" s="384">
        <f t="shared" ref="P302:P311" si="50">ROUND(N302,0)</f>
        <v>52</v>
      </c>
      <c r="Q302" s="384">
        <f>'5.Консультація Лікаря'!E57</f>
        <v>52</v>
      </c>
      <c r="R302" s="384">
        <f t="shared" si="47"/>
        <v>0</v>
      </c>
      <c r="S302" s="384"/>
      <c r="T302" s="384"/>
      <c r="U302" s="384"/>
      <c r="V302" s="384"/>
      <c r="W302" s="384"/>
      <c r="X302" s="384"/>
      <c r="Y302" s="384"/>
      <c r="Z302" s="763" t="str">
        <f>'5.Консультація Лікаря'!K5</f>
        <v>Консультативна медична допомога лікаря-невропатолога</v>
      </c>
      <c r="AA302" s="755"/>
      <c r="AB302" s="755"/>
      <c r="AC302" s="748"/>
      <c r="AD302" s="748"/>
      <c r="AE302" s="748"/>
      <c r="AF302" s="748"/>
      <c r="AG302" s="748"/>
      <c r="AH302" s="748"/>
      <c r="AI302" s="748"/>
      <c r="AJ302" s="748"/>
      <c r="AK302" s="748"/>
      <c r="AL302" s="748"/>
      <c r="AM302" s="748"/>
      <c r="AN302" s="748"/>
      <c r="AO302" s="375"/>
      <c r="AP302" s="375"/>
      <c r="AQ302" s="375"/>
      <c r="AR302" s="375"/>
      <c r="AS302" s="375"/>
      <c r="AT302" s="375"/>
      <c r="AU302" s="375"/>
      <c r="AV302" s="375"/>
      <c r="AW302" s="375"/>
      <c r="AX302" s="375"/>
      <c r="AY302" s="375"/>
      <c r="AZ302" s="375"/>
      <c r="BA302" s="375"/>
      <c r="BB302" s="375"/>
      <c r="BC302" s="375"/>
      <c r="BD302" s="375"/>
      <c r="BE302" s="375"/>
      <c r="BF302" s="375"/>
      <c r="BG302" s="375"/>
      <c r="BH302" s="375"/>
      <c r="BI302" s="375"/>
      <c r="BJ302" s="375"/>
      <c r="BK302" s="375"/>
      <c r="BL302" s="375"/>
      <c r="BM302" s="375"/>
      <c r="BN302" s="375"/>
      <c r="BO302" s="375"/>
    </row>
    <row r="303" spans="1:67" s="6" customFormat="1" x14ac:dyDescent="0.45">
      <c r="A303" s="517"/>
      <c r="B303" s="381" t="s">
        <v>707</v>
      </c>
      <c r="C303" s="385" t="s">
        <v>708</v>
      </c>
      <c r="D303" s="383">
        <f>'5.Консультація Лікаря'!E119+'5.Консультація Лікаря'!E120</f>
        <v>49.5</v>
      </c>
      <c r="E303" s="383">
        <f>'5.Консультація Лікаря'!E122</f>
        <v>10.89</v>
      </c>
      <c r="F303" s="383">
        <f>'5.Консультація Лікаря'!F134</f>
        <v>3.14</v>
      </c>
      <c r="G303" s="383">
        <f>'5.Консультація Лікаря'!G139</f>
        <v>0.2</v>
      </c>
      <c r="H303" s="384">
        <f t="shared" si="48"/>
        <v>63.730000000000004</v>
      </c>
      <c r="I303" s="383">
        <f>'5.Консультація Лікаря'!G145+'5.Консультація Лікаря'!G150</f>
        <v>5.2</v>
      </c>
      <c r="J303" s="383">
        <f>'5.Консультація Лікаря'!G146+'5.Консультація Лікаря'!G151</f>
        <v>0</v>
      </c>
      <c r="K303" s="383">
        <f>'5.Консультація Лікаря'!G147+'5.Консультація Лікаря'!G152</f>
        <v>0</v>
      </c>
      <c r="L303" s="383">
        <f>'5.Консультація Лікаря'!G148+'5.Консультація Лікаря'!G153</f>
        <v>0.7</v>
      </c>
      <c r="M303" s="384">
        <f t="shared" si="49"/>
        <v>5.9</v>
      </c>
      <c r="N303" s="384">
        <f t="shared" si="46"/>
        <v>69.63000000000001</v>
      </c>
      <c r="O303" s="383"/>
      <c r="P303" s="384">
        <f t="shared" si="50"/>
        <v>70</v>
      </c>
      <c r="Q303" s="384">
        <f>'5.Консультація Лікаря'!E110</f>
        <v>70</v>
      </c>
      <c r="R303" s="384">
        <f t="shared" si="47"/>
        <v>0</v>
      </c>
      <c r="S303" s="384"/>
      <c r="T303" s="384"/>
      <c r="U303" s="384"/>
      <c r="V303" s="384"/>
      <c r="W303" s="384"/>
      <c r="X303" s="384"/>
      <c r="Y303" s="384"/>
      <c r="Z303" s="763" t="str">
        <f>'5.Консультація Лікаря'!K6</f>
        <v>Консультативна медична допомога лікаря дерматовенеролога</v>
      </c>
      <c r="AA303" s="755"/>
      <c r="AB303" s="755"/>
      <c r="AC303" s="748"/>
      <c r="AD303" s="748"/>
      <c r="AE303" s="748"/>
      <c r="AF303" s="748"/>
      <c r="AG303" s="748"/>
      <c r="AH303" s="748"/>
      <c r="AI303" s="748"/>
      <c r="AJ303" s="748"/>
      <c r="AK303" s="748"/>
      <c r="AL303" s="748"/>
      <c r="AM303" s="748"/>
      <c r="AN303" s="748"/>
      <c r="AO303" s="375"/>
      <c r="AP303" s="375"/>
      <c r="AQ303" s="375"/>
      <c r="AR303" s="375"/>
      <c r="AS303" s="375"/>
      <c r="AT303" s="375"/>
      <c r="AU303" s="375"/>
      <c r="AV303" s="375"/>
      <c r="AW303" s="375"/>
      <c r="AX303" s="375"/>
      <c r="AY303" s="375"/>
      <c r="AZ303" s="375"/>
      <c r="BA303" s="375"/>
      <c r="BB303" s="375"/>
      <c r="BC303" s="375"/>
      <c r="BD303" s="375"/>
      <c r="BE303" s="375"/>
      <c r="BF303" s="375"/>
      <c r="BG303" s="375"/>
      <c r="BH303" s="375"/>
      <c r="BI303" s="375"/>
      <c r="BJ303" s="375"/>
      <c r="BK303" s="375"/>
      <c r="BL303" s="375"/>
      <c r="BM303" s="375"/>
      <c r="BN303" s="375"/>
      <c r="BO303" s="375"/>
    </row>
    <row r="304" spans="1:67" s="6" customFormat="1" x14ac:dyDescent="0.45">
      <c r="A304" s="517"/>
      <c r="B304" s="381" t="s">
        <v>709</v>
      </c>
      <c r="C304" s="385" t="s">
        <v>710</v>
      </c>
      <c r="D304" s="383">
        <f>'5.Консультація Лікаря'!E172+'5.Консультація Лікаря'!E173</f>
        <v>37.299999999999997</v>
      </c>
      <c r="E304" s="383">
        <f>'5.Консультація Лікаря'!E175</f>
        <v>8.2100000000000009</v>
      </c>
      <c r="F304" s="383">
        <f>'5.Консультація Лікаря'!F187</f>
        <v>3.32</v>
      </c>
      <c r="G304" s="383">
        <f>'5.Консультація Лікаря'!G192</f>
        <v>0.2</v>
      </c>
      <c r="H304" s="384">
        <f t="shared" si="48"/>
        <v>49.03</v>
      </c>
      <c r="I304" s="383">
        <f>'5.Консультація Лікаря'!G198+'5.Консультація Лікаря'!G203</f>
        <v>4.95</v>
      </c>
      <c r="J304" s="383">
        <f>'5.Консультація Лікаря'!G199+'5.Консультація Лікаря'!G204</f>
        <v>0</v>
      </c>
      <c r="K304" s="383">
        <f>'5.Консультація Лікаря'!G200+'5.Консультація Лікаря'!G205</f>
        <v>0</v>
      </c>
      <c r="L304" s="383">
        <f>'5.Консультація Лікаря'!G201+'5.Консультація Лікаря'!G206</f>
        <v>0.45</v>
      </c>
      <c r="M304" s="384">
        <f t="shared" si="49"/>
        <v>5.4</v>
      </c>
      <c r="N304" s="384">
        <f t="shared" si="46"/>
        <v>54.43</v>
      </c>
      <c r="O304" s="383"/>
      <c r="P304" s="384">
        <f t="shared" si="50"/>
        <v>54</v>
      </c>
      <c r="Q304" s="384">
        <f>'5.Консультація Лікаря'!E163</f>
        <v>54</v>
      </c>
      <c r="R304" s="384">
        <f t="shared" si="47"/>
        <v>0</v>
      </c>
      <c r="S304" s="384"/>
      <c r="T304" s="384"/>
      <c r="U304" s="384"/>
      <c r="V304" s="384"/>
      <c r="W304" s="384"/>
      <c r="X304" s="384"/>
      <c r="Y304" s="384"/>
      <c r="Z304" s="763" t="str">
        <f>'5.Консультація Лікаря'!K7</f>
        <v>Консультативна медична допомога лікаря-ендокринолога</v>
      </c>
      <c r="AA304" s="755"/>
      <c r="AB304" s="755"/>
      <c r="AC304" s="748"/>
      <c r="AD304" s="748"/>
      <c r="AE304" s="748"/>
      <c r="AF304" s="748"/>
      <c r="AG304" s="748"/>
      <c r="AH304" s="748"/>
      <c r="AI304" s="748"/>
      <c r="AJ304" s="748"/>
      <c r="AK304" s="748"/>
      <c r="AL304" s="748"/>
      <c r="AM304" s="748"/>
      <c r="AN304" s="748"/>
      <c r="AO304" s="375"/>
      <c r="AP304" s="375"/>
      <c r="AQ304" s="375"/>
      <c r="AR304" s="375"/>
      <c r="AS304" s="375"/>
      <c r="AT304" s="375"/>
      <c r="AU304" s="375"/>
      <c r="AV304" s="375"/>
      <c r="AW304" s="375"/>
      <c r="AX304" s="375"/>
      <c r="AY304" s="375"/>
      <c r="AZ304" s="375"/>
      <c r="BA304" s="375"/>
      <c r="BB304" s="375"/>
      <c r="BC304" s="375"/>
      <c r="BD304" s="375"/>
      <c r="BE304" s="375"/>
      <c r="BF304" s="375"/>
      <c r="BG304" s="375"/>
      <c r="BH304" s="375"/>
      <c r="BI304" s="375"/>
      <c r="BJ304" s="375"/>
      <c r="BK304" s="375"/>
      <c r="BL304" s="375"/>
      <c r="BM304" s="375"/>
      <c r="BN304" s="375"/>
      <c r="BO304" s="375"/>
    </row>
    <row r="305" spans="1:67" s="6" customFormat="1" x14ac:dyDescent="0.45">
      <c r="A305" s="517"/>
      <c r="B305" s="381" t="s">
        <v>711</v>
      </c>
      <c r="C305" s="385" t="s">
        <v>1092</v>
      </c>
      <c r="D305" s="383">
        <f>'5.Консультація Лікаря'!E225+'5.Консультація Лікаря'!E226</f>
        <v>42.55</v>
      </c>
      <c r="E305" s="383">
        <f>'5.Консультація Лікаря'!E228</f>
        <v>9.36</v>
      </c>
      <c r="F305" s="383">
        <f>'5.Консультація Лікаря'!F240</f>
        <v>3.26</v>
      </c>
      <c r="G305" s="383">
        <f>'5.Консультація Лікаря'!G245</f>
        <v>0.2</v>
      </c>
      <c r="H305" s="384">
        <f t="shared" si="48"/>
        <v>55.37</v>
      </c>
      <c r="I305" s="383">
        <f>'5.Консультація Лікаря'!G251+'5.Консультація Лікаря'!G256</f>
        <v>4.95</v>
      </c>
      <c r="J305" s="383">
        <f>'5.Консультація Лікаря'!G252+'5.Консультація Лікаря'!G257</f>
        <v>0</v>
      </c>
      <c r="K305" s="383">
        <f>'5.Консультація Лікаря'!G253+'5.Консультація Лікаря'!G258</f>
        <v>0</v>
      </c>
      <c r="L305" s="383">
        <f>'5.Консультація Лікаря'!G254+'5.Консультація Лікаря'!G259</f>
        <v>0.45</v>
      </c>
      <c r="M305" s="384">
        <f t="shared" si="49"/>
        <v>5.4</v>
      </c>
      <c r="N305" s="384">
        <f t="shared" si="46"/>
        <v>60.769999999999996</v>
      </c>
      <c r="O305" s="383"/>
      <c r="P305" s="384">
        <f t="shared" si="50"/>
        <v>61</v>
      </c>
      <c r="Q305" s="384">
        <f>'5.Консультація Лікаря'!E216</f>
        <v>61</v>
      </c>
      <c r="R305" s="384">
        <f t="shared" si="47"/>
        <v>0</v>
      </c>
      <c r="S305" s="384"/>
      <c r="T305" s="384"/>
      <c r="U305" s="384"/>
      <c r="V305" s="384"/>
      <c r="W305" s="384"/>
      <c r="X305" s="384"/>
      <c r="Y305" s="384"/>
      <c r="Z305" s="763" t="str">
        <f>'5.Консультація Лікаря'!K8</f>
        <v>Консультативна медична допомога лікаря-отоларинголога</v>
      </c>
      <c r="AA305" s="755"/>
      <c r="AB305" s="755"/>
      <c r="AC305" s="748"/>
      <c r="AD305" s="748"/>
      <c r="AE305" s="748"/>
      <c r="AF305" s="748"/>
      <c r="AG305" s="748"/>
      <c r="AH305" s="748"/>
      <c r="AI305" s="748"/>
      <c r="AJ305" s="748"/>
      <c r="AK305" s="748"/>
      <c r="AL305" s="748"/>
      <c r="AM305" s="748"/>
      <c r="AN305" s="748"/>
      <c r="AO305" s="375"/>
      <c r="AP305" s="375"/>
      <c r="AQ305" s="375"/>
      <c r="AR305" s="375"/>
      <c r="AS305" s="375"/>
      <c r="AT305" s="375"/>
      <c r="AU305" s="375"/>
      <c r="AV305" s="375"/>
      <c r="AW305" s="375"/>
      <c r="AX305" s="375"/>
      <c r="AY305" s="375"/>
      <c r="AZ305" s="375"/>
      <c r="BA305" s="375"/>
      <c r="BB305" s="375"/>
      <c r="BC305" s="375"/>
      <c r="BD305" s="375"/>
      <c r="BE305" s="375"/>
      <c r="BF305" s="375"/>
      <c r="BG305" s="375"/>
      <c r="BH305" s="375"/>
      <c r="BI305" s="375"/>
      <c r="BJ305" s="375"/>
      <c r="BK305" s="375"/>
      <c r="BL305" s="375"/>
      <c r="BM305" s="375"/>
      <c r="BN305" s="375"/>
      <c r="BO305" s="375"/>
    </row>
    <row r="306" spans="1:67" s="6" customFormat="1" x14ac:dyDescent="0.45">
      <c r="A306" s="517"/>
      <c r="B306" s="381" t="s">
        <v>712</v>
      </c>
      <c r="C306" s="385" t="s">
        <v>713</v>
      </c>
      <c r="D306" s="383">
        <f>'5.Консультація Лікаря'!E278+'5.Консультація Лікаря'!E279</f>
        <v>40.549999999999997</v>
      </c>
      <c r="E306" s="383">
        <f>'5.Консультація Лікаря'!E281</f>
        <v>8.92</v>
      </c>
      <c r="F306" s="383">
        <f>'5.Консультація Лікаря'!F293</f>
        <v>3.6199999999999997</v>
      </c>
      <c r="G306" s="383">
        <f>'5.Консультація Лікаря'!G298</f>
        <v>0.2</v>
      </c>
      <c r="H306" s="384">
        <f t="shared" si="48"/>
        <v>53.29</v>
      </c>
      <c r="I306" s="383">
        <f>'5.Консультація Лікаря'!G304+'5.Консультація Лікаря'!G309</f>
        <v>4.95</v>
      </c>
      <c r="J306" s="383">
        <f>'5.Консультація Лікаря'!G305+'5.Консультація Лікаря'!G310</f>
        <v>0</v>
      </c>
      <c r="K306" s="383">
        <f>'5.Консультація Лікаря'!G306+'5.Консультація Лікаря'!G311</f>
        <v>0</v>
      </c>
      <c r="L306" s="383">
        <f>'5.Консультація Лікаря'!G307+'5.Консультація Лікаря'!G312</f>
        <v>0.45</v>
      </c>
      <c r="M306" s="384">
        <f t="shared" si="49"/>
        <v>5.4</v>
      </c>
      <c r="N306" s="384">
        <f t="shared" si="46"/>
        <v>58.69</v>
      </c>
      <c r="O306" s="383"/>
      <c r="P306" s="384">
        <f t="shared" si="50"/>
        <v>59</v>
      </c>
      <c r="Q306" s="384">
        <f>'5.Консультація Лікаря'!E269</f>
        <v>59</v>
      </c>
      <c r="R306" s="384">
        <f t="shared" si="47"/>
        <v>0</v>
      </c>
      <c r="S306" s="384"/>
      <c r="T306" s="384"/>
      <c r="U306" s="384"/>
      <c r="V306" s="384"/>
      <c r="W306" s="384"/>
      <c r="X306" s="384"/>
      <c r="Y306" s="384"/>
      <c r="Z306" s="763" t="str">
        <f>'5.Консультація Лікаря'!K9</f>
        <v>Консультативна медична допомога лікаря-офтальмолога</v>
      </c>
      <c r="AA306" s="755"/>
      <c r="AB306" s="755"/>
      <c r="AC306" s="748"/>
      <c r="AD306" s="748"/>
      <c r="AE306" s="748"/>
      <c r="AF306" s="748"/>
      <c r="AG306" s="748"/>
      <c r="AH306" s="748"/>
      <c r="AI306" s="748"/>
      <c r="AJ306" s="748"/>
      <c r="AK306" s="748"/>
      <c r="AL306" s="748"/>
      <c r="AM306" s="748"/>
      <c r="AN306" s="748"/>
      <c r="AO306" s="375"/>
      <c r="AP306" s="375"/>
      <c r="AQ306" s="375"/>
      <c r="AR306" s="375"/>
      <c r="AS306" s="375"/>
      <c r="AT306" s="375"/>
      <c r="AU306" s="375"/>
      <c r="AV306" s="375"/>
      <c r="AW306" s="375"/>
      <c r="AX306" s="375"/>
      <c r="AY306" s="375"/>
      <c r="AZ306" s="375"/>
      <c r="BA306" s="375"/>
      <c r="BB306" s="375"/>
      <c r="BC306" s="375"/>
      <c r="BD306" s="375"/>
      <c r="BE306" s="375"/>
      <c r="BF306" s="375"/>
      <c r="BG306" s="375"/>
      <c r="BH306" s="375"/>
      <c r="BI306" s="375"/>
      <c r="BJ306" s="375"/>
      <c r="BK306" s="375"/>
      <c r="BL306" s="375"/>
      <c r="BM306" s="375"/>
      <c r="BN306" s="375"/>
      <c r="BO306" s="375"/>
    </row>
    <row r="307" spans="1:67" s="6" customFormat="1" x14ac:dyDescent="0.45">
      <c r="A307" s="517"/>
      <c r="B307" s="381" t="s">
        <v>714</v>
      </c>
      <c r="C307" s="385" t="s">
        <v>717</v>
      </c>
      <c r="D307" s="383">
        <f>'5.Консультація Лікаря'!E332+'5.Консультація Лікаря'!E333</f>
        <v>52.05</v>
      </c>
      <c r="E307" s="383">
        <f>'5.Консультація Лікаря'!E335</f>
        <v>11.45</v>
      </c>
      <c r="F307" s="383">
        <f>'5.Консультація Лікаря'!F347</f>
        <v>3.38</v>
      </c>
      <c r="G307" s="383">
        <f>'5.Консультація Лікаря'!G352</f>
        <v>0.2</v>
      </c>
      <c r="H307" s="384">
        <f t="shared" si="48"/>
        <v>67.08</v>
      </c>
      <c r="I307" s="383">
        <f>'5.Консультація Лікаря'!G358+'5.Консультація Лікаря'!G363</f>
        <v>4.95</v>
      </c>
      <c r="J307" s="383">
        <f>'5.Консультація Лікаря'!G359+'5.Консультація Лікаря'!G364</f>
        <v>0</v>
      </c>
      <c r="K307" s="383">
        <f>'5.Консультація Лікаря'!G360+'5.Консультація Лікаря'!G365</f>
        <v>0</v>
      </c>
      <c r="L307" s="383">
        <f>'5.Консультація Лікаря'!G361+'5.Консультація Лікаря'!G366</f>
        <v>0.9</v>
      </c>
      <c r="M307" s="384">
        <f t="shared" si="49"/>
        <v>5.8500000000000005</v>
      </c>
      <c r="N307" s="384">
        <f t="shared" si="46"/>
        <v>72.929999999999993</v>
      </c>
      <c r="O307" s="383"/>
      <c r="P307" s="384">
        <f t="shared" si="50"/>
        <v>73</v>
      </c>
      <c r="Q307" s="384">
        <f>'5.Консультація Лікаря'!E323</f>
        <v>73</v>
      </c>
      <c r="R307" s="384">
        <f t="shared" si="47"/>
        <v>0</v>
      </c>
      <c r="S307" s="384"/>
      <c r="T307" s="384"/>
      <c r="U307" s="384"/>
      <c r="V307" s="384"/>
      <c r="W307" s="384"/>
      <c r="X307" s="384"/>
      <c r="Y307" s="384"/>
      <c r="Z307" s="763" t="str">
        <f>'5.Консультація Лікаря'!K10</f>
        <v>Консультативна медична допомога лікаря-інфекціоніста</v>
      </c>
      <c r="AA307" s="755"/>
      <c r="AB307" s="755"/>
      <c r="AC307" s="748"/>
      <c r="AD307" s="748"/>
      <c r="AE307" s="748"/>
      <c r="AF307" s="748"/>
      <c r="AG307" s="748"/>
      <c r="AH307" s="748"/>
      <c r="AI307" s="748"/>
      <c r="AJ307" s="748"/>
      <c r="AK307" s="748"/>
      <c r="AL307" s="748"/>
      <c r="AM307" s="748"/>
      <c r="AN307" s="748"/>
      <c r="AO307" s="375"/>
      <c r="AP307" s="375"/>
      <c r="AQ307" s="375"/>
      <c r="AR307" s="375"/>
      <c r="AS307" s="375"/>
      <c r="AT307" s="375"/>
      <c r="AU307" s="375"/>
      <c r="AV307" s="375"/>
      <c r="AW307" s="375"/>
      <c r="AX307" s="375"/>
      <c r="AY307" s="375"/>
      <c r="AZ307" s="375"/>
      <c r="BA307" s="375"/>
      <c r="BB307" s="375"/>
      <c r="BC307" s="375"/>
      <c r="BD307" s="375"/>
      <c r="BE307" s="375"/>
      <c r="BF307" s="375"/>
      <c r="BG307" s="375"/>
      <c r="BH307" s="375"/>
      <c r="BI307" s="375"/>
      <c r="BJ307" s="375"/>
      <c r="BK307" s="375"/>
      <c r="BL307" s="375"/>
      <c r="BM307" s="375"/>
      <c r="BN307" s="375"/>
      <c r="BO307" s="375"/>
    </row>
    <row r="308" spans="1:67" s="6" customFormat="1" x14ac:dyDescent="0.45">
      <c r="A308" s="517"/>
      <c r="B308" s="381" t="s">
        <v>716</v>
      </c>
      <c r="C308" s="385" t="s">
        <v>719</v>
      </c>
      <c r="D308" s="383">
        <f>'5.Консультація Лікаря'!E385+'5.Консультація Лікаря'!E386</f>
        <v>42.55</v>
      </c>
      <c r="E308" s="383">
        <f>'5.Консультація Лікаря'!E388</f>
        <v>9.36</v>
      </c>
      <c r="F308" s="383">
        <f>'5.Консультація Лікаря'!F400</f>
        <v>3.38</v>
      </c>
      <c r="G308" s="383">
        <f>'5.Консультація Лікаря'!G405</f>
        <v>0.2</v>
      </c>
      <c r="H308" s="384">
        <f t="shared" si="48"/>
        <v>55.49</v>
      </c>
      <c r="I308" s="383">
        <f>'5.Консультація Лікаря'!G411+'5.Консультація Лікаря'!G416</f>
        <v>4.95</v>
      </c>
      <c r="J308" s="383">
        <f>'5.Консультація Лікаря'!G412+'5.Консультація Лікаря'!G417</f>
        <v>0</v>
      </c>
      <c r="K308" s="383">
        <f>'5.Консультація Лікаря'!G413+'5.Консультація Лікаря'!G418</f>
        <v>0</v>
      </c>
      <c r="L308" s="383">
        <f>'5.Консультація Лікаря'!G414+'5.Консультація Лікаря'!G419</f>
        <v>0.45</v>
      </c>
      <c r="M308" s="384">
        <f t="shared" si="49"/>
        <v>5.4</v>
      </c>
      <c r="N308" s="384">
        <f t="shared" si="46"/>
        <v>60.89</v>
      </c>
      <c r="O308" s="383"/>
      <c r="P308" s="384">
        <f t="shared" si="50"/>
        <v>61</v>
      </c>
      <c r="Q308" s="384">
        <f>'5.Консультація Лікаря'!E376</f>
        <v>61</v>
      </c>
      <c r="R308" s="384">
        <f t="shared" si="47"/>
        <v>0</v>
      </c>
      <c r="S308" s="384"/>
      <c r="T308" s="384"/>
      <c r="U308" s="384"/>
      <c r="V308" s="384"/>
      <c r="W308" s="384"/>
      <c r="X308" s="384"/>
      <c r="Y308" s="384"/>
      <c r="Z308" s="763" t="str">
        <f>'5.Консультація Лікаря'!K11</f>
        <v>Консультативна медична допомога лікаря-ортопеда-травматолога</v>
      </c>
      <c r="AA308" s="755"/>
      <c r="AB308" s="755"/>
      <c r="AC308" s="748"/>
      <c r="AD308" s="748"/>
      <c r="AE308" s="748"/>
      <c r="AF308" s="748"/>
      <c r="AG308" s="748"/>
      <c r="AH308" s="748"/>
      <c r="AI308" s="748"/>
      <c r="AJ308" s="748"/>
      <c r="AK308" s="748"/>
      <c r="AL308" s="748"/>
      <c r="AM308" s="748"/>
      <c r="AN308" s="748"/>
      <c r="AO308" s="375"/>
      <c r="AP308" s="375"/>
      <c r="AQ308" s="375"/>
      <c r="AR308" s="375"/>
      <c r="AS308" s="375"/>
      <c r="AT308" s="375"/>
      <c r="AU308" s="375"/>
      <c r="AV308" s="375"/>
      <c r="AW308" s="375"/>
      <c r="AX308" s="375"/>
      <c r="AY308" s="375"/>
      <c r="AZ308" s="375"/>
      <c r="BA308" s="375"/>
      <c r="BB308" s="375"/>
      <c r="BC308" s="375"/>
      <c r="BD308" s="375"/>
      <c r="BE308" s="375"/>
      <c r="BF308" s="375"/>
      <c r="BG308" s="375"/>
      <c r="BH308" s="375"/>
      <c r="BI308" s="375"/>
      <c r="BJ308" s="375"/>
      <c r="BK308" s="375"/>
      <c r="BL308" s="375"/>
      <c r="BM308" s="375"/>
      <c r="BN308" s="375"/>
      <c r="BO308" s="375"/>
    </row>
    <row r="309" spans="1:67" s="6" customFormat="1" x14ac:dyDescent="0.45">
      <c r="A309" s="517"/>
      <c r="B309" s="381" t="s">
        <v>718</v>
      </c>
      <c r="C309" s="385" t="s">
        <v>723</v>
      </c>
      <c r="D309" s="383">
        <f>'5.Консультація Лікаря'!E438+'5.Консультація Лікаря'!E439</f>
        <v>33.799999999999997</v>
      </c>
      <c r="E309" s="383">
        <f>'5.Консультація Лікаря'!E441</f>
        <v>7.44</v>
      </c>
      <c r="F309" s="383">
        <f>'5.Консультація Лікаря'!F453</f>
        <v>3.32</v>
      </c>
      <c r="G309" s="383">
        <f>'5.Консультація Лікаря'!G458</f>
        <v>0.2</v>
      </c>
      <c r="H309" s="384">
        <f t="shared" si="48"/>
        <v>44.76</v>
      </c>
      <c r="I309" s="383">
        <f>'5.Консультація Лікаря'!G464+'5.Консультація Лікаря'!G469</f>
        <v>4.95</v>
      </c>
      <c r="J309" s="383">
        <f>'5.Консультація Лікаря'!G465+'5.Консультація Лікаря'!G470</f>
        <v>0</v>
      </c>
      <c r="K309" s="383">
        <f>'5.Консультація Лікаря'!G466+'5.Консультація Лікаря'!G471</f>
        <v>0</v>
      </c>
      <c r="L309" s="383">
        <f>'5.Консультація Лікаря'!G467+'5.Консультація Лікаря'!G472</f>
        <v>0.45</v>
      </c>
      <c r="M309" s="384">
        <f t="shared" si="49"/>
        <v>5.4</v>
      </c>
      <c r="N309" s="384">
        <f t="shared" si="46"/>
        <v>50.16</v>
      </c>
      <c r="O309" s="383"/>
      <c r="P309" s="384">
        <f t="shared" si="50"/>
        <v>50</v>
      </c>
      <c r="Q309" s="384">
        <f>'5.Консультація Лікаря'!E429</f>
        <v>50</v>
      </c>
      <c r="R309" s="384">
        <f t="shared" si="47"/>
        <v>0</v>
      </c>
      <c r="S309" s="384"/>
      <c r="T309" s="384"/>
      <c r="U309" s="384"/>
      <c r="V309" s="384"/>
      <c r="W309" s="384"/>
      <c r="X309" s="384"/>
      <c r="Y309" s="384"/>
      <c r="Z309" s="763" t="str">
        <f>'5.Консультація Лікаря'!K12</f>
        <v>Консультативна медична допомога лікаря-хірурга</v>
      </c>
      <c r="AA309" s="755"/>
      <c r="AB309" s="755"/>
      <c r="AC309" s="748"/>
      <c r="AD309" s="748"/>
      <c r="AE309" s="748"/>
      <c r="AF309" s="748"/>
      <c r="AG309" s="748"/>
      <c r="AH309" s="748"/>
      <c r="AI309" s="748"/>
      <c r="AJ309" s="748"/>
      <c r="AK309" s="748"/>
      <c r="AL309" s="748"/>
      <c r="AM309" s="748"/>
      <c r="AN309" s="748"/>
      <c r="AO309" s="375"/>
      <c r="AP309" s="375"/>
      <c r="AQ309" s="375"/>
      <c r="AR309" s="375"/>
      <c r="AS309" s="375"/>
      <c r="AT309" s="375"/>
      <c r="AU309" s="375"/>
      <c r="AV309" s="375"/>
      <c r="AW309" s="375"/>
      <c r="AX309" s="375"/>
      <c r="AY309" s="375"/>
      <c r="AZ309" s="375"/>
      <c r="BA309" s="375"/>
      <c r="BB309" s="375"/>
      <c r="BC309" s="375"/>
      <c r="BD309" s="375"/>
      <c r="BE309" s="375"/>
      <c r="BF309" s="375"/>
      <c r="BG309" s="375"/>
      <c r="BH309" s="375"/>
      <c r="BI309" s="375"/>
      <c r="BJ309" s="375"/>
      <c r="BK309" s="375"/>
      <c r="BL309" s="375"/>
      <c r="BM309" s="375"/>
      <c r="BN309" s="375"/>
      <c r="BO309" s="375"/>
    </row>
    <row r="310" spans="1:67" s="6" customFormat="1" x14ac:dyDescent="0.45">
      <c r="A310" s="517"/>
      <c r="B310" s="381" t="s">
        <v>720</v>
      </c>
      <c r="C310" s="385" t="s">
        <v>725</v>
      </c>
      <c r="D310" s="383">
        <f>'5.Консультація Лікаря'!E491+'5.Консультація Лікаря'!E492</f>
        <v>37.299999999999997</v>
      </c>
      <c r="E310" s="383">
        <f>'5.Консультація Лікаря'!E494</f>
        <v>8.2100000000000009</v>
      </c>
      <c r="F310" s="383">
        <f>'5.Консультація Лікаря'!F506</f>
        <v>3.32</v>
      </c>
      <c r="G310" s="383">
        <f>'5.Консультація Лікаря'!G511</f>
        <v>0.2</v>
      </c>
      <c r="H310" s="384">
        <f t="shared" si="48"/>
        <v>49.03</v>
      </c>
      <c r="I310" s="383">
        <f>'5.Консультація Лікаря'!G517+'5.Консультація Лікаря'!G522</f>
        <v>4.95</v>
      </c>
      <c r="J310" s="383">
        <f>'5.Консультація Лікаря'!G518+'5.Консультація Лікаря'!G523</f>
        <v>0</v>
      </c>
      <c r="K310" s="383">
        <f>'5.Консультація Лікаря'!G519+'5.Консультація Лікаря'!G524</f>
        <v>0</v>
      </c>
      <c r="L310" s="383">
        <f>'5.Консультація Лікаря'!G520+'5.Консультація Лікаря'!G525</f>
        <v>0.45</v>
      </c>
      <c r="M310" s="384">
        <f t="shared" si="49"/>
        <v>5.4</v>
      </c>
      <c r="N310" s="384">
        <f t="shared" si="46"/>
        <v>54.43</v>
      </c>
      <c r="O310" s="383"/>
      <c r="P310" s="384">
        <f t="shared" si="50"/>
        <v>54</v>
      </c>
      <c r="Q310" s="384">
        <f>'5.Консультація Лікаря'!E482</f>
        <v>54</v>
      </c>
      <c r="R310" s="384">
        <f t="shared" si="47"/>
        <v>0</v>
      </c>
      <c r="S310" s="384"/>
      <c r="T310" s="384"/>
      <c r="U310" s="384"/>
      <c r="V310" s="384"/>
      <c r="W310" s="384"/>
      <c r="X310" s="384"/>
      <c r="Y310" s="384"/>
      <c r="Z310" s="763" t="str">
        <f>'5.Консультація Лікаря'!K13</f>
        <v>Консультативна медична допомога лікаря-уролога</v>
      </c>
      <c r="AA310" s="755"/>
      <c r="AB310" s="755"/>
      <c r="AC310" s="748"/>
      <c r="AD310" s="748"/>
      <c r="AE310" s="748"/>
      <c r="AF310" s="748"/>
      <c r="AG310" s="748"/>
      <c r="AH310" s="748"/>
      <c r="AI310" s="748"/>
      <c r="AJ310" s="748"/>
      <c r="AK310" s="748"/>
      <c r="AL310" s="748"/>
      <c r="AM310" s="748"/>
      <c r="AN310" s="748"/>
      <c r="AO310" s="375"/>
      <c r="AP310" s="375"/>
      <c r="AQ310" s="375"/>
      <c r="AR310" s="375"/>
      <c r="AS310" s="375"/>
      <c r="AT310" s="375"/>
      <c r="AU310" s="375"/>
      <c r="AV310" s="375"/>
      <c r="AW310" s="375"/>
      <c r="AX310" s="375"/>
      <c r="AY310" s="375"/>
      <c r="AZ310" s="375"/>
      <c r="BA310" s="375"/>
      <c r="BB310" s="375"/>
      <c r="BC310" s="375"/>
      <c r="BD310" s="375"/>
      <c r="BE310" s="375"/>
      <c r="BF310" s="375"/>
      <c r="BG310" s="375"/>
      <c r="BH310" s="375"/>
      <c r="BI310" s="375"/>
      <c r="BJ310" s="375"/>
      <c r="BK310" s="375"/>
      <c r="BL310" s="375"/>
      <c r="BM310" s="375"/>
      <c r="BN310" s="375"/>
      <c r="BO310" s="375"/>
    </row>
    <row r="311" spans="1:67" s="6" customFormat="1" x14ac:dyDescent="0.45">
      <c r="A311" s="517"/>
      <c r="B311" s="381" t="s">
        <v>722</v>
      </c>
      <c r="C311" s="385" t="s">
        <v>727</v>
      </c>
      <c r="D311" s="383">
        <f>'5.Консультація Лікаря'!E544+'5.Консультація Лікаря'!E545</f>
        <v>47.75</v>
      </c>
      <c r="E311" s="383">
        <f>'5.Консультація Лікаря'!E547</f>
        <v>10.51</v>
      </c>
      <c r="F311" s="383">
        <f>'5.Консультація Лікаря'!F559</f>
        <v>3.68</v>
      </c>
      <c r="G311" s="383">
        <f>'5.Консультація Лікаря'!G564</f>
        <v>0.2</v>
      </c>
      <c r="H311" s="384">
        <f t="shared" si="48"/>
        <v>62.14</v>
      </c>
      <c r="I311" s="383">
        <f>'5.Консультація Лікаря'!G570+'5.Консультація Лікаря'!G575</f>
        <v>4.95</v>
      </c>
      <c r="J311" s="383">
        <f>'5.Консультація Лікаря'!G571+'5.Консультація Лікаря'!G576</f>
        <v>0</v>
      </c>
      <c r="K311" s="383">
        <f>'5.Консультація Лікаря'!G572+'5.Консультація Лікаря'!G577</f>
        <v>0</v>
      </c>
      <c r="L311" s="383">
        <f>'5.Консультація Лікаря'!G573+'5.Консультація Лікаря'!G578</f>
        <v>0.45</v>
      </c>
      <c r="M311" s="384">
        <f t="shared" si="49"/>
        <v>5.4</v>
      </c>
      <c r="N311" s="384">
        <f t="shared" si="46"/>
        <v>67.540000000000006</v>
      </c>
      <c r="O311" s="383"/>
      <c r="P311" s="384">
        <f t="shared" si="50"/>
        <v>68</v>
      </c>
      <c r="Q311" s="384">
        <f>'5.Консультація Лікаря'!E535</f>
        <v>68</v>
      </c>
      <c r="R311" s="384">
        <f t="shared" si="47"/>
        <v>0</v>
      </c>
      <c r="S311" s="384"/>
      <c r="T311" s="384"/>
      <c r="U311" s="384"/>
      <c r="V311" s="384"/>
      <c r="W311" s="384"/>
      <c r="X311" s="384"/>
      <c r="Y311" s="384"/>
      <c r="Z311" s="763" t="str">
        <f>'5.Консультація Лікаря'!K14</f>
        <v>Консультативна медична допомога лікаря-фізіотерапевта</v>
      </c>
      <c r="AA311" s="755"/>
      <c r="AB311" s="755"/>
      <c r="AC311" s="748"/>
      <c r="AD311" s="748"/>
      <c r="AE311" s="748"/>
      <c r="AF311" s="748"/>
      <c r="AG311" s="748"/>
      <c r="AH311" s="748"/>
      <c r="AI311" s="748"/>
      <c r="AJ311" s="748"/>
      <c r="AK311" s="748"/>
      <c r="AL311" s="748"/>
      <c r="AM311" s="748"/>
      <c r="AN311" s="748"/>
      <c r="AO311" s="375"/>
      <c r="AP311" s="375"/>
      <c r="AQ311" s="375"/>
      <c r="AR311" s="375"/>
      <c r="AS311" s="375"/>
      <c r="AT311" s="375"/>
      <c r="AU311" s="375"/>
      <c r="AV311" s="375"/>
      <c r="AW311" s="375"/>
      <c r="AX311" s="375"/>
      <c r="AY311" s="375"/>
      <c r="AZ311" s="375"/>
      <c r="BA311" s="375"/>
      <c r="BB311" s="375"/>
      <c r="BC311" s="375"/>
      <c r="BD311" s="375"/>
      <c r="BE311" s="375"/>
      <c r="BF311" s="375"/>
      <c r="BG311" s="375"/>
      <c r="BH311" s="375"/>
      <c r="BI311" s="375"/>
      <c r="BJ311" s="375"/>
      <c r="BK311" s="375"/>
      <c r="BL311" s="375"/>
      <c r="BM311" s="375"/>
      <c r="BN311" s="375"/>
      <c r="BO311" s="375"/>
    </row>
    <row r="312" spans="1:67" s="6" customFormat="1" x14ac:dyDescent="0.45">
      <c r="A312" s="517"/>
      <c r="B312" s="376"/>
      <c r="C312" s="394"/>
      <c r="D312" s="378"/>
      <c r="E312" s="378"/>
      <c r="F312" s="378"/>
      <c r="G312" s="378"/>
      <c r="H312" s="380"/>
      <c r="I312" s="378"/>
      <c r="J312" s="378"/>
      <c r="K312" s="378"/>
      <c r="L312" s="378"/>
      <c r="M312" s="380"/>
      <c r="N312" s="380"/>
      <c r="O312" s="378"/>
      <c r="P312" s="380"/>
      <c r="Q312" s="380"/>
      <c r="R312" s="384"/>
      <c r="S312" s="378"/>
      <c r="T312" s="378"/>
      <c r="U312" s="378"/>
      <c r="V312" s="378"/>
      <c r="W312" s="378"/>
      <c r="X312" s="380"/>
      <c r="Y312" s="380"/>
      <c r="Z312" s="763"/>
      <c r="AA312" s="755"/>
      <c r="AB312" s="755"/>
      <c r="AC312" s="748"/>
      <c r="AD312" s="748"/>
      <c r="AE312" s="748"/>
      <c r="AF312" s="748"/>
      <c r="AG312" s="748"/>
      <c r="AH312" s="748"/>
      <c r="AI312" s="748"/>
      <c r="AJ312" s="748"/>
      <c r="AK312" s="748"/>
      <c r="AL312" s="748"/>
      <c r="AM312" s="748"/>
      <c r="AN312" s="748"/>
      <c r="AO312" s="375"/>
      <c r="AP312" s="375"/>
      <c r="AQ312" s="375"/>
      <c r="AR312" s="375"/>
      <c r="AS312" s="375"/>
      <c r="AT312" s="375"/>
      <c r="AU312" s="375"/>
      <c r="AV312" s="375"/>
      <c r="AW312" s="375"/>
      <c r="AX312" s="375"/>
      <c r="AY312" s="375"/>
      <c r="AZ312" s="375"/>
      <c r="BA312" s="375"/>
      <c r="BB312" s="375"/>
      <c r="BC312" s="375"/>
      <c r="BD312" s="375"/>
      <c r="BE312" s="375"/>
      <c r="BF312" s="375"/>
      <c r="BG312" s="375"/>
      <c r="BH312" s="375"/>
      <c r="BI312" s="375"/>
      <c r="BJ312" s="375"/>
      <c r="BK312" s="375"/>
      <c r="BL312" s="375"/>
      <c r="BM312" s="375"/>
      <c r="BN312" s="375"/>
      <c r="BO312" s="375"/>
    </row>
    <row r="313" spans="1:67" s="6" customFormat="1" ht="33.6" x14ac:dyDescent="0.45">
      <c r="A313" s="517"/>
      <c r="B313" s="376">
        <v>6</v>
      </c>
      <c r="C313" s="394" t="s">
        <v>165</v>
      </c>
      <c r="D313" s="383">
        <f>'6.Штучне п.в.'!E15+'6.Штучне п.в.'!E16+'6.Штучне п.в.'!E17+'6.Штучне п.в.'!E18</f>
        <v>121.80000000000001</v>
      </c>
      <c r="E313" s="378">
        <f>'6.Штучне п.в.'!E20</f>
        <v>26.8</v>
      </c>
      <c r="F313" s="383">
        <f>'6.Штучне п.в.'!E22</f>
        <v>363.78</v>
      </c>
      <c r="G313" s="383">
        <f>'6.Штучне п.в.'!G48</f>
        <v>0.3</v>
      </c>
      <c r="H313" s="384">
        <f t="shared" si="48"/>
        <v>512.67999999999995</v>
      </c>
      <c r="I313" s="383">
        <f>'6.Штучне п.в.'!G54+'6.Штучне п.в.'!G59</f>
        <v>6.6</v>
      </c>
      <c r="J313" s="383">
        <f>'6.Штучне п.в.'!G55+'6.Штучне п.в.'!G60</f>
        <v>0</v>
      </c>
      <c r="K313" s="383">
        <f>'6.Штучне п.в.'!G56+'6.Штучне п.в.'!G61</f>
        <v>0</v>
      </c>
      <c r="L313" s="383">
        <f>'6.Штучне п.в.'!G57+'6.Штучне п.в.'!G62</f>
        <v>0.6</v>
      </c>
      <c r="M313" s="384">
        <f>SUM(I313:L313)</f>
        <v>7.1999999999999993</v>
      </c>
      <c r="N313" s="384">
        <f t="shared" si="46"/>
        <v>519.88</v>
      </c>
      <c r="O313" s="378"/>
      <c r="P313" s="384">
        <f>ROUND(N313,1)</f>
        <v>519.9</v>
      </c>
      <c r="Q313" s="384">
        <f>'6.Штучне п.в.'!E4</f>
        <v>520</v>
      </c>
      <c r="R313" s="384">
        <f t="shared" si="47"/>
        <v>-0.10000000000002274</v>
      </c>
      <c r="S313" s="378"/>
      <c r="T313" s="378"/>
      <c r="U313" s="378"/>
      <c r="V313" s="378"/>
      <c r="W313" s="378"/>
      <c r="X313" s="380"/>
      <c r="Y313" s="380"/>
      <c r="Z313" s="754"/>
      <c r="AA313" s="755"/>
      <c r="AB313" s="755"/>
      <c r="AC313" s="748"/>
      <c r="AD313" s="748"/>
      <c r="AE313" s="748"/>
      <c r="AF313" s="748"/>
      <c r="AG313" s="748"/>
      <c r="AH313" s="748"/>
      <c r="AI313" s="748"/>
      <c r="AJ313" s="748"/>
      <c r="AK313" s="748"/>
      <c r="AL313" s="748"/>
      <c r="AM313" s="748"/>
      <c r="AN313" s="748"/>
      <c r="AO313" s="375"/>
      <c r="AP313" s="375"/>
      <c r="AQ313" s="375"/>
      <c r="AR313" s="375"/>
      <c r="AS313" s="375"/>
      <c r="AT313" s="375"/>
      <c r="AU313" s="375"/>
      <c r="AV313" s="375"/>
      <c r="AW313" s="375"/>
      <c r="AX313" s="375"/>
      <c r="AY313" s="375"/>
      <c r="AZ313" s="375"/>
      <c r="BA313" s="375"/>
      <c r="BB313" s="375"/>
      <c r="BC313" s="375"/>
      <c r="BD313" s="375"/>
      <c r="BE313" s="375"/>
      <c r="BF313" s="375"/>
      <c r="BG313" s="375"/>
      <c r="BH313" s="375"/>
      <c r="BI313" s="375"/>
      <c r="BJ313" s="375"/>
      <c r="BK313" s="375"/>
      <c r="BL313" s="375"/>
      <c r="BM313" s="375"/>
      <c r="BN313" s="375"/>
      <c r="BO313" s="375"/>
    </row>
    <row r="314" spans="1:67" s="6" customFormat="1" x14ac:dyDescent="0.45">
      <c r="A314" s="517"/>
      <c r="B314" s="376"/>
      <c r="C314" s="394"/>
      <c r="D314" s="378"/>
      <c r="E314" s="378"/>
      <c r="F314" s="383"/>
      <c r="G314" s="383"/>
      <c r="H314" s="384"/>
      <c r="I314" s="383"/>
      <c r="J314" s="383"/>
      <c r="K314" s="383"/>
      <c r="L314" s="378"/>
      <c r="M314" s="384"/>
      <c r="N314" s="384"/>
      <c r="O314" s="378"/>
      <c r="P314" s="384"/>
      <c r="Q314" s="384"/>
      <c r="R314" s="384"/>
      <c r="S314" s="378"/>
      <c r="T314" s="378"/>
      <c r="U314" s="378"/>
      <c r="V314" s="378"/>
      <c r="W314" s="378"/>
      <c r="X314" s="380"/>
      <c r="Y314" s="380"/>
      <c r="Z314" s="754"/>
      <c r="AA314" s="755"/>
      <c r="AB314" s="755"/>
      <c r="AC314" s="748"/>
      <c r="AD314" s="748"/>
      <c r="AE314" s="748"/>
      <c r="AF314" s="748"/>
      <c r="AG314" s="748"/>
      <c r="AH314" s="748"/>
      <c r="AI314" s="748"/>
      <c r="AJ314" s="748"/>
      <c r="AK314" s="748"/>
      <c r="AL314" s="748"/>
      <c r="AM314" s="748"/>
      <c r="AN314" s="748"/>
      <c r="AO314" s="375"/>
      <c r="AP314" s="375"/>
      <c r="AQ314" s="375"/>
      <c r="AR314" s="375"/>
      <c r="AS314" s="375"/>
      <c r="AT314" s="375"/>
      <c r="AU314" s="375"/>
      <c r="AV314" s="375"/>
      <c r="AW314" s="375"/>
      <c r="AX314" s="375"/>
      <c r="AY314" s="375"/>
      <c r="AZ314" s="375"/>
      <c r="BA314" s="375"/>
      <c r="BB314" s="375"/>
      <c r="BC314" s="375"/>
      <c r="BD314" s="375"/>
      <c r="BE314" s="375"/>
      <c r="BF314" s="375"/>
      <c r="BG314" s="375"/>
      <c r="BH314" s="375"/>
      <c r="BI314" s="375"/>
      <c r="BJ314" s="375"/>
      <c r="BK314" s="375"/>
      <c r="BL314" s="375"/>
      <c r="BM314" s="375"/>
      <c r="BN314" s="375"/>
      <c r="BO314" s="375"/>
    </row>
    <row r="315" spans="1:67" s="6" customFormat="1" x14ac:dyDescent="0.45">
      <c r="A315" s="517"/>
      <c r="B315" s="376"/>
      <c r="C315" s="394"/>
      <c r="D315" s="386" t="s">
        <v>1118</v>
      </c>
      <c r="E315" s="387">
        <v>0.22</v>
      </c>
      <c r="F315" s="386" t="s">
        <v>1119</v>
      </c>
      <c r="G315" s="386" t="s">
        <v>1125</v>
      </c>
      <c r="H315" s="388" t="s">
        <v>1120</v>
      </c>
      <c r="I315" s="386" t="s">
        <v>1121</v>
      </c>
      <c r="J315" s="386" t="s">
        <v>1122</v>
      </c>
      <c r="K315" s="386" t="s">
        <v>1126</v>
      </c>
      <c r="L315" s="386" t="s">
        <v>1123</v>
      </c>
      <c r="M315" s="388" t="s">
        <v>1127</v>
      </c>
      <c r="N315" s="388" t="s">
        <v>988</v>
      </c>
      <c r="O315" s="386" t="s">
        <v>1181</v>
      </c>
      <c r="P315" s="388" t="s">
        <v>998</v>
      </c>
      <c r="Q315" s="380"/>
      <c r="R315" s="384"/>
      <c r="S315" s="378"/>
      <c r="T315" s="378"/>
      <c r="U315" s="378"/>
      <c r="V315" s="378"/>
      <c r="W315" s="378"/>
      <c r="X315" s="380"/>
      <c r="Y315" s="380"/>
      <c r="Z315" s="754"/>
      <c r="AA315" s="755"/>
      <c r="AB315" s="755"/>
      <c r="AC315" s="748"/>
      <c r="AD315" s="748"/>
      <c r="AE315" s="748"/>
      <c r="AF315" s="748"/>
      <c r="AG315" s="748"/>
      <c r="AH315" s="748"/>
      <c r="AI315" s="748"/>
      <c r="AJ315" s="748"/>
      <c r="AK315" s="748"/>
      <c r="AL315" s="748"/>
      <c r="AM315" s="748"/>
      <c r="AN315" s="748"/>
      <c r="AO315" s="375"/>
      <c r="AP315" s="375"/>
      <c r="AQ315" s="375"/>
      <c r="AR315" s="375"/>
      <c r="AS315" s="375"/>
      <c r="AT315" s="375"/>
      <c r="AU315" s="375"/>
      <c r="AV315" s="375"/>
      <c r="AW315" s="375"/>
      <c r="AX315" s="375"/>
      <c r="AY315" s="375"/>
      <c r="AZ315" s="375"/>
      <c r="BA315" s="375"/>
      <c r="BB315" s="375"/>
      <c r="BC315" s="375"/>
      <c r="BD315" s="375"/>
      <c r="BE315" s="375"/>
      <c r="BF315" s="375"/>
      <c r="BG315" s="375"/>
      <c r="BH315" s="375"/>
      <c r="BI315" s="375"/>
      <c r="BJ315" s="375"/>
      <c r="BK315" s="375"/>
      <c r="BL315" s="375"/>
      <c r="BM315" s="375"/>
      <c r="BN315" s="375"/>
      <c r="BO315" s="375"/>
    </row>
    <row r="316" spans="1:67" s="6" customFormat="1" x14ac:dyDescent="0.45">
      <c r="A316" s="517"/>
      <c r="B316" s="376">
        <v>7</v>
      </c>
      <c r="C316" s="467" t="s">
        <v>922</v>
      </c>
      <c r="D316" s="383">
        <f>'7.Корекція Зір'!E13+'7.Корекція Зір'!E14</f>
        <v>52.8</v>
      </c>
      <c r="E316" s="383">
        <f>'7.Корекція Зір'!E16</f>
        <v>11.62</v>
      </c>
      <c r="F316" s="383">
        <f>'7.Корекція Зір'!F29</f>
        <v>3.65</v>
      </c>
      <c r="G316" s="383">
        <f>'7.Корекція Зір'!G34</f>
        <v>0.3</v>
      </c>
      <c r="H316" s="384">
        <f>SUM(D316:G316)</f>
        <v>68.37</v>
      </c>
      <c r="I316" s="383">
        <f>'7.Корекція Зір'!G40+'7.Корекція Зір'!G45</f>
        <v>6.6</v>
      </c>
      <c r="J316" s="383">
        <f>'7.Корекція Зір'!G41+'7.Корекція Зір'!G46</f>
        <v>0</v>
      </c>
      <c r="K316" s="383">
        <f>'7.Корекція Зір'!G42+'7.Корекція Зір'!G47</f>
        <v>0</v>
      </c>
      <c r="L316" s="383">
        <f>'7.Корекція Зір'!G43+'7.Корекція Зір'!G48</f>
        <v>0.6</v>
      </c>
      <c r="M316" s="384">
        <f>SUM(I316:L316)</f>
        <v>7.1999999999999993</v>
      </c>
      <c r="N316" s="384">
        <f>H316+M316</f>
        <v>75.570000000000007</v>
      </c>
      <c r="O316" s="383"/>
      <c r="P316" s="384">
        <f>ROUND(N316,0)</f>
        <v>76</v>
      </c>
      <c r="Q316" s="384">
        <f>'7.Корекція Зір'!E4</f>
        <v>76</v>
      </c>
      <c r="R316" s="384">
        <f t="shared" si="47"/>
        <v>0</v>
      </c>
      <c r="S316" s="378"/>
      <c r="T316" s="378"/>
      <c r="U316" s="378"/>
      <c r="V316" s="378"/>
      <c r="W316" s="378"/>
      <c r="X316" s="380"/>
      <c r="Y316" s="380"/>
      <c r="Z316" s="754"/>
      <c r="AA316" s="755"/>
      <c r="AB316" s="755"/>
      <c r="AC316" s="748"/>
      <c r="AD316" s="748"/>
      <c r="AE316" s="748"/>
      <c r="AF316" s="748"/>
      <c r="AG316" s="748"/>
      <c r="AH316" s="748"/>
      <c r="AI316" s="748"/>
      <c r="AJ316" s="748"/>
      <c r="AK316" s="748"/>
      <c r="AL316" s="748"/>
      <c r="AM316" s="748"/>
      <c r="AN316" s="748"/>
      <c r="AO316" s="375"/>
      <c r="AP316" s="375"/>
      <c r="AQ316" s="375"/>
      <c r="AR316" s="375"/>
      <c r="AS316" s="375"/>
      <c r="AT316" s="375"/>
      <c r="AU316" s="375"/>
      <c r="AV316" s="375"/>
      <c r="AW316" s="375"/>
      <c r="AX316" s="375"/>
      <c r="AY316" s="375"/>
      <c r="AZ316" s="375"/>
      <c r="BA316" s="375"/>
      <c r="BB316" s="375"/>
      <c r="BC316" s="375"/>
      <c r="BD316" s="375"/>
      <c r="BE316" s="375"/>
      <c r="BF316" s="375"/>
      <c r="BG316" s="375"/>
      <c r="BH316" s="375"/>
      <c r="BI316" s="375"/>
      <c r="BJ316" s="375"/>
      <c r="BK316" s="375"/>
      <c r="BL316" s="375"/>
      <c r="BM316" s="375"/>
      <c r="BN316" s="375"/>
      <c r="BO316" s="375"/>
    </row>
    <row r="317" spans="1:67" s="6" customFormat="1" x14ac:dyDescent="0.45">
      <c r="A317" s="517"/>
      <c r="B317" s="376"/>
      <c r="C317" s="394"/>
      <c r="D317" s="386" t="s">
        <v>1118</v>
      </c>
      <c r="E317" s="387">
        <v>0.22</v>
      </c>
      <c r="F317" s="386" t="s">
        <v>1119</v>
      </c>
      <c r="G317" s="386" t="s">
        <v>1125</v>
      </c>
      <c r="H317" s="388" t="s">
        <v>1120</v>
      </c>
      <c r="I317" s="386" t="s">
        <v>1121</v>
      </c>
      <c r="J317" s="386" t="s">
        <v>1122</v>
      </c>
      <c r="K317" s="386" t="s">
        <v>1126</v>
      </c>
      <c r="L317" s="386" t="s">
        <v>1123</v>
      </c>
      <c r="M317" s="388" t="s">
        <v>1127</v>
      </c>
      <c r="N317" s="388" t="s">
        <v>988</v>
      </c>
      <c r="O317" s="386" t="s">
        <v>1181</v>
      </c>
      <c r="P317" s="388" t="s">
        <v>998</v>
      </c>
      <c r="Q317" s="388"/>
      <c r="R317" s="384"/>
      <c r="S317" s="388"/>
      <c r="T317" s="388"/>
      <c r="U317" s="388"/>
      <c r="V317" s="388"/>
      <c r="W317" s="388"/>
      <c r="X317" s="388"/>
      <c r="Y317" s="388"/>
      <c r="Z317" s="762"/>
      <c r="AA317" s="755"/>
      <c r="AB317" s="755"/>
      <c r="AC317" s="748"/>
      <c r="AD317" s="748"/>
      <c r="AE317" s="748"/>
      <c r="AF317" s="748"/>
      <c r="AG317" s="748"/>
      <c r="AH317" s="748"/>
      <c r="AI317" s="748"/>
      <c r="AJ317" s="748"/>
      <c r="AK317" s="748"/>
      <c r="AL317" s="748"/>
      <c r="AM317" s="748"/>
      <c r="AN317" s="748"/>
      <c r="AO317" s="375"/>
      <c r="AP317" s="375"/>
      <c r="AQ317" s="375"/>
      <c r="AR317" s="375"/>
      <c r="AS317" s="375"/>
      <c r="AT317" s="375"/>
      <c r="AU317" s="375"/>
      <c r="AV317" s="375"/>
      <c r="AW317" s="375"/>
      <c r="AX317" s="375"/>
      <c r="AY317" s="375"/>
      <c r="AZ317" s="375"/>
      <c r="BA317" s="375"/>
      <c r="BB317" s="375"/>
      <c r="BC317" s="375"/>
      <c r="BD317" s="375"/>
      <c r="BE317" s="375"/>
      <c r="BF317" s="375"/>
      <c r="BG317" s="375"/>
      <c r="BH317" s="375"/>
      <c r="BI317" s="375"/>
      <c r="BJ317" s="375"/>
      <c r="BK317" s="375"/>
      <c r="BL317" s="375"/>
      <c r="BM317" s="375"/>
      <c r="BN317" s="375"/>
      <c r="BO317" s="375"/>
    </row>
    <row r="318" spans="1:67" s="6" customFormat="1" x14ac:dyDescent="0.45">
      <c r="A318" s="517"/>
      <c r="B318" s="376">
        <v>8</v>
      </c>
      <c r="C318" s="467" t="s">
        <v>923</v>
      </c>
      <c r="D318" s="383">
        <f>'8.Видача'!E12</f>
        <v>29.2</v>
      </c>
      <c r="E318" s="383">
        <f>'8.Видача'!E14</f>
        <v>6.42</v>
      </c>
      <c r="F318" s="383">
        <f>'8.Видача'!F20</f>
        <v>2.4</v>
      </c>
      <c r="G318" s="383">
        <f>'8.Видача'!G25</f>
        <v>0.01</v>
      </c>
      <c r="H318" s="384">
        <f>SUM(D318:G318)</f>
        <v>38.029999999999994</v>
      </c>
      <c r="I318" s="383">
        <f>'8.Видача'!G31</f>
        <v>4.4000000000000004</v>
      </c>
      <c r="J318" s="383">
        <f>'8.Видача'!G32</f>
        <v>0</v>
      </c>
      <c r="K318" s="383">
        <f>'8.Видача'!G33</f>
        <v>0</v>
      </c>
      <c r="L318" s="383">
        <v>0</v>
      </c>
      <c r="M318" s="384">
        <f>SUM(I318:L318)</f>
        <v>4.4000000000000004</v>
      </c>
      <c r="N318" s="384">
        <f>H318+M318</f>
        <v>42.429999999999993</v>
      </c>
      <c r="O318" s="383"/>
      <c r="P318" s="384">
        <f>ROUND(N318,0)</f>
        <v>42</v>
      </c>
      <c r="Q318" s="384">
        <f>'8.Видача'!E4</f>
        <v>42</v>
      </c>
      <c r="R318" s="384">
        <f t="shared" si="47"/>
        <v>0</v>
      </c>
      <c r="S318" s="384"/>
      <c r="T318" s="384"/>
      <c r="U318" s="384"/>
      <c r="V318" s="384"/>
      <c r="W318" s="384"/>
      <c r="X318" s="384"/>
      <c r="Y318" s="384"/>
      <c r="Z318" s="763"/>
      <c r="AA318" s="755"/>
      <c r="AB318" s="755"/>
      <c r="AC318" s="748"/>
      <c r="AD318" s="748"/>
      <c r="AE318" s="748"/>
      <c r="AF318" s="748"/>
      <c r="AG318" s="748"/>
      <c r="AH318" s="748"/>
      <c r="AI318" s="748"/>
      <c r="AJ318" s="748"/>
      <c r="AK318" s="748"/>
      <c r="AL318" s="748"/>
      <c r="AM318" s="748"/>
      <c r="AN318" s="748"/>
      <c r="AO318" s="375"/>
      <c r="AP318" s="375"/>
      <c r="AQ318" s="375"/>
      <c r="AR318" s="375"/>
      <c r="AS318" s="375"/>
      <c r="AT318" s="375"/>
      <c r="AU318" s="375"/>
      <c r="AV318" s="375"/>
      <c r="AW318" s="375"/>
      <c r="AX318" s="375"/>
      <c r="AY318" s="375"/>
      <c r="AZ318" s="375"/>
      <c r="BA318" s="375"/>
      <c r="BB318" s="375"/>
      <c r="BC318" s="375"/>
      <c r="BD318" s="375"/>
      <c r="BE318" s="375"/>
      <c r="BF318" s="375"/>
      <c r="BG318" s="375"/>
      <c r="BH318" s="375"/>
      <c r="BI318" s="375"/>
      <c r="BJ318" s="375"/>
      <c r="BK318" s="375"/>
      <c r="BL318" s="375"/>
      <c r="BM318" s="375"/>
      <c r="BN318" s="375"/>
      <c r="BO318" s="375"/>
    </row>
    <row r="319" spans="1:67" s="6" customFormat="1" x14ac:dyDescent="0.45">
      <c r="A319" s="517"/>
      <c r="B319" s="376"/>
      <c r="C319" s="385"/>
      <c r="D319" s="378"/>
      <c r="E319" s="378"/>
      <c r="F319" s="378"/>
      <c r="G319" s="378"/>
      <c r="H319" s="380"/>
      <c r="I319" s="378"/>
      <c r="J319" s="378"/>
      <c r="K319" s="378"/>
      <c r="L319" s="378"/>
      <c r="M319" s="380"/>
      <c r="N319" s="380"/>
      <c r="O319" s="378"/>
      <c r="P319" s="380"/>
      <c r="Q319" s="380"/>
      <c r="R319" s="384">
        <f t="shared" si="47"/>
        <v>0</v>
      </c>
      <c r="S319" s="378"/>
      <c r="T319" s="378"/>
      <c r="U319" s="378"/>
      <c r="V319" s="378"/>
      <c r="W319" s="378"/>
      <c r="X319" s="380"/>
      <c r="Y319" s="380"/>
      <c r="Z319" s="754"/>
      <c r="AA319" s="755"/>
      <c r="AB319" s="755"/>
      <c r="AC319" s="748"/>
      <c r="AD319" s="748"/>
      <c r="AE319" s="748"/>
      <c r="AF319" s="748"/>
      <c r="AG319" s="748"/>
      <c r="AH319" s="748"/>
      <c r="AI319" s="748"/>
      <c r="AJ319" s="748"/>
      <c r="AK319" s="748"/>
      <c r="AL319" s="748"/>
      <c r="AM319" s="748"/>
      <c r="AN319" s="748"/>
      <c r="AO319" s="375"/>
      <c r="AP319" s="375"/>
      <c r="AQ319" s="375"/>
      <c r="AR319" s="375"/>
      <c r="AS319" s="375"/>
      <c r="AT319" s="375"/>
      <c r="AU319" s="375"/>
      <c r="AV319" s="375"/>
      <c r="AW319" s="375"/>
      <c r="AX319" s="375"/>
      <c r="AY319" s="375"/>
      <c r="AZ319" s="375"/>
      <c r="BA319" s="375"/>
      <c r="BB319" s="375"/>
      <c r="BC319" s="375"/>
      <c r="BD319" s="375"/>
      <c r="BE319" s="375"/>
      <c r="BF319" s="375"/>
      <c r="BG319" s="375"/>
      <c r="BH319" s="375"/>
      <c r="BI319" s="375"/>
      <c r="BJ319" s="375"/>
      <c r="BK319" s="375"/>
      <c r="BL319" s="375"/>
      <c r="BM319" s="375"/>
      <c r="BN319" s="375"/>
      <c r="BO319" s="375"/>
    </row>
    <row r="320" spans="1:67" s="6" customFormat="1" ht="35.4" x14ac:dyDescent="0.45">
      <c r="A320" s="517"/>
      <c r="B320" s="376">
        <v>9</v>
      </c>
      <c r="C320" s="466" t="s">
        <v>924</v>
      </c>
      <c r="D320" s="383">
        <f>'9.Сервіс'!E13+'9.Сервіс'!E14</f>
        <v>18.3</v>
      </c>
      <c r="E320" s="378">
        <f>'9.Сервіс'!E16</f>
        <v>4.03</v>
      </c>
      <c r="F320" s="378">
        <f>'9.Сервіс'!F25</f>
        <v>16.79</v>
      </c>
      <c r="G320" s="383">
        <f>'9.Сервіс'!G30+'9.Сервіс'!G31</f>
        <v>0</v>
      </c>
      <c r="H320" s="384">
        <f>SUM(D320:G320)</f>
        <v>39.120000000000005</v>
      </c>
      <c r="I320" s="383">
        <f>'9.Сервіс'!G37+'9.Сервіс'!G41</f>
        <v>2.5499999999999998</v>
      </c>
      <c r="J320" s="383">
        <f>'9.Сервіс'!G38+'9.Сервіс'!G42</f>
        <v>0</v>
      </c>
      <c r="K320" s="383">
        <f>'9.Сервіс'!G39+'9.Сервіс'!G43</f>
        <v>0</v>
      </c>
      <c r="L320" s="378">
        <v>0</v>
      </c>
      <c r="M320" s="384">
        <f>SUM(I320:L320)</f>
        <v>2.5499999999999998</v>
      </c>
      <c r="N320" s="384">
        <f>H320+M320</f>
        <v>41.67</v>
      </c>
      <c r="O320" s="398">
        <f>ROUND(N320*0.2,2)</f>
        <v>8.33</v>
      </c>
      <c r="P320" s="384">
        <f>ROUND(N320,2)+O320</f>
        <v>50</v>
      </c>
      <c r="Q320" s="384">
        <f>'9.Сервіс'!E4</f>
        <v>49.999999999999993</v>
      </c>
      <c r="R320" s="384">
        <f t="shared" si="47"/>
        <v>0</v>
      </c>
      <c r="S320" s="378"/>
      <c r="T320" s="378"/>
      <c r="U320" s="378"/>
      <c r="V320" s="378"/>
      <c r="W320" s="378"/>
      <c r="X320" s="380"/>
      <c r="Y320" s="380"/>
      <c r="Z320" s="754"/>
      <c r="AA320" s="755"/>
      <c r="AB320" s="755"/>
      <c r="AC320" s="748"/>
      <c r="AD320" s="748"/>
      <c r="AE320" s="748"/>
      <c r="AF320" s="748"/>
      <c r="AG320" s="748"/>
      <c r="AH320" s="748"/>
      <c r="AI320" s="748"/>
      <c r="AJ320" s="748"/>
      <c r="AK320" s="748"/>
      <c r="AL320" s="748"/>
      <c r="AM320" s="748"/>
      <c r="AN320" s="748"/>
      <c r="AO320" s="375"/>
      <c r="AP320" s="375"/>
      <c r="AQ320" s="375"/>
      <c r="AR320" s="375"/>
      <c r="AS320" s="375"/>
      <c r="AT320" s="375"/>
      <c r="AU320" s="375"/>
      <c r="AV320" s="375"/>
      <c r="AW320" s="375"/>
      <c r="AX320" s="375"/>
      <c r="AY320" s="375"/>
      <c r="AZ320" s="375"/>
      <c r="BA320" s="375"/>
      <c r="BB320" s="375"/>
      <c r="BC320" s="375"/>
      <c r="BD320" s="375"/>
      <c r="BE320" s="375"/>
      <c r="BF320" s="375"/>
      <c r="BG320" s="375"/>
      <c r="BH320" s="375"/>
      <c r="BI320" s="375"/>
      <c r="BJ320" s="375"/>
      <c r="BK320" s="375"/>
      <c r="BL320" s="375"/>
      <c r="BM320" s="375"/>
      <c r="BN320" s="375"/>
      <c r="BO320" s="375"/>
    </row>
    <row r="321" spans="1:67" s="6" customFormat="1" x14ac:dyDescent="0.45">
      <c r="A321" s="517"/>
      <c r="B321" s="376"/>
      <c r="C321" s="402"/>
      <c r="D321" s="378"/>
      <c r="E321" s="378"/>
      <c r="F321" s="378"/>
      <c r="G321" s="378"/>
      <c r="H321" s="380"/>
      <c r="I321" s="378"/>
      <c r="J321" s="378"/>
      <c r="K321" s="378"/>
      <c r="L321" s="378"/>
      <c r="M321" s="380"/>
      <c r="N321" s="380"/>
      <c r="O321" s="378"/>
      <c r="P321" s="380"/>
      <c r="Q321" s="380"/>
      <c r="R321" s="384"/>
      <c r="S321" s="378"/>
      <c r="T321" s="378"/>
      <c r="U321" s="378"/>
      <c r="V321" s="378"/>
      <c r="W321" s="378"/>
      <c r="X321" s="380"/>
      <c r="Y321" s="380"/>
      <c r="Z321" s="754"/>
      <c r="AA321" s="755"/>
      <c r="AB321" s="755"/>
      <c r="AC321" s="748"/>
      <c r="AD321" s="748"/>
      <c r="AE321" s="748"/>
      <c r="AF321" s="748"/>
      <c r="AG321" s="748"/>
      <c r="AH321" s="748"/>
      <c r="AI321" s="748"/>
      <c r="AJ321" s="748"/>
      <c r="AK321" s="748"/>
      <c r="AL321" s="748"/>
      <c r="AM321" s="748"/>
      <c r="AN321" s="748"/>
      <c r="AO321" s="375"/>
      <c r="AP321" s="375"/>
      <c r="AQ321" s="375"/>
      <c r="AR321" s="375"/>
      <c r="AS321" s="375"/>
      <c r="AT321" s="375"/>
      <c r="AU321" s="375"/>
      <c r="AV321" s="375"/>
      <c r="AW321" s="375"/>
      <c r="AX321" s="375"/>
      <c r="AY321" s="375"/>
      <c r="AZ321" s="375"/>
      <c r="BA321" s="375"/>
      <c r="BB321" s="375"/>
      <c r="BC321" s="375"/>
      <c r="BD321" s="375"/>
      <c r="BE321" s="375"/>
      <c r="BF321" s="375"/>
      <c r="BG321" s="375"/>
      <c r="BH321" s="375"/>
      <c r="BI321" s="375"/>
      <c r="BJ321" s="375"/>
      <c r="BK321" s="375"/>
      <c r="BL321" s="375"/>
      <c r="BM321" s="375"/>
      <c r="BN321" s="375"/>
      <c r="BO321" s="375"/>
    </row>
    <row r="322" spans="1:67" s="6" customFormat="1" x14ac:dyDescent="0.45">
      <c r="A322" s="517"/>
      <c r="B322" s="376">
        <v>10</v>
      </c>
      <c r="C322" s="377" t="s">
        <v>163</v>
      </c>
      <c r="D322" s="386" t="s">
        <v>1118</v>
      </c>
      <c r="E322" s="387">
        <v>0.22</v>
      </c>
      <c r="F322" s="386" t="s">
        <v>1119</v>
      </c>
      <c r="G322" s="386" t="s">
        <v>1125</v>
      </c>
      <c r="H322" s="388" t="s">
        <v>1120</v>
      </c>
      <c r="I322" s="386" t="s">
        <v>1121</v>
      </c>
      <c r="J322" s="386" t="s">
        <v>1122</v>
      </c>
      <c r="K322" s="386" t="s">
        <v>1126</v>
      </c>
      <c r="L322" s="386" t="s">
        <v>1123</v>
      </c>
      <c r="M322" s="388" t="s">
        <v>1127</v>
      </c>
      <c r="N322" s="388" t="s">
        <v>988</v>
      </c>
      <c r="O322" s="386"/>
      <c r="P322" s="388" t="s">
        <v>998</v>
      </c>
      <c r="Q322" s="388"/>
      <c r="R322" s="384"/>
      <c r="S322" s="388"/>
      <c r="T322" s="388"/>
      <c r="U322" s="388"/>
      <c r="V322" s="388"/>
      <c r="W322" s="388"/>
      <c r="X322" s="388"/>
      <c r="Y322" s="388"/>
      <c r="Z322" s="762"/>
      <c r="AA322" s="755"/>
      <c r="AB322" s="755"/>
      <c r="AC322" s="748"/>
      <c r="AD322" s="748"/>
      <c r="AE322" s="748"/>
      <c r="AF322" s="748"/>
      <c r="AG322" s="748"/>
      <c r="AH322" s="748"/>
      <c r="AI322" s="748"/>
      <c r="AJ322" s="748"/>
      <c r="AK322" s="748"/>
      <c r="AL322" s="748"/>
      <c r="AM322" s="748"/>
      <c r="AN322" s="748"/>
      <c r="AO322" s="375"/>
      <c r="AP322" s="375"/>
      <c r="AQ322" s="375"/>
      <c r="AR322" s="375"/>
      <c r="AS322" s="375"/>
      <c r="AT322" s="375"/>
      <c r="AU322" s="375"/>
      <c r="AV322" s="375"/>
      <c r="AW322" s="375"/>
      <c r="AX322" s="375"/>
      <c r="AY322" s="375"/>
      <c r="AZ322" s="375"/>
      <c r="BA322" s="375"/>
      <c r="BB322" s="375"/>
      <c r="BC322" s="375"/>
      <c r="BD322" s="375"/>
      <c r="BE322" s="375"/>
      <c r="BF322" s="375"/>
      <c r="BG322" s="375"/>
      <c r="BH322" s="375"/>
      <c r="BI322" s="375"/>
      <c r="BJ322" s="375"/>
      <c r="BK322" s="375"/>
      <c r="BL322" s="375"/>
      <c r="BM322" s="375"/>
      <c r="BN322" s="375"/>
      <c r="BO322" s="375"/>
    </row>
    <row r="323" spans="1:67" s="6" customFormat="1" x14ac:dyDescent="0.45">
      <c r="A323" s="517"/>
      <c r="B323" s="638" t="s">
        <v>843</v>
      </c>
      <c r="C323" s="376" t="s">
        <v>844</v>
      </c>
      <c r="D323" s="383">
        <f>'10.Фізіотерапія'!F13+'10.Фізіотерапія'!F14</f>
        <v>13.889999999999999</v>
      </c>
      <c r="E323" s="383">
        <f>'10.Фізіотерапія'!F16</f>
        <v>3.06</v>
      </c>
      <c r="F323" s="383">
        <f>'10.Фізіотерапія'!G29</f>
        <v>9.43</v>
      </c>
      <c r="G323" s="383">
        <f>'10.Фізіотерапія'!H34</f>
        <v>0.12</v>
      </c>
      <c r="H323" s="384">
        <f>SUM(D323:G323)</f>
        <v>26.5</v>
      </c>
      <c r="I323" s="383">
        <f>'10.Фізіотерапія'!H40+'10.Фізіотерапія'!H45</f>
        <v>1.6500000000000001</v>
      </c>
      <c r="J323" s="383">
        <f>'10.Фізіотерапія'!H41+'10.Фізіотерапія'!H46</f>
        <v>0</v>
      </c>
      <c r="K323" s="383">
        <f>'10.Фізіотерапія'!H42+'10.Фізіотерапія'!H47</f>
        <v>0</v>
      </c>
      <c r="L323" s="383">
        <f>'10.Фізіотерапія'!H43+'10.Фізіотерапія'!H48</f>
        <v>0.15</v>
      </c>
      <c r="M323" s="384">
        <f>SUM(I323:L323)</f>
        <v>1.8</v>
      </c>
      <c r="N323" s="384">
        <f>H323+M323</f>
        <v>28.3</v>
      </c>
      <c r="O323" s="383"/>
      <c r="P323" s="384">
        <f>ROUND(N323,0)</f>
        <v>28</v>
      </c>
      <c r="Q323" s="384">
        <f>'10.Фізіотерапія'!M4</f>
        <v>28</v>
      </c>
      <c r="R323" s="384">
        <f t="shared" si="47"/>
        <v>0</v>
      </c>
      <c r="S323" s="384"/>
      <c r="T323" s="384"/>
      <c r="U323" s="384"/>
      <c r="V323" s="384"/>
      <c r="W323" s="384"/>
      <c r="X323" s="384"/>
      <c r="Y323" s="384"/>
      <c r="Z323" s="763" t="str">
        <f>'10.Фізіотерапія'!L4</f>
        <v>Ультрафіолетове опромінення загальне</v>
      </c>
      <c r="AA323" s="755"/>
      <c r="AB323" s="755"/>
      <c r="AC323" s="748"/>
      <c r="AD323" s="748"/>
      <c r="AE323" s="748"/>
      <c r="AF323" s="748"/>
      <c r="AG323" s="748"/>
      <c r="AH323" s="748"/>
      <c r="AI323" s="748"/>
      <c r="AJ323" s="748"/>
      <c r="AK323" s="748"/>
      <c r="AL323" s="748"/>
      <c r="AM323" s="748"/>
      <c r="AN323" s="748"/>
      <c r="AO323" s="375"/>
      <c r="AP323" s="375"/>
      <c r="AQ323" s="375"/>
      <c r="AR323" s="375"/>
      <c r="AS323" s="375"/>
      <c r="AT323" s="375"/>
      <c r="AU323" s="375"/>
      <c r="AV323" s="375"/>
      <c r="AW323" s="375"/>
      <c r="AX323" s="375"/>
      <c r="AY323" s="375"/>
      <c r="AZ323" s="375"/>
      <c r="BA323" s="375"/>
      <c r="BB323" s="375"/>
      <c r="BC323" s="375"/>
      <c r="BD323" s="375"/>
      <c r="BE323" s="375"/>
      <c r="BF323" s="375"/>
      <c r="BG323" s="375"/>
      <c r="BH323" s="375"/>
      <c r="BI323" s="375"/>
      <c r="BJ323" s="375"/>
      <c r="BK323" s="375"/>
      <c r="BL323" s="375"/>
      <c r="BM323" s="375"/>
      <c r="BN323" s="375"/>
      <c r="BO323" s="375"/>
    </row>
    <row r="324" spans="1:67" s="6" customFormat="1" x14ac:dyDescent="0.45">
      <c r="A324" s="517"/>
      <c r="B324" s="638" t="s">
        <v>845</v>
      </c>
      <c r="C324" s="376" t="s">
        <v>846</v>
      </c>
      <c r="D324" s="383">
        <f>'10.Фізіотерапія'!F66+'10.Фізіотерапія'!F67</f>
        <v>9.64</v>
      </c>
      <c r="E324" s="383">
        <f>'10.Фізіотерапія'!F69</f>
        <v>2.12</v>
      </c>
      <c r="F324" s="383">
        <f>'10.Фізіотерапія'!G82</f>
        <v>9.43</v>
      </c>
      <c r="G324" s="383">
        <f>'10.Фізіотерапія'!H87</f>
        <v>7.0000000000000007E-2</v>
      </c>
      <c r="H324" s="384">
        <f t="shared" ref="H324:H368" si="51">SUM(D324:G324)</f>
        <v>21.26</v>
      </c>
      <c r="I324" s="383">
        <f>'10.Фізіотерапія'!H93+'10.Фізіотерапія'!H98</f>
        <v>1.1000000000000001</v>
      </c>
      <c r="J324" s="383">
        <f>'10.Фізіотерапія'!H94+'10.Фізіотерапія'!H99</f>
        <v>0</v>
      </c>
      <c r="K324" s="383">
        <f>'10.Фізіотерапія'!H95+'10.Фізіотерапія'!H100</f>
        <v>0</v>
      </c>
      <c r="L324" s="383">
        <f>'10.Фізіотерапія'!H96+'10.Фізіотерапія'!H101</f>
        <v>0.1</v>
      </c>
      <c r="M324" s="384">
        <f t="shared" ref="M324:M368" si="52">SUM(I324:L324)</f>
        <v>1.2000000000000002</v>
      </c>
      <c r="N324" s="384">
        <f t="shared" ref="N324:N368" si="53">H324+M324</f>
        <v>22.46</v>
      </c>
      <c r="O324" s="383"/>
      <c r="P324" s="384">
        <f t="shared" ref="P324:P368" si="54">ROUND(N324,0)</f>
        <v>22</v>
      </c>
      <c r="Q324" s="384">
        <f>'10.Фізіотерапія'!M5</f>
        <v>22</v>
      </c>
      <c r="R324" s="384">
        <f t="shared" si="47"/>
        <v>0</v>
      </c>
      <c r="S324" s="384"/>
      <c r="T324" s="384"/>
      <c r="U324" s="384"/>
      <c r="V324" s="384"/>
      <c r="W324" s="384"/>
      <c r="X324" s="384"/>
      <c r="Y324" s="384"/>
      <c r="Z324" s="763" t="str">
        <f>'10.Фізіотерапія'!L5</f>
        <v>Ультрафіолетове опромінення місцеве</v>
      </c>
      <c r="AA324" s="755"/>
      <c r="AB324" s="755"/>
      <c r="AC324" s="748"/>
      <c r="AD324" s="748"/>
      <c r="AE324" s="748"/>
      <c r="AF324" s="748"/>
      <c r="AG324" s="748"/>
      <c r="AH324" s="748"/>
      <c r="AI324" s="748"/>
      <c r="AJ324" s="748"/>
      <c r="AK324" s="748"/>
      <c r="AL324" s="748"/>
      <c r="AM324" s="748"/>
      <c r="AN324" s="748"/>
      <c r="AO324" s="375"/>
      <c r="AP324" s="375"/>
      <c r="AQ324" s="375"/>
      <c r="AR324" s="375"/>
      <c r="AS324" s="375"/>
      <c r="AT324" s="375"/>
      <c r="AU324" s="375"/>
      <c r="AV324" s="375"/>
      <c r="AW324" s="375"/>
      <c r="AX324" s="375"/>
      <c r="AY324" s="375"/>
      <c r="AZ324" s="375"/>
      <c r="BA324" s="375"/>
      <c r="BB324" s="375"/>
      <c r="BC324" s="375"/>
      <c r="BD324" s="375"/>
      <c r="BE324" s="375"/>
      <c r="BF324" s="375"/>
      <c r="BG324" s="375"/>
      <c r="BH324" s="375"/>
      <c r="BI324" s="375"/>
      <c r="BJ324" s="375"/>
      <c r="BK324" s="375"/>
      <c r="BL324" s="375"/>
      <c r="BM324" s="375"/>
      <c r="BN324" s="375"/>
      <c r="BO324" s="375"/>
    </row>
    <row r="325" spans="1:67" s="6" customFormat="1" x14ac:dyDescent="0.45">
      <c r="A325" s="517"/>
      <c r="B325" s="638" t="s">
        <v>847</v>
      </c>
      <c r="C325" s="376" t="s">
        <v>848</v>
      </c>
      <c r="D325" s="383">
        <f>'10.Фізіотерапія'!F119+'10.Фізіотерапія'!F120</f>
        <v>10.49</v>
      </c>
      <c r="E325" s="378">
        <f>'10.Фізіотерапія'!F122</f>
        <v>2.31</v>
      </c>
      <c r="F325" s="378">
        <f>'10.Фізіотерапія'!G135</f>
        <v>9.43</v>
      </c>
      <c r="G325" s="383">
        <f>'10.Фізіотерапія'!H140</f>
        <v>0.08</v>
      </c>
      <c r="H325" s="384">
        <f t="shared" si="51"/>
        <v>22.31</v>
      </c>
      <c r="I325" s="383">
        <f>'10.Фізіотерапія'!H146+'10.Фізіотерапія'!H151</f>
        <v>1.21</v>
      </c>
      <c r="J325" s="383">
        <f>'10.Фізіотерапія'!H147+'10.Фізіотерапія'!H152</f>
        <v>0</v>
      </c>
      <c r="K325" s="383">
        <f>'10.Фізіотерапія'!H148+'10.Фізіотерапія'!H153</f>
        <v>0</v>
      </c>
      <c r="L325" s="383">
        <f>'10.Фізіотерапія'!H149+'10.Фізіотерапія'!H154</f>
        <v>0.11</v>
      </c>
      <c r="M325" s="384">
        <f t="shared" si="52"/>
        <v>1.32</v>
      </c>
      <c r="N325" s="384">
        <f t="shared" si="53"/>
        <v>23.63</v>
      </c>
      <c r="O325" s="383"/>
      <c r="P325" s="384">
        <f t="shared" si="54"/>
        <v>24</v>
      </c>
      <c r="Q325" s="384">
        <f>'10.Фізіотерапія'!M6</f>
        <v>24</v>
      </c>
      <c r="R325" s="384">
        <f t="shared" si="47"/>
        <v>0</v>
      </c>
      <c r="S325" s="384"/>
      <c r="T325" s="384"/>
      <c r="U325" s="384"/>
      <c r="V325" s="384"/>
      <c r="W325" s="384"/>
      <c r="X325" s="384"/>
      <c r="Y325" s="384"/>
      <c r="Z325" s="763" t="str">
        <f>'10.Фізіотерапія'!L6</f>
        <v>Опромінення інфрачервоними променями</v>
      </c>
      <c r="AA325" s="755"/>
      <c r="AB325" s="755"/>
      <c r="AC325" s="748"/>
      <c r="AD325" s="748"/>
      <c r="AE325" s="748"/>
      <c r="AF325" s="748"/>
      <c r="AG325" s="748"/>
      <c r="AH325" s="748"/>
      <c r="AI325" s="748"/>
      <c r="AJ325" s="748"/>
      <c r="AK325" s="748"/>
      <c r="AL325" s="748"/>
      <c r="AM325" s="748"/>
      <c r="AN325" s="748"/>
      <c r="AO325" s="375"/>
      <c r="AP325" s="375"/>
      <c r="AQ325" s="375"/>
      <c r="AR325" s="375"/>
      <c r="AS325" s="375"/>
      <c r="AT325" s="375"/>
      <c r="AU325" s="375"/>
      <c r="AV325" s="375"/>
      <c r="AW325" s="375"/>
      <c r="AX325" s="375"/>
      <c r="AY325" s="375"/>
      <c r="AZ325" s="375"/>
      <c r="BA325" s="375"/>
      <c r="BB325" s="375"/>
      <c r="BC325" s="375"/>
      <c r="BD325" s="375"/>
      <c r="BE325" s="375"/>
      <c r="BF325" s="375"/>
      <c r="BG325" s="375"/>
      <c r="BH325" s="375"/>
      <c r="BI325" s="375"/>
      <c r="BJ325" s="375"/>
      <c r="BK325" s="375"/>
      <c r="BL325" s="375"/>
      <c r="BM325" s="375"/>
      <c r="BN325" s="375"/>
      <c r="BO325" s="375"/>
    </row>
    <row r="326" spans="1:67" s="6" customFormat="1" x14ac:dyDescent="0.45">
      <c r="A326" s="517"/>
      <c r="B326" s="638" t="s">
        <v>849</v>
      </c>
      <c r="C326" s="376" t="s">
        <v>850</v>
      </c>
      <c r="D326" s="383">
        <f>'10.Фізіотерапія'!F172+'10.Фізіотерапія'!F173</f>
        <v>16.440000000000001</v>
      </c>
      <c r="E326" s="383">
        <f>'10.Фізіотерапія'!F175</f>
        <v>3.62</v>
      </c>
      <c r="F326" s="383">
        <f>'10.Фізіотерапія'!G188</f>
        <v>9.43</v>
      </c>
      <c r="G326" s="383">
        <f>'10.Фізіотерапія'!H193</f>
        <v>0.15</v>
      </c>
      <c r="H326" s="384">
        <f t="shared" si="51"/>
        <v>29.64</v>
      </c>
      <c r="I326" s="383">
        <f>'10.Фізіотерапія'!H199+'10.Фізіотерапія'!H204</f>
        <v>1.98</v>
      </c>
      <c r="J326" s="383">
        <f>'10.Фізіотерапія'!H200+'10.Фізіотерапія'!H205</f>
        <v>0</v>
      </c>
      <c r="K326" s="383">
        <f>'10.Фізіотерапія'!H201+'10.Фізіотерапія'!H206</f>
        <v>0</v>
      </c>
      <c r="L326" s="383">
        <f>'10.Фізіотерапія'!H202+'10.Фізіотерапія'!H207</f>
        <v>0.18</v>
      </c>
      <c r="M326" s="384">
        <f t="shared" si="52"/>
        <v>2.16</v>
      </c>
      <c r="N326" s="384">
        <f t="shared" si="53"/>
        <v>31.8</v>
      </c>
      <c r="O326" s="383"/>
      <c r="P326" s="384">
        <f t="shared" si="54"/>
        <v>32</v>
      </c>
      <c r="Q326" s="384">
        <f>'10.Фізіотерапія'!M7</f>
        <v>32</v>
      </c>
      <c r="R326" s="384">
        <f t="shared" si="47"/>
        <v>0</v>
      </c>
      <c r="S326" s="384"/>
      <c r="T326" s="384"/>
      <c r="U326" s="384"/>
      <c r="V326" s="384"/>
      <c r="W326" s="384"/>
      <c r="X326" s="384"/>
      <c r="Y326" s="384"/>
      <c r="Z326" s="763" t="str">
        <f>'10.Фізіотерапія'!L7</f>
        <v>Лазеротерапія низькочастотна</v>
      </c>
      <c r="AA326" s="755"/>
      <c r="AB326" s="755"/>
      <c r="AC326" s="748"/>
      <c r="AD326" s="748"/>
      <c r="AE326" s="748"/>
      <c r="AF326" s="748"/>
      <c r="AG326" s="748"/>
      <c r="AH326" s="748"/>
      <c r="AI326" s="748"/>
      <c r="AJ326" s="748"/>
      <c r="AK326" s="748"/>
      <c r="AL326" s="748"/>
      <c r="AM326" s="748"/>
      <c r="AN326" s="748"/>
      <c r="AO326" s="375"/>
      <c r="AP326" s="375"/>
      <c r="AQ326" s="375"/>
      <c r="AR326" s="375"/>
      <c r="AS326" s="375"/>
      <c r="AT326" s="375"/>
      <c r="AU326" s="375"/>
      <c r="AV326" s="375"/>
      <c r="AW326" s="375"/>
      <c r="AX326" s="375"/>
      <c r="AY326" s="375"/>
      <c r="AZ326" s="375"/>
      <c r="BA326" s="375"/>
      <c r="BB326" s="375"/>
      <c r="BC326" s="375"/>
      <c r="BD326" s="375"/>
      <c r="BE326" s="375"/>
      <c r="BF326" s="375"/>
      <c r="BG326" s="375"/>
      <c r="BH326" s="375"/>
      <c r="BI326" s="375"/>
      <c r="BJ326" s="375"/>
      <c r="BK326" s="375"/>
      <c r="BL326" s="375"/>
      <c r="BM326" s="375"/>
      <c r="BN326" s="375"/>
      <c r="BO326" s="375"/>
    </row>
    <row r="327" spans="1:67" s="6" customFormat="1" x14ac:dyDescent="0.45">
      <c r="A327" s="517"/>
      <c r="B327" s="638" t="s">
        <v>851</v>
      </c>
      <c r="C327" s="376" t="s">
        <v>482</v>
      </c>
      <c r="D327" s="383">
        <f>'10.Фізіотерапія'!F226+'10.Фізіотерапія'!F227</f>
        <v>29.19</v>
      </c>
      <c r="E327" s="378">
        <f>'10.Фізіотерапія'!F229</f>
        <v>6.42</v>
      </c>
      <c r="F327" s="378">
        <f>'10.Фізіотерапія'!G239</f>
        <v>10.66</v>
      </c>
      <c r="G327" s="383">
        <f>'10.Фізіотерапія'!H244</f>
        <v>0.3</v>
      </c>
      <c r="H327" s="384">
        <f t="shared" si="51"/>
        <v>46.569999999999993</v>
      </c>
      <c r="I327" s="383">
        <f>'10.Фізіотерапія'!H250+'10.Фізіотерапія'!H255</f>
        <v>3.63</v>
      </c>
      <c r="J327" s="383">
        <f>'10.Фізіотерапія'!H251+'10.Фізіотерапія'!H256</f>
        <v>0</v>
      </c>
      <c r="K327" s="383">
        <f>'10.Фізіотерапія'!H252+'10.Фізіотерапія'!H257</f>
        <v>0</v>
      </c>
      <c r="L327" s="383">
        <f>'10.Фізіотерапія'!H253+'10.Фізіотерапія'!H258</f>
        <v>0.32999999999999996</v>
      </c>
      <c r="M327" s="384">
        <f t="shared" si="52"/>
        <v>3.96</v>
      </c>
      <c r="N327" s="384">
        <f t="shared" si="53"/>
        <v>50.529999999999994</v>
      </c>
      <c r="O327" s="383"/>
      <c r="P327" s="384">
        <f t="shared" si="54"/>
        <v>51</v>
      </c>
      <c r="Q327" s="384">
        <f>'10.Фізіотерапія'!M8</f>
        <v>51</v>
      </c>
      <c r="R327" s="384">
        <f t="shared" si="47"/>
        <v>0</v>
      </c>
      <c r="S327" s="384"/>
      <c r="T327" s="384"/>
      <c r="U327" s="384"/>
      <c r="V327" s="384"/>
      <c r="W327" s="384"/>
      <c r="X327" s="384"/>
      <c r="Y327" s="384"/>
      <c r="Z327" s="763" t="str">
        <f>'10.Фізіотерапія'!L8</f>
        <v>Галотерапія ( соляна шахта )  ( 30 хв. - перебування )</v>
      </c>
      <c r="AA327" s="755"/>
      <c r="AB327" s="755"/>
      <c r="AC327" s="748"/>
      <c r="AD327" s="748"/>
      <c r="AE327" s="748"/>
      <c r="AF327" s="748"/>
      <c r="AG327" s="748"/>
      <c r="AH327" s="748"/>
      <c r="AI327" s="748"/>
      <c r="AJ327" s="748"/>
      <c r="AK327" s="748"/>
      <c r="AL327" s="748"/>
      <c r="AM327" s="748"/>
      <c r="AN327" s="748"/>
      <c r="AO327" s="375"/>
      <c r="AP327" s="375"/>
      <c r="AQ327" s="375"/>
      <c r="AR327" s="375"/>
      <c r="AS327" s="375"/>
      <c r="AT327" s="375"/>
      <c r="AU327" s="375"/>
      <c r="AV327" s="375"/>
      <c r="AW327" s="375"/>
      <c r="AX327" s="375"/>
      <c r="AY327" s="375"/>
      <c r="AZ327" s="375"/>
      <c r="BA327" s="375"/>
      <c r="BB327" s="375"/>
      <c r="BC327" s="375"/>
      <c r="BD327" s="375"/>
      <c r="BE327" s="375"/>
      <c r="BF327" s="375"/>
      <c r="BG327" s="375"/>
      <c r="BH327" s="375"/>
      <c r="BI327" s="375"/>
      <c r="BJ327" s="375"/>
      <c r="BK327" s="375"/>
      <c r="BL327" s="375"/>
      <c r="BM327" s="375"/>
      <c r="BN327" s="375"/>
      <c r="BO327" s="375"/>
    </row>
    <row r="328" spans="1:67" s="6" customFormat="1" x14ac:dyDescent="0.45">
      <c r="A328" s="517"/>
      <c r="B328" s="638" t="s">
        <v>853</v>
      </c>
      <c r="C328" s="376" t="s">
        <v>480</v>
      </c>
      <c r="D328" s="383">
        <f>'10.Фізіотерапія'!F278+'10.Фізіотерапія'!F279</f>
        <v>12.19</v>
      </c>
      <c r="E328" s="378">
        <f>'10.Фізіотерапія'!F281</f>
        <v>2.68</v>
      </c>
      <c r="F328" s="378">
        <f>'10.Фізіотерапія'!G294</f>
        <v>9.43</v>
      </c>
      <c r="G328" s="383">
        <f>'10.Фізіотерапія'!H299</f>
        <v>0.1</v>
      </c>
      <c r="H328" s="384">
        <f t="shared" si="51"/>
        <v>24.4</v>
      </c>
      <c r="I328" s="383">
        <f>'10.Фізіотерапія'!H305+'10.Фізіотерапія'!H310</f>
        <v>1.4300000000000002</v>
      </c>
      <c r="J328" s="383">
        <f>'10.Фізіотерапія'!H306+'10.Фізіотерапія'!H311</f>
        <v>0</v>
      </c>
      <c r="K328" s="383">
        <f>'10.Фізіотерапія'!H307+'10.Фізіотерапія'!H312</f>
        <v>0</v>
      </c>
      <c r="L328" s="383">
        <f>'10.Фізіотерапія'!H308+'10.Фізіотерапія'!H313</f>
        <v>0.13</v>
      </c>
      <c r="M328" s="384">
        <f t="shared" si="52"/>
        <v>1.56</v>
      </c>
      <c r="N328" s="384">
        <f t="shared" si="53"/>
        <v>25.959999999999997</v>
      </c>
      <c r="O328" s="383"/>
      <c r="P328" s="384">
        <f t="shared" si="54"/>
        <v>26</v>
      </c>
      <c r="Q328" s="384">
        <f>'10.Фізіотерапія'!M9</f>
        <v>26</v>
      </c>
      <c r="R328" s="384">
        <f t="shared" si="47"/>
        <v>0</v>
      </c>
      <c r="S328" s="384"/>
      <c r="T328" s="384"/>
      <c r="U328" s="384"/>
      <c r="V328" s="384"/>
      <c r="W328" s="384"/>
      <c r="X328" s="384"/>
      <c r="Y328" s="384"/>
      <c r="Z328" s="763" t="str">
        <f>'10.Фізіотерапія'!L9</f>
        <v>Гальванізація</v>
      </c>
      <c r="AA328" s="755"/>
      <c r="AB328" s="755"/>
      <c r="AC328" s="748"/>
      <c r="AD328" s="748"/>
      <c r="AE328" s="748"/>
      <c r="AF328" s="748"/>
      <c r="AG328" s="748"/>
      <c r="AH328" s="748"/>
      <c r="AI328" s="748"/>
      <c r="AJ328" s="748"/>
      <c r="AK328" s="748"/>
      <c r="AL328" s="748"/>
      <c r="AM328" s="748"/>
      <c r="AN328" s="748"/>
      <c r="AO328" s="375"/>
      <c r="AP328" s="375"/>
      <c r="AQ328" s="375"/>
      <c r="AR328" s="375"/>
      <c r="AS328" s="375"/>
      <c r="AT328" s="375"/>
      <c r="AU328" s="375"/>
      <c r="AV328" s="375"/>
      <c r="AW328" s="375"/>
      <c r="AX328" s="375"/>
      <c r="AY328" s="375"/>
      <c r="AZ328" s="375"/>
      <c r="BA328" s="375"/>
      <c r="BB328" s="375"/>
      <c r="BC328" s="375"/>
      <c r="BD328" s="375"/>
      <c r="BE328" s="375"/>
      <c r="BF328" s="375"/>
      <c r="BG328" s="375"/>
      <c r="BH328" s="375"/>
      <c r="BI328" s="375"/>
      <c r="BJ328" s="375"/>
      <c r="BK328" s="375"/>
      <c r="BL328" s="375"/>
      <c r="BM328" s="375"/>
      <c r="BN328" s="375"/>
      <c r="BO328" s="375"/>
    </row>
    <row r="329" spans="1:67" s="6" customFormat="1" x14ac:dyDescent="0.45">
      <c r="A329" s="517"/>
      <c r="B329" s="638" t="s">
        <v>410</v>
      </c>
      <c r="C329" s="412" t="s">
        <v>411</v>
      </c>
      <c r="D329" s="660">
        <f>'10.Фізіотерапія'!F332+'10.Фізіотерапія'!F333</f>
        <v>20.69</v>
      </c>
      <c r="E329" s="661">
        <f>'10.Фізіотерапія'!F335</f>
        <v>4.55</v>
      </c>
      <c r="F329" s="661">
        <f>'10.Фізіотерапія'!F337</f>
        <v>40.6</v>
      </c>
      <c r="G329" s="660">
        <f>'10.Фізіотерапія'!F352</f>
        <v>0.2</v>
      </c>
      <c r="H329" s="384">
        <f t="shared" si="51"/>
        <v>66.040000000000006</v>
      </c>
      <c r="I329" s="660">
        <f>'10.Фізіотерапія'!H361+'10.Фізіотерапія'!H366</f>
        <v>2.5300000000000002</v>
      </c>
      <c r="J329" s="660">
        <f>'10.Фізіотерапія'!H362+'10.Фізіотерапія'!H367</f>
        <v>0</v>
      </c>
      <c r="K329" s="660">
        <f>'10.Фізіотерапія'!H363+'10.Фізіотерапія'!H368</f>
        <v>0</v>
      </c>
      <c r="L329" s="660">
        <f>'10.Фізіотерапія'!H364+'10.Фізіотерапія'!H369</f>
        <v>0.23</v>
      </c>
      <c r="M329" s="384">
        <f t="shared" si="52"/>
        <v>2.7600000000000002</v>
      </c>
      <c r="N329" s="384">
        <f t="shared" si="53"/>
        <v>68.800000000000011</v>
      </c>
      <c r="O329" s="661"/>
      <c r="P329" s="384">
        <f t="shared" si="54"/>
        <v>69</v>
      </c>
      <c r="Q329" s="384">
        <f>'10.Фізіотерапія'!M10</f>
        <v>69</v>
      </c>
      <c r="R329" s="384">
        <f t="shared" si="47"/>
        <v>0</v>
      </c>
      <c r="S329" s="384"/>
      <c r="T329" s="384"/>
      <c r="U329" s="384"/>
      <c r="V329" s="384"/>
      <c r="W329" s="384"/>
      <c r="X329" s="384"/>
      <c r="Y329" s="384"/>
      <c r="Z329" s="763" t="str">
        <f>'10.Фізіотерапія'!L10</f>
        <v>Електрофорез лікарський з кальцієм хлоридом ( одноразовими електродами )</v>
      </c>
      <c r="AA329" s="755"/>
      <c r="AB329" s="755"/>
      <c r="AC329" s="748"/>
      <c r="AD329" s="748"/>
      <c r="AE329" s="748"/>
      <c r="AF329" s="748"/>
      <c r="AG329" s="748"/>
      <c r="AH329" s="748"/>
      <c r="AI329" s="748"/>
      <c r="AJ329" s="748"/>
      <c r="AK329" s="748"/>
      <c r="AL329" s="748"/>
      <c r="AM329" s="748"/>
      <c r="AN329" s="748"/>
      <c r="AO329" s="375"/>
      <c r="AP329" s="375"/>
      <c r="AQ329" s="375"/>
      <c r="AR329" s="375"/>
      <c r="AS329" s="375"/>
      <c r="AT329" s="375"/>
      <c r="AU329" s="375"/>
      <c r="AV329" s="375"/>
      <c r="AW329" s="375"/>
      <c r="AX329" s="375"/>
      <c r="AY329" s="375"/>
      <c r="AZ329" s="375"/>
      <c r="BA329" s="375"/>
      <c r="BB329" s="375"/>
      <c r="BC329" s="375"/>
      <c r="BD329" s="375"/>
      <c r="BE329" s="375"/>
      <c r="BF329" s="375"/>
      <c r="BG329" s="375"/>
      <c r="BH329" s="375"/>
      <c r="BI329" s="375"/>
      <c r="BJ329" s="375"/>
      <c r="BK329" s="375"/>
      <c r="BL329" s="375"/>
      <c r="BM329" s="375"/>
      <c r="BN329" s="375"/>
      <c r="BO329" s="375"/>
    </row>
    <row r="330" spans="1:67" s="6" customFormat="1" x14ac:dyDescent="0.45">
      <c r="A330" s="517"/>
      <c r="B330" s="638" t="s">
        <v>412</v>
      </c>
      <c r="C330" s="412" t="s">
        <v>413</v>
      </c>
      <c r="D330" s="660">
        <f>'10.Фізіотерапія'!F389+'10.Фізіотерапія'!F390</f>
        <v>20.69</v>
      </c>
      <c r="E330" s="661">
        <f>'10.Фізіотерапія'!F392</f>
        <v>4.55</v>
      </c>
      <c r="F330" s="661">
        <f>'10.Фізіотерапія'!F394</f>
        <v>16.600000000000001</v>
      </c>
      <c r="G330" s="660">
        <f>'10.Фізіотерапія'!F409</f>
        <v>0.2</v>
      </c>
      <c r="H330" s="384">
        <f t="shared" si="51"/>
        <v>42.040000000000006</v>
      </c>
      <c r="I330" s="660">
        <f>'10.Фізіотерапія'!H418+'10.Фізіотерапія'!H423</f>
        <v>2.5300000000000002</v>
      </c>
      <c r="J330" s="660">
        <f>'10.Фізіотерапія'!H419+'10.Фізіотерапія'!H424</f>
        <v>0</v>
      </c>
      <c r="K330" s="660">
        <f>'10.Фізіотерапія'!H420+'10.Фізіотерапія'!H425</f>
        <v>0</v>
      </c>
      <c r="L330" s="660">
        <f>'10.Фізіотерапія'!H421+'10.Фізіотерапія'!H426</f>
        <v>0.23</v>
      </c>
      <c r="M330" s="384">
        <f t="shared" si="52"/>
        <v>2.7600000000000002</v>
      </c>
      <c r="N330" s="384">
        <f t="shared" si="53"/>
        <v>44.800000000000004</v>
      </c>
      <c r="O330" s="661"/>
      <c r="P330" s="384">
        <f t="shared" si="54"/>
        <v>45</v>
      </c>
      <c r="Q330" s="384">
        <f>'10.Фізіотерапія'!M11</f>
        <v>45</v>
      </c>
      <c r="R330" s="384">
        <f t="shared" si="47"/>
        <v>0</v>
      </c>
      <c r="S330" s="384"/>
      <c r="T330" s="384"/>
      <c r="U330" s="384"/>
      <c r="V330" s="384"/>
      <c r="W330" s="384"/>
      <c r="X330" s="384"/>
      <c r="Y330" s="384"/>
      <c r="Z330" s="763" t="str">
        <f>'10.Фізіотерапія'!L11</f>
        <v>Електрофорез лікарський з кальцієм хлоридом (багаторазовими електродами )</v>
      </c>
      <c r="AA330" s="755"/>
      <c r="AB330" s="755"/>
      <c r="AC330" s="748"/>
      <c r="AD330" s="748"/>
      <c r="AE330" s="748"/>
      <c r="AF330" s="748"/>
      <c r="AG330" s="748"/>
      <c r="AH330" s="748"/>
      <c r="AI330" s="748"/>
      <c r="AJ330" s="748"/>
      <c r="AK330" s="748"/>
      <c r="AL330" s="748"/>
      <c r="AM330" s="748"/>
      <c r="AN330" s="748"/>
      <c r="AO330" s="375"/>
      <c r="AP330" s="375"/>
      <c r="AQ330" s="375"/>
      <c r="AR330" s="375"/>
      <c r="AS330" s="375"/>
      <c r="AT330" s="375"/>
      <c r="AU330" s="375"/>
      <c r="AV330" s="375"/>
      <c r="AW330" s="375"/>
      <c r="AX330" s="375"/>
      <c r="AY330" s="375"/>
      <c r="AZ330" s="375"/>
      <c r="BA330" s="375"/>
      <c r="BB330" s="375"/>
      <c r="BC330" s="375"/>
      <c r="BD330" s="375"/>
      <c r="BE330" s="375"/>
      <c r="BF330" s="375"/>
      <c r="BG330" s="375"/>
      <c r="BH330" s="375"/>
      <c r="BI330" s="375"/>
      <c r="BJ330" s="375"/>
      <c r="BK330" s="375"/>
      <c r="BL330" s="375"/>
      <c r="BM330" s="375"/>
      <c r="BN330" s="375"/>
      <c r="BO330" s="375"/>
    </row>
    <row r="331" spans="1:67" s="6" customFormat="1" x14ac:dyDescent="0.45">
      <c r="A331" s="517"/>
      <c r="B331" s="638" t="s">
        <v>414</v>
      </c>
      <c r="C331" s="412" t="s">
        <v>418</v>
      </c>
      <c r="D331" s="660">
        <f>'10.Фізіотерапія'!F446+'10.Фізіотерапія'!F447</f>
        <v>20.69</v>
      </c>
      <c r="E331" s="661">
        <f>'10.Фізіотерапія'!F449</f>
        <v>4.55</v>
      </c>
      <c r="F331" s="661">
        <f>'10.Фізіотерапія'!F451</f>
        <v>42.320000000000007</v>
      </c>
      <c r="G331" s="660">
        <f>'10.Фізіотерапія'!F466</f>
        <v>0.2</v>
      </c>
      <c r="H331" s="384">
        <f t="shared" si="51"/>
        <v>67.760000000000005</v>
      </c>
      <c r="I331" s="660">
        <f>'10.Фізіотерапія'!H475+'10.Фізіотерапія'!H480</f>
        <v>2.5300000000000002</v>
      </c>
      <c r="J331" s="660">
        <f>'10.Фізіотерапія'!H476+'10.Фізіотерапія'!H481</f>
        <v>0</v>
      </c>
      <c r="K331" s="660">
        <f>'10.Фізіотерапія'!H477+'10.Фізіотерапія'!H482</f>
        <v>0</v>
      </c>
      <c r="L331" s="660">
        <f>'10.Фізіотерапія'!H478+'10.Фізіотерапія'!H483</f>
        <v>0.23</v>
      </c>
      <c r="M331" s="384">
        <f t="shared" si="52"/>
        <v>2.7600000000000002</v>
      </c>
      <c r="N331" s="384">
        <f t="shared" si="53"/>
        <v>70.52000000000001</v>
      </c>
      <c r="O331" s="661"/>
      <c r="P331" s="384">
        <f t="shared" si="54"/>
        <v>71</v>
      </c>
      <c r="Q331" s="384">
        <f>'10.Фізіотерапія'!M12</f>
        <v>71</v>
      </c>
      <c r="R331" s="384">
        <f t="shared" si="47"/>
        <v>0</v>
      </c>
      <c r="S331" s="384"/>
      <c r="T331" s="384"/>
      <c r="U331" s="384"/>
      <c r="V331" s="384"/>
      <c r="W331" s="384"/>
      <c r="X331" s="384"/>
      <c r="Y331" s="384"/>
      <c r="Z331" s="763" t="str">
        <f>'10.Фізіотерапія'!L12</f>
        <v>Електрофорез лікарський з нікотиновою кислотою ( одноразовими електродами )</v>
      </c>
      <c r="AA331" s="755"/>
      <c r="AB331" s="755"/>
      <c r="AC331" s="748"/>
      <c r="AD331" s="748"/>
      <c r="AE331" s="748"/>
      <c r="AF331" s="748"/>
      <c r="AG331" s="748"/>
      <c r="AH331" s="748"/>
      <c r="AI331" s="748"/>
      <c r="AJ331" s="748"/>
      <c r="AK331" s="748"/>
      <c r="AL331" s="748"/>
      <c r="AM331" s="748"/>
      <c r="AN331" s="748"/>
      <c r="AO331" s="375"/>
      <c r="AP331" s="375"/>
      <c r="AQ331" s="375"/>
      <c r="AR331" s="375"/>
      <c r="AS331" s="375"/>
      <c r="AT331" s="375"/>
      <c r="AU331" s="375"/>
      <c r="AV331" s="375"/>
      <c r="AW331" s="375"/>
      <c r="AX331" s="375"/>
      <c r="AY331" s="375"/>
      <c r="AZ331" s="375"/>
      <c r="BA331" s="375"/>
      <c r="BB331" s="375"/>
      <c r="BC331" s="375"/>
      <c r="BD331" s="375"/>
      <c r="BE331" s="375"/>
      <c r="BF331" s="375"/>
      <c r="BG331" s="375"/>
      <c r="BH331" s="375"/>
      <c r="BI331" s="375"/>
      <c r="BJ331" s="375"/>
      <c r="BK331" s="375"/>
      <c r="BL331" s="375"/>
      <c r="BM331" s="375"/>
      <c r="BN331" s="375"/>
      <c r="BO331" s="375"/>
    </row>
    <row r="332" spans="1:67" s="6" customFormat="1" x14ac:dyDescent="0.45">
      <c r="A332" s="517"/>
      <c r="B332" s="638" t="s">
        <v>415</v>
      </c>
      <c r="C332" s="412" t="s">
        <v>419</v>
      </c>
      <c r="D332" s="660">
        <f>'10.Фізіотерапія'!F503+'10.Фізіотерапія'!F504</f>
        <v>20.69</v>
      </c>
      <c r="E332" s="661">
        <f>'10.Фізіотерапія'!F506</f>
        <v>4.55</v>
      </c>
      <c r="F332" s="660">
        <f>'10.Фізіотерапія'!F508</f>
        <v>18.32</v>
      </c>
      <c r="G332" s="660">
        <f>'10.Фізіотерапія'!F523</f>
        <v>0.2</v>
      </c>
      <c r="H332" s="384">
        <f t="shared" si="51"/>
        <v>43.760000000000005</v>
      </c>
      <c r="I332" s="660">
        <f>'10.Фізіотерапія'!H532+'10.Фізіотерапія'!H537</f>
        <v>2.5300000000000002</v>
      </c>
      <c r="J332" s="660">
        <f>'10.Фізіотерапія'!H533+'10.Фізіотерапія'!H538</f>
        <v>0</v>
      </c>
      <c r="K332" s="660">
        <f>'10.Фізіотерапія'!H534+'10.Фізіотерапія'!H539</f>
        <v>0</v>
      </c>
      <c r="L332" s="660">
        <f>'10.Фізіотерапія'!H535+'10.Фізіотерапія'!H540</f>
        <v>0.23</v>
      </c>
      <c r="M332" s="384">
        <f t="shared" si="52"/>
        <v>2.7600000000000002</v>
      </c>
      <c r="N332" s="384">
        <f t="shared" si="53"/>
        <v>46.52</v>
      </c>
      <c r="O332" s="661"/>
      <c r="P332" s="384">
        <f t="shared" si="54"/>
        <v>47</v>
      </c>
      <c r="Q332" s="384">
        <f>'10.Фізіотерапія'!M13</f>
        <v>47</v>
      </c>
      <c r="R332" s="384">
        <f t="shared" si="47"/>
        <v>0</v>
      </c>
      <c r="S332" s="384"/>
      <c r="T332" s="384"/>
      <c r="U332" s="384"/>
      <c r="V332" s="384"/>
      <c r="W332" s="384"/>
      <c r="X332" s="384"/>
      <c r="Y332" s="384"/>
      <c r="Z332" s="763" t="str">
        <f>'10.Фізіотерапія'!L13</f>
        <v>Електрофорез лікарський з нікотиновою кислотою ( багаторазовими електродами )</v>
      </c>
      <c r="AA332" s="755"/>
      <c r="AB332" s="755"/>
      <c r="AC332" s="748"/>
      <c r="AD332" s="748"/>
      <c r="AE332" s="748"/>
      <c r="AF332" s="748"/>
      <c r="AG332" s="748"/>
      <c r="AH332" s="748"/>
      <c r="AI332" s="748"/>
      <c r="AJ332" s="748"/>
      <c r="AK332" s="748"/>
      <c r="AL332" s="748"/>
      <c r="AM332" s="748"/>
      <c r="AN332" s="748"/>
      <c r="AO332" s="375"/>
      <c r="AP332" s="375"/>
      <c r="AQ332" s="375"/>
      <c r="AR332" s="375"/>
      <c r="AS332" s="375"/>
      <c r="AT332" s="375"/>
      <c r="AU332" s="375"/>
      <c r="AV332" s="375"/>
      <c r="AW332" s="375"/>
      <c r="AX332" s="375"/>
      <c r="AY332" s="375"/>
      <c r="AZ332" s="375"/>
      <c r="BA332" s="375"/>
      <c r="BB332" s="375"/>
      <c r="BC332" s="375"/>
      <c r="BD332" s="375"/>
      <c r="BE332" s="375"/>
      <c r="BF332" s="375"/>
      <c r="BG332" s="375"/>
      <c r="BH332" s="375"/>
      <c r="BI332" s="375"/>
      <c r="BJ332" s="375"/>
      <c r="BK332" s="375"/>
      <c r="BL332" s="375"/>
      <c r="BM332" s="375"/>
      <c r="BN332" s="375"/>
      <c r="BO332" s="375"/>
    </row>
    <row r="333" spans="1:67" s="6" customFormat="1" x14ac:dyDescent="0.45">
      <c r="A333" s="517"/>
      <c r="B333" s="638" t="s">
        <v>416</v>
      </c>
      <c r="C333" s="412" t="s">
        <v>420</v>
      </c>
      <c r="D333" s="660">
        <f>'10.Фізіотерапія'!F560+'10.Фізіотерапія'!F561</f>
        <v>20.69</v>
      </c>
      <c r="E333" s="661">
        <f>'10.Фізіотерапія'!F563</f>
        <v>4.55</v>
      </c>
      <c r="F333" s="661">
        <f>'10.Фізіотерапія'!F565</f>
        <v>40.440000000000005</v>
      </c>
      <c r="G333" s="660">
        <f>'10.Фізіотерапія'!F580</f>
        <v>0.2</v>
      </c>
      <c r="H333" s="384">
        <f t="shared" si="51"/>
        <v>65.88000000000001</v>
      </c>
      <c r="I333" s="660">
        <f>'10.Фізіотерапія'!H589+'10.Фізіотерапія'!H594</f>
        <v>2.5300000000000002</v>
      </c>
      <c r="J333" s="660">
        <f>'10.Фізіотерапія'!H590+'10.Фізіотерапія'!H595</f>
        <v>0</v>
      </c>
      <c r="K333" s="660">
        <f>'10.Фізіотерапія'!H591+'10.Фізіотерапія'!H596</f>
        <v>0</v>
      </c>
      <c r="L333" s="660">
        <f>'10.Фізіотерапія'!H592+'10.Фізіотерапія'!H597</f>
        <v>0.23</v>
      </c>
      <c r="M333" s="384">
        <f t="shared" si="52"/>
        <v>2.7600000000000002</v>
      </c>
      <c r="N333" s="384">
        <f t="shared" si="53"/>
        <v>68.640000000000015</v>
      </c>
      <c r="O333" s="661"/>
      <c r="P333" s="384">
        <f t="shared" si="54"/>
        <v>69</v>
      </c>
      <c r="Q333" s="384">
        <f>'10.Фізіотерапія'!M14</f>
        <v>69</v>
      </c>
      <c r="R333" s="384">
        <f t="shared" si="47"/>
        <v>0</v>
      </c>
      <c r="S333" s="384"/>
      <c r="T333" s="384"/>
      <c r="U333" s="384"/>
      <c r="V333" s="384"/>
      <c r="W333" s="384"/>
      <c r="X333" s="384"/>
      <c r="Y333" s="384"/>
      <c r="Z333" s="763" t="str">
        <f>'10.Фізіотерапія'!L14</f>
        <v>Електрофорез лікарський з новокаїном ( одноразовими електродами )</v>
      </c>
      <c r="AA333" s="755"/>
      <c r="AB333" s="755"/>
      <c r="AC333" s="748"/>
      <c r="AD333" s="748"/>
      <c r="AE333" s="748"/>
      <c r="AF333" s="748"/>
      <c r="AG333" s="748"/>
      <c r="AH333" s="748"/>
      <c r="AI333" s="748"/>
      <c r="AJ333" s="748"/>
      <c r="AK333" s="748"/>
      <c r="AL333" s="748"/>
      <c r="AM333" s="748"/>
      <c r="AN333" s="748"/>
      <c r="AO333" s="375"/>
      <c r="AP333" s="375"/>
      <c r="AQ333" s="375"/>
      <c r="AR333" s="375"/>
      <c r="AS333" s="375"/>
      <c r="AT333" s="375"/>
      <c r="AU333" s="375"/>
      <c r="AV333" s="375"/>
      <c r="AW333" s="375"/>
      <c r="AX333" s="375"/>
      <c r="AY333" s="375"/>
      <c r="AZ333" s="375"/>
      <c r="BA333" s="375"/>
      <c r="BB333" s="375"/>
      <c r="BC333" s="375"/>
      <c r="BD333" s="375"/>
      <c r="BE333" s="375"/>
      <c r="BF333" s="375"/>
      <c r="BG333" s="375"/>
      <c r="BH333" s="375"/>
      <c r="BI333" s="375"/>
      <c r="BJ333" s="375"/>
      <c r="BK333" s="375"/>
      <c r="BL333" s="375"/>
      <c r="BM333" s="375"/>
      <c r="BN333" s="375"/>
      <c r="BO333" s="375"/>
    </row>
    <row r="334" spans="1:67" s="6" customFormat="1" x14ac:dyDescent="0.45">
      <c r="A334" s="517"/>
      <c r="B334" s="638" t="s">
        <v>417</v>
      </c>
      <c r="C334" s="412" t="s">
        <v>421</v>
      </c>
      <c r="D334" s="660">
        <f>'10.Фізіотерапія'!F617+'10.Фізіотерапія'!F618</f>
        <v>20.69</v>
      </c>
      <c r="E334" s="661">
        <f>'10.Фізіотерапія'!F620</f>
        <v>4.55</v>
      </c>
      <c r="F334" s="661">
        <f>'10.Фізіотерапія'!F622</f>
        <v>16.439999999999998</v>
      </c>
      <c r="G334" s="660">
        <f>'10.Фізіотерапія'!F637</f>
        <v>0.2</v>
      </c>
      <c r="H334" s="384">
        <f t="shared" si="51"/>
        <v>41.88</v>
      </c>
      <c r="I334" s="660">
        <f>'10.Фізіотерапія'!H646+'10.Фізіотерапія'!H651</f>
        <v>2.5300000000000002</v>
      </c>
      <c r="J334" s="660">
        <f>'10.Фізіотерапія'!H647+'10.Фізіотерапія'!H652</f>
        <v>0</v>
      </c>
      <c r="K334" s="660">
        <f>'10.Фізіотерапія'!H648+'10.Фізіотерапія'!H653</f>
        <v>0</v>
      </c>
      <c r="L334" s="660">
        <f>'10.Фізіотерапія'!H649+'10.Фізіотерапія'!H654</f>
        <v>0.23</v>
      </c>
      <c r="M334" s="384">
        <f t="shared" si="52"/>
        <v>2.7600000000000002</v>
      </c>
      <c r="N334" s="384">
        <f t="shared" si="53"/>
        <v>44.64</v>
      </c>
      <c r="O334" s="661"/>
      <c r="P334" s="384">
        <f t="shared" si="54"/>
        <v>45</v>
      </c>
      <c r="Q334" s="384">
        <f>'10.Фізіотерапія'!M15</f>
        <v>45</v>
      </c>
      <c r="R334" s="384">
        <f t="shared" si="47"/>
        <v>0</v>
      </c>
      <c r="S334" s="384"/>
      <c r="T334" s="384"/>
      <c r="U334" s="384"/>
      <c r="V334" s="384"/>
      <c r="W334" s="384"/>
      <c r="X334" s="384"/>
      <c r="Y334" s="384"/>
      <c r="Z334" s="763" t="str">
        <f>'10.Фізіотерапія'!L15</f>
        <v>Електрофорез лікарський з новокаїном ( багаторазовими електродами )</v>
      </c>
      <c r="AA334" s="755"/>
      <c r="AB334" s="755"/>
      <c r="AC334" s="748"/>
      <c r="AD334" s="748"/>
      <c r="AE334" s="748"/>
      <c r="AF334" s="748"/>
      <c r="AG334" s="748"/>
      <c r="AH334" s="748"/>
      <c r="AI334" s="748"/>
      <c r="AJ334" s="748"/>
      <c r="AK334" s="748"/>
      <c r="AL334" s="748"/>
      <c r="AM334" s="748"/>
      <c r="AN334" s="748"/>
      <c r="AO334" s="375"/>
      <c r="AP334" s="375"/>
      <c r="AQ334" s="375"/>
      <c r="AR334" s="375"/>
      <c r="AS334" s="375"/>
      <c r="AT334" s="375"/>
      <c r="AU334" s="375"/>
      <c r="AV334" s="375"/>
      <c r="AW334" s="375"/>
      <c r="AX334" s="375"/>
      <c r="AY334" s="375"/>
      <c r="AZ334" s="375"/>
      <c r="BA334" s="375"/>
      <c r="BB334" s="375"/>
      <c r="BC334" s="375"/>
      <c r="BD334" s="375"/>
      <c r="BE334" s="375"/>
      <c r="BF334" s="375"/>
      <c r="BG334" s="375"/>
      <c r="BH334" s="375"/>
      <c r="BI334" s="375"/>
      <c r="BJ334" s="375"/>
      <c r="BK334" s="375"/>
      <c r="BL334" s="375"/>
      <c r="BM334" s="375"/>
      <c r="BN334" s="375"/>
      <c r="BO334" s="375"/>
    </row>
    <row r="335" spans="1:67" s="6" customFormat="1" x14ac:dyDescent="0.45">
      <c r="A335" s="517"/>
      <c r="B335" s="638" t="s">
        <v>422</v>
      </c>
      <c r="C335" s="412" t="s">
        <v>434</v>
      </c>
      <c r="D335" s="660">
        <f>'10.Фізіотерапія'!F674+'10.Фізіотерапія'!F675</f>
        <v>20.69</v>
      </c>
      <c r="E335" s="661">
        <f>'10.Фізіотерапія'!F677</f>
        <v>4.55</v>
      </c>
      <c r="F335" s="661">
        <f>'10.Фізіотерапія'!F679</f>
        <v>41.530000000000008</v>
      </c>
      <c r="G335" s="660">
        <f>'10.Фізіотерапія'!F694</f>
        <v>0.2</v>
      </c>
      <c r="H335" s="384">
        <f t="shared" si="51"/>
        <v>66.970000000000013</v>
      </c>
      <c r="I335" s="660">
        <f>'10.Фізіотерапія'!H703+'10.Фізіотерапія'!H708</f>
        <v>2.5300000000000002</v>
      </c>
      <c r="J335" s="660">
        <f>'10.Фізіотерапія'!H704+'10.Фізіотерапія'!H709</f>
        <v>0</v>
      </c>
      <c r="K335" s="660">
        <f>'10.Фізіотерапія'!H705+'10.Фізіотерапія'!H710</f>
        <v>0</v>
      </c>
      <c r="L335" s="660">
        <f>'10.Фізіотерапія'!H706+'10.Фізіотерапія'!H711</f>
        <v>0.23</v>
      </c>
      <c r="M335" s="384">
        <f t="shared" si="52"/>
        <v>2.7600000000000002</v>
      </c>
      <c r="N335" s="384">
        <f t="shared" si="53"/>
        <v>69.730000000000018</v>
      </c>
      <c r="O335" s="661"/>
      <c r="P335" s="384">
        <f t="shared" si="54"/>
        <v>70</v>
      </c>
      <c r="Q335" s="384">
        <f>'10.Фізіотерапія'!M16</f>
        <v>70</v>
      </c>
      <c r="R335" s="384">
        <f t="shared" si="47"/>
        <v>0</v>
      </c>
      <c r="S335" s="384"/>
      <c r="T335" s="384"/>
      <c r="U335" s="384"/>
      <c r="V335" s="384"/>
      <c r="W335" s="384"/>
      <c r="X335" s="384"/>
      <c r="Y335" s="384"/>
      <c r="Z335" s="763" t="str">
        <f>'10.Фізіотерапія'!L16</f>
        <v>Електрофорез лікарський з медичною жовчю ( одноразовими електродами )</v>
      </c>
      <c r="AA335" s="755"/>
      <c r="AB335" s="755"/>
      <c r="AC335" s="748"/>
      <c r="AD335" s="748"/>
      <c r="AE335" s="748"/>
      <c r="AF335" s="748"/>
      <c r="AG335" s="748"/>
      <c r="AH335" s="748"/>
      <c r="AI335" s="748"/>
      <c r="AJ335" s="748"/>
      <c r="AK335" s="748"/>
      <c r="AL335" s="748"/>
      <c r="AM335" s="748"/>
      <c r="AN335" s="748"/>
      <c r="AO335" s="375"/>
      <c r="AP335" s="375"/>
      <c r="AQ335" s="375"/>
      <c r="AR335" s="375"/>
      <c r="AS335" s="375"/>
      <c r="AT335" s="375"/>
      <c r="AU335" s="375"/>
      <c r="AV335" s="375"/>
      <c r="AW335" s="375"/>
      <c r="AX335" s="375"/>
      <c r="AY335" s="375"/>
      <c r="AZ335" s="375"/>
      <c r="BA335" s="375"/>
      <c r="BB335" s="375"/>
      <c r="BC335" s="375"/>
      <c r="BD335" s="375"/>
      <c r="BE335" s="375"/>
      <c r="BF335" s="375"/>
      <c r="BG335" s="375"/>
      <c r="BH335" s="375"/>
      <c r="BI335" s="375"/>
      <c r="BJ335" s="375"/>
      <c r="BK335" s="375"/>
      <c r="BL335" s="375"/>
      <c r="BM335" s="375"/>
      <c r="BN335" s="375"/>
      <c r="BO335" s="375"/>
    </row>
    <row r="336" spans="1:67" s="6" customFormat="1" x14ac:dyDescent="0.45">
      <c r="A336" s="517"/>
      <c r="B336" s="638" t="s">
        <v>423</v>
      </c>
      <c r="C336" s="412" t="s">
        <v>435</v>
      </c>
      <c r="D336" s="660">
        <f>'10.Фізіотерапія'!F731+'10.Фізіотерапія'!F732</f>
        <v>20.69</v>
      </c>
      <c r="E336" s="661">
        <f>'10.Фізіотерапія'!F734</f>
        <v>4.55</v>
      </c>
      <c r="F336" s="661">
        <f>'10.Фізіотерапія'!F736</f>
        <v>17.53</v>
      </c>
      <c r="G336" s="660">
        <f>'10.Фізіотерапія'!F751</f>
        <v>0.2</v>
      </c>
      <c r="H336" s="384">
        <f t="shared" si="51"/>
        <v>42.970000000000006</v>
      </c>
      <c r="I336" s="660">
        <f>'10.Фізіотерапія'!H760+'10.Фізіотерапія'!H765</f>
        <v>2.5300000000000002</v>
      </c>
      <c r="J336" s="660">
        <f>'10.Фізіотерапія'!H761+'10.Фізіотерапія'!H766</f>
        <v>0</v>
      </c>
      <c r="K336" s="660">
        <f>'10.Фізіотерапія'!H762+'10.Фізіотерапія'!H767</f>
        <v>0</v>
      </c>
      <c r="L336" s="660">
        <f>'10.Фізіотерапія'!H763+'10.Фізіотерапія'!H768</f>
        <v>0.23</v>
      </c>
      <c r="M336" s="384">
        <f t="shared" si="52"/>
        <v>2.7600000000000002</v>
      </c>
      <c r="N336" s="384">
        <f t="shared" si="53"/>
        <v>45.730000000000004</v>
      </c>
      <c r="O336" s="661"/>
      <c r="P336" s="384">
        <f t="shared" si="54"/>
        <v>46</v>
      </c>
      <c r="Q336" s="384">
        <f>'10.Фізіотерапія'!M17</f>
        <v>46</v>
      </c>
      <c r="R336" s="384">
        <f t="shared" si="47"/>
        <v>0</v>
      </c>
      <c r="S336" s="384"/>
      <c r="T336" s="384"/>
      <c r="U336" s="384"/>
      <c r="V336" s="384"/>
      <c r="W336" s="384"/>
      <c r="X336" s="384"/>
      <c r="Y336" s="384"/>
      <c r="Z336" s="763" t="str">
        <f>'10.Фізіотерапія'!L17</f>
        <v>Електрофорез лікарський з медичною жовчю ( багаторазовими електродами )</v>
      </c>
      <c r="AA336" s="755"/>
      <c r="AB336" s="755"/>
      <c r="AC336" s="748"/>
      <c r="AD336" s="748"/>
      <c r="AE336" s="748"/>
      <c r="AF336" s="748"/>
      <c r="AG336" s="748"/>
      <c r="AH336" s="748"/>
      <c r="AI336" s="748"/>
      <c r="AJ336" s="748"/>
      <c r="AK336" s="748"/>
      <c r="AL336" s="748"/>
      <c r="AM336" s="748"/>
      <c r="AN336" s="748"/>
      <c r="AO336" s="375"/>
      <c r="AP336" s="375"/>
      <c r="AQ336" s="375"/>
      <c r="AR336" s="375"/>
      <c r="AS336" s="375"/>
      <c r="AT336" s="375"/>
      <c r="AU336" s="375"/>
      <c r="AV336" s="375"/>
      <c r="AW336" s="375"/>
      <c r="AX336" s="375"/>
      <c r="AY336" s="375"/>
      <c r="AZ336" s="375"/>
      <c r="BA336" s="375"/>
      <c r="BB336" s="375"/>
      <c r="BC336" s="375"/>
      <c r="BD336" s="375"/>
      <c r="BE336" s="375"/>
      <c r="BF336" s="375"/>
      <c r="BG336" s="375"/>
      <c r="BH336" s="375"/>
      <c r="BI336" s="375"/>
      <c r="BJ336" s="375"/>
      <c r="BK336" s="375"/>
      <c r="BL336" s="375"/>
      <c r="BM336" s="375"/>
      <c r="BN336" s="375"/>
      <c r="BO336" s="375"/>
    </row>
    <row r="337" spans="1:67" s="6" customFormat="1" x14ac:dyDescent="0.45">
      <c r="A337" s="517"/>
      <c r="B337" s="638" t="s">
        <v>424</v>
      </c>
      <c r="C337" s="412" t="s">
        <v>436</v>
      </c>
      <c r="D337" s="660">
        <f>'10.Фізіотерапія'!F788+'10.Фізіотерапія'!F789</f>
        <v>16.440000000000001</v>
      </c>
      <c r="E337" s="661">
        <f>'10.Фізіотерапія'!F791</f>
        <v>3.62</v>
      </c>
      <c r="F337" s="661">
        <f>'10.Фізіотерапія'!F793</f>
        <v>40.280000000000008</v>
      </c>
      <c r="G337" s="660">
        <f>'10.Фізіотерапія'!F808</f>
        <v>0.15</v>
      </c>
      <c r="H337" s="384">
        <f t="shared" si="51"/>
        <v>60.490000000000009</v>
      </c>
      <c r="I337" s="660">
        <f>'10.Фізіотерапія'!H817+'10.Фізіотерапія'!H822</f>
        <v>1.98</v>
      </c>
      <c r="J337" s="660">
        <f>'10.Фізіотерапія'!H818+'10.Фізіотерапія'!H823</f>
        <v>0</v>
      </c>
      <c r="K337" s="660">
        <f>'10.Фізіотерапія'!H819+'10.Фізіотерапія'!H824</f>
        <v>0</v>
      </c>
      <c r="L337" s="660">
        <f>'10.Фізіотерапія'!H820+'10.Фізіотерапія'!H825</f>
        <v>0.18</v>
      </c>
      <c r="M337" s="384">
        <f t="shared" si="52"/>
        <v>2.16</v>
      </c>
      <c r="N337" s="384">
        <f t="shared" si="53"/>
        <v>62.650000000000006</v>
      </c>
      <c r="O337" s="661"/>
      <c r="P337" s="384">
        <f t="shared" si="54"/>
        <v>63</v>
      </c>
      <c r="Q337" s="384">
        <f>'10.Фізіотерапія'!M18</f>
        <v>63</v>
      </c>
      <c r="R337" s="384">
        <f t="shared" si="47"/>
        <v>0</v>
      </c>
      <c r="S337" s="384"/>
      <c r="T337" s="384"/>
      <c r="U337" s="384"/>
      <c r="V337" s="384"/>
      <c r="W337" s="384"/>
      <c r="X337" s="384"/>
      <c r="Y337" s="384"/>
      <c r="Z337" s="763" t="str">
        <f>'10.Фізіотерапія'!L18</f>
        <v>Електрофорез лікарський комір по Щербаку з магнію сульфатом ( одноразовими електродами )</v>
      </c>
      <c r="AA337" s="755"/>
      <c r="AB337" s="755"/>
      <c r="AC337" s="748"/>
      <c r="AD337" s="748"/>
      <c r="AE337" s="748"/>
      <c r="AF337" s="748"/>
      <c r="AG337" s="748"/>
      <c r="AH337" s="748"/>
      <c r="AI337" s="748"/>
      <c r="AJ337" s="748"/>
      <c r="AK337" s="748"/>
      <c r="AL337" s="748"/>
      <c r="AM337" s="748"/>
      <c r="AN337" s="748"/>
      <c r="AO337" s="375"/>
      <c r="AP337" s="375"/>
      <c r="AQ337" s="375"/>
      <c r="AR337" s="375"/>
      <c r="AS337" s="375"/>
      <c r="AT337" s="375"/>
      <c r="AU337" s="375"/>
      <c r="AV337" s="375"/>
      <c r="AW337" s="375"/>
      <c r="AX337" s="375"/>
      <c r="AY337" s="375"/>
      <c r="AZ337" s="375"/>
      <c r="BA337" s="375"/>
      <c r="BB337" s="375"/>
      <c r="BC337" s="375"/>
      <c r="BD337" s="375"/>
      <c r="BE337" s="375"/>
      <c r="BF337" s="375"/>
      <c r="BG337" s="375"/>
      <c r="BH337" s="375"/>
      <c r="BI337" s="375"/>
      <c r="BJ337" s="375"/>
      <c r="BK337" s="375"/>
      <c r="BL337" s="375"/>
      <c r="BM337" s="375"/>
      <c r="BN337" s="375"/>
      <c r="BO337" s="375"/>
    </row>
    <row r="338" spans="1:67" s="6" customFormat="1" x14ac:dyDescent="0.45">
      <c r="A338" s="517"/>
      <c r="B338" s="638" t="s">
        <v>425</v>
      </c>
      <c r="C338" s="412" t="s">
        <v>437</v>
      </c>
      <c r="D338" s="660">
        <f>'10.Фізіотерапія'!F845+'10.Фізіотерапія'!F846</f>
        <v>16.440000000000001</v>
      </c>
      <c r="E338" s="661">
        <f>'10.Фізіотерапія'!F848</f>
        <v>3.62</v>
      </c>
      <c r="F338" s="661">
        <f>'10.Фізіотерапія'!F850</f>
        <v>16.28</v>
      </c>
      <c r="G338" s="660">
        <f>'10.Фізіотерапія'!F865</f>
        <v>0.15</v>
      </c>
      <c r="H338" s="384">
        <f t="shared" si="51"/>
        <v>36.49</v>
      </c>
      <c r="I338" s="660">
        <f>'10.Фізіотерапія'!H874+'10.Фізіотерапія'!H879</f>
        <v>1.98</v>
      </c>
      <c r="J338" s="660">
        <f>'10.Фізіотерапія'!H875+'10.Фізіотерапія'!H880</f>
        <v>0</v>
      </c>
      <c r="K338" s="660">
        <f>'10.Фізіотерапія'!H876+'10.Фізіотерапія'!H881</f>
        <v>0</v>
      </c>
      <c r="L338" s="660">
        <f>'10.Фізіотерапія'!H877+'10.Фізіотерапія'!H882</f>
        <v>0.18</v>
      </c>
      <c r="M338" s="384">
        <f t="shared" si="52"/>
        <v>2.16</v>
      </c>
      <c r="N338" s="384">
        <f t="shared" si="53"/>
        <v>38.650000000000006</v>
      </c>
      <c r="O338" s="661"/>
      <c r="P338" s="384">
        <f t="shared" si="54"/>
        <v>39</v>
      </c>
      <c r="Q338" s="384">
        <f>'10.Фізіотерапія'!M19</f>
        <v>39</v>
      </c>
      <c r="R338" s="384">
        <f t="shared" si="47"/>
        <v>0</v>
      </c>
      <c r="S338" s="384"/>
      <c r="T338" s="384"/>
      <c r="U338" s="384"/>
      <c r="V338" s="384"/>
      <c r="W338" s="384"/>
      <c r="X338" s="384"/>
      <c r="Y338" s="384"/>
      <c r="Z338" s="763" t="str">
        <f>'10.Фізіотерапія'!L19</f>
        <v>Електрофорез лікарський комір по Щербаку з магнію сульфатом ( багаторазовими електродами )</v>
      </c>
      <c r="AA338" s="755"/>
      <c r="AB338" s="755"/>
      <c r="AC338" s="748"/>
      <c r="AD338" s="748"/>
      <c r="AE338" s="748"/>
      <c r="AF338" s="748"/>
      <c r="AG338" s="748"/>
      <c r="AH338" s="748"/>
      <c r="AI338" s="748"/>
      <c r="AJ338" s="748"/>
      <c r="AK338" s="748"/>
      <c r="AL338" s="748"/>
      <c r="AM338" s="748"/>
      <c r="AN338" s="748"/>
      <c r="AO338" s="375"/>
      <c r="AP338" s="375"/>
      <c r="AQ338" s="375"/>
      <c r="AR338" s="375"/>
      <c r="AS338" s="375"/>
      <c r="AT338" s="375"/>
      <c r="AU338" s="375"/>
      <c r="AV338" s="375"/>
      <c r="AW338" s="375"/>
      <c r="AX338" s="375"/>
      <c r="AY338" s="375"/>
      <c r="AZ338" s="375"/>
      <c r="BA338" s="375"/>
      <c r="BB338" s="375"/>
      <c r="BC338" s="375"/>
      <c r="BD338" s="375"/>
      <c r="BE338" s="375"/>
      <c r="BF338" s="375"/>
      <c r="BG338" s="375"/>
      <c r="BH338" s="375"/>
      <c r="BI338" s="375"/>
      <c r="BJ338" s="375"/>
      <c r="BK338" s="375"/>
      <c r="BL338" s="375"/>
      <c r="BM338" s="375"/>
      <c r="BN338" s="375"/>
      <c r="BO338" s="375"/>
    </row>
    <row r="339" spans="1:67" s="6" customFormat="1" x14ac:dyDescent="0.45">
      <c r="A339" s="517"/>
      <c r="B339" s="638" t="s">
        <v>426</v>
      </c>
      <c r="C339" s="412" t="s">
        <v>438</v>
      </c>
      <c r="D339" s="660">
        <f>'10.Фізіотерапія'!F902+'10.Фізіотерапія'!F903</f>
        <v>16.440000000000001</v>
      </c>
      <c r="E339" s="661">
        <f>'10.Фізіотерапія'!F905</f>
        <v>3.62</v>
      </c>
      <c r="F339" s="661">
        <f>'10.Фізіотерапія'!F907</f>
        <v>39.530000000000008</v>
      </c>
      <c r="G339" s="660">
        <f>'10.Фізіотерапія'!F922</f>
        <v>0.15</v>
      </c>
      <c r="H339" s="384">
        <f t="shared" si="51"/>
        <v>59.740000000000009</v>
      </c>
      <c r="I339" s="660">
        <f>'10.Фізіотерапія'!H931+'10.Фізіотерапія'!H936</f>
        <v>1.98</v>
      </c>
      <c r="J339" s="660">
        <f>'10.Фізіотерапія'!H932+'10.Фізіотерапія'!H937</f>
        <v>0</v>
      </c>
      <c r="K339" s="660">
        <f>'10.Фізіотерапія'!H933+'10.Фізіотерапія'!H938</f>
        <v>0</v>
      </c>
      <c r="L339" s="660">
        <f>'10.Фізіотерапія'!H934+'10.Фізіотерапія'!H939</f>
        <v>0.18</v>
      </c>
      <c r="M339" s="384">
        <f t="shared" si="52"/>
        <v>2.16</v>
      </c>
      <c r="N339" s="384">
        <f t="shared" si="53"/>
        <v>61.900000000000006</v>
      </c>
      <c r="O339" s="661"/>
      <c r="P339" s="384">
        <f t="shared" si="54"/>
        <v>62</v>
      </c>
      <c r="Q339" s="384">
        <f>'10.Фізіотерапія'!M20</f>
        <v>62</v>
      </c>
      <c r="R339" s="384">
        <f t="shared" si="47"/>
        <v>0</v>
      </c>
      <c r="S339" s="384"/>
      <c r="T339" s="384"/>
      <c r="U339" s="384"/>
      <c r="V339" s="384"/>
      <c r="W339" s="384"/>
      <c r="X339" s="384"/>
      <c r="Y339" s="384"/>
      <c r="Z339" s="763" t="str">
        <f>'10.Фізіотерапія'!L20</f>
        <v>Електрофорез лікарський комір по Щербаку з еуфіліном ( одноразовими електродами )</v>
      </c>
      <c r="AA339" s="755"/>
      <c r="AB339" s="755"/>
      <c r="AC339" s="748"/>
      <c r="AD339" s="748"/>
      <c r="AE339" s="748"/>
      <c r="AF339" s="748"/>
      <c r="AG339" s="748"/>
      <c r="AH339" s="748"/>
      <c r="AI339" s="748"/>
      <c r="AJ339" s="748"/>
      <c r="AK339" s="748"/>
      <c r="AL339" s="748"/>
      <c r="AM339" s="748"/>
      <c r="AN339" s="748"/>
      <c r="AO339" s="375"/>
      <c r="AP339" s="375"/>
      <c r="AQ339" s="375"/>
      <c r="AR339" s="375"/>
      <c r="AS339" s="375"/>
      <c r="AT339" s="375"/>
      <c r="AU339" s="375"/>
      <c r="AV339" s="375"/>
      <c r="AW339" s="375"/>
      <c r="AX339" s="375"/>
      <c r="AY339" s="375"/>
      <c r="AZ339" s="375"/>
      <c r="BA339" s="375"/>
      <c r="BB339" s="375"/>
      <c r="BC339" s="375"/>
      <c r="BD339" s="375"/>
      <c r="BE339" s="375"/>
      <c r="BF339" s="375"/>
      <c r="BG339" s="375"/>
      <c r="BH339" s="375"/>
      <c r="BI339" s="375"/>
      <c r="BJ339" s="375"/>
      <c r="BK339" s="375"/>
      <c r="BL339" s="375"/>
      <c r="BM339" s="375"/>
      <c r="BN339" s="375"/>
      <c r="BO339" s="375"/>
    </row>
    <row r="340" spans="1:67" s="6" customFormat="1" x14ac:dyDescent="0.45">
      <c r="A340" s="517"/>
      <c r="B340" s="638" t="s">
        <v>427</v>
      </c>
      <c r="C340" s="412" t="s">
        <v>439</v>
      </c>
      <c r="D340" s="660">
        <f>'10.Фізіотерапія'!F959+'10.Фізіотерапія'!F960</f>
        <v>16.440000000000001</v>
      </c>
      <c r="E340" s="661">
        <f>'10.Фізіотерапія'!F962</f>
        <v>3.62</v>
      </c>
      <c r="F340" s="661">
        <f>'10.Фізіотерапія'!F964</f>
        <v>15.53</v>
      </c>
      <c r="G340" s="660">
        <f>'10.Фізіотерапія'!F979</f>
        <v>0.15</v>
      </c>
      <c r="H340" s="384">
        <f t="shared" si="51"/>
        <v>35.74</v>
      </c>
      <c r="I340" s="660">
        <f>'10.Фізіотерапія'!H988+'10.Фізіотерапія'!H993</f>
        <v>1.98</v>
      </c>
      <c r="J340" s="660">
        <f>'10.Фізіотерапія'!H989+'10.Фізіотерапія'!H994</f>
        <v>0</v>
      </c>
      <c r="K340" s="660">
        <f>'10.Фізіотерапія'!H990+'10.Фізіотерапія'!H995</f>
        <v>0</v>
      </c>
      <c r="L340" s="660">
        <f>'10.Фізіотерапія'!H991+'10.Фізіотерапія'!H996</f>
        <v>0.18</v>
      </c>
      <c r="M340" s="384">
        <f t="shared" si="52"/>
        <v>2.16</v>
      </c>
      <c r="N340" s="384">
        <f t="shared" si="53"/>
        <v>37.900000000000006</v>
      </c>
      <c r="O340" s="661"/>
      <c r="P340" s="384">
        <f t="shared" si="54"/>
        <v>38</v>
      </c>
      <c r="Q340" s="384">
        <f>'10.Фізіотерапія'!M21</f>
        <v>38</v>
      </c>
      <c r="R340" s="384">
        <f t="shared" si="47"/>
        <v>0</v>
      </c>
      <c r="S340" s="384"/>
      <c r="T340" s="384"/>
      <c r="U340" s="384"/>
      <c r="V340" s="384"/>
      <c r="W340" s="384"/>
      <c r="X340" s="384"/>
      <c r="Y340" s="384"/>
      <c r="Z340" s="763" t="str">
        <f>'10.Фізіотерапія'!L21</f>
        <v>Електрофорез лікарський комір по Щербаку з еуфіліном ( багаторазовими електродами )</v>
      </c>
      <c r="AA340" s="755"/>
      <c r="AB340" s="755"/>
      <c r="AC340" s="748"/>
      <c r="AD340" s="748"/>
      <c r="AE340" s="748"/>
      <c r="AF340" s="748"/>
      <c r="AG340" s="748"/>
      <c r="AH340" s="748"/>
      <c r="AI340" s="748"/>
      <c r="AJ340" s="748"/>
      <c r="AK340" s="748"/>
      <c r="AL340" s="748"/>
      <c r="AM340" s="748"/>
      <c r="AN340" s="748"/>
      <c r="AO340" s="375"/>
      <c r="AP340" s="375"/>
      <c r="AQ340" s="375"/>
      <c r="AR340" s="375"/>
      <c r="AS340" s="375"/>
      <c r="AT340" s="375"/>
      <c r="AU340" s="375"/>
      <c r="AV340" s="375"/>
      <c r="AW340" s="375"/>
      <c r="AX340" s="375"/>
      <c r="AY340" s="375"/>
      <c r="AZ340" s="375"/>
      <c r="BA340" s="375"/>
      <c r="BB340" s="375"/>
      <c r="BC340" s="375"/>
      <c r="BD340" s="375"/>
      <c r="BE340" s="375"/>
      <c r="BF340" s="375"/>
      <c r="BG340" s="375"/>
      <c r="BH340" s="375"/>
      <c r="BI340" s="375"/>
      <c r="BJ340" s="375"/>
      <c r="BK340" s="375"/>
      <c r="BL340" s="375"/>
      <c r="BM340" s="375"/>
      <c r="BN340" s="375"/>
      <c r="BO340" s="375"/>
    </row>
    <row r="341" spans="1:67" s="6" customFormat="1" x14ac:dyDescent="0.45">
      <c r="A341" s="517"/>
      <c r="B341" s="638" t="s">
        <v>428</v>
      </c>
      <c r="C341" s="376" t="s">
        <v>440</v>
      </c>
      <c r="D341" s="383">
        <f>'10.Фізіотерапія'!F1016+'10.Фізіотерапія'!F1017</f>
        <v>20.69</v>
      </c>
      <c r="E341" s="378">
        <f>'10.Фізіотерапія'!F1019</f>
        <v>4.55</v>
      </c>
      <c r="F341" s="378">
        <f>'10.Фізіотерапія'!F1021</f>
        <v>59.2</v>
      </c>
      <c r="G341" s="383">
        <f>'10.Фізіотерапія'!F1036</f>
        <v>0.2</v>
      </c>
      <c r="H341" s="384">
        <f t="shared" si="51"/>
        <v>84.64</v>
      </c>
      <c r="I341" s="383">
        <f>'10.Фізіотерапія'!H1045+'10.Фізіотерапія'!H1050</f>
        <v>2.5300000000000002</v>
      </c>
      <c r="J341" s="383">
        <f>'10.Фізіотерапія'!H1046+'10.Фізіотерапія'!H1051</f>
        <v>0</v>
      </c>
      <c r="K341" s="383">
        <f>'10.Фізіотерапія'!H1047+'10.Фізіотерапія'!H1052</f>
        <v>0</v>
      </c>
      <c r="L341" s="383">
        <f>'10.Фізіотерапія'!H1048+'10.Фізіотерапія'!H1053</f>
        <v>0.23</v>
      </c>
      <c r="M341" s="384">
        <f t="shared" si="52"/>
        <v>2.7600000000000002</v>
      </c>
      <c r="N341" s="384">
        <f t="shared" si="53"/>
        <v>87.4</v>
      </c>
      <c r="O341" s="383"/>
      <c r="P341" s="384">
        <f t="shared" si="54"/>
        <v>87</v>
      </c>
      <c r="Q341" s="384">
        <f>'10.Фізіотерапія'!M22</f>
        <v>87</v>
      </c>
      <c r="R341" s="384">
        <f t="shared" si="47"/>
        <v>0</v>
      </c>
      <c r="S341" s="384"/>
      <c r="T341" s="384"/>
      <c r="U341" s="384"/>
      <c r="V341" s="384"/>
      <c r="W341" s="384"/>
      <c r="X341" s="384"/>
      <c r="Y341" s="384"/>
      <c r="Z341" s="763" t="str">
        <f>'10.Фізіотерапія'!L22</f>
        <v>Електрофорез лікарський з лідазою ( одноразовими електродами )</v>
      </c>
      <c r="AA341" s="755"/>
      <c r="AB341" s="755"/>
      <c r="AC341" s="748"/>
      <c r="AD341" s="748"/>
      <c r="AE341" s="748"/>
      <c r="AF341" s="748"/>
      <c r="AG341" s="748"/>
      <c r="AH341" s="748"/>
      <c r="AI341" s="748"/>
      <c r="AJ341" s="748"/>
      <c r="AK341" s="748"/>
      <c r="AL341" s="748"/>
      <c r="AM341" s="748"/>
      <c r="AN341" s="748"/>
      <c r="AO341" s="375"/>
      <c r="AP341" s="375"/>
      <c r="AQ341" s="375"/>
      <c r="AR341" s="375"/>
      <c r="AS341" s="375"/>
      <c r="AT341" s="375"/>
      <c r="AU341" s="375"/>
      <c r="AV341" s="375"/>
      <c r="AW341" s="375"/>
      <c r="AX341" s="375"/>
      <c r="AY341" s="375"/>
      <c r="AZ341" s="375"/>
      <c r="BA341" s="375"/>
      <c r="BB341" s="375"/>
      <c r="BC341" s="375"/>
      <c r="BD341" s="375"/>
      <c r="BE341" s="375"/>
      <c r="BF341" s="375"/>
      <c r="BG341" s="375"/>
      <c r="BH341" s="375"/>
      <c r="BI341" s="375"/>
      <c r="BJ341" s="375"/>
      <c r="BK341" s="375"/>
      <c r="BL341" s="375"/>
      <c r="BM341" s="375"/>
      <c r="BN341" s="375"/>
      <c r="BO341" s="375"/>
    </row>
    <row r="342" spans="1:67" s="6" customFormat="1" x14ac:dyDescent="0.45">
      <c r="A342" s="517"/>
      <c r="B342" s="638" t="s">
        <v>429</v>
      </c>
      <c r="C342" s="376" t="s">
        <v>441</v>
      </c>
      <c r="D342" s="383">
        <f>'10.Фізіотерапія'!F1073+'10.Фізіотерапія'!F1074</f>
        <v>20.69</v>
      </c>
      <c r="E342" s="378">
        <f>'10.Фізіотерапія'!F1076</f>
        <v>4.55</v>
      </c>
      <c r="F342" s="378">
        <f>'10.Фізіотерапія'!F1078</f>
        <v>35.199999999999996</v>
      </c>
      <c r="G342" s="383">
        <f>'10.Фізіотерапія'!F1093</f>
        <v>0.2</v>
      </c>
      <c r="H342" s="384">
        <f t="shared" si="51"/>
        <v>60.64</v>
      </c>
      <c r="I342" s="383">
        <f>'10.Фізіотерапія'!H1102+'10.Фізіотерапія'!H1107</f>
        <v>2.5300000000000002</v>
      </c>
      <c r="J342" s="383">
        <f>'10.Фізіотерапія'!H1103+'10.Фізіотерапія'!H1108</f>
        <v>0</v>
      </c>
      <c r="K342" s="383">
        <f>'10.Фізіотерапія'!H1104+'10.Фізіотерапія'!H1109</f>
        <v>0</v>
      </c>
      <c r="L342" s="383">
        <f>'10.Фізіотерапія'!H1105+'10.Фізіотерапія'!H1110</f>
        <v>0.23</v>
      </c>
      <c r="M342" s="384">
        <f t="shared" si="52"/>
        <v>2.7600000000000002</v>
      </c>
      <c r="N342" s="384">
        <f t="shared" si="53"/>
        <v>63.4</v>
      </c>
      <c r="O342" s="383"/>
      <c r="P342" s="384">
        <f t="shared" si="54"/>
        <v>63</v>
      </c>
      <c r="Q342" s="384">
        <f>'10.Фізіотерапія'!M23</f>
        <v>63</v>
      </c>
      <c r="R342" s="384">
        <f t="shared" si="47"/>
        <v>0</v>
      </c>
      <c r="S342" s="384"/>
      <c r="T342" s="384"/>
      <c r="U342" s="384"/>
      <c r="V342" s="384"/>
      <c r="W342" s="384"/>
      <c r="X342" s="384"/>
      <c r="Y342" s="384"/>
      <c r="Z342" s="763" t="str">
        <f>'10.Фізіотерапія'!L23</f>
        <v>Електрофорез лікарський з лідазою ( багаторазовими електродами )</v>
      </c>
      <c r="AA342" s="755"/>
      <c r="AB342" s="755"/>
      <c r="AC342" s="748"/>
      <c r="AD342" s="748"/>
      <c r="AE342" s="748"/>
      <c r="AF342" s="748"/>
      <c r="AG342" s="748"/>
      <c r="AH342" s="748"/>
      <c r="AI342" s="748"/>
      <c r="AJ342" s="748"/>
      <c r="AK342" s="748"/>
      <c r="AL342" s="748"/>
      <c r="AM342" s="748"/>
      <c r="AN342" s="748"/>
      <c r="AO342" s="375"/>
      <c r="AP342" s="375"/>
      <c r="AQ342" s="375"/>
      <c r="AR342" s="375"/>
      <c r="AS342" s="375"/>
      <c r="AT342" s="375"/>
      <c r="AU342" s="375"/>
      <c r="AV342" s="375"/>
      <c r="AW342" s="375"/>
      <c r="AX342" s="375"/>
      <c r="AY342" s="375"/>
      <c r="AZ342" s="375"/>
      <c r="BA342" s="375"/>
      <c r="BB342" s="375"/>
      <c r="BC342" s="375"/>
      <c r="BD342" s="375"/>
      <c r="BE342" s="375"/>
      <c r="BF342" s="375"/>
      <c r="BG342" s="375"/>
      <c r="BH342" s="375"/>
      <c r="BI342" s="375"/>
      <c r="BJ342" s="375"/>
      <c r="BK342" s="375"/>
      <c r="BL342" s="375"/>
      <c r="BM342" s="375"/>
      <c r="BN342" s="375"/>
      <c r="BO342" s="375"/>
    </row>
    <row r="343" spans="1:67" s="6" customFormat="1" x14ac:dyDescent="0.45">
      <c r="A343" s="517"/>
      <c r="B343" s="638" t="s">
        <v>430</v>
      </c>
      <c r="C343" s="376" t="s">
        <v>442</v>
      </c>
      <c r="D343" s="383">
        <f>'10.Фізіотерапія'!F1130+'10.Фізіотерапія'!F1131</f>
        <v>20.69</v>
      </c>
      <c r="E343" s="378">
        <f>'10.Фізіотерапія'!F1133</f>
        <v>4.55</v>
      </c>
      <c r="F343" s="378">
        <f>'10.Фізіотерапія'!F1135</f>
        <v>62.430000000000007</v>
      </c>
      <c r="G343" s="383">
        <f>'10.Фізіотерапія'!F1150</f>
        <v>0.2</v>
      </c>
      <c r="H343" s="384">
        <f t="shared" si="51"/>
        <v>87.870000000000019</v>
      </c>
      <c r="I343" s="383">
        <f>'10.Фізіотерапія'!H1159+'10.Фізіотерапія'!H1164</f>
        <v>2.5300000000000002</v>
      </c>
      <c r="J343" s="383">
        <f>'10.Фізіотерапія'!H1161+'10.Фізіотерапія'!H1166</f>
        <v>0</v>
      </c>
      <c r="K343" s="383">
        <f>'10.Фізіотерапія'!H1160+'10.Фізіотерапія'!H1165</f>
        <v>0</v>
      </c>
      <c r="L343" s="383">
        <f>'10.Фізіотерапія'!H1162+'10.Фізіотерапія'!H1167</f>
        <v>0.23</v>
      </c>
      <c r="M343" s="384">
        <f t="shared" si="52"/>
        <v>2.7600000000000002</v>
      </c>
      <c r="N343" s="384">
        <f t="shared" si="53"/>
        <v>90.630000000000024</v>
      </c>
      <c r="O343" s="383"/>
      <c r="P343" s="384">
        <f t="shared" si="54"/>
        <v>91</v>
      </c>
      <c r="Q343" s="384">
        <f>'10.Фізіотерапія'!M24</f>
        <v>91</v>
      </c>
      <c r="R343" s="384">
        <f t="shared" si="47"/>
        <v>0</v>
      </c>
      <c r="S343" s="384"/>
      <c r="T343" s="384"/>
      <c r="U343" s="384"/>
      <c r="V343" s="384"/>
      <c r="W343" s="384"/>
      <c r="X343" s="384"/>
      <c r="Y343" s="384"/>
      <c r="Z343" s="763" t="str">
        <f>'10.Фізіотерапія'!L24</f>
        <v>Електрофорез лікарський з диклоберлом ( одноразовими електродами )</v>
      </c>
      <c r="AA343" s="755"/>
      <c r="AB343" s="755"/>
      <c r="AC343" s="748"/>
      <c r="AD343" s="748"/>
      <c r="AE343" s="748"/>
      <c r="AF343" s="748"/>
      <c r="AG343" s="748"/>
      <c r="AH343" s="748"/>
      <c r="AI343" s="748"/>
      <c r="AJ343" s="748"/>
      <c r="AK343" s="748"/>
      <c r="AL343" s="748"/>
      <c r="AM343" s="748"/>
      <c r="AN343" s="748"/>
      <c r="AO343" s="375"/>
      <c r="AP343" s="375"/>
      <c r="AQ343" s="375"/>
      <c r="AR343" s="375"/>
      <c r="AS343" s="375"/>
      <c r="AT343" s="375"/>
      <c r="AU343" s="375"/>
      <c r="AV343" s="375"/>
      <c r="AW343" s="375"/>
      <c r="AX343" s="375"/>
      <c r="AY343" s="375"/>
      <c r="AZ343" s="375"/>
      <c r="BA343" s="375"/>
      <c r="BB343" s="375"/>
      <c r="BC343" s="375"/>
      <c r="BD343" s="375"/>
      <c r="BE343" s="375"/>
      <c r="BF343" s="375"/>
      <c r="BG343" s="375"/>
      <c r="BH343" s="375"/>
      <c r="BI343" s="375"/>
      <c r="BJ343" s="375"/>
      <c r="BK343" s="375"/>
      <c r="BL343" s="375"/>
      <c r="BM343" s="375"/>
      <c r="BN343" s="375"/>
      <c r="BO343" s="375"/>
    </row>
    <row r="344" spans="1:67" s="6" customFormat="1" x14ac:dyDescent="0.45">
      <c r="A344" s="517"/>
      <c r="B344" s="638" t="s">
        <v>431</v>
      </c>
      <c r="C344" s="376" t="s">
        <v>443</v>
      </c>
      <c r="D344" s="383">
        <f>'10.Фізіотерапія'!F1187+'10.Фізіотерапія'!F1188</f>
        <v>20.69</v>
      </c>
      <c r="E344" s="378">
        <f>'10.Фізіотерапія'!F1190</f>
        <v>4.55</v>
      </c>
      <c r="F344" s="378">
        <f>'10.Фізіотерапія'!F1192</f>
        <v>38.43</v>
      </c>
      <c r="G344" s="383">
        <f>'10.Фізіотерапія'!F1207</f>
        <v>0.2</v>
      </c>
      <c r="H344" s="384">
        <f t="shared" si="51"/>
        <v>63.870000000000005</v>
      </c>
      <c r="I344" s="383">
        <f>'10.Фізіотерапія'!H1216+'10.Фізіотерапія'!H1221</f>
        <v>2.5300000000000002</v>
      </c>
      <c r="J344" s="383">
        <f>'10.Фізіотерапія'!H1217+'10.Фізіотерапія'!H1222</f>
        <v>0</v>
      </c>
      <c r="K344" s="383">
        <f>'10.Фізіотерапія'!H1218+'10.Фізіотерапія'!H1223</f>
        <v>0</v>
      </c>
      <c r="L344" s="383">
        <f>'10.Фізіотерапія'!H1219+'10.Фізіотерапія'!H1224</f>
        <v>0.23</v>
      </c>
      <c r="M344" s="384">
        <f t="shared" si="52"/>
        <v>2.7600000000000002</v>
      </c>
      <c r="N344" s="384">
        <f t="shared" si="53"/>
        <v>66.63000000000001</v>
      </c>
      <c r="O344" s="383"/>
      <c r="P344" s="384">
        <f t="shared" si="54"/>
        <v>67</v>
      </c>
      <c r="Q344" s="384">
        <f>'10.Фізіотерапія'!M25</f>
        <v>67</v>
      </c>
      <c r="R344" s="384">
        <f t="shared" si="47"/>
        <v>0</v>
      </c>
      <c r="S344" s="384"/>
      <c r="T344" s="384"/>
      <c r="U344" s="384"/>
      <c r="V344" s="384"/>
      <c r="W344" s="384"/>
      <c r="X344" s="384"/>
      <c r="Y344" s="384"/>
      <c r="Z344" s="763" t="str">
        <f>'10.Фізіотерапія'!L25</f>
        <v>Електрофорез лікарський з диклоберлом ( багаторазовими електродами )</v>
      </c>
      <c r="AA344" s="755"/>
      <c r="AB344" s="755"/>
      <c r="AC344" s="748"/>
      <c r="AD344" s="748"/>
      <c r="AE344" s="748"/>
      <c r="AF344" s="748"/>
      <c r="AG344" s="748"/>
      <c r="AH344" s="748"/>
      <c r="AI344" s="748"/>
      <c r="AJ344" s="748"/>
      <c r="AK344" s="748"/>
      <c r="AL344" s="748"/>
      <c r="AM344" s="748"/>
      <c r="AN344" s="748"/>
      <c r="AO344" s="375"/>
      <c r="AP344" s="375"/>
      <c r="AQ344" s="375"/>
      <c r="AR344" s="375"/>
      <c r="AS344" s="375"/>
      <c r="AT344" s="375"/>
      <c r="AU344" s="375"/>
      <c r="AV344" s="375"/>
      <c r="AW344" s="375"/>
      <c r="AX344" s="375"/>
      <c r="AY344" s="375"/>
      <c r="AZ344" s="375"/>
      <c r="BA344" s="375"/>
      <c r="BB344" s="375"/>
      <c r="BC344" s="375"/>
      <c r="BD344" s="375"/>
      <c r="BE344" s="375"/>
      <c r="BF344" s="375"/>
      <c r="BG344" s="375"/>
      <c r="BH344" s="375"/>
      <c r="BI344" s="375"/>
      <c r="BJ344" s="375"/>
      <c r="BK344" s="375"/>
      <c r="BL344" s="375"/>
      <c r="BM344" s="375"/>
      <c r="BN344" s="375"/>
      <c r="BO344" s="375"/>
    </row>
    <row r="345" spans="1:67" s="6" customFormat="1" x14ac:dyDescent="0.45">
      <c r="A345" s="517"/>
      <c r="B345" s="638" t="s">
        <v>432</v>
      </c>
      <c r="C345" s="376" t="s">
        <v>444</v>
      </c>
      <c r="D345" s="383">
        <f>'10.Фізіотерапія'!F1244+'10.Фізіотерапія'!F1245</f>
        <v>20.69</v>
      </c>
      <c r="E345" s="378">
        <f>'10.Фізіотерапія'!F1247</f>
        <v>4.55</v>
      </c>
      <c r="F345" s="378">
        <f>'10.Фізіотерапія'!F1249</f>
        <v>42.13000000000001</v>
      </c>
      <c r="G345" s="383">
        <f>'10.Фізіотерапія'!F1264</f>
        <v>0.2</v>
      </c>
      <c r="H345" s="384">
        <f t="shared" si="51"/>
        <v>67.570000000000007</v>
      </c>
      <c r="I345" s="383">
        <f>'10.Фізіотерапія'!H1273+'10.Фізіотерапія'!H1278</f>
        <v>2.5300000000000002</v>
      </c>
      <c r="J345" s="383">
        <f>'10.Фізіотерапія'!H1274+'10.Фізіотерапія'!H1279</f>
        <v>0</v>
      </c>
      <c r="K345" s="383">
        <f>'10.Фізіотерапія'!H1275+'10.Фізіотерапія'!H1280</f>
        <v>0</v>
      </c>
      <c r="L345" s="383">
        <f>'10.Фізіотерапія'!H1276+'10.Фізіотерапія'!H1281</f>
        <v>0.23</v>
      </c>
      <c r="M345" s="384">
        <f t="shared" si="52"/>
        <v>2.7600000000000002</v>
      </c>
      <c r="N345" s="384">
        <f t="shared" si="53"/>
        <v>70.330000000000013</v>
      </c>
      <c r="O345" s="383"/>
      <c r="P345" s="384">
        <f t="shared" si="54"/>
        <v>70</v>
      </c>
      <c r="Q345" s="384">
        <f>'10.Фізіотерапія'!M26</f>
        <v>70</v>
      </c>
      <c r="R345" s="384">
        <f t="shared" si="47"/>
        <v>0</v>
      </c>
      <c r="S345" s="384"/>
      <c r="T345" s="384"/>
      <c r="U345" s="384"/>
      <c r="V345" s="384"/>
      <c r="W345" s="384"/>
      <c r="X345" s="384"/>
      <c r="Y345" s="384"/>
      <c r="Z345" s="763" t="str">
        <f>'10.Фізіотерапія'!L26</f>
        <v>Електрофорез лікарський з диклофенаком ( одноразовими електродами )</v>
      </c>
      <c r="AA345" s="755"/>
      <c r="AB345" s="755"/>
      <c r="AC345" s="748"/>
      <c r="AD345" s="748"/>
      <c r="AE345" s="748"/>
      <c r="AF345" s="748"/>
      <c r="AG345" s="748"/>
      <c r="AH345" s="748"/>
      <c r="AI345" s="748"/>
      <c r="AJ345" s="748"/>
      <c r="AK345" s="748"/>
      <c r="AL345" s="748"/>
      <c r="AM345" s="748"/>
      <c r="AN345" s="748"/>
      <c r="AO345" s="375"/>
      <c r="AP345" s="375"/>
      <c r="AQ345" s="375"/>
      <c r="AR345" s="375"/>
      <c r="AS345" s="375"/>
      <c r="AT345" s="375"/>
      <c r="AU345" s="375"/>
      <c r="AV345" s="375"/>
      <c r="AW345" s="375"/>
      <c r="AX345" s="375"/>
      <c r="AY345" s="375"/>
      <c r="AZ345" s="375"/>
      <c r="BA345" s="375"/>
      <c r="BB345" s="375"/>
      <c r="BC345" s="375"/>
      <c r="BD345" s="375"/>
      <c r="BE345" s="375"/>
      <c r="BF345" s="375"/>
      <c r="BG345" s="375"/>
      <c r="BH345" s="375"/>
      <c r="BI345" s="375"/>
      <c r="BJ345" s="375"/>
      <c r="BK345" s="375"/>
      <c r="BL345" s="375"/>
      <c r="BM345" s="375"/>
      <c r="BN345" s="375"/>
      <c r="BO345" s="375"/>
    </row>
    <row r="346" spans="1:67" s="6" customFormat="1" x14ac:dyDescent="0.45">
      <c r="A346" s="517"/>
      <c r="B346" s="638" t="s">
        <v>433</v>
      </c>
      <c r="C346" s="376" t="s">
        <v>445</v>
      </c>
      <c r="D346" s="383">
        <f>'10.Фізіотерапія'!F1301+'10.Фізіотерапія'!F1302</f>
        <v>20.69</v>
      </c>
      <c r="E346" s="378">
        <f>'10.Фізіотерапія'!F1304</f>
        <v>4.55</v>
      </c>
      <c r="F346" s="378">
        <f>'10.Фізіотерапія'!F1306</f>
        <v>18.13</v>
      </c>
      <c r="G346" s="383">
        <f>'10.Фізіотерапія'!F1321</f>
        <v>0.2</v>
      </c>
      <c r="H346" s="384">
        <f t="shared" si="51"/>
        <v>43.570000000000007</v>
      </c>
      <c r="I346" s="383">
        <f>'10.Фізіотерапія'!H1330+'10.Фізіотерапія'!H1335</f>
        <v>2.5300000000000002</v>
      </c>
      <c r="J346" s="383">
        <f>'10.Фізіотерапія'!H1331+'10.Фізіотерапія'!H1336</f>
        <v>0</v>
      </c>
      <c r="K346" s="383">
        <f>'10.Фізіотерапія'!H1332+'10.Фізіотерапія'!H1337</f>
        <v>0</v>
      </c>
      <c r="L346" s="383">
        <f>'10.Фізіотерапія'!H1333+'10.Фізіотерапія'!H1338</f>
        <v>0.23</v>
      </c>
      <c r="M346" s="384">
        <f t="shared" si="52"/>
        <v>2.7600000000000002</v>
      </c>
      <c r="N346" s="384">
        <f t="shared" si="53"/>
        <v>46.330000000000005</v>
      </c>
      <c r="O346" s="383"/>
      <c r="P346" s="384">
        <f t="shared" si="54"/>
        <v>46</v>
      </c>
      <c r="Q346" s="384">
        <f>'10.Фізіотерапія'!M27</f>
        <v>46</v>
      </c>
      <c r="R346" s="384">
        <f t="shared" si="47"/>
        <v>0</v>
      </c>
      <c r="S346" s="384"/>
      <c r="T346" s="384"/>
      <c r="U346" s="384"/>
      <c r="V346" s="384"/>
      <c r="W346" s="384"/>
      <c r="X346" s="384"/>
      <c r="Y346" s="384"/>
      <c r="Z346" s="763" t="str">
        <f>'10.Фізіотерапія'!L27</f>
        <v>Електрофорез лікарський з диклофенаком ( багаторазовими електродами )</v>
      </c>
      <c r="AA346" s="755"/>
      <c r="AB346" s="755"/>
      <c r="AC346" s="748"/>
      <c r="AD346" s="748"/>
      <c r="AE346" s="748"/>
      <c r="AF346" s="748"/>
      <c r="AG346" s="748"/>
      <c r="AH346" s="748"/>
      <c r="AI346" s="748"/>
      <c r="AJ346" s="748"/>
      <c r="AK346" s="748"/>
      <c r="AL346" s="748"/>
      <c r="AM346" s="748"/>
      <c r="AN346" s="748"/>
      <c r="AO346" s="375"/>
      <c r="AP346" s="375"/>
      <c r="AQ346" s="375"/>
      <c r="AR346" s="375"/>
      <c r="AS346" s="375"/>
      <c r="AT346" s="375"/>
      <c r="AU346" s="375"/>
      <c r="AV346" s="375"/>
      <c r="AW346" s="375"/>
      <c r="AX346" s="375"/>
      <c r="AY346" s="375"/>
      <c r="AZ346" s="375"/>
      <c r="BA346" s="375"/>
      <c r="BB346" s="375"/>
      <c r="BC346" s="375"/>
      <c r="BD346" s="375"/>
      <c r="BE346" s="375"/>
      <c r="BF346" s="375"/>
      <c r="BG346" s="375"/>
      <c r="BH346" s="375"/>
      <c r="BI346" s="375"/>
      <c r="BJ346" s="375"/>
      <c r="BK346" s="375"/>
      <c r="BL346" s="375"/>
      <c r="BM346" s="375"/>
      <c r="BN346" s="375"/>
      <c r="BO346" s="375"/>
    </row>
    <row r="347" spans="1:67" s="6" customFormat="1" x14ac:dyDescent="0.45">
      <c r="A347" s="517"/>
      <c r="B347" s="638" t="s">
        <v>855</v>
      </c>
      <c r="C347" s="376" t="s">
        <v>382</v>
      </c>
      <c r="D347" s="383">
        <f>'10.Фізіотерапія'!F1358+'10.Фізіотерапія'!F1359</f>
        <v>15.59</v>
      </c>
      <c r="E347" s="378">
        <f>'10.Фізіотерапія'!F1361</f>
        <v>3.43</v>
      </c>
      <c r="F347" s="378">
        <f>'10.Фізіотерапія'!G1375</f>
        <v>37.429999999999993</v>
      </c>
      <c r="G347" s="383">
        <f>'10.Фізіотерапія'!H1380</f>
        <v>0.14000000000000001</v>
      </c>
      <c r="H347" s="384">
        <f t="shared" si="51"/>
        <v>56.589999999999989</v>
      </c>
      <c r="I347" s="383">
        <f>'10.Фізіотерапія'!H1386+'10.Фізіотерапія'!H1391</f>
        <v>1.87</v>
      </c>
      <c r="J347" s="383">
        <f>'10.Фізіотерапія'!H1387+'10.Фізіотерапія'!H1392</f>
        <v>0</v>
      </c>
      <c r="K347" s="383">
        <f>'10.Фізіотерапія'!H1388+'10.Фізіотерапія'!H1393</f>
        <v>0</v>
      </c>
      <c r="L347" s="383">
        <f>'10.Фізіотерапія'!H1389+'10.Фізіотерапія'!H1394</f>
        <v>0.17</v>
      </c>
      <c r="M347" s="384">
        <f t="shared" si="52"/>
        <v>2.04</v>
      </c>
      <c r="N347" s="384">
        <f t="shared" si="53"/>
        <v>58.629999999999988</v>
      </c>
      <c r="O347" s="383"/>
      <c r="P347" s="384">
        <f t="shared" si="54"/>
        <v>59</v>
      </c>
      <c r="Q347" s="384">
        <f>'10.Фізіотерапія'!M28</f>
        <v>59</v>
      </c>
      <c r="R347" s="384">
        <f t="shared" si="47"/>
        <v>0</v>
      </c>
      <c r="S347" s="384"/>
      <c r="T347" s="384"/>
      <c r="U347" s="384"/>
      <c r="V347" s="384"/>
      <c r="W347" s="384"/>
      <c r="X347" s="384"/>
      <c r="Y347" s="384"/>
      <c r="Z347" s="763" t="str">
        <f>'10.Фізіотерапія'!L28</f>
        <v>Крізшкірна електронейростимуляція одноразовими електродами</v>
      </c>
      <c r="AA347" s="755"/>
      <c r="AB347" s="755"/>
      <c r="AC347" s="748"/>
      <c r="AD347" s="748"/>
      <c r="AE347" s="748"/>
      <c r="AF347" s="748"/>
      <c r="AG347" s="748"/>
      <c r="AH347" s="748"/>
      <c r="AI347" s="748"/>
      <c r="AJ347" s="748"/>
      <c r="AK347" s="748"/>
      <c r="AL347" s="748"/>
      <c r="AM347" s="748"/>
      <c r="AN347" s="748"/>
      <c r="AO347" s="375"/>
      <c r="AP347" s="375"/>
      <c r="AQ347" s="375"/>
      <c r="AR347" s="375"/>
      <c r="AS347" s="375"/>
      <c r="AT347" s="375"/>
      <c r="AU347" s="375"/>
      <c r="AV347" s="375"/>
      <c r="AW347" s="375"/>
      <c r="AX347" s="375"/>
      <c r="AY347" s="375"/>
      <c r="AZ347" s="375"/>
      <c r="BA347" s="375"/>
      <c r="BB347" s="375"/>
      <c r="BC347" s="375"/>
      <c r="BD347" s="375"/>
      <c r="BE347" s="375"/>
      <c r="BF347" s="375"/>
      <c r="BG347" s="375"/>
      <c r="BH347" s="375"/>
      <c r="BI347" s="375"/>
      <c r="BJ347" s="375"/>
      <c r="BK347" s="375"/>
      <c r="BL347" s="375"/>
      <c r="BM347" s="375"/>
      <c r="BN347" s="375"/>
      <c r="BO347" s="375"/>
    </row>
    <row r="348" spans="1:67" s="6" customFormat="1" x14ac:dyDescent="0.45">
      <c r="A348" s="517"/>
      <c r="B348" s="638" t="s">
        <v>385</v>
      </c>
      <c r="C348" s="376" t="s">
        <v>383</v>
      </c>
      <c r="D348" s="383">
        <f>'10.Фізіотерапія'!F1414+'10.Фізіотерапія'!F1415</f>
        <v>15.59</v>
      </c>
      <c r="E348" s="378">
        <f>'10.Фізіотерапія'!F1417</f>
        <v>3.43</v>
      </c>
      <c r="F348" s="378">
        <f>'10.Фізіотерапія'!F1419</f>
        <v>13.43</v>
      </c>
      <c r="G348" s="383">
        <f>'10.Фізіотерапія'!F1433</f>
        <v>0.14000000000000001</v>
      </c>
      <c r="H348" s="384">
        <f t="shared" si="51"/>
        <v>32.590000000000003</v>
      </c>
      <c r="I348" s="383">
        <f>'10.Фізіотерапія'!H1442+'10.Фізіотерапія'!H1447</f>
        <v>1.87</v>
      </c>
      <c r="J348" s="383">
        <f>'10.Фізіотерапія'!H1443+'10.Фізіотерапія'!H1448</f>
        <v>0</v>
      </c>
      <c r="K348" s="383">
        <f>'10.Фізіотерапія'!H1444+'10.Фізіотерапія'!H1449</f>
        <v>0</v>
      </c>
      <c r="L348" s="383">
        <f>'10.Фізіотерапія'!H1445+'10.Фізіотерапія'!H1450</f>
        <v>0.17</v>
      </c>
      <c r="M348" s="384">
        <f t="shared" si="52"/>
        <v>2.04</v>
      </c>
      <c r="N348" s="384">
        <f t="shared" si="53"/>
        <v>34.630000000000003</v>
      </c>
      <c r="O348" s="383"/>
      <c r="P348" s="384">
        <f t="shared" si="54"/>
        <v>35</v>
      </c>
      <c r="Q348" s="384">
        <f>'10.Фізіотерапія'!M29</f>
        <v>35</v>
      </c>
      <c r="R348" s="384">
        <f t="shared" si="47"/>
        <v>0</v>
      </c>
      <c r="S348" s="384"/>
      <c r="T348" s="384"/>
      <c r="U348" s="384"/>
      <c r="V348" s="384"/>
      <c r="W348" s="384"/>
      <c r="X348" s="384"/>
      <c r="Y348" s="384"/>
      <c r="Z348" s="763" t="str">
        <f>'10.Фізіотерапія'!L29</f>
        <v>Крізшкірна електронейростимуляція багаторазовими електродами</v>
      </c>
      <c r="AA348" s="755"/>
      <c r="AB348" s="755"/>
      <c r="AC348" s="748"/>
      <c r="AD348" s="748"/>
      <c r="AE348" s="748"/>
      <c r="AF348" s="748"/>
      <c r="AG348" s="748"/>
      <c r="AH348" s="748"/>
      <c r="AI348" s="748"/>
      <c r="AJ348" s="748"/>
      <c r="AK348" s="748"/>
      <c r="AL348" s="748"/>
      <c r="AM348" s="748"/>
      <c r="AN348" s="748"/>
      <c r="AO348" s="375"/>
      <c r="AP348" s="375"/>
      <c r="AQ348" s="375"/>
      <c r="AR348" s="375"/>
      <c r="AS348" s="375"/>
      <c r="AT348" s="375"/>
      <c r="AU348" s="375"/>
      <c r="AV348" s="375"/>
      <c r="AW348" s="375"/>
      <c r="AX348" s="375"/>
      <c r="AY348" s="375"/>
      <c r="AZ348" s="375"/>
      <c r="BA348" s="375"/>
      <c r="BB348" s="375"/>
      <c r="BC348" s="375"/>
      <c r="BD348" s="375"/>
      <c r="BE348" s="375"/>
      <c r="BF348" s="375"/>
      <c r="BG348" s="375"/>
      <c r="BH348" s="375"/>
      <c r="BI348" s="375"/>
      <c r="BJ348" s="375"/>
      <c r="BK348" s="375"/>
      <c r="BL348" s="375"/>
      <c r="BM348" s="375"/>
      <c r="BN348" s="375"/>
      <c r="BO348" s="375"/>
    </row>
    <row r="349" spans="1:67" s="6" customFormat="1" x14ac:dyDescent="0.45">
      <c r="A349" s="517"/>
      <c r="B349" s="638" t="s">
        <v>857</v>
      </c>
      <c r="C349" s="412" t="s">
        <v>387</v>
      </c>
      <c r="D349" s="660">
        <f>'10.Фізіотерапія'!F1469+'10.Фізіотерапія'!F1470</f>
        <v>15.59</v>
      </c>
      <c r="E349" s="661">
        <f>'10.Фізіотерапія'!F1472</f>
        <v>3.43</v>
      </c>
      <c r="F349" s="661">
        <f>'10.Фізіотерапія'!F1474</f>
        <v>37.429999999999993</v>
      </c>
      <c r="G349" s="660">
        <f>'10.Фізіотерапія'!F1488</f>
        <v>0.14000000000000001</v>
      </c>
      <c r="H349" s="384">
        <f t="shared" si="51"/>
        <v>56.589999999999989</v>
      </c>
      <c r="I349" s="660">
        <f>'10.Фізіотерапія'!H1497+'10.Фізіотерапія'!H1502</f>
        <v>1.87</v>
      </c>
      <c r="J349" s="660">
        <f>'10.Фізіотерапія'!H1498+'10.Фізіотерапія'!H1503</f>
        <v>0</v>
      </c>
      <c r="K349" s="660">
        <f>'10.Фізіотерапія'!H1499+'10.Фізіотерапія'!H1504</f>
        <v>0</v>
      </c>
      <c r="L349" s="660">
        <f>'10.Фізіотерапія'!H1500+'10.Фізіотерапія'!H1505</f>
        <v>0.17</v>
      </c>
      <c r="M349" s="384">
        <f t="shared" si="52"/>
        <v>2.04</v>
      </c>
      <c r="N349" s="384">
        <f t="shared" si="53"/>
        <v>58.629999999999988</v>
      </c>
      <c r="O349" s="661"/>
      <c r="P349" s="384">
        <f t="shared" si="54"/>
        <v>59</v>
      </c>
      <c r="Q349" s="384">
        <f>'10.Фізіотерапія'!M30</f>
        <v>59</v>
      </c>
      <c r="R349" s="384">
        <f t="shared" si="47"/>
        <v>0</v>
      </c>
      <c r="S349" s="384"/>
      <c r="T349" s="384"/>
      <c r="U349" s="384"/>
      <c r="V349" s="384"/>
      <c r="W349" s="384"/>
      <c r="X349" s="384"/>
      <c r="Y349" s="384"/>
      <c r="Z349" s="763" t="str">
        <f>'10.Фізіотерапія'!L30</f>
        <v>Нервово-мязова електростимуляція одноразовими електродами</v>
      </c>
      <c r="AA349" s="755"/>
      <c r="AB349" s="755"/>
      <c r="AC349" s="748"/>
      <c r="AD349" s="748"/>
      <c r="AE349" s="748"/>
      <c r="AF349" s="748"/>
      <c r="AG349" s="748"/>
      <c r="AH349" s="748"/>
      <c r="AI349" s="748"/>
      <c r="AJ349" s="748"/>
      <c r="AK349" s="748"/>
      <c r="AL349" s="748"/>
      <c r="AM349" s="748"/>
      <c r="AN349" s="748"/>
      <c r="AO349" s="375"/>
      <c r="AP349" s="375"/>
      <c r="AQ349" s="375"/>
      <c r="AR349" s="375"/>
      <c r="AS349" s="375"/>
      <c r="AT349" s="375"/>
      <c r="AU349" s="375"/>
      <c r="AV349" s="375"/>
      <c r="AW349" s="375"/>
      <c r="AX349" s="375"/>
      <c r="AY349" s="375"/>
      <c r="AZ349" s="375"/>
      <c r="BA349" s="375"/>
      <c r="BB349" s="375"/>
      <c r="BC349" s="375"/>
      <c r="BD349" s="375"/>
      <c r="BE349" s="375"/>
      <c r="BF349" s="375"/>
      <c r="BG349" s="375"/>
      <c r="BH349" s="375"/>
      <c r="BI349" s="375"/>
      <c r="BJ349" s="375"/>
      <c r="BK349" s="375"/>
      <c r="BL349" s="375"/>
      <c r="BM349" s="375"/>
      <c r="BN349" s="375"/>
      <c r="BO349" s="375"/>
    </row>
    <row r="350" spans="1:67" s="6" customFormat="1" x14ac:dyDescent="0.45">
      <c r="A350" s="517"/>
      <c r="B350" s="638" t="s">
        <v>386</v>
      </c>
      <c r="C350" s="376" t="s">
        <v>388</v>
      </c>
      <c r="D350" s="383">
        <f>'10.Фізіотерапія'!F1524+'10.Фізіотерапія'!F1525</f>
        <v>15.59</v>
      </c>
      <c r="E350" s="378">
        <f>'10.Фізіотерапія'!F1527</f>
        <v>3.43</v>
      </c>
      <c r="F350" s="378">
        <f>'10.Фізіотерапія'!F1529</f>
        <v>13.43</v>
      </c>
      <c r="G350" s="383">
        <f>'10.Фізіотерапія'!F1543</f>
        <v>0.14000000000000001</v>
      </c>
      <c r="H350" s="384">
        <f t="shared" si="51"/>
        <v>32.590000000000003</v>
      </c>
      <c r="I350" s="383">
        <f>'10.Фізіотерапія'!H1552+'10.Фізіотерапія'!H1557</f>
        <v>1.87</v>
      </c>
      <c r="J350" s="383">
        <f>'10.Фізіотерапія'!H1553+'10.Фізіотерапія'!H1558</f>
        <v>0</v>
      </c>
      <c r="K350" s="383">
        <f>'10.Фізіотерапія'!H1554+'10.Фізіотерапія'!H1559</f>
        <v>0</v>
      </c>
      <c r="L350" s="383">
        <f>'10.Фізіотерапія'!H1555+'10.Фізіотерапія'!H1560</f>
        <v>0.17</v>
      </c>
      <c r="M350" s="384">
        <f t="shared" si="52"/>
        <v>2.04</v>
      </c>
      <c r="N350" s="384">
        <f t="shared" si="53"/>
        <v>34.630000000000003</v>
      </c>
      <c r="O350" s="383"/>
      <c r="P350" s="384">
        <f t="shared" si="54"/>
        <v>35</v>
      </c>
      <c r="Q350" s="384">
        <f>'10.Фізіотерапія'!M31</f>
        <v>35</v>
      </c>
      <c r="R350" s="384">
        <f t="shared" si="47"/>
        <v>0</v>
      </c>
      <c r="S350" s="384"/>
      <c r="T350" s="384"/>
      <c r="U350" s="384"/>
      <c r="V350" s="384"/>
      <c r="W350" s="384"/>
      <c r="X350" s="384"/>
      <c r="Y350" s="384"/>
      <c r="Z350" s="763" t="str">
        <f>'10.Фізіотерапія'!L31</f>
        <v>Нервово-мязова електростимуляція багаторазовими електродами</v>
      </c>
      <c r="AA350" s="755"/>
      <c r="AB350" s="755"/>
      <c r="AC350" s="748"/>
      <c r="AD350" s="748"/>
      <c r="AE350" s="748"/>
      <c r="AF350" s="748"/>
      <c r="AG350" s="748"/>
      <c r="AH350" s="748"/>
      <c r="AI350" s="748"/>
      <c r="AJ350" s="748"/>
      <c r="AK350" s="748"/>
      <c r="AL350" s="748"/>
      <c r="AM350" s="748"/>
      <c r="AN350" s="748"/>
      <c r="AO350" s="375"/>
      <c r="AP350" s="375"/>
      <c r="AQ350" s="375"/>
      <c r="AR350" s="375"/>
      <c r="AS350" s="375"/>
      <c r="AT350" s="375"/>
      <c r="AU350" s="375"/>
      <c r="AV350" s="375"/>
      <c r="AW350" s="375"/>
      <c r="AX350" s="375"/>
      <c r="AY350" s="375"/>
      <c r="AZ350" s="375"/>
      <c r="BA350" s="375"/>
      <c r="BB350" s="375"/>
      <c r="BC350" s="375"/>
      <c r="BD350" s="375"/>
      <c r="BE350" s="375"/>
      <c r="BF350" s="375"/>
      <c r="BG350" s="375"/>
      <c r="BH350" s="375"/>
      <c r="BI350" s="375"/>
      <c r="BJ350" s="375"/>
      <c r="BK350" s="375"/>
      <c r="BL350" s="375"/>
      <c r="BM350" s="375"/>
      <c r="BN350" s="375"/>
      <c r="BO350" s="375"/>
    </row>
    <row r="351" spans="1:67" s="6" customFormat="1" x14ac:dyDescent="0.45">
      <c r="A351" s="517"/>
      <c r="B351" s="638" t="s">
        <v>859</v>
      </c>
      <c r="C351" s="412" t="s">
        <v>389</v>
      </c>
      <c r="D351" s="660">
        <f>'10.Фізіотерапія'!F1579+'10.Фізіотерапія'!F1580</f>
        <v>12.19</v>
      </c>
      <c r="E351" s="661">
        <f>'10.Фізіотерапія'!F1582</f>
        <v>2.68</v>
      </c>
      <c r="F351" s="661">
        <f>'10.Фізіотерапія'!F1584</f>
        <v>9.43</v>
      </c>
      <c r="G351" s="660">
        <f>'10.Фізіотерапія'!F1597</f>
        <v>0.1</v>
      </c>
      <c r="H351" s="384">
        <f t="shared" si="51"/>
        <v>24.4</v>
      </c>
      <c r="I351" s="660">
        <f>'10.Фізіотерапія'!H1606+'10.Фізіотерапія'!H1611</f>
        <v>1.4300000000000002</v>
      </c>
      <c r="J351" s="660">
        <f>'10.Фізіотерапія'!H1607+'10.Фізіотерапія'!H1612</f>
        <v>0</v>
      </c>
      <c r="K351" s="660">
        <f>'10.Фізіотерапія'!H1608+'10.Фізіотерапія'!H1613</f>
        <v>0</v>
      </c>
      <c r="L351" s="660">
        <f>'10.Фізіотерапія'!H1609+'10.Фізіотерапія'!H1614</f>
        <v>0.13</v>
      </c>
      <c r="M351" s="384">
        <f t="shared" si="52"/>
        <v>1.56</v>
      </c>
      <c r="N351" s="384">
        <f t="shared" si="53"/>
        <v>25.959999999999997</v>
      </c>
      <c r="O351" s="661"/>
      <c r="P351" s="384">
        <f t="shared" si="54"/>
        <v>26</v>
      </c>
      <c r="Q351" s="384">
        <f>'10.Фізіотерапія'!M32</f>
        <v>26</v>
      </c>
      <c r="R351" s="384">
        <f t="shared" si="47"/>
        <v>0</v>
      </c>
      <c r="S351" s="384"/>
      <c r="T351" s="384"/>
      <c r="U351" s="384"/>
      <c r="V351" s="384"/>
      <c r="W351" s="384"/>
      <c r="X351" s="384"/>
      <c r="Y351" s="384"/>
      <c r="Z351" s="763" t="str">
        <f>'10.Фізіотерапія'!L32</f>
        <v>Аерозольтерапія індивідуальна (без вартості медичних препаратів)</v>
      </c>
      <c r="AA351" s="755"/>
      <c r="AB351" s="755"/>
      <c r="AC351" s="748"/>
      <c r="AD351" s="748"/>
      <c r="AE351" s="748"/>
      <c r="AF351" s="748"/>
      <c r="AG351" s="748"/>
      <c r="AH351" s="748"/>
      <c r="AI351" s="748"/>
      <c r="AJ351" s="748"/>
      <c r="AK351" s="748"/>
      <c r="AL351" s="748"/>
      <c r="AM351" s="748"/>
      <c r="AN351" s="748"/>
      <c r="AO351" s="375"/>
      <c r="AP351" s="375"/>
      <c r="AQ351" s="375"/>
      <c r="AR351" s="375"/>
      <c r="AS351" s="375"/>
      <c r="AT351" s="375"/>
      <c r="AU351" s="375"/>
      <c r="AV351" s="375"/>
      <c r="AW351" s="375"/>
      <c r="AX351" s="375"/>
      <c r="AY351" s="375"/>
      <c r="AZ351" s="375"/>
      <c r="BA351" s="375"/>
      <c r="BB351" s="375"/>
      <c r="BC351" s="375"/>
      <c r="BD351" s="375"/>
      <c r="BE351" s="375"/>
      <c r="BF351" s="375"/>
      <c r="BG351" s="375"/>
      <c r="BH351" s="375"/>
      <c r="BI351" s="375"/>
      <c r="BJ351" s="375"/>
      <c r="BK351" s="375"/>
      <c r="BL351" s="375"/>
      <c r="BM351" s="375"/>
      <c r="BN351" s="375"/>
      <c r="BO351" s="375"/>
    </row>
    <row r="352" spans="1:67" s="6" customFormat="1" x14ac:dyDescent="0.45">
      <c r="A352" s="517"/>
      <c r="B352" s="638" t="s">
        <v>390</v>
      </c>
      <c r="C352" s="376" t="s">
        <v>395</v>
      </c>
      <c r="D352" s="383">
        <f>'10.Фізіотерапія'!F1632+'10.Фізіотерапія'!F1633</f>
        <v>12.19</v>
      </c>
      <c r="E352" s="383">
        <f>'10.Фізіотерапія'!F1635</f>
        <v>2.68</v>
      </c>
      <c r="F352" s="383">
        <f>'10.Фізіотерапія'!F1637</f>
        <v>25.13</v>
      </c>
      <c r="G352" s="383">
        <f>'10.Фізіотерапія'!F1651</f>
        <v>0.1</v>
      </c>
      <c r="H352" s="384">
        <f t="shared" si="51"/>
        <v>40.1</v>
      </c>
      <c r="I352" s="383">
        <f>'10.Фізіотерапія'!H1660+'10.Фізіотерапія'!H1665</f>
        <v>1.4300000000000002</v>
      </c>
      <c r="J352" s="383">
        <f>'10.Фізіотерапія'!H1661+'10.Фізіотерапія'!H1666</f>
        <v>0</v>
      </c>
      <c r="K352" s="383">
        <f>'10.Фізіотерапія'!H1662+'10.Фізіотерапія'!H1667</f>
        <v>0</v>
      </c>
      <c r="L352" s="383">
        <f>'10.Фізіотерапія'!H1663+'10.Фізіотерапія'!H1668</f>
        <v>0.13</v>
      </c>
      <c r="M352" s="384">
        <f t="shared" si="52"/>
        <v>1.56</v>
      </c>
      <c r="N352" s="384">
        <f t="shared" si="53"/>
        <v>41.660000000000004</v>
      </c>
      <c r="O352" s="383"/>
      <c r="P352" s="384">
        <f t="shared" si="54"/>
        <v>42</v>
      </c>
      <c r="Q352" s="384">
        <f>'10.Фізіотерапія'!M33</f>
        <v>42</v>
      </c>
      <c r="R352" s="384">
        <f t="shared" si="47"/>
        <v>0</v>
      </c>
      <c r="S352" s="384"/>
      <c r="T352" s="384"/>
      <c r="U352" s="384"/>
      <c r="V352" s="384"/>
      <c r="W352" s="384"/>
      <c r="X352" s="384"/>
      <c r="Y352" s="384"/>
      <c r="Z352" s="763" t="str">
        <f>'10.Фізіотерапія'!L33</f>
        <v>Аерозольтерапія індивідуальна (з декасаном)</v>
      </c>
      <c r="AA352" s="755"/>
      <c r="AB352" s="755"/>
      <c r="AC352" s="748"/>
      <c r="AD352" s="748"/>
      <c r="AE352" s="748"/>
      <c r="AF352" s="748"/>
      <c r="AG352" s="748"/>
      <c r="AH352" s="748"/>
      <c r="AI352" s="748"/>
      <c r="AJ352" s="748"/>
      <c r="AK352" s="748"/>
      <c r="AL352" s="748"/>
      <c r="AM352" s="748"/>
      <c r="AN352" s="748"/>
      <c r="AO352" s="375"/>
      <c r="AP352" s="375"/>
      <c r="AQ352" s="375"/>
      <c r="AR352" s="375"/>
      <c r="AS352" s="375"/>
      <c r="AT352" s="375"/>
      <c r="AU352" s="375"/>
      <c r="AV352" s="375"/>
      <c r="AW352" s="375"/>
      <c r="AX352" s="375"/>
      <c r="AY352" s="375"/>
      <c r="AZ352" s="375"/>
      <c r="BA352" s="375"/>
      <c r="BB352" s="375"/>
      <c r="BC352" s="375"/>
      <c r="BD352" s="375"/>
      <c r="BE352" s="375"/>
      <c r="BF352" s="375"/>
      <c r="BG352" s="375"/>
      <c r="BH352" s="375"/>
      <c r="BI352" s="375"/>
      <c r="BJ352" s="375"/>
      <c r="BK352" s="375"/>
      <c r="BL352" s="375"/>
      <c r="BM352" s="375"/>
      <c r="BN352" s="375"/>
      <c r="BO352" s="375"/>
    </row>
    <row r="353" spans="1:67" s="6" customFormat="1" x14ac:dyDescent="0.45">
      <c r="A353" s="517"/>
      <c r="B353" s="638" t="s">
        <v>391</v>
      </c>
      <c r="C353" s="412" t="s">
        <v>396</v>
      </c>
      <c r="D353" s="660">
        <f>'10.Фізіотерапія'!F1686+'10.Фізіотерапія'!F1687</f>
        <v>12.19</v>
      </c>
      <c r="E353" s="661">
        <f>'10.Фізіотерапія'!F1689</f>
        <v>2.68</v>
      </c>
      <c r="F353" s="661">
        <f>'10.Фізіотерапія'!F1691</f>
        <v>21.009999999999998</v>
      </c>
      <c r="G353" s="660">
        <f>'10.Фізіотерапія'!F1705</f>
        <v>0.1</v>
      </c>
      <c r="H353" s="384">
        <f t="shared" si="51"/>
        <v>35.979999999999997</v>
      </c>
      <c r="I353" s="660">
        <f>'10.Фізіотерапія'!H1714+'10.Фізіотерапія'!H1719</f>
        <v>1.4300000000000002</v>
      </c>
      <c r="J353" s="660">
        <f>'10.Фізіотерапія'!H1715+'10.Фізіотерапія'!H1720</f>
        <v>0</v>
      </c>
      <c r="K353" s="660">
        <f>'10.Фізіотерапія'!H1716+'10.Фізіотерапія'!H1721</f>
        <v>0</v>
      </c>
      <c r="L353" s="660">
        <f>'10.Фізіотерапія'!H1717+'10.Фізіотерапія'!H1722</f>
        <v>0.13</v>
      </c>
      <c r="M353" s="384">
        <f t="shared" si="52"/>
        <v>1.56</v>
      </c>
      <c r="N353" s="384">
        <f t="shared" si="53"/>
        <v>37.54</v>
      </c>
      <c r="O353" s="661"/>
      <c r="P353" s="384">
        <f t="shared" si="54"/>
        <v>38</v>
      </c>
      <c r="Q353" s="384">
        <f>'10.Фізіотерапія'!M34</f>
        <v>38</v>
      </c>
      <c r="R353" s="384">
        <f t="shared" si="47"/>
        <v>0</v>
      </c>
      <c r="S353" s="384"/>
      <c r="T353" s="384"/>
      <c r="U353" s="384"/>
      <c r="V353" s="384"/>
      <c r="W353" s="384"/>
      <c r="X353" s="384"/>
      <c r="Y353" s="384"/>
      <c r="Z353" s="763" t="str">
        <f>'10.Фізіотерапія'!L34</f>
        <v>Аерозольтерапія індивідуальна (з небутамолом)</v>
      </c>
      <c r="AA353" s="755"/>
      <c r="AB353" s="755"/>
      <c r="AC353" s="748"/>
      <c r="AD353" s="748"/>
      <c r="AE353" s="748"/>
      <c r="AF353" s="748"/>
      <c r="AG353" s="748"/>
      <c r="AH353" s="748"/>
      <c r="AI353" s="748"/>
      <c r="AJ353" s="748"/>
      <c r="AK353" s="748"/>
      <c r="AL353" s="748"/>
      <c r="AM353" s="748"/>
      <c r="AN353" s="748"/>
      <c r="AO353" s="375"/>
      <c r="AP353" s="375"/>
      <c r="AQ353" s="375"/>
      <c r="AR353" s="375"/>
      <c r="AS353" s="375"/>
      <c r="AT353" s="375"/>
      <c r="AU353" s="375"/>
      <c r="AV353" s="375"/>
      <c r="AW353" s="375"/>
      <c r="AX353" s="375"/>
      <c r="AY353" s="375"/>
      <c r="AZ353" s="375"/>
      <c r="BA353" s="375"/>
      <c r="BB353" s="375"/>
      <c r="BC353" s="375"/>
      <c r="BD353" s="375"/>
      <c r="BE353" s="375"/>
      <c r="BF353" s="375"/>
      <c r="BG353" s="375"/>
      <c r="BH353" s="375"/>
      <c r="BI353" s="375"/>
      <c r="BJ353" s="375"/>
      <c r="BK353" s="375"/>
      <c r="BL353" s="375"/>
      <c r="BM353" s="375"/>
      <c r="BN353" s="375"/>
      <c r="BO353" s="375"/>
    </row>
    <row r="354" spans="1:67" s="6" customFormat="1" x14ac:dyDescent="0.45">
      <c r="A354" s="517"/>
      <c r="B354" s="638" t="s">
        <v>392</v>
      </c>
      <c r="C354" s="412" t="s">
        <v>398</v>
      </c>
      <c r="D354" s="660">
        <f>'10.Фізіотерапія'!F1740+'10.Фізіотерапія'!F1741</f>
        <v>12.19</v>
      </c>
      <c r="E354" s="661">
        <f>'10.Фізіотерапія'!F1743</f>
        <v>2.68</v>
      </c>
      <c r="F354" s="661">
        <f>'10.Фізіотерапія'!F1745</f>
        <v>41.68</v>
      </c>
      <c r="G354" s="660">
        <f>'10.Фізіотерапія'!F1759</f>
        <v>0.1</v>
      </c>
      <c r="H354" s="384">
        <f t="shared" si="51"/>
        <v>56.65</v>
      </c>
      <c r="I354" s="660">
        <f>'10.Фізіотерапія'!H1768+'10.Фізіотерапія'!H1773</f>
        <v>1.4300000000000002</v>
      </c>
      <c r="J354" s="660">
        <f>'10.Фізіотерапія'!H1769+'10.Фізіотерапія'!H1774</f>
        <v>0</v>
      </c>
      <c r="K354" s="660">
        <f>'10.Фізіотерапія'!H1770+'10.Фізіотерапія'!H1775</f>
        <v>0</v>
      </c>
      <c r="L354" s="660">
        <f>'10.Фізіотерапія'!H1771+'10.Фізіотерапія'!H1776</f>
        <v>0.13</v>
      </c>
      <c r="M354" s="384">
        <f t="shared" si="52"/>
        <v>1.56</v>
      </c>
      <c r="N354" s="384">
        <f t="shared" si="53"/>
        <v>58.21</v>
      </c>
      <c r="O354" s="661"/>
      <c r="P354" s="384">
        <f t="shared" si="54"/>
        <v>58</v>
      </c>
      <c r="Q354" s="384">
        <f>'10.Фізіотерапія'!M35</f>
        <v>58</v>
      </c>
      <c r="R354" s="384">
        <f t="shared" si="47"/>
        <v>0</v>
      </c>
      <c r="S354" s="384"/>
      <c r="T354" s="384"/>
      <c r="U354" s="384"/>
      <c r="V354" s="384"/>
      <c r="W354" s="384"/>
      <c r="X354" s="384"/>
      <c r="Y354" s="384"/>
      <c r="Z354" s="763" t="str">
        <f>'10.Фізіотерапія'!L35</f>
        <v>Аерозольтерапія індивідуальна (з пульмікортом) доросла</v>
      </c>
      <c r="AA354" s="755"/>
      <c r="AB354" s="755"/>
      <c r="AC354" s="748"/>
      <c r="AD354" s="748"/>
      <c r="AE354" s="748"/>
      <c r="AF354" s="748"/>
      <c r="AG354" s="748"/>
      <c r="AH354" s="748"/>
      <c r="AI354" s="748"/>
      <c r="AJ354" s="748"/>
      <c r="AK354" s="748"/>
      <c r="AL354" s="748"/>
      <c r="AM354" s="748"/>
      <c r="AN354" s="748"/>
      <c r="AO354" s="375"/>
      <c r="AP354" s="375"/>
      <c r="AQ354" s="375"/>
      <c r="AR354" s="375"/>
      <c r="AS354" s="375"/>
      <c r="AT354" s="375"/>
      <c r="AU354" s="375"/>
      <c r="AV354" s="375"/>
      <c r="AW354" s="375"/>
      <c r="AX354" s="375"/>
      <c r="AY354" s="375"/>
      <c r="AZ354" s="375"/>
      <c r="BA354" s="375"/>
      <c r="BB354" s="375"/>
      <c r="BC354" s="375"/>
      <c r="BD354" s="375"/>
      <c r="BE354" s="375"/>
      <c r="BF354" s="375"/>
      <c r="BG354" s="375"/>
      <c r="BH354" s="375"/>
      <c r="BI354" s="375"/>
      <c r="BJ354" s="375"/>
      <c r="BK354" s="375"/>
      <c r="BL354" s="375"/>
      <c r="BM354" s="375"/>
      <c r="BN354" s="375"/>
      <c r="BO354" s="375"/>
    </row>
    <row r="355" spans="1:67" s="6" customFormat="1" x14ac:dyDescent="0.45">
      <c r="A355" s="517"/>
      <c r="B355" s="638" t="s">
        <v>393</v>
      </c>
      <c r="C355" s="412" t="s">
        <v>399</v>
      </c>
      <c r="D355" s="660">
        <f>'10.Фізіотерапія'!F1794+'10.Фізіотерапія'!F1795</f>
        <v>12.19</v>
      </c>
      <c r="E355" s="661">
        <f>'10.Фізіотерапія'!F1797</f>
        <v>2.68</v>
      </c>
      <c r="F355" s="661">
        <f>'10.Фізіотерапія'!F1799</f>
        <v>41.68</v>
      </c>
      <c r="G355" s="660">
        <f>'10.Фізіотерапія'!F1813</f>
        <v>0.1</v>
      </c>
      <c r="H355" s="384">
        <f t="shared" si="51"/>
        <v>56.65</v>
      </c>
      <c r="I355" s="660">
        <f>'10.Фізіотерапія'!H1822+'10.Фізіотерапія'!H1827</f>
        <v>1.4300000000000002</v>
      </c>
      <c r="J355" s="660">
        <f>'10.Фізіотерапія'!H1823+'10.Фізіотерапія'!H1828</f>
        <v>0</v>
      </c>
      <c r="K355" s="660">
        <f>'10.Фізіотерапія'!H1824+'10.Фізіотерапія'!H1829</f>
        <v>0</v>
      </c>
      <c r="L355" s="660">
        <f>'10.Фізіотерапія'!H1825+'10.Фізіотерапія'!H1830</f>
        <v>0.13</v>
      </c>
      <c r="M355" s="384">
        <f t="shared" si="52"/>
        <v>1.56</v>
      </c>
      <c r="N355" s="384">
        <f t="shared" si="53"/>
        <v>58.21</v>
      </c>
      <c r="O355" s="661"/>
      <c r="P355" s="384">
        <f t="shared" si="54"/>
        <v>58</v>
      </c>
      <c r="Q355" s="384">
        <f>'10.Фізіотерапія'!M36</f>
        <v>58</v>
      </c>
      <c r="R355" s="384">
        <f t="shared" si="47"/>
        <v>0</v>
      </c>
      <c r="S355" s="384"/>
      <c r="T355" s="384"/>
      <c r="U355" s="384"/>
      <c r="V355" s="384"/>
      <c r="W355" s="384"/>
      <c r="X355" s="384"/>
      <c r="Y355" s="384"/>
      <c r="Z355" s="763" t="str">
        <f>'10.Фізіотерапія'!L36</f>
        <v>Аерозольтерапія індивідуальна (з пульмікортом) дитяча</v>
      </c>
      <c r="AA355" s="755"/>
      <c r="AB355" s="755"/>
      <c r="AC355" s="748"/>
      <c r="AD355" s="748"/>
      <c r="AE355" s="748"/>
      <c r="AF355" s="748"/>
      <c r="AG355" s="748"/>
      <c r="AH355" s="748"/>
      <c r="AI355" s="748"/>
      <c r="AJ355" s="748"/>
      <c r="AK355" s="748"/>
      <c r="AL355" s="748"/>
      <c r="AM355" s="748"/>
      <c r="AN355" s="748"/>
      <c r="AO355" s="375"/>
      <c r="AP355" s="375"/>
      <c r="AQ355" s="375"/>
      <c r="AR355" s="375"/>
      <c r="AS355" s="375"/>
      <c r="AT355" s="375"/>
      <c r="AU355" s="375"/>
      <c r="AV355" s="375"/>
      <c r="AW355" s="375"/>
      <c r="AX355" s="375"/>
      <c r="AY355" s="375"/>
      <c r="AZ355" s="375"/>
      <c r="BA355" s="375"/>
      <c r="BB355" s="375"/>
      <c r="BC355" s="375"/>
      <c r="BD355" s="375"/>
      <c r="BE355" s="375"/>
      <c r="BF355" s="375"/>
      <c r="BG355" s="375"/>
      <c r="BH355" s="375"/>
      <c r="BI355" s="375"/>
      <c r="BJ355" s="375"/>
      <c r="BK355" s="375"/>
      <c r="BL355" s="375"/>
      <c r="BM355" s="375"/>
      <c r="BN355" s="375"/>
      <c r="BO355" s="375"/>
    </row>
    <row r="356" spans="1:67" s="6" customFormat="1" x14ac:dyDescent="0.45">
      <c r="A356" s="517"/>
      <c r="B356" s="638" t="s">
        <v>394</v>
      </c>
      <c r="C356" s="412" t="s">
        <v>400</v>
      </c>
      <c r="D356" s="660">
        <f>'10.Фізіотерапія'!F1848+'10.Фізіотерапія'!F1849</f>
        <v>12.19</v>
      </c>
      <c r="E356" s="661">
        <f>'10.Фізіотерапія'!F1851</f>
        <v>2.68</v>
      </c>
      <c r="F356" s="661">
        <f>'10.Фізіотерапія'!F1853</f>
        <v>45.920000000000009</v>
      </c>
      <c r="G356" s="660">
        <f>'10.Фізіотерапія'!F1873</f>
        <v>0.1</v>
      </c>
      <c r="H356" s="384">
        <f t="shared" si="51"/>
        <v>60.890000000000008</v>
      </c>
      <c r="I356" s="660">
        <f>'10.Фізіотерапія'!H1882+'10.Фізіотерапія'!H1887</f>
        <v>1.4300000000000002</v>
      </c>
      <c r="J356" s="660">
        <f>'10.Фізіотерапія'!H1883+'10.Фізіотерапія'!H1888</f>
        <v>0</v>
      </c>
      <c r="K356" s="660">
        <f>'10.Фізіотерапія'!H1884+'10.Фізіотерапія'!H1889</f>
        <v>0</v>
      </c>
      <c r="L356" s="660">
        <f>'10.Фізіотерапія'!H1885+'10.Фізіотерапія'!H1890</f>
        <v>0.13</v>
      </c>
      <c r="M356" s="384">
        <f t="shared" si="52"/>
        <v>1.56</v>
      </c>
      <c r="N356" s="384">
        <f t="shared" si="53"/>
        <v>62.45000000000001</v>
      </c>
      <c r="O356" s="661"/>
      <c r="P356" s="384">
        <f t="shared" si="54"/>
        <v>62</v>
      </c>
      <c r="Q356" s="384">
        <f>'10.Фізіотерапія'!M37</f>
        <v>62</v>
      </c>
      <c r="R356" s="384">
        <f t="shared" si="47"/>
        <v>0</v>
      </c>
      <c r="S356" s="384"/>
      <c r="T356" s="384"/>
      <c r="U356" s="384"/>
      <c r="V356" s="384"/>
      <c r="W356" s="384"/>
      <c r="X356" s="384"/>
      <c r="Y356" s="384"/>
      <c r="Z356" s="763" t="str">
        <f>'10.Фізіотерапія'!L37</f>
        <v>Аерозольтерапія індивідуальна з протинабряковою сумішшю</v>
      </c>
      <c r="AA356" s="755"/>
      <c r="AB356" s="755"/>
      <c r="AC356" s="748"/>
      <c r="AD356" s="748"/>
      <c r="AE356" s="748"/>
      <c r="AF356" s="748"/>
      <c r="AG356" s="748"/>
      <c r="AH356" s="748"/>
      <c r="AI356" s="748"/>
      <c r="AJ356" s="748"/>
      <c r="AK356" s="748"/>
      <c r="AL356" s="748"/>
      <c r="AM356" s="748"/>
      <c r="AN356" s="748"/>
      <c r="AO356" s="375"/>
      <c r="AP356" s="375"/>
      <c r="AQ356" s="375"/>
      <c r="AR356" s="375"/>
      <c r="AS356" s="375"/>
      <c r="AT356" s="375"/>
      <c r="AU356" s="375"/>
      <c r="AV356" s="375"/>
      <c r="AW356" s="375"/>
      <c r="AX356" s="375"/>
      <c r="AY356" s="375"/>
      <c r="AZ356" s="375"/>
      <c r="BA356" s="375"/>
      <c r="BB356" s="375"/>
      <c r="BC356" s="375"/>
      <c r="BD356" s="375"/>
      <c r="BE356" s="375"/>
      <c r="BF356" s="375"/>
      <c r="BG356" s="375"/>
      <c r="BH356" s="375"/>
      <c r="BI356" s="375"/>
      <c r="BJ356" s="375"/>
      <c r="BK356" s="375"/>
      <c r="BL356" s="375"/>
      <c r="BM356" s="375"/>
      <c r="BN356" s="375"/>
      <c r="BO356" s="375"/>
    </row>
    <row r="357" spans="1:67" s="6" customFormat="1" x14ac:dyDescent="0.45">
      <c r="A357" s="517"/>
      <c r="B357" s="638" t="s">
        <v>861</v>
      </c>
      <c r="C357" s="376" t="s">
        <v>864</v>
      </c>
      <c r="D357" s="383">
        <f>'10.Фізіотерапія'!F1908+'10.Фізіотерапія'!F1909</f>
        <v>20.69</v>
      </c>
      <c r="E357" s="378">
        <f>'10.Фізіотерапія'!F1911</f>
        <v>4.55</v>
      </c>
      <c r="F357" s="378">
        <f>'10.Фізіотерапія'!G1925</f>
        <v>7.91</v>
      </c>
      <c r="G357" s="383">
        <f>'10.Фізіотерапія'!H1930</f>
        <v>0.2</v>
      </c>
      <c r="H357" s="384">
        <f t="shared" si="51"/>
        <v>33.350000000000009</v>
      </c>
      <c r="I357" s="383">
        <f>'10.Фізіотерапія'!H1936+'10.Фізіотерапія'!H1941</f>
        <v>2.5300000000000002</v>
      </c>
      <c r="J357" s="383">
        <f>'10.Фізіотерапія'!H1937+'10.Фізіотерапія'!H1942</f>
        <v>0</v>
      </c>
      <c r="K357" s="383">
        <f>'10.Фізіотерапія'!H1938+'10.Фізіотерапія'!H1943</f>
        <v>0</v>
      </c>
      <c r="L357" s="383">
        <f>'10.Фізіотерапія'!H1939+'10.Фізіотерапія'!H1944</f>
        <v>0.23</v>
      </c>
      <c r="M357" s="384">
        <f t="shared" si="52"/>
        <v>2.7600000000000002</v>
      </c>
      <c r="N357" s="384">
        <f t="shared" si="53"/>
        <v>36.110000000000007</v>
      </c>
      <c r="O357" s="383"/>
      <c r="P357" s="384">
        <f t="shared" si="54"/>
        <v>36</v>
      </c>
      <c r="Q357" s="384">
        <f>'10.Фізіотерапія'!M38</f>
        <v>36</v>
      </c>
      <c r="R357" s="384">
        <f t="shared" si="47"/>
        <v>0</v>
      </c>
      <c r="S357" s="384"/>
      <c r="T357" s="384"/>
      <c r="U357" s="384"/>
      <c r="V357" s="384"/>
      <c r="W357" s="384"/>
      <c r="X357" s="384"/>
      <c r="Y357" s="384"/>
      <c r="Z357" s="763" t="str">
        <f>'10.Фізіотерапія'!L38</f>
        <v>Магнітотерапія (низькочастотна)</v>
      </c>
      <c r="AA357" s="755"/>
      <c r="AB357" s="755"/>
      <c r="AC357" s="748"/>
      <c r="AD357" s="748"/>
      <c r="AE357" s="748"/>
      <c r="AF357" s="748"/>
      <c r="AG357" s="748"/>
      <c r="AH357" s="748"/>
      <c r="AI357" s="748"/>
      <c r="AJ357" s="748"/>
      <c r="AK357" s="748"/>
      <c r="AL357" s="748"/>
      <c r="AM357" s="748"/>
      <c r="AN357" s="748"/>
      <c r="AO357" s="375"/>
      <c r="AP357" s="375"/>
      <c r="AQ357" s="375"/>
      <c r="AR357" s="375"/>
      <c r="AS357" s="375"/>
      <c r="AT357" s="375"/>
      <c r="AU357" s="375"/>
      <c r="AV357" s="375"/>
      <c r="AW357" s="375"/>
      <c r="AX357" s="375"/>
      <c r="AY357" s="375"/>
      <c r="AZ357" s="375"/>
      <c r="BA357" s="375"/>
      <c r="BB357" s="375"/>
      <c r="BC357" s="375"/>
      <c r="BD357" s="375"/>
      <c r="BE357" s="375"/>
      <c r="BF357" s="375"/>
      <c r="BG357" s="375"/>
      <c r="BH357" s="375"/>
      <c r="BI357" s="375"/>
      <c r="BJ357" s="375"/>
      <c r="BK357" s="375"/>
      <c r="BL357" s="375"/>
      <c r="BM357" s="375"/>
      <c r="BN357" s="375"/>
      <c r="BO357" s="375"/>
    </row>
    <row r="358" spans="1:67" s="6" customFormat="1" x14ac:dyDescent="0.45">
      <c r="A358" s="517"/>
      <c r="B358" s="638" t="s">
        <v>863</v>
      </c>
      <c r="C358" s="376" t="s">
        <v>401</v>
      </c>
      <c r="D358" s="383">
        <f>'10.Фізіотерапія'!F1963+'10.Фізіотерапія'!F1964</f>
        <v>16.440000000000001</v>
      </c>
      <c r="E358" s="378">
        <f>'10.Фізіотерапія'!F1966</f>
        <v>3.62</v>
      </c>
      <c r="F358" s="378">
        <f>'10.Фізіотерапія'!G1980</f>
        <v>37.429999999999993</v>
      </c>
      <c r="G358" s="383">
        <f>'10.Фізіотерапія'!H1985</f>
        <v>0.15</v>
      </c>
      <c r="H358" s="384">
        <f t="shared" si="51"/>
        <v>57.639999999999993</v>
      </c>
      <c r="I358" s="383">
        <f>'10.Фізіотерапія'!H1991+'10.Фізіотерапія'!H1996</f>
        <v>1.98</v>
      </c>
      <c r="J358" s="383">
        <f>'10.Фізіотерапія'!H1992+'10.Фізіотерапія'!H1997</f>
        <v>0</v>
      </c>
      <c r="K358" s="383">
        <f>'10.Фізіотерапія'!H1993+'10.Фізіотерапія'!H1998</f>
        <v>0</v>
      </c>
      <c r="L358" s="383">
        <f>'10.Фізіотерапія'!H1994+'10.Фізіотерапія'!H1999</f>
        <v>0.18</v>
      </c>
      <c r="M358" s="384">
        <f t="shared" si="52"/>
        <v>2.16</v>
      </c>
      <c r="N358" s="384">
        <f t="shared" si="53"/>
        <v>59.8</v>
      </c>
      <c r="O358" s="383"/>
      <c r="P358" s="384">
        <f t="shared" si="54"/>
        <v>60</v>
      </c>
      <c r="Q358" s="384">
        <f>'10.Фізіотерапія'!M39</f>
        <v>60</v>
      </c>
      <c r="R358" s="384">
        <f t="shared" si="47"/>
        <v>0</v>
      </c>
      <c r="S358" s="384"/>
      <c r="T358" s="384"/>
      <c r="U358" s="384"/>
      <c r="V358" s="384"/>
      <c r="W358" s="384"/>
      <c r="X358" s="384"/>
      <c r="Y358" s="384"/>
      <c r="Z358" s="763" t="str">
        <f>'10.Фізіотерапія'!L39</f>
        <v>Синусоїдальні модульовані струми (ампліпульстерапія) (одноразовими електродами )</v>
      </c>
      <c r="AA358" s="755"/>
      <c r="AB358" s="755"/>
      <c r="AC358" s="748"/>
      <c r="AD358" s="748"/>
      <c r="AE358" s="748"/>
      <c r="AF358" s="748"/>
      <c r="AG358" s="748"/>
      <c r="AH358" s="748"/>
      <c r="AI358" s="748"/>
      <c r="AJ358" s="748"/>
      <c r="AK358" s="748"/>
      <c r="AL358" s="748"/>
      <c r="AM358" s="748"/>
      <c r="AN358" s="748"/>
      <c r="AO358" s="375"/>
      <c r="AP358" s="375"/>
      <c r="AQ358" s="375"/>
      <c r="AR358" s="375"/>
      <c r="AS358" s="375"/>
      <c r="AT358" s="375"/>
      <c r="AU358" s="375"/>
      <c r="AV358" s="375"/>
      <c r="AW358" s="375"/>
      <c r="AX358" s="375"/>
      <c r="AY358" s="375"/>
      <c r="AZ358" s="375"/>
      <c r="BA358" s="375"/>
      <c r="BB358" s="375"/>
      <c r="BC358" s="375"/>
      <c r="BD358" s="375"/>
      <c r="BE358" s="375"/>
      <c r="BF358" s="375"/>
      <c r="BG358" s="375"/>
      <c r="BH358" s="375"/>
      <c r="BI358" s="375"/>
      <c r="BJ358" s="375"/>
      <c r="BK358" s="375"/>
      <c r="BL358" s="375"/>
      <c r="BM358" s="375"/>
      <c r="BN358" s="375"/>
      <c r="BO358" s="375"/>
    </row>
    <row r="359" spans="1:67" s="6" customFormat="1" x14ac:dyDescent="0.45">
      <c r="A359" s="517"/>
      <c r="B359" s="638" t="s">
        <v>402</v>
      </c>
      <c r="C359" s="412" t="s">
        <v>403</v>
      </c>
      <c r="D359" s="660">
        <f>'10.Фізіотерапія'!F2017+'10.Фізіотерапія'!F2018</f>
        <v>16.440000000000001</v>
      </c>
      <c r="E359" s="661">
        <f>'10.Фізіотерапія'!F2020</f>
        <v>3.62</v>
      </c>
      <c r="F359" s="661">
        <f>'10.Фізіотерапія'!F2022</f>
        <v>13.43</v>
      </c>
      <c r="G359" s="660">
        <f>'10.Фізіотерапія'!F2036</f>
        <v>0.15</v>
      </c>
      <c r="H359" s="384">
        <f t="shared" si="51"/>
        <v>33.64</v>
      </c>
      <c r="I359" s="660">
        <f>'10.Фізіотерапія'!H2045+'10.Фізіотерапія'!H2050</f>
        <v>1.98</v>
      </c>
      <c r="J359" s="660">
        <f>'10.Фізіотерапія'!H2046+'10.Фізіотерапія'!H2051</f>
        <v>0</v>
      </c>
      <c r="K359" s="660">
        <f>'10.Фізіотерапія'!H2047+'10.Фізіотерапія'!H2052</f>
        <v>0</v>
      </c>
      <c r="L359" s="660">
        <f>'10.Фізіотерапія'!H2048+'10.Фізіотерапія'!H2053</f>
        <v>0.18</v>
      </c>
      <c r="M359" s="384">
        <f t="shared" si="52"/>
        <v>2.16</v>
      </c>
      <c r="N359" s="384">
        <f t="shared" si="53"/>
        <v>35.799999999999997</v>
      </c>
      <c r="O359" s="661"/>
      <c r="P359" s="384">
        <f t="shared" si="54"/>
        <v>36</v>
      </c>
      <c r="Q359" s="384">
        <f>'10.Фізіотерапія'!M40</f>
        <v>36</v>
      </c>
      <c r="R359" s="384">
        <f t="shared" si="47"/>
        <v>0</v>
      </c>
      <c r="S359" s="384"/>
      <c r="T359" s="384"/>
      <c r="U359" s="384"/>
      <c r="V359" s="384"/>
      <c r="W359" s="384"/>
      <c r="X359" s="384"/>
      <c r="Y359" s="384"/>
      <c r="Z359" s="763" t="str">
        <f>'10.Фізіотерапія'!L40</f>
        <v>Синусоїдальні модульовані струми (ампліпульстерапія) (багаторазовими електродами )</v>
      </c>
      <c r="AA359" s="755"/>
      <c r="AB359" s="755"/>
      <c r="AC359" s="748"/>
      <c r="AD359" s="748"/>
      <c r="AE359" s="748"/>
      <c r="AF359" s="748"/>
      <c r="AG359" s="748"/>
      <c r="AH359" s="748"/>
      <c r="AI359" s="748"/>
      <c r="AJ359" s="748"/>
      <c r="AK359" s="748"/>
      <c r="AL359" s="748"/>
      <c r="AM359" s="748"/>
      <c r="AN359" s="748"/>
      <c r="AO359" s="375"/>
      <c r="AP359" s="375"/>
      <c r="AQ359" s="375"/>
      <c r="AR359" s="375"/>
      <c r="AS359" s="375"/>
      <c r="AT359" s="375"/>
      <c r="AU359" s="375"/>
      <c r="AV359" s="375"/>
      <c r="AW359" s="375"/>
      <c r="AX359" s="375"/>
      <c r="AY359" s="375"/>
      <c r="AZ359" s="375"/>
      <c r="BA359" s="375"/>
      <c r="BB359" s="375"/>
      <c r="BC359" s="375"/>
      <c r="BD359" s="375"/>
      <c r="BE359" s="375"/>
      <c r="BF359" s="375"/>
      <c r="BG359" s="375"/>
      <c r="BH359" s="375"/>
      <c r="BI359" s="375"/>
      <c r="BJ359" s="375"/>
      <c r="BK359" s="375"/>
      <c r="BL359" s="375"/>
      <c r="BM359" s="375"/>
      <c r="BN359" s="375"/>
      <c r="BO359" s="375"/>
    </row>
    <row r="360" spans="1:67" s="6" customFormat="1" x14ac:dyDescent="0.45">
      <c r="A360" s="517"/>
      <c r="B360" s="638" t="s">
        <v>865</v>
      </c>
      <c r="C360" s="376" t="s">
        <v>870</v>
      </c>
      <c r="D360" s="383">
        <f>'10.Фізіотерапія'!F2071+'10.Фізіотерапія'!F2072</f>
        <v>12.19</v>
      </c>
      <c r="E360" s="378">
        <f>'10.Фізіотерапія'!F2074</f>
        <v>2.68</v>
      </c>
      <c r="F360" s="378">
        <f>'10.Фізіотерапія'!G2087</f>
        <v>9.43</v>
      </c>
      <c r="G360" s="383">
        <f>'10.Фізіотерапія'!H2092</f>
        <v>0.1</v>
      </c>
      <c r="H360" s="384">
        <f t="shared" si="51"/>
        <v>24.4</v>
      </c>
      <c r="I360" s="383">
        <f>'10.Фізіотерапія'!H2098+'10.Фізіотерапія'!H2103</f>
        <v>1.4300000000000002</v>
      </c>
      <c r="J360" s="383">
        <f>'10.Фізіотерапія'!H2099+'10.Фізіотерапія'!H2104</f>
        <v>0</v>
      </c>
      <c r="K360" s="383">
        <f>'10.Фізіотерапія'!H2100+'10.Фізіотерапія'!H2105</f>
        <v>0</v>
      </c>
      <c r="L360" s="383">
        <f>'10.Фізіотерапія'!H2101+'10.Фізіотерапія'!H2106</f>
        <v>0.13</v>
      </c>
      <c r="M360" s="384">
        <f t="shared" si="52"/>
        <v>1.56</v>
      </c>
      <c r="N360" s="384">
        <f t="shared" si="53"/>
        <v>25.959999999999997</v>
      </c>
      <c r="O360" s="383"/>
      <c r="P360" s="384">
        <f t="shared" si="54"/>
        <v>26</v>
      </c>
      <c r="Q360" s="384">
        <f>'10.Фізіотерапія'!M41</f>
        <v>26</v>
      </c>
      <c r="R360" s="384">
        <f t="shared" si="47"/>
        <v>0</v>
      </c>
      <c r="S360" s="384"/>
      <c r="T360" s="384"/>
      <c r="U360" s="384"/>
      <c r="V360" s="384"/>
      <c r="W360" s="384"/>
      <c r="X360" s="384"/>
      <c r="Y360" s="384"/>
      <c r="Z360" s="763" t="str">
        <f>'10.Фізіотерапія'!L41</f>
        <v>Дарсонвалізація</v>
      </c>
      <c r="AA360" s="755"/>
      <c r="AB360" s="755"/>
      <c r="AC360" s="748"/>
      <c r="AD360" s="748"/>
      <c r="AE360" s="748"/>
      <c r="AF360" s="748"/>
      <c r="AG360" s="748"/>
      <c r="AH360" s="748"/>
      <c r="AI360" s="748"/>
      <c r="AJ360" s="748"/>
      <c r="AK360" s="748"/>
      <c r="AL360" s="748"/>
      <c r="AM360" s="748"/>
      <c r="AN360" s="748"/>
      <c r="AO360" s="375"/>
      <c r="AP360" s="375"/>
      <c r="AQ360" s="375"/>
      <c r="AR360" s="375"/>
      <c r="AS360" s="375"/>
      <c r="AT360" s="375"/>
      <c r="AU360" s="375"/>
      <c r="AV360" s="375"/>
      <c r="AW360" s="375"/>
      <c r="AX360" s="375"/>
      <c r="AY360" s="375"/>
      <c r="AZ360" s="375"/>
      <c r="BA360" s="375"/>
      <c r="BB360" s="375"/>
      <c r="BC360" s="375"/>
      <c r="BD360" s="375"/>
      <c r="BE360" s="375"/>
      <c r="BF360" s="375"/>
      <c r="BG360" s="375"/>
      <c r="BH360" s="375"/>
      <c r="BI360" s="375"/>
      <c r="BJ360" s="375"/>
      <c r="BK360" s="375"/>
      <c r="BL360" s="375"/>
      <c r="BM360" s="375"/>
      <c r="BN360" s="375"/>
      <c r="BO360" s="375"/>
    </row>
    <row r="361" spans="1:67" s="6" customFormat="1" x14ac:dyDescent="0.45">
      <c r="A361" s="517"/>
      <c r="B361" s="638" t="s">
        <v>867</v>
      </c>
      <c r="C361" s="376" t="s">
        <v>872</v>
      </c>
      <c r="D361" s="383">
        <f>'10.Фізіотерапія'!F2125+'10.Фізіотерапія'!F2126</f>
        <v>16.440000000000001</v>
      </c>
      <c r="E361" s="378">
        <f>'10.Фізіотерапія'!F2128</f>
        <v>3.62</v>
      </c>
      <c r="F361" s="378">
        <f>'10.Фізіотерапія'!G2141</f>
        <v>9.43</v>
      </c>
      <c r="G361" s="383">
        <f>'10.Фізіотерапія'!H2146</f>
        <v>0.15</v>
      </c>
      <c r="H361" s="384">
        <f t="shared" si="51"/>
        <v>29.64</v>
      </c>
      <c r="I361" s="383">
        <f>'10.Фізіотерапія'!H2152+'10.Фізіотерапія'!H2157</f>
        <v>1.98</v>
      </c>
      <c r="J361" s="383">
        <f>'10.Фізіотерапія'!H2153+'10.Фізіотерапія'!H2158</f>
        <v>0</v>
      </c>
      <c r="K361" s="383">
        <f>'10.Фізіотерапія'!H2154+'10.Фізіотерапія'!H2159</f>
        <v>0</v>
      </c>
      <c r="L361" s="383">
        <f>'10.Фізіотерапія'!H2155+'10.Фізіотерапія'!H2160</f>
        <v>0.18</v>
      </c>
      <c r="M361" s="384">
        <f t="shared" si="52"/>
        <v>2.16</v>
      </c>
      <c r="N361" s="384">
        <f t="shared" si="53"/>
        <v>31.8</v>
      </c>
      <c r="O361" s="383"/>
      <c r="P361" s="384">
        <f t="shared" si="54"/>
        <v>32</v>
      </c>
      <c r="Q361" s="384">
        <f>'10.Фізіотерапія'!M42</f>
        <v>32</v>
      </c>
      <c r="R361" s="384">
        <f t="shared" si="47"/>
        <v>0</v>
      </c>
      <c r="S361" s="384"/>
      <c r="T361" s="384"/>
      <c r="U361" s="384"/>
      <c r="V361" s="384"/>
      <c r="W361" s="384"/>
      <c r="X361" s="384"/>
      <c r="Y361" s="384"/>
      <c r="Z361" s="763" t="str">
        <f>'10.Фізіотерапія'!L42</f>
        <v>Мікрохвильова терапія</v>
      </c>
      <c r="AA361" s="755"/>
      <c r="AB361" s="755"/>
      <c r="AC361" s="748"/>
      <c r="AD361" s="748"/>
      <c r="AE361" s="748"/>
      <c r="AF361" s="748"/>
      <c r="AG361" s="748"/>
      <c r="AH361" s="748"/>
      <c r="AI361" s="748"/>
      <c r="AJ361" s="748"/>
      <c r="AK361" s="748"/>
      <c r="AL361" s="748"/>
      <c r="AM361" s="748"/>
      <c r="AN361" s="748"/>
      <c r="AO361" s="375"/>
      <c r="AP361" s="375"/>
      <c r="AQ361" s="375"/>
      <c r="AR361" s="375"/>
      <c r="AS361" s="375"/>
      <c r="AT361" s="375"/>
      <c r="AU361" s="375"/>
      <c r="AV361" s="375"/>
      <c r="AW361" s="375"/>
      <c r="AX361" s="375"/>
      <c r="AY361" s="375"/>
      <c r="AZ361" s="375"/>
      <c r="BA361" s="375"/>
      <c r="BB361" s="375"/>
      <c r="BC361" s="375"/>
      <c r="BD361" s="375"/>
      <c r="BE361" s="375"/>
      <c r="BF361" s="375"/>
      <c r="BG361" s="375"/>
      <c r="BH361" s="375"/>
      <c r="BI361" s="375"/>
      <c r="BJ361" s="375"/>
      <c r="BK361" s="375"/>
      <c r="BL361" s="375"/>
      <c r="BM361" s="375"/>
      <c r="BN361" s="375"/>
      <c r="BO361" s="375"/>
    </row>
    <row r="362" spans="1:67" s="6" customFormat="1" x14ac:dyDescent="0.45">
      <c r="A362" s="517"/>
      <c r="B362" s="638" t="s">
        <v>869</v>
      </c>
      <c r="C362" s="376" t="s">
        <v>874</v>
      </c>
      <c r="D362" s="383">
        <f>'10.Фізіотерапія'!F2180+'10.Фізіотерапія'!F2181</f>
        <v>15.59</v>
      </c>
      <c r="E362" s="378">
        <f>'10.Фізіотерапія'!F2183</f>
        <v>3.43</v>
      </c>
      <c r="F362" s="378">
        <f>'10.Фізіотерапія'!F2185</f>
        <v>9.43</v>
      </c>
      <c r="G362" s="383">
        <f>'10.Фізіотерапія'!H2201</f>
        <v>0.14000000000000001</v>
      </c>
      <c r="H362" s="384">
        <f t="shared" si="51"/>
        <v>28.59</v>
      </c>
      <c r="I362" s="383">
        <f>'10.Фізіотерапія'!H2207+'10.Фізіотерапія'!H2212</f>
        <v>1.87</v>
      </c>
      <c r="J362" s="383">
        <f>'10.Фізіотерапія'!H2208+'10.Фізіотерапія'!H2213</f>
        <v>0</v>
      </c>
      <c r="K362" s="383">
        <f>'10.Фізіотерапія'!H2209+'10.Фізіотерапія'!H2214</f>
        <v>0</v>
      </c>
      <c r="L362" s="383">
        <f>'10.Фізіотерапія'!H2210+'10.Фізіотерапія'!H2215</f>
        <v>0.17</v>
      </c>
      <c r="M362" s="384">
        <f t="shared" si="52"/>
        <v>2.04</v>
      </c>
      <c r="N362" s="384">
        <f t="shared" si="53"/>
        <v>30.63</v>
      </c>
      <c r="O362" s="383"/>
      <c r="P362" s="384">
        <f t="shared" si="54"/>
        <v>31</v>
      </c>
      <c r="Q362" s="384">
        <f>'10.Фізіотерапія'!M43</f>
        <v>31</v>
      </c>
      <c r="R362" s="384">
        <f t="shared" si="47"/>
        <v>0</v>
      </c>
      <c r="S362" s="384"/>
      <c r="T362" s="384"/>
      <c r="U362" s="384"/>
      <c r="V362" s="384"/>
      <c r="W362" s="384"/>
      <c r="X362" s="384"/>
      <c r="Y362" s="384"/>
      <c r="Z362" s="763" t="str">
        <f>'10.Фізіотерапія'!L43</f>
        <v>Ультрависокочастотна терапія</v>
      </c>
      <c r="AA362" s="755"/>
      <c r="AB362" s="755"/>
      <c r="AC362" s="748"/>
      <c r="AD362" s="748"/>
      <c r="AE362" s="748"/>
      <c r="AF362" s="748"/>
      <c r="AG362" s="748"/>
      <c r="AH362" s="748"/>
      <c r="AI362" s="748"/>
      <c r="AJ362" s="748"/>
      <c r="AK362" s="748"/>
      <c r="AL362" s="748"/>
      <c r="AM362" s="748"/>
      <c r="AN362" s="748"/>
      <c r="AO362" s="375"/>
      <c r="AP362" s="375"/>
      <c r="AQ362" s="375"/>
      <c r="AR362" s="375"/>
      <c r="AS362" s="375"/>
      <c r="AT362" s="375"/>
      <c r="AU362" s="375"/>
      <c r="AV362" s="375"/>
      <c r="AW362" s="375"/>
      <c r="AX362" s="375"/>
      <c r="AY362" s="375"/>
      <c r="AZ362" s="375"/>
      <c r="BA362" s="375"/>
      <c r="BB362" s="375"/>
      <c r="BC362" s="375"/>
      <c r="BD362" s="375"/>
      <c r="BE362" s="375"/>
      <c r="BF362" s="375"/>
      <c r="BG362" s="375"/>
      <c r="BH362" s="375"/>
      <c r="BI362" s="375"/>
      <c r="BJ362" s="375"/>
      <c r="BK362" s="375"/>
      <c r="BL362" s="375"/>
      <c r="BM362" s="375"/>
      <c r="BN362" s="375"/>
      <c r="BO362" s="375"/>
    </row>
    <row r="363" spans="1:67" s="6" customFormat="1" x14ac:dyDescent="0.45">
      <c r="A363" s="517"/>
      <c r="B363" s="638" t="s">
        <v>871</v>
      </c>
      <c r="C363" s="376" t="s">
        <v>404</v>
      </c>
      <c r="D363" s="383">
        <f>'10.Фізіотерапія'!F2234+'10.Фізіотерапія'!F2235</f>
        <v>16.440000000000001</v>
      </c>
      <c r="E363" s="378">
        <f>'10.Фізіотерапія'!F2237</f>
        <v>3.62</v>
      </c>
      <c r="F363" s="378">
        <f>'10.Фізіотерапія'!G2251</f>
        <v>37.429999999999993</v>
      </c>
      <c r="G363" s="383">
        <f>'10.Фізіотерапія'!H2256</f>
        <v>0.15</v>
      </c>
      <c r="H363" s="384">
        <f t="shared" si="51"/>
        <v>57.639999999999993</v>
      </c>
      <c r="I363" s="383">
        <f>'10.Фізіотерапія'!H2262+'10.Фізіотерапія'!H2267</f>
        <v>1.98</v>
      </c>
      <c r="J363" s="383">
        <f>'10.Фізіотерапія'!H2263+'10.Фізіотерапія'!H2268</f>
        <v>0</v>
      </c>
      <c r="K363" s="383">
        <f>'10.Фізіотерапія'!H2264+'10.Фізіотерапія'!H2269</f>
        <v>0</v>
      </c>
      <c r="L363" s="383">
        <f>'10.Фізіотерапія'!H2265+'10.Фізіотерапія'!H2270</f>
        <v>0.18</v>
      </c>
      <c r="M363" s="384">
        <f t="shared" si="52"/>
        <v>2.16</v>
      </c>
      <c r="N363" s="384">
        <f t="shared" si="53"/>
        <v>59.8</v>
      </c>
      <c r="O363" s="383"/>
      <c r="P363" s="384">
        <f t="shared" si="54"/>
        <v>60</v>
      </c>
      <c r="Q363" s="384">
        <f>'10.Фізіотерапія'!M44</f>
        <v>60</v>
      </c>
      <c r="R363" s="384">
        <f t="shared" si="47"/>
        <v>0</v>
      </c>
      <c r="S363" s="384"/>
      <c r="T363" s="384"/>
      <c r="U363" s="384"/>
      <c r="V363" s="384"/>
      <c r="W363" s="384"/>
      <c r="X363" s="384"/>
      <c r="Y363" s="384"/>
      <c r="Z363" s="763" t="str">
        <f>'10.Фізіотерапія'!L44</f>
        <v>Діадинамічні струми (одноразовими електродами )</v>
      </c>
      <c r="AA363" s="755"/>
      <c r="AB363" s="755"/>
      <c r="AC363" s="748"/>
      <c r="AD363" s="748"/>
      <c r="AE363" s="748"/>
      <c r="AF363" s="748"/>
      <c r="AG363" s="748"/>
      <c r="AH363" s="748"/>
      <c r="AI363" s="748"/>
      <c r="AJ363" s="748"/>
      <c r="AK363" s="748"/>
      <c r="AL363" s="748"/>
      <c r="AM363" s="748"/>
      <c r="AN363" s="748"/>
      <c r="AO363" s="375"/>
      <c r="AP363" s="375"/>
      <c r="AQ363" s="375"/>
      <c r="AR363" s="375"/>
      <c r="AS363" s="375"/>
      <c r="AT363" s="375"/>
      <c r="AU363" s="375"/>
      <c r="AV363" s="375"/>
      <c r="AW363" s="375"/>
      <c r="AX363" s="375"/>
      <c r="AY363" s="375"/>
      <c r="AZ363" s="375"/>
      <c r="BA363" s="375"/>
      <c r="BB363" s="375"/>
      <c r="BC363" s="375"/>
      <c r="BD363" s="375"/>
      <c r="BE363" s="375"/>
      <c r="BF363" s="375"/>
      <c r="BG363" s="375"/>
      <c r="BH363" s="375"/>
      <c r="BI363" s="375"/>
      <c r="BJ363" s="375"/>
      <c r="BK363" s="375"/>
      <c r="BL363" s="375"/>
      <c r="BM363" s="375"/>
      <c r="BN363" s="375"/>
      <c r="BO363" s="375"/>
    </row>
    <row r="364" spans="1:67" s="6" customFormat="1" x14ac:dyDescent="0.45">
      <c r="A364" s="517"/>
      <c r="B364" s="638" t="s">
        <v>406</v>
      </c>
      <c r="C364" s="412" t="s">
        <v>405</v>
      </c>
      <c r="D364" s="660">
        <f>'10.Фізіотерапія'!F2289+'10.Фізіотерапія'!F2290</f>
        <v>15.59</v>
      </c>
      <c r="E364" s="661">
        <f>'10.Фізіотерапія'!F2292</f>
        <v>3.43</v>
      </c>
      <c r="F364" s="661">
        <f>'10.Фізіотерапія'!F2294</f>
        <v>13.43</v>
      </c>
      <c r="G364" s="660">
        <f>'10.Фізіотерапія'!F2308</f>
        <v>0.14000000000000001</v>
      </c>
      <c r="H364" s="384">
        <f t="shared" si="51"/>
        <v>32.590000000000003</v>
      </c>
      <c r="I364" s="660">
        <f>'10.Фізіотерапія'!H2317+'10.Фізіотерапія'!H2322</f>
        <v>1.87</v>
      </c>
      <c r="J364" s="660">
        <f>'10.Фізіотерапія'!H2318+'10.Фізіотерапія'!H2323</f>
        <v>0</v>
      </c>
      <c r="K364" s="660">
        <f>'10.Фізіотерапія'!H2319+'10.Фізіотерапія'!H2324</f>
        <v>0</v>
      </c>
      <c r="L364" s="660">
        <f>'10.Фізіотерапія'!H2320+'10.Фізіотерапія'!H2325</f>
        <v>0.17</v>
      </c>
      <c r="M364" s="384">
        <f t="shared" si="52"/>
        <v>2.04</v>
      </c>
      <c r="N364" s="384">
        <f t="shared" si="53"/>
        <v>34.630000000000003</v>
      </c>
      <c r="O364" s="661"/>
      <c r="P364" s="384">
        <f t="shared" si="54"/>
        <v>35</v>
      </c>
      <c r="Q364" s="384">
        <f>'10.Фізіотерапія'!M45</f>
        <v>35</v>
      </c>
      <c r="R364" s="384">
        <f t="shared" si="47"/>
        <v>0</v>
      </c>
      <c r="S364" s="384"/>
      <c r="T364" s="384"/>
      <c r="U364" s="384"/>
      <c r="V364" s="384"/>
      <c r="W364" s="384"/>
      <c r="X364" s="384"/>
      <c r="Y364" s="384"/>
      <c r="Z364" s="763" t="str">
        <f>'10.Фізіотерапія'!L45</f>
        <v>Діадинамічні струми (багаторазовими електродами )</v>
      </c>
      <c r="AA364" s="755"/>
      <c r="AB364" s="755"/>
      <c r="AC364" s="748"/>
      <c r="AD364" s="748"/>
      <c r="AE364" s="748"/>
      <c r="AF364" s="748"/>
      <c r="AG364" s="748"/>
      <c r="AH364" s="748"/>
      <c r="AI364" s="748"/>
      <c r="AJ364" s="748"/>
      <c r="AK364" s="748"/>
      <c r="AL364" s="748"/>
      <c r="AM364" s="748"/>
      <c r="AN364" s="748"/>
      <c r="AO364" s="375"/>
      <c r="AP364" s="375"/>
      <c r="AQ364" s="375"/>
      <c r="AR364" s="375"/>
      <c r="AS364" s="375"/>
      <c r="AT364" s="375"/>
      <c r="AU364" s="375"/>
      <c r="AV364" s="375"/>
      <c r="AW364" s="375"/>
      <c r="AX364" s="375"/>
      <c r="AY364" s="375"/>
      <c r="AZ364" s="375"/>
      <c r="BA364" s="375"/>
      <c r="BB364" s="375"/>
      <c r="BC364" s="375"/>
      <c r="BD364" s="375"/>
      <c r="BE364" s="375"/>
      <c r="BF364" s="375"/>
      <c r="BG364" s="375"/>
      <c r="BH364" s="375"/>
      <c r="BI364" s="375"/>
      <c r="BJ364" s="375"/>
      <c r="BK364" s="375"/>
      <c r="BL364" s="375"/>
      <c r="BM364" s="375"/>
      <c r="BN364" s="375"/>
      <c r="BO364" s="375"/>
    </row>
    <row r="365" spans="1:67" s="6" customFormat="1" x14ac:dyDescent="0.45">
      <c r="A365" s="517"/>
      <c r="B365" s="397" t="s">
        <v>873</v>
      </c>
      <c r="C365" s="376" t="s">
        <v>408</v>
      </c>
      <c r="D365" s="383">
        <f>'10.Фізіотерапія'!F2344+'10.Фізіотерапія'!F2345</f>
        <v>29.19</v>
      </c>
      <c r="E365" s="378">
        <f>'10.Фізіотерапія'!F2347</f>
        <v>6.42</v>
      </c>
      <c r="F365" s="378">
        <f>'10.Фізіотерапія'!G2363</f>
        <v>21.97</v>
      </c>
      <c r="G365" s="383">
        <f>'10.Фізіотерапія'!H2368</f>
        <v>0.3</v>
      </c>
      <c r="H365" s="384">
        <f t="shared" si="51"/>
        <v>57.879999999999995</v>
      </c>
      <c r="I365" s="383">
        <f>'10.Фізіотерапія'!H2374+'10.Фізіотерапія'!H2379</f>
        <v>3.63</v>
      </c>
      <c r="J365" s="383">
        <f>'10.Фізіотерапія'!H2375+'10.Фізіотерапія'!H2380</f>
        <v>0</v>
      </c>
      <c r="K365" s="383">
        <f>'10.Фізіотерапія'!H2376+'10.Фізіотерапія'!H2381</f>
        <v>0</v>
      </c>
      <c r="L365" s="383">
        <f>'10.Фізіотерапія'!H2377+'10.Фізіотерапія'!H2382</f>
        <v>0.32999999999999996</v>
      </c>
      <c r="M365" s="384">
        <f t="shared" si="52"/>
        <v>3.96</v>
      </c>
      <c r="N365" s="384">
        <f t="shared" si="53"/>
        <v>61.839999999999996</v>
      </c>
      <c r="O365" s="383"/>
      <c r="P365" s="384">
        <f t="shared" si="54"/>
        <v>62</v>
      </c>
      <c r="Q365" s="384">
        <f>'10.Фізіотерапія'!M46</f>
        <v>62</v>
      </c>
      <c r="R365" s="384">
        <f t="shared" si="47"/>
        <v>0</v>
      </c>
      <c r="S365" s="384"/>
      <c r="T365" s="384"/>
      <c r="U365" s="384"/>
      <c r="V365" s="384"/>
      <c r="W365" s="384"/>
      <c r="X365" s="384"/>
      <c r="Y365" s="384"/>
      <c r="Z365" s="763" t="str">
        <f>'10.Фізіотерапія'!L46</f>
        <v>Теплолікування</v>
      </c>
      <c r="AA365" s="755"/>
      <c r="AB365" s="755"/>
      <c r="AC365" s="748"/>
      <c r="AD365" s="748"/>
      <c r="AE365" s="748"/>
      <c r="AF365" s="748"/>
      <c r="AG365" s="748"/>
      <c r="AH365" s="748"/>
      <c r="AI365" s="748"/>
      <c r="AJ365" s="748"/>
      <c r="AK365" s="748"/>
      <c r="AL365" s="748"/>
      <c r="AM365" s="748"/>
      <c r="AN365" s="748"/>
      <c r="AO365" s="375"/>
      <c r="AP365" s="375"/>
      <c r="AQ365" s="375"/>
      <c r="AR365" s="375"/>
      <c r="AS365" s="375"/>
      <c r="AT365" s="375"/>
      <c r="AU365" s="375"/>
      <c r="AV365" s="375"/>
      <c r="AW365" s="375"/>
      <c r="AX365" s="375"/>
      <c r="AY365" s="375"/>
      <c r="AZ365" s="375"/>
      <c r="BA365" s="375"/>
      <c r="BB365" s="375"/>
      <c r="BC365" s="375"/>
      <c r="BD365" s="375"/>
      <c r="BE365" s="375"/>
      <c r="BF365" s="375"/>
      <c r="BG365" s="375"/>
      <c r="BH365" s="375"/>
      <c r="BI365" s="375"/>
      <c r="BJ365" s="375"/>
      <c r="BK365" s="375"/>
      <c r="BL365" s="375"/>
      <c r="BM365" s="375"/>
      <c r="BN365" s="375"/>
      <c r="BO365" s="375"/>
    </row>
    <row r="366" spans="1:67" s="6" customFormat="1" x14ac:dyDescent="0.45">
      <c r="A366" s="517"/>
      <c r="B366" s="397" t="s">
        <v>875</v>
      </c>
      <c r="C366" s="376" t="s">
        <v>880</v>
      </c>
      <c r="D366" s="383">
        <f>'10.Фізіотерапія'!F2400+'10.Фізіотерапія'!F2401</f>
        <v>16.59</v>
      </c>
      <c r="E366" s="378">
        <f>'10.Фізіотерапія'!F2403</f>
        <v>3.65</v>
      </c>
      <c r="F366" s="378">
        <f>'10.Фізіотерапія'!G2417</f>
        <v>10.25</v>
      </c>
      <c r="G366" s="383">
        <f>'10.Фізіотерапія'!H2422</f>
        <v>0.15</v>
      </c>
      <c r="H366" s="384">
        <f t="shared" si="51"/>
        <v>30.639999999999997</v>
      </c>
      <c r="I366" s="383">
        <f>'10.Фізіотерапія'!H2428+'10.Фізіотерапія'!H2433</f>
        <v>1.98</v>
      </c>
      <c r="J366" s="383">
        <f>'10.Фізіотерапія'!H2429+'10.Фізіотерапія'!H2434</f>
        <v>0</v>
      </c>
      <c r="K366" s="383">
        <f>'10.Фізіотерапія'!H2430+'10.Фізіотерапія'!H2435</f>
        <v>0</v>
      </c>
      <c r="L366" s="383">
        <f>'10.Фізіотерапія'!H2431+'10.Фізіотерапія'!H2436</f>
        <v>0.18</v>
      </c>
      <c r="M366" s="384">
        <f t="shared" si="52"/>
        <v>2.16</v>
      </c>
      <c r="N366" s="384">
        <f t="shared" si="53"/>
        <v>32.799999999999997</v>
      </c>
      <c r="O366" s="383"/>
      <c r="P366" s="384">
        <f t="shared" si="54"/>
        <v>33</v>
      </c>
      <c r="Q366" s="384">
        <f>'10.Фізіотерапія'!M47</f>
        <v>33</v>
      </c>
      <c r="R366" s="384">
        <f t="shared" si="47"/>
        <v>0</v>
      </c>
      <c r="S366" s="384"/>
      <c r="T366" s="384"/>
      <c r="U366" s="384"/>
      <c r="V366" s="384"/>
      <c r="W366" s="384"/>
      <c r="X366" s="384"/>
      <c r="Y366" s="384"/>
      <c r="Z366" s="763" t="str">
        <f>'10.Фізіотерапія'!L47</f>
        <v>Ультразвукова терапія</v>
      </c>
      <c r="AA366" s="755"/>
      <c r="AB366" s="755"/>
      <c r="AC366" s="748"/>
      <c r="AD366" s="748"/>
      <c r="AE366" s="748"/>
      <c r="AF366" s="748"/>
      <c r="AG366" s="748"/>
      <c r="AH366" s="748"/>
      <c r="AI366" s="748"/>
      <c r="AJ366" s="748"/>
      <c r="AK366" s="748"/>
      <c r="AL366" s="748"/>
      <c r="AM366" s="748"/>
      <c r="AN366" s="748"/>
      <c r="AO366" s="375"/>
      <c r="AP366" s="375"/>
      <c r="AQ366" s="375"/>
      <c r="AR366" s="375"/>
      <c r="AS366" s="375"/>
      <c r="AT366" s="375"/>
      <c r="AU366" s="375"/>
      <c r="AV366" s="375"/>
      <c r="AW366" s="375"/>
      <c r="AX366" s="375"/>
      <c r="AY366" s="375"/>
      <c r="AZ366" s="375"/>
      <c r="BA366" s="375"/>
      <c r="BB366" s="375"/>
      <c r="BC366" s="375"/>
      <c r="BD366" s="375"/>
      <c r="BE366" s="375"/>
      <c r="BF366" s="375"/>
      <c r="BG366" s="375"/>
      <c r="BH366" s="375"/>
      <c r="BI366" s="375"/>
      <c r="BJ366" s="375"/>
      <c r="BK366" s="375"/>
      <c r="BL366" s="375"/>
      <c r="BM366" s="375"/>
      <c r="BN366" s="375"/>
      <c r="BO366" s="375"/>
    </row>
    <row r="367" spans="1:67" s="6" customFormat="1" x14ac:dyDescent="0.45">
      <c r="A367" s="517"/>
      <c r="B367" s="397" t="s">
        <v>877</v>
      </c>
      <c r="C367" s="376" t="s">
        <v>407</v>
      </c>
      <c r="D367" s="383">
        <f>'10.Фізіотерапія'!F2455+'10.Фізіотерапія'!F2456</f>
        <v>16.59</v>
      </c>
      <c r="E367" s="378">
        <f>'10.Фізіотерапія'!F2458</f>
        <v>3.65</v>
      </c>
      <c r="F367" s="378">
        <f>'10.Фізіотерапія'!F2460</f>
        <v>14.23</v>
      </c>
      <c r="G367" s="383">
        <f>'10.Фізіотерапія'!F2474</f>
        <v>0.15</v>
      </c>
      <c r="H367" s="384">
        <f t="shared" si="51"/>
        <v>34.619999999999997</v>
      </c>
      <c r="I367" s="383">
        <f>'10.Фізіотерапія'!H2483+'10.Фізіотерапія'!H2488</f>
        <v>1.98</v>
      </c>
      <c r="J367" s="383">
        <f>'10.Фізіотерапія'!H2484+'10.Фізіотерапія'!H2489</f>
        <v>0</v>
      </c>
      <c r="K367" s="383">
        <f>'10.Фізіотерапія'!H2485+'10.Фізіотерапія'!H2490</f>
        <v>0</v>
      </c>
      <c r="L367" s="383">
        <f>'10.Фізіотерапія'!H2486+'10.Фізіотерапія'!H2491</f>
        <v>0.18</v>
      </c>
      <c r="M367" s="384">
        <f t="shared" si="52"/>
        <v>2.16</v>
      </c>
      <c r="N367" s="384">
        <f t="shared" si="53"/>
        <v>36.78</v>
      </c>
      <c r="O367" s="383"/>
      <c r="P367" s="384">
        <f t="shared" si="54"/>
        <v>37</v>
      </c>
      <c r="Q367" s="384">
        <f>'10.Фізіотерапія'!M48</f>
        <v>37</v>
      </c>
      <c r="R367" s="384">
        <f t="shared" si="47"/>
        <v>0</v>
      </c>
      <c r="S367" s="384"/>
      <c r="T367" s="384"/>
      <c r="U367" s="384"/>
      <c r="V367" s="384"/>
      <c r="W367" s="384"/>
      <c r="X367" s="384"/>
      <c r="Y367" s="384"/>
      <c r="Z367" s="763" t="str">
        <f>'10.Фізіотерапія'!L48</f>
        <v>Ультрафонофорез</v>
      </c>
      <c r="AA367" s="755"/>
      <c r="AB367" s="755"/>
      <c r="AC367" s="748"/>
      <c r="AD367" s="748"/>
      <c r="AE367" s="748"/>
      <c r="AF367" s="748"/>
      <c r="AG367" s="748"/>
      <c r="AH367" s="748"/>
      <c r="AI367" s="748"/>
      <c r="AJ367" s="748"/>
      <c r="AK367" s="748"/>
      <c r="AL367" s="748"/>
      <c r="AM367" s="748"/>
      <c r="AN367" s="748"/>
      <c r="AO367" s="375"/>
      <c r="AP367" s="375"/>
      <c r="AQ367" s="375"/>
      <c r="AR367" s="375"/>
      <c r="AS367" s="375"/>
      <c r="AT367" s="375"/>
      <c r="AU367" s="375"/>
      <c r="AV367" s="375"/>
      <c r="AW367" s="375"/>
      <c r="AX367" s="375"/>
      <c r="AY367" s="375"/>
      <c r="AZ367" s="375"/>
      <c r="BA367" s="375"/>
      <c r="BB367" s="375"/>
      <c r="BC367" s="375"/>
      <c r="BD367" s="375"/>
      <c r="BE367" s="375"/>
      <c r="BF367" s="375"/>
      <c r="BG367" s="375"/>
      <c r="BH367" s="375"/>
      <c r="BI367" s="375"/>
      <c r="BJ367" s="375"/>
      <c r="BK367" s="375"/>
      <c r="BL367" s="375"/>
      <c r="BM367" s="375"/>
      <c r="BN367" s="375"/>
      <c r="BO367" s="375"/>
    </row>
    <row r="368" spans="1:67" s="6" customFormat="1" x14ac:dyDescent="0.45">
      <c r="A368" s="517"/>
      <c r="B368" s="397" t="s">
        <v>879</v>
      </c>
      <c r="C368" s="376" t="s">
        <v>481</v>
      </c>
      <c r="D368" s="383">
        <f>'10.Фізіотерапія'!F2510+'10.Фізіотерапія'!F2511</f>
        <v>55.29</v>
      </c>
      <c r="E368" s="378">
        <f>'10.Фізіотерапія'!F2513</f>
        <v>12.16</v>
      </c>
      <c r="F368" s="378">
        <f>'10.Фізіотерапія'!F2515</f>
        <v>10.66</v>
      </c>
      <c r="G368" s="383">
        <f>'10.Фізіотерапія'!F2525</f>
        <v>0.6</v>
      </c>
      <c r="H368" s="384">
        <f t="shared" si="51"/>
        <v>78.709999999999994</v>
      </c>
      <c r="I368" s="383">
        <f>'10.Фізіотерапія'!H2534+'10.Фізіотерапія'!H2539</f>
        <v>6.93</v>
      </c>
      <c r="J368" s="383">
        <f>'10.Фізіотерапія'!H2535+'10.Фізіотерапія'!H2540</f>
        <v>0</v>
      </c>
      <c r="K368" s="383">
        <f>'10.Фізіотерапія'!H2536+'10.Фізіотерапія'!H2541</f>
        <v>0</v>
      </c>
      <c r="L368" s="383">
        <f>'10.Фізіотерапія'!H2537+'10.Фізіотерапія'!H2542</f>
        <v>0.63</v>
      </c>
      <c r="M368" s="384">
        <f t="shared" si="52"/>
        <v>7.56</v>
      </c>
      <c r="N368" s="384">
        <f t="shared" si="53"/>
        <v>86.27</v>
      </c>
      <c r="O368" s="383"/>
      <c r="P368" s="384">
        <f t="shared" si="54"/>
        <v>86</v>
      </c>
      <c r="Q368" s="384">
        <f>'10.Фізіотерапія'!F2501</f>
        <v>86</v>
      </c>
      <c r="R368" s="384">
        <f t="shared" si="47"/>
        <v>0</v>
      </c>
      <c r="S368" s="384"/>
      <c r="T368" s="384"/>
      <c r="U368" s="384"/>
      <c r="V368" s="384"/>
      <c r="W368" s="384"/>
      <c r="X368" s="384"/>
      <c r="Y368" s="384"/>
      <c r="Z368" s="763" t="str">
        <f>'10.Фізіотерапія'!L49</f>
        <v>Галотерапія (соляна шахта ) ( 60 хв. - перебування )</v>
      </c>
      <c r="AA368" s="755"/>
      <c r="AB368" s="755"/>
      <c r="AC368" s="748"/>
      <c r="AD368" s="748"/>
      <c r="AE368" s="748"/>
      <c r="AF368" s="748"/>
      <c r="AG368" s="748"/>
      <c r="AH368" s="748"/>
      <c r="AI368" s="748"/>
      <c r="AJ368" s="748"/>
      <c r="AK368" s="748"/>
      <c r="AL368" s="748"/>
      <c r="AM368" s="748"/>
      <c r="AN368" s="748"/>
      <c r="AO368" s="375"/>
      <c r="AP368" s="375"/>
      <c r="AQ368" s="375"/>
      <c r="AR368" s="375"/>
      <c r="AS368" s="375"/>
      <c r="AT368" s="375"/>
      <c r="AU368" s="375"/>
      <c r="AV368" s="375"/>
      <c r="AW368" s="375"/>
      <c r="AX368" s="375"/>
      <c r="AY368" s="375"/>
      <c r="AZ368" s="375"/>
      <c r="BA368" s="375"/>
      <c r="BB368" s="375"/>
      <c r="BC368" s="375"/>
      <c r="BD368" s="375"/>
      <c r="BE368" s="375"/>
      <c r="BF368" s="375"/>
      <c r="BG368" s="375"/>
      <c r="BH368" s="375"/>
      <c r="BI368" s="375"/>
      <c r="BJ368" s="375"/>
      <c r="BK368" s="375"/>
      <c r="BL368" s="375"/>
      <c r="BM368" s="375"/>
      <c r="BN368" s="375"/>
      <c r="BO368" s="375"/>
    </row>
    <row r="369" spans="1:67" s="6" customFormat="1" x14ac:dyDescent="0.45">
      <c r="A369" s="517"/>
      <c r="B369" s="381"/>
      <c r="C369" s="376"/>
      <c r="D369" s="383"/>
      <c r="E369" s="378"/>
      <c r="F369" s="378"/>
      <c r="G369" s="383"/>
      <c r="H369" s="384"/>
      <c r="I369" s="383"/>
      <c r="J369" s="383"/>
      <c r="K369" s="383"/>
      <c r="L369" s="383"/>
      <c r="M369" s="384"/>
      <c r="N369" s="384"/>
      <c r="O369" s="383"/>
      <c r="P369" s="384"/>
      <c r="Q369" s="384"/>
      <c r="R369" s="384"/>
      <c r="S369" s="384"/>
      <c r="T369" s="384"/>
      <c r="U369" s="384"/>
      <c r="V369" s="384"/>
      <c r="W369" s="384"/>
      <c r="X369" s="384"/>
      <c r="Y369" s="384"/>
      <c r="Z369" s="763"/>
      <c r="AA369" s="755"/>
      <c r="AB369" s="755"/>
      <c r="AC369" s="748"/>
      <c r="AD369" s="748"/>
      <c r="AE369" s="748"/>
      <c r="AF369" s="748"/>
      <c r="AG369" s="748"/>
      <c r="AH369" s="748"/>
      <c r="AI369" s="748"/>
      <c r="AJ369" s="748"/>
      <c r="AK369" s="748"/>
      <c r="AL369" s="748"/>
      <c r="AM369" s="748"/>
      <c r="AN369" s="748"/>
      <c r="AO369" s="375"/>
      <c r="AP369" s="375"/>
      <c r="AQ369" s="375"/>
      <c r="AR369" s="375"/>
      <c r="AS369" s="375"/>
      <c r="AT369" s="375"/>
      <c r="AU369" s="375"/>
      <c r="AV369" s="375"/>
      <c r="AW369" s="375"/>
      <c r="AX369" s="375"/>
      <c r="AY369" s="375"/>
      <c r="AZ369" s="375"/>
      <c r="BA369" s="375"/>
      <c r="BB369" s="375"/>
      <c r="BC369" s="375"/>
      <c r="BD369" s="375"/>
      <c r="BE369" s="375"/>
      <c r="BF369" s="375"/>
      <c r="BG369" s="375"/>
      <c r="BH369" s="375"/>
      <c r="BI369" s="375"/>
      <c r="BJ369" s="375"/>
      <c r="BK369" s="375"/>
      <c r="BL369" s="375"/>
      <c r="BM369" s="375"/>
      <c r="BN369" s="375"/>
      <c r="BO369" s="375"/>
    </row>
    <row r="370" spans="1:67" s="6" customFormat="1" x14ac:dyDescent="0.45">
      <c r="A370" s="517"/>
      <c r="B370" s="376"/>
      <c r="C370" s="402"/>
      <c r="D370" s="378"/>
      <c r="E370" s="378"/>
      <c r="F370" s="378"/>
      <c r="G370" s="378"/>
      <c r="H370" s="384"/>
      <c r="I370" s="378"/>
      <c r="J370" s="378"/>
      <c r="K370" s="378"/>
      <c r="L370" s="378"/>
      <c r="M370" s="384"/>
      <c r="N370" s="384"/>
      <c r="O370" s="378"/>
      <c r="P370" s="384"/>
      <c r="Q370" s="380"/>
      <c r="R370" s="384"/>
      <c r="S370" s="378"/>
      <c r="T370" s="378"/>
      <c r="U370" s="378"/>
      <c r="V370" s="378"/>
      <c r="W370" s="378"/>
      <c r="X370" s="380"/>
      <c r="Y370" s="380"/>
      <c r="Z370" s="763"/>
      <c r="AA370" s="755"/>
      <c r="AB370" s="755"/>
      <c r="AC370" s="748"/>
      <c r="AD370" s="748"/>
      <c r="AE370" s="748"/>
      <c r="AF370" s="748"/>
      <c r="AG370" s="748"/>
      <c r="AH370" s="748"/>
      <c r="AI370" s="748"/>
      <c r="AJ370" s="748"/>
      <c r="AK370" s="748"/>
      <c r="AL370" s="748"/>
      <c r="AM370" s="748"/>
      <c r="AN370" s="748"/>
      <c r="AO370" s="375"/>
      <c r="AP370" s="375"/>
      <c r="AQ370" s="375"/>
      <c r="AR370" s="375"/>
      <c r="AS370" s="375"/>
      <c r="AT370" s="375"/>
      <c r="AU370" s="375"/>
      <c r="AV370" s="375"/>
      <c r="AW370" s="375"/>
      <c r="AX370" s="375"/>
      <c r="AY370" s="375"/>
      <c r="AZ370" s="375"/>
      <c r="BA370" s="375"/>
      <c r="BB370" s="375"/>
      <c r="BC370" s="375"/>
      <c r="BD370" s="375"/>
      <c r="BE370" s="375"/>
      <c r="BF370" s="375"/>
      <c r="BG370" s="375"/>
      <c r="BH370" s="375"/>
      <c r="BI370" s="375"/>
      <c r="BJ370" s="375"/>
      <c r="BK370" s="375"/>
      <c r="BL370" s="375"/>
      <c r="BM370" s="375"/>
      <c r="BN370" s="375"/>
      <c r="BO370" s="375"/>
    </row>
    <row r="371" spans="1:67" s="270" customFormat="1" x14ac:dyDescent="0.45">
      <c r="A371" s="518"/>
      <c r="B371" s="403">
        <v>11</v>
      </c>
      <c r="C371" s="402" t="s">
        <v>105</v>
      </c>
      <c r="D371" s="398">
        <f>'11.Забір аналізів'!E14</f>
        <v>7.9</v>
      </c>
      <c r="E371" s="404">
        <f>'11.Забір аналізів'!E16</f>
        <v>1.74</v>
      </c>
      <c r="F371" s="404">
        <f>'11.Забір аналізів'!E18</f>
        <v>5.5699999999999994</v>
      </c>
      <c r="G371" s="398">
        <f>'11.Забір аналізів'!E30</f>
        <v>0</v>
      </c>
      <c r="H371" s="399">
        <f>SUM(D371:G371)</f>
        <v>15.21</v>
      </c>
      <c r="I371" s="398">
        <f>'11.Забір аналізів'!G44</f>
        <v>1.1000000000000001</v>
      </c>
      <c r="J371" s="398">
        <f>'11.Забір аналізів'!G45</f>
        <v>0</v>
      </c>
      <c r="K371" s="398">
        <f>'11.Забір аналізів'!G46</f>
        <v>0</v>
      </c>
      <c r="L371" s="398">
        <f>'11.Забір аналізів'!G47</f>
        <v>0.2</v>
      </c>
      <c r="M371" s="399">
        <f>SUM(I371:L371)</f>
        <v>1.3</v>
      </c>
      <c r="N371" s="399">
        <f>H371+M371</f>
        <v>16.510000000000002</v>
      </c>
      <c r="O371" s="404"/>
      <c r="P371" s="399">
        <f>ROUND(N371,1)</f>
        <v>16.5</v>
      </c>
      <c r="Q371" s="405">
        <f>'11.Забір аналізів'!E4</f>
        <v>16.5</v>
      </c>
      <c r="R371" s="399">
        <f t="shared" si="47"/>
        <v>0</v>
      </c>
      <c r="S371" s="404"/>
      <c r="T371" s="404"/>
      <c r="U371" s="404"/>
      <c r="V371" s="404"/>
      <c r="W371" s="404"/>
      <c r="X371" s="405"/>
      <c r="Y371" s="405"/>
      <c r="Z371" s="770"/>
      <c r="AA371" s="761"/>
      <c r="AB371" s="761"/>
      <c r="AC371" s="751"/>
      <c r="AD371" s="751"/>
      <c r="AE371" s="751"/>
      <c r="AF371" s="751"/>
      <c r="AG371" s="751"/>
      <c r="AH371" s="751"/>
      <c r="AI371" s="751"/>
      <c r="AJ371" s="751"/>
      <c r="AK371" s="751"/>
      <c r="AL371" s="751"/>
      <c r="AM371" s="751"/>
      <c r="AN371" s="751"/>
      <c r="AO371" s="400"/>
      <c r="AP371" s="400"/>
      <c r="AQ371" s="400"/>
      <c r="AR371" s="400"/>
      <c r="AS371" s="400"/>
      <c r="AT371" s="400"/>
      <c r="AU371" s="400"/>
      <c r="AV371" s="400"/>
      <c r="AW371" s="400"/>
      <c r="AX371" s="400"/>
      <c r="AY371" s="400"/>
      <c r="AZ371" s="400"/>
      <c r="BA371" s="400"/>
      <c r="BB371" s="400"/>
      <c r="BC371" s="400"/>
      <c r="BD371" s="400"/>
      <c r="BE371" s="400"/>
      <c r="BF371" s="400"/>
      <c r="BG371" s="400"/>
      <c r="BH371" s="400"/>
      <c r="BI371" s="400"/>
      <c r="BJ371" s="400"/>
      <c r="BK371" s="400"/>
      <c r="BL371" s="400"/>
      <c r="BM371" s="400"/>
      <c r="BN371" s="400"/>
      <c r="BO371" s="400"/>
    </row>
    <row r="372" spans="1:67" s="6" customFormat="1" x14ac:dyDescent="0.45">
      <c r="A372" s="517"/>
      <c r="B372" s="376"/>
      <c r="C372" s="376"/>
      <c r="D372" s="378"/>
      <c r="E372" s="378"/>
      <c r="F372" s="378"/>
      <c r="G372" s="378"/>
      <c r="H372" s="380"/>
      <c r="I372" s="378"/>
      <c r="J372" s="378"/>
      <c r="K372" s="378"/>
      <c r="L372" s="378"/>
      <c r="M372" s="380"/>
      <c r="N372" s="380"/>
      <c r="O372" s="378"/>
      <c r="P372" s="380"/>
      <c r="Q372" s="380"/>
      <c r="R372" s="380"/>
      <c r="S372" s="378"/>
      <c r="T372" s="378"/>
      <c r="U372" s="378"/>
      <c r="V372" s="378"/>
      <c r="W372" s="378"/>
      <c r="X372" s="380"/>
      <c r="Y372" s="380"/>
      <c r="Z372" s="754"/>
      <c r="AA372" s="755"/>
      <c r="AB372" s="755"/>
      <c r="AC372" s="748"/>
      <c r="AD372" s="748"/>
      <c r="AE372" s="748"/>
      <c r="AF372" s="748"/>
      <c r="AG372" s="748"/>
      <c r="AH372" s="748"/>
      <c r="AI372" s="748"/>
      <c r="AJ372" s="748"/>
      <c r="AK372" s="748"/>
      <c r="AL372" s="748"/>
      <c r="AM372" s="748"/>
      <c r="AN372" s="748"/>
      <c r="AO372" s="375"/>
      <c r="AP372" s="375"/>
      <c r="AQ372" s="375"/>
      <c r="AR372" s="375"/>
      <c r="AS372" s="375"/>
      <c r="AT372" s="375"/>
      <c r="AU372" s="375"/>
      <c r="AV372" s="375"/>
      <c r="AW372" s="375"/>
      <c r="AX372" s="375"/>
      <c r="AY372" s="375"/>
      <c r="AZ372" s="375"/>
      <c r="BA372" s="375"/>
      <c r="BB372" s="375"/>
      <c r="BC372" s="375"/>
      <c r="BD372" s="375"/>
      <c r="BE372" s="375"/>
      <c r="BF372" s="375"/>
      <c r="BG372" s="375"/>
      <c r="BH372" s="375"/>
      <c r="BI372" s="375"/>
      <c r="BJ372" s="375"/>
      <c r="BK372" s="375"/>
      <c r="BL372" s="375"/>
      <c r="BM372" s="375"/>
      <c r="BN372" s="375"/>
      <c r="BO372" s="375"/>
    </row>
    <row r="373" spans="1:67" s="6" customFormat="1" x14ac:dyDescent="0.45">
      <c r="A373" s="517"/>
      <c r="B373" s="381" t="s">
        <v>993</v>
      </c>
      <c r="C373" s="394" t="s">
        <v>702</v>
      </c>
      <c r="D373" s="386" t="s">
        <v>1118</v>
      </c>
      <c r="E373" s="387">
        <v>0.22</v>
      </c>
      <c r="F373" s="386" t="s">
        <v>1119</v>
      </c>
      <c r="G373" s="386" t="s">
        <v>1125</v>
      </c>
      <c r="H373" s="388" t="s">
        <v>1120</v>
      </c>
      <c r="I373" s="386" t="s">
        <v>1121</v>
      </c>
      <c r="J373" s="386" t="s">
        <v>1122</v>
      </c>
      <c r="K373" s="386" t="s">
        <v>1126</v>
      </c>
      <c r="L373" s="386" t="s">
        <v>1123</v>
      </c>
      <c r="M373" s="388" t="s">
        <v>1127</v>
      </c>
      <c r="N373" s="388" t="s">
        <v>988</v>
      </c>
      <c r="O373" s="386"/>
      <c r="P373" s="388" t="s">
        <v>998</v>
      </c>
      <c r="Q373" s="388"/>
      <c r="R373" s="388"/>
      <c r="S373" s="388"/>
      <c r="T373" s="388"/>
      <c r="U373" s="388"/>
      <c r="V373" s="388"/>
      <c r="W373" s="388"/>
      <c r="X373" s="388"/>
      <c r="Y373" s="388"/>
      <c r="Z373" s="762"/>
      <c r="AA373" s="755"/>
      <c r="AB373" s="755"/>
      <c r="AC373" s="748"/>
      <c r="AD373" s="748"/>
      <c r="AE373" s="748"/>
      <c r="AF373" s="748"/>
      <c r="AG373" s="748"/>
      <c r="AH373" s="748"/>
      <c r="AI373" s="748"/>
      <c r="AJ373" s="748"/>
      <c r="AK373" s="748"/>
      <c r="AL373" s="748"/>
      <c r="AM373" s="748"/>
      <c r="AN373" s="748"/>
      <c r="AO373" s="375"/>
      <c r="AP373" s="375"/>
      <c r="AQ373" s="375"/>
      <c r="AR373" s="375"/>
      <c r="AS373" s="375"/>
      <c r="AT373" s="375"/>
      <c r="AU373" s="375"/>
      <c r="AV373" s="375"/>
      <c r="AW373" s="375"/>
      <c r="AX373" s="375"/>
      <c r="AY373" s="375"/>
      <c r="AZ373" s="375"/>
      <c r="BA373" s="375"/>
      <c r="BB373" s="375"/>
      <c r="BC373" s="375"/>
      <c r="BD373" s="375"/>
      <c r="BE373" s="375"/>
      <c r="BF373" s="375"/>
      <c r="BG373" s="375"/>
      <c r="BH373" s="375"/>
      <c r="BI373" s="375"/>
      <c r="BJ373" s="375"/>
      <c r="BK373" s="375"/>
      <c r="BL373" s="375"/>
      <c r="BM373" s="375"/>
      <c r="BN373" s="375"/>
      <c r="BO373" s="375"/>
    </row>
    <row r="374" spans="1:67" s="6" customFormat="1" x14ac:dyDescent="0.45">
      <c r="A374" s="517"/>
      <c r="B374" s="381" t="s">
        <v>882</v>
      </c>
      <c r="C374" s="385" t="s">
        <v>992</v>
      </c>
      <c r="D374" s="383">
        <f>Обстеження!F13</f>
        <v>6.31</v>
      </c>
      <c r="E374" s="383">
        <f>Обстеження!F16</f>
        <v>1.39</v>
      </c>
      <c r="F374" s="383">
        <f>Обстеження!G28</f>
        <v>2.95</v>
      </c>
      <c r="G374" s="383">
        <f>Обстеження!H33</f>
        <v>7.0000000000000007E-2</v>
      </c>
      <c r="H374" s="384">
        <f>SUM(D374:G374)</f>
        <v>10.719999999999999</v>
      </c>
      <c r="I374" s="383">
        <f>Обстеження!H39</f>
        <v>0.72</v>
      </c>
      <c r="J374" s="383">
        <f>Обстеження!H40</f>
        <v>0</v>
      </c>
      <c r="K374" s="383">
        <f>Обстеження!H41</f>
        <v>0</v>
      </c>
      <c r="L374" s="383">
        <f>Обстеження!H42</f>
        <v>7.0000000000000007E-2</v>
      </c>
      <c r="M374" s="384">
        <f>SUM(I374:L374)</f>
        <v>0.79</v>
      </c>
      <c r="N374" s="384">
        <f t="shared" ref="N374:N385" si="55">H374+M374</f>
        <v>11.509999999999998</v>
      </c>
      <c r="O374" s="383"/>
      <c r="P374" s="384">
        <f>ROUND(N374,1)</f>
        <v>11.5</v>
      </c>
      <c r="Q374" s="384">
        <f>Обстеження!F4</f>
        <v>11.5</v>
      </c>
      <c r="R374" s="384">
        <f>P374-Q374</f>
        <v>0</v>
      </c>
      <c r="S374" s="384"/>
      <c r="T374" s="384"/>
      <c r="U374" s="384"/>
      <c r="V374" s="384"/>
      <c r="W374" s="384"/>
      <c r="X374" s="384"/>
      <c r="Y374" s="384"/>
      <c r="Z374" s="772" t="str">
        <f>Обстеження!M5</f>
        <v>Вартість 1-го обстеження лікаря-терапевта</v>
      </c>
      <c r="AA374" s="755"/>
      <c r="AB374" s="755"/>
      <c r="AC374" s="748"/>
      <c r="AD374" s="748"/>
      <c r="AE374" s="748"/>
      <c r="AF374" s="748"/>
      <c r="AG374" s="748"/>
      <c r="AH374" s="748"/>
      <c r="AI374" s="748"/>
      <c r="AJ374" s="748"/>
      <c r="AK374" s="748"/>
      <c r="AL374" s="748"/>
      <c r="AM374" s="748"/>
      <c r="AN374" s="748"/>
      <c r="AO374" s="375"/>
      <c r="AP374" s="375"/>
      <c r="AQ374" s="375"/>
      <c r="AR374" s="375"/>
      <c r="AS374" s="375"/>
      <c r="AT374" s="375"/>
      <c r="AU374" s="375"/>
      <c r="AV374" s="375"/>
      <c r="AW374" s="375"/>
      <c r="AX374" s="375"/>
      <c r="AY374" s="375"/>
      <c r="AZ374" s="375"/>
      <c r="BA374" s="375"/>
      <c r="BB374" s="375"/>
      <c r="BC374" s="375"/>
      <c r="BD374" s="375"/>
      <c r="BE374" s="375"/>
      <c r="BF374" s="375"/>
      <c r="BG374" s="375"/>
      <c r="BH374" s="375"/>
      <c r="BI374" s="375"/>
      <c r="BJ374" s="375"/>
      <c r="BK374" s="375"/>
      <c r="BL374" s="375"/>
      <c r="BM374" s="375"/>
      <c r="BN374" s="375"/>
      <c r="BO374" s="375"/>
    </row>
    <row r="375" spans="1:67" s="6" customFormat="1" x14ac:dyDescent="0.45">
      <c r="A375" s="517"/>
      <c r="B375" s="381" t="s">
        <v>884</v>
      </c>
      <c r="C375" s="385" t="s">
        <v>994</v>
      </c>
      <c r="D375" s="383">
        <f>Обстеження!F65</f>
        <v>3.8</v>
      </c>
      <c r="E375" s="383">
        <f>Обстеження!F68</f>
        <v>0.84</v>
      </c>
      <c r="F375" s="383">
        <f>Обстеження!G80</f>
        <v>2.9</v>
      </c>
      <c r="G375" s="383">
        <f>Обстеження!H85</f>
        <v>0.05</v>
      </c>
      <c r="H375" s="384">
        <f t="shared" ref="H375:H385" si="56">SUM(D375:G375)</f>
        <v>7.589999999999999</v>
      </c>
      <c r="I375" s="383">
        <f>Обстеження!H91</f>
        <v>0.55000000000000004</v>
      </c>
      <c r="J375" s="383">
        <f>Обстеження!H92</f>
        <v>0</v>
      </c>
      <c r="K375" s="383">
        <f>Обстеження!H93</f>
        <v>0</v>
      </c>
      <c r="L375" s="383">
        <f>Обстеження!H94</f>
        <v>0.05</v>
      </c>
      <c r="M375" s="384">
        <f t="shared" ref="M375:M385" si="57">SUM(I375:L375)</f>
        <v>0.60000000000000009</v>
      </c>
      <c r="N375" s="384">
        <f t="shared" si="55"/>
        <v>8.19</v>
      </c>
      <c r="O375" s="383"/>
      <c r="P375" s="384">
        <f t="shared" ref="P375:P385" si="58">ROUND(N375,1)</f>
        <v>8.1999999999999993</v>
      </c>
      <c r="Q375" s="384">
        <f>Обстеження!F56</f>
        <v>8.1999999999999993</v>
      </c>
      <c r="R375" s="384">
        <f t="shared" ref="R375:R385" si="59">P375-Q375</f>
        <v>0</v>
      </c>
      <c r="S375" s="384"/>
      <c r="T375" s="384"/>
      <c r="U375" s="384"/>
      <c r="V375" s="384"/>
      <c r="W375" s="384"/>
      <c r="X375" s="384"/>
      <c r="Y375" s="384"/>
      <c r="Z375" s="772" t="str">
        <f>Обстеження!M6</f>
        <v>Вартість 1-го обстеження лікаря-хірурга</v>
      </c>
      <c r="AA375" s="755"/>
      <c r="AB375" s="755"/>
      <c r="AC375" s="748"/>
      <c r="AD375" s="748"/>
      <c r="AE375" s="748"/>
      <c r="AF375" s="748"/>
      <c r="AG375" s="748"/>
      <c r="AH375" s="748"/>
      <c r="AI375" s="748"/>
      <c r="AJ375" s="748"/>
      <c r="AK375" s="748"/>
      <c r="AL375" s="748"/>
      <c r="AM375" s="748"/>
      <c r="AN375" s="748"/>
      <c r="AO375" s="375"/>
      <c r="AP375" s="375"/>
      <c r="AQ375" s="375"/>
      <c r="AR375" s="375"/>
      <c r="AS375" s="375"/>
      <c r="AT375" s="375"/>
      <c r="AU375" s="375"/>
      <c r="AV375" s="375"/>
      <c r="AW375" s="375"/>
      <c r="AX375" s="375"/>
      <c r="AY375" s="375"/>
      <c r="AZ375" s="375"/>
      <c r="BA375" s="375"/>
      <c r="BB375" s="375"/>
      <c r="BC375" s="375"/>
      <c r="BD375" s="375"/>
      <c r="BE375" s="375"/>
      <c r="BF375" s="375"/>
      <c r="BG375" s="375"/>
      <c r="BH375" s="375"/>
      <c r="BI375" s="375"/>
      <c r="BJ375" s="375"/>
      <c r="BK375" s="375"/>
      <c r="BL375" s="375"/>
      <c r="BM375" s="375"/>
      <c r="BN375" s="375"/>
      <c r="BO375" s="375"/>
    </row>
    <row r="376" spans="1:67" s="6" customFormat="1" x14ac:dyDescent="0.45">
      <c r="A376" s="517"/>
      <c r="B376" s="381" t="s">
        <v>886</v>
      </c>
      <c r="C376" s="385" t="s">
        <v>995</v>
      </c>
      <c r="D376" s="383">
        <f>Обстеження!F117</f>
        <v>4.8499999999999996</v>
      </c>
      <c r="E376" s="383">
        <f>Обстеження!F120</f>
        <v>1.07</v>
      </c>
      <c r="F376" s="383">
        <f>Обстеження!G132</f>
        <v>2.9</v>
      </c>
      <c r="G376" s="383">
        <f>Обстеження!H137</f>
        <v>0.05</v>
      </c>
      <c r="H376" s="384">
        <f t="shared" si="56"/>
        <v>8.870000000000001</v>
      </c>
      <c r="I376" s="383">
        <f>Обстеження!H143</f>
        <v>0.55000000000000004</v>
      </c>
      <c r="J376" s="383">
        <f>Обстеження!H144</f>
        <v>0</v>
      </c>
      <c r="K376" s="383">
        <f>Обстеження!H145</f>
        <v>0</v>
      </c>
      <c r="L376" s="383">
        <f>Обстеження!H146</f>
        <v>0.05</v>
      </c>
      <c r="M376" s="384">
        <f t="shared" si="57"/>
        <v>0.60000000000000009</v>
      </c>
      <c r="N376" s="384">
        <f t="shared" si="55"/>
        <v>9.4700000000000006</v>
      </c>
      <c r="O376" s="383"/>
      <c r="P376" s="384">
        <f t="shared" si="58"/>
        <v>9.5</v>
      </c>
      <c r="Q376" s="384">
        <f>Обстеження!F108</f>
        <v>9.5</v>
      </c>
      <c r="R376" s="384">
        <f t="shared" si="59"/>
        <v>0</v>
      </c>
      <c r="S376" s="384"/>
      <c r="T376" s="384"/>
      <c r="U376" s="384"/>
      <c r="V376" s="384"/>
      <c r="W376" s="384"/>
      <c r="X376" s="384"/>
      <c r="Y376" s="384"/>
      <c r="Z376" s="772" t="str">
        <f>Обстеження!M7</f>
        <v>Вартість 1-го обстеження лікаря-невропатолога</v>
      </c>
      <c r="AA376" s="755"/>
      <c r="AB376" s="755"/>
      <c r="AC376" s="748"/>
      <c r="AD376" s="748"/>
      <c r="AE376" s="748"/>
      <c r="AF376" s="748"/>
      <c r="AG376" s="748"/>
      <c r="AH376" s="748"/>
      <c r="AI376" s="748"/>
      <c r="AJ376" s="748"/>
      <c r="AK376" s="748"/>
      <c r="AL376" s="748"/>
      <c r="AM376" s="748"/>
      <c r="AN376" s="748"/>
      <c r="AO376" s="375"/>
      <c r="AP376" s="375"/>
      <c r="AQ376" s="375"/>
      <c r="AR376" s="375"/>
      <c r="AS376" s="375"/>
      <c r="AT376" s="375"/>
      <c r="AU376" s="375"/>
      <c r="AV376" s="375"/>
      <c r="AW376" s="375"/>
      <c r="AX376" s="375"/>
      <c r="AY376" s="375"/>
      <c r="AZ376" s="375"/>
      <c r="BA376" s="375"/>
      <c r="BB376" s="375"/>
      <c r="BC376" s="375"/>
      <c r="BD376" s="375"/>
      <c r="BE376" s="375"/>
      <c r="BF376" s="375"/>
      <c r="BG376" s="375"/>
      <c r="BH376" s="375"/>
      <c r="BI376" s="375"/>
      <c r="BJ376" s="375"/>
      <c r="BK376" s="375"/>
      <c r="BL376" s="375"/>
      <c r="BM376" s="375"/>
      <c r="BN376" s="375"/>
      <c r="BO376" s="375"/>
    </row>
    <row r="377" spans="1:67" s="6" customFormat="1" x14ac:dyDescent="0.45">
      <c r="A377" s="517"/>
      <c r="B377" s="381" t="s">
        <v>888</v>
      </c>
      <c r="C377" s="385" t="s">
        <v>999</v>
      </c>
      <c r="D377" s="383">
        <f>Обстеження!F169</f>
        <v>5.15</v>
      </c>
      <c r="E377" s="383">
        <f>Обстеження!F172</f>
        <v>1.1299999999999999</v>
      </c>
      <c r="F377" s="383">
        <f>Обстеження!G184</f>
        <v>2.9</v>
      </c>
      <c r="G377" s="383">
        <f>Обстеження!H189</f>
        <v>0.05</v>
      </c>
      <c r="H377" s="384">
        <f t="shared" si="56"/>
        <v>9.23</v>
      </c>
      <c r="I377" s="383">
        <f>Обстеження!H195</f>
        <v>0.55000000000000004</v>
      </c>
      <c r="J377" s="383">
        <f>Обстеження!H196</f>
        <v>0</v>
      </c>
      <c r="K377" s="383">
        <f>Обстеження!H197</f>
        <v>0</v>
      </c>
      <c r="L377" s="383">
        <f>Обстеження!H198</f>
        <v>0.05</v>
      </c>
      <c r="M377" s="384">
        <f t="shared" si="57"/>
        <v>0.60000000000000009</v>
      </c>
      <c r="N377" s="384">
        <f t="shared" si="55"/>
        <v>9.83</v>
      </c>
      <c r="O377" s="383"/>
      <c r="P377" s="384">
        <f t="shared" si="58"/>
        <v>9.8000000000000007</v>
      </c>
      <c r="Q377" s="384">
        <f>Обстеження!F160</f>
        <v>9.8000000000000007</v>
      </c>
      <c r="R377" s="384">
        <f t="shared" si="59"/>
        <v>0</v>
      </c>
      <c r="S377" s="384"/>
      <c r="T377" s="384"/>
      <c r="U377" s="384"/>
      <c r="V377" s="384"/>
      <c r="W377" s="384"/>
      <c r="X377" s="384"/>
      <c r="Y377" s="384"/>
      <c r="Z377" s="772" t="str">
        <f>Обстеження!M8</f>
        <v>Вартість 1-го обстеження лікаря-офтальмолога</v>
      </c>
      <c r="AA377" s="755"/>
      <c r="AB377" s="755"/>
      <c r="AC377" s="748"/>
      <c r="AD377" s="748"/>
      <c r="AE377" s="748"/>
      <c r="AF377" s="748"/>
      <c r="AG377" s="748"/>
      <c r="AH377" s="748"/>
      <c r="AI377" s="748"/>
      <c r="AJ377" s="748"/>
      <c r="AK377" s="748"/>
      <c r="AL377" s="748"/>
      <c r="AM377" s="748"/>
      <c r="AN377" s="748"/>
      <c r="AO377" s="375"/>
      <c r="AP377" s="375"/>
      <c r="AQ377" s="375"/>
      <c r="AR377" s="375"/>
      <c r="AS377" s="375"/>
      <c r="AT377" s="375"/>
      <c r="AU377" s="375"/>
      <c r="AV377" s="375"/>
      <c r="AW377" s="375"/>
      <c r="AX377" s="375"/>
      <c r="AY377" s="375"/>
      <c r="AZ377" s="375"/>
      <c r="BA377" s="375"/>
      <c r="BB377" s="375"/>
      <c r="BC377" s="375"/>
      <c r="BD377" s="375"/>
      <c r="BE377" s="375"/>
      <c r="BF377" s="375"/>
      <c r="BG377" s="375"/>
      <c r="BH377" s="375"/>
      <c r="BI377" s="375"/>
      <c r="BJ377" s="375"/>
      <c r="BK377" s="375"/>
      <c r="BL377" s="375"/>
      <c r="BM377" s="375"/>
      <c r="BN377" s="375"/>
      <c r="BO377" s="375"/>
    </row>
    <row r="378" spans="1:67" s="6" customFormat="1" x14ac:dyDescent="0.45">
      <c r="A378" s="517"/>
      <c r="B378" s="381" t="s">
        <v>890</v>
      </c>
      <c r="C378" s="385" t="s">
        <v>1133</v>
      </c>
      <c r="D378" s="383">
        <f>Обстеження!F221</f>
        <v>5.55</v>
      </c>
      <c r="E378" s="383">
        <f>Обстеження!F224</f>
        <v>1.22</v>
      </c>
      <c r="F378" s="383">
        <f>Обстеження!G236</f>
        <v>12.23</v>
      </c>
      <c r="G378" s="383">
        <f>Обстеження!H241</f>
        <v>0.05</v>
      </c>
      <c r="H378" s="384">
        <f t="shared" si="56"/>
        <v>19.05</v>
      </c>
      <c r="I378" s="383">
        <f>Обстеження!H247</f>
        <v>0.55000000000000004</v>
      </c>
      <c r="J378" s="383">
        <f>Обстеження!H248</f>
        <v>0</v>
      </c>
      <c r="K378" s="383">
        <f>Обстеження!H249</f>
        <v>0</v>
      </c>
      <c r="L378" s="383">
        <f>Обстеження!H250</f>
        <v>0.05</v>
      </c>
      <c r="M378" s="384">
        <f t="shared" si="57"/>
        <v>0.60000000000000009</v>
      </c>
      <c r="N378" s="384">
        <f t="shared" si="55"/>
        <v>19.650000000000002</v>
      </c>
      <c r="O378" s="383"/>
      <c r="P378" s="384">
        <f t="shared" si="58"/>
        <v>19.7</v>
      </c>
      <c r="Q378" s="384">
        <f>Обстеження!F212</f>
        <v>19.7</v>
      </c>
      <c r="R378" s="384">
        <f t="shared" si="59"/>
        <v>0</v>
      </c>
      <c r="S378" s="384"/>
      <c r="T378" s="384"/>
      <c r="U378" s="384"/>
      <c r="V378" s="384"/>
      <c r="W378" s="384"/>
      <c r="X378" s="384"/>
      <c r="Y378" s="384"/>
      <c r="Z378" s="772" t="str">
        <f>Обстеження!M9</f>
        <v>Вартість 1-го обстеження лікаря-отоларинголога</v>
      </c>
      <c r="AA378" s="755"/>
      <c r="AB378" s="755"/>
      <c r="AC378" s="748"/>
      <c r="AD378" s="748"/>
      <c r="AE378" s="748"/>
      <c r="AF378" s="748"/>
      <c r="AG378" s="748"/>
      <c r="AH378" s="748"/>
      <c r="AI378" s="748"/>
      <c r="AJ378" s="748"/>
      <c r="AK378" s="748"/>
      <c r="AL378" s="748"/>
      <c r="AM378" s="748"/>
      <c r="AN378" s="748"/>
      <c r="AO378" s="375"/>
      <c r="AP378" s="375"/>
      <c r="AQ378" s="375"/>
      <c r="AR378" s="375"/>
      <c r="AS378" s="375"/>
      <c r="AT378" s="375"/>
      <c r="AU378" s="375"/>
      <c r="AV378" s="375"/>
      <c r="AW378" s="375"/>
      <c r="AX378" s="375"/>
      <c r="AY378" s="375"/>
      <c r="AZ378" s="375"/>
      <c r="BA378" s="375"/>
      <c r="BB378" s="375"/>
      <c r="BC378" s="375"/>
      <c r="BD378" s="375"/>
      <c r="BE378" s="375"/>
      <c r="BF378" s="375"/>
      <c r="BG378" s="375"/>
      <c r="BH378" s="375"/>
      <c r="BI378" s="375"/>
      <c r="BJ378" s="375"/>
      <c r="BK378" s="375"/>
      <c r="BL378" s="375"/>
      <c r="BM378" s="375"/>
      <c r="BN378" s="375"/>
      <c r="BO378" s="375"/>
    </row>
    <row r="379" spans="1:67" s="6" customFormat="1" x14ac:dyDescent="0.45">
      <c r="A379" s="517"/>
      <c r="B379" s="381" t="s">
        <v>892</v>
      </c>
      <c r="C379" s="385" t="s">
        <v>1003</v>
      </c>
      <c r="D379" s="383">
        <f>Обстеження!F273</f>
        <v>6.5</v>
      </c>
      <c r="E379" s="383">
        <f>Обстеження!F276</f>
        <v>1.43</v>
      </c>
      <c r="F379" s="383">
        <f>Обстеження!G288</f>
        <v>12.620000000000001</v>
      </c>
      <c r="G379" s="383">
        <f>Обстеження!H293</f>
        <v>0.05</v>
      </c>
      <c r="H379" s="384">
        <f t="shared" si="56"/>
        <v>20.6</v>
      </c>
      <c r="I379" s="383">
        <f>Обстеження!H299</f>
        <v>0.6</v>
      </c>
      <c r="J379" s="383">
        <f>Обстеження!H300</f>
        <v>0</v>
      </c>
      <c r="K379" s="383">
        <f>Обстеження!H301</f>
        <v>0</v>
      </c>
      <c r="L379" s="383">
        <f>Обстеження!H302</f>
        <v>0.1</v>
      </c>
      <c r="M379" s="384">
        <f t="shared" si="57"/>
        <v>0.7</v>
      </c>
      <c r="N379" s="384">
        <f t="shared" si="55"/>
        <v>21.3</v>
      </c>
      <c r="O379" s="383"/>
      <c r="P379" s="384">
        <f t="shared" si="58"/>
        <v>21.3</v>
      </c>
      <c r="Q379" s="384">
        <f>Обстеження!F264</f>
        <v>21.3</v>
      </c>
      <c r="R379" s="384">
        <f t="shared" si="59"/>
        <v>0</v>
      </c>
      <c r="S379" s="384"/>
      <c r="T379" s="384"/>
      <c r="U379" s="384"/>
      <c r="V379" s="384"/>
      <c r="W379" s="384"/>
      <c r="X379" s="384"/>
      <c r="Y379" s="384"/>
      <c r="Z379" s="772" t="str">
        <f>Обстеження!M10</f>
        <v>Вартість 1-го обстеження лікаря-дерматовенеролога</v>
      </c>
      <c r="AA379" s="755"/>
      <c r="AB379" s="755"/>
      <c r="AC379" s="748"/>
      <c r="AD379" s="748"/>
      <c r="AE379" s="748"/>
      <c r="AF379" s="748"/>
      <c r="AG379" s="748"/>
      <c r="AH379" s="748"/>
      <c r="AI379" s="748"/>
      <c r="AJ379" s="748"/>
      <c r="AK379" s="748"/>
      <c r="AL379" s="748"/>
      <c r="AM379" s="748"/>
      <c r="AN379" s="748"/>
      <c r="AO379" s="375"/>
      <c r="AP379" s="375"/>
      <c r="AQ379" s="375"/>
      <c r="AR379" s="375"/>
      <c r="AS379" s="375"/>
      <c r="AT379" s="375"/>
      <c r="AU379" s="375"/>
      <c r="AV379" s="375"/>
      <c r="AW379" s="375"/>
      <c r="AX379" s="375"/>
      <c r="AY379" s="375"/>
      <c r="AZ379" s="375"/>
      <c r="BA379" s="375"/>
      <c r="BB379" s="375"/>
      <c r="BC379" s="375"/>
      <c r="BD379" s="375"/>
      <c r="BE379" s="375"/>
      <c r="BF379" s="375"/>
      <c r="BG379" s="375"/>
      <c r="BH379" s="375"/>
      <c r="BI379" s="375"/>
      <c r="BJ379" s="375"/>
      <c r="BK379" s="375"/>
      <c r="BL379" s="375"/>
      <c r="BM379" s="375"/>
      <c r="BN379" s="375"/>
      <c r="BO379" s="375"/>
    </row>
    <row r="380" spans="1:67" s="6" customFormat="1" x14ac:dyDescent="0.45">
      <c r="A380" s="517"/>
      <c r="B380" s="381" t="s">
        <v>894</v>
      </c>
      <c r="C380" s="385" t="s">
        <v>1134</v>
      </c>
      <c r="D380" s="383">
        <f>Обстеження!F325</f>
        <v>10.6</v>
      </c>
      <c r="E380" s="383">
        <f>Обстеження!F328</f>
        <v>2.33</v>
      </c>
      <c r="F380" s="383">
        <f>Обстеження!G341</f>
        <v>23.77</v>
      </c>
      <c r="G380" s="383">
        <f>Обстеження!H346</f>
        <v>0.1</v>
      </c>
      <c r="H380" s="384">
        <f t="shared" si="56"/>
        <v>36.800000000000004</v>
      </c>
      <c r="I380" s="383">
        <f>Обстеження!H352</f>
        <v>1.1000000000000001</v>
      </c>
      <c r="J380" s="383">
        <f>Обстеження!H353</f>
        <v>0</v>
      </c>
      <c r="K380" s="383">
        <f>Обстеження!H354</f>
        <v>0</v>
      </c>
      <c r="L380" s="383">
        <f>Обстеження!H355</f>
        <v>0.1</v>
      </c>
      <c r="M380" s="384">
        <f t="shared" si="57"/>
        <v>1.2000000000000002</v>
      </c>
      <c r="N380" s="384">
        <f t="shared" si="55"/>
        <v>38.000000000000007</v>
      </c>
      <c r="O380" s="383"/>
      <c r="P380" s="384">
        <f t="shared" si="58"/>
        <v>38</v>
      </c>
      <c r="Q380" s="384">
        <f>Обстеження!F316</f>
        <v>38</v>
      </c>
      <c r="R380" s="384">
        <f t="shared" si="59"/>
        <v>0</v>
      </c>
      <c r="S380" s="384"/>
      <c r="T380" s="384"/>
      <c r="U380" s="384"/>
      <c r="V380" s="384"/>
      <c r="W380" s="384"/>
      <c r="X380" s="384"/>
      <c r="Y380" s="384"/>
      <c r="Z380" s="772" t="str">
        <f>Обстеження!M11</f>
        <v>Вартість 1-го обстеження лікаря-акушер-гінеколога</v>
      </c>
      <c r="AA380" s="755"/>
      <c r="AB380" s="755"/>
      <c r="AC380" s="748"/>
      <c r="AD380" s="748"/>
      <c r="AE380" s="748"/>
      <c r="AF380" s="748"/>
      <c r="AG380" s="748"/>
      <c r="AH380" s="748"/>
      <c r="AI380" s="748"/>
      <c r="AJ380" s="748"/>
      <c r="AK380" s="748"/>
      <c r="AL380" s="748"/>
      <c r="AM380" s="748"/>
      <c r="AN380" s="748"/>
      <c r="AO380" s="375"/>
      <c r="AP380" s="375"/>
      <c r="AQ380" s="375"/>
      <c r="AR380" s="375"/>
      <c r="AS380" s="375"/>
      <c r="AT380" s="375"/>
      <c r="AU380" s="375"/>
      <c r="AV380" s="375"/>
      <c r="AW380" s="375"/>
      <c r="AX380" s="375"/>
      <c r="AY380" s="375"/>
      <c r="AZ380" s="375"/>
      <c r="BA380" s="375"/>
      <c r="BB380" s="375"/>
      <c r="BC380" s="375"/>
      <c r="BD380" s="375"/>
      <c r="BE380" s="375"/>
      <c r="BF380" s="375"/>
      <c r="BG380" s="375"/>
      <c r="BH380" s="375"/>
      <c r="BI380" s="375"/>
      <c r="BJ380" s="375"/>
      <c r="BK380" s="375"/>
      <c r="BL380" s="375"/>
      <c r="BM380" s="375"/>
      <c r="BN380" s="375"/>
      <c r="BO380" s="375"/>
    </row>
    <row r="381" spans="1:67" s="6" customFormat="1" x14ac:dyDescent="0.45">
      <c r="A381" s="517"/>
      <c r="B381" s="381" t="s">
        <v>896</v>
      </c>
      <c r="C381" s="385" t="s">
        <v>1007</v>
      </c>
      <c r="D381" s="383">
        <f>Обстеження!F378</f>
        <v>4.3</v>
      </c>
      <c r="E381" s="383">
        <f>Обстеження!F381</f>
        <v>0.95</v>
      </c>
      <c r="F381" s="383">
        <f>Обстеження!G393</f>
        <v>2.9</v>
      </c>
      <c r="G381" s="383">
        <f>Обстеження!H398</f>
        <v>0.05</v>
      </c>
      <c r="H381" s="384">
        <f t="shared" si="56"/>
        <v>8.2000000000000011</v>
      </c>
      <c r="I381" s="383">
        <f>Обстеження!H404</f>
        <v>0.6</v>
      </c>
      <c r="J381" s="383">
        <f>Обстеження!H405</f>
        <v>0</v>
      </c>
      <c r="K381" s="383">
        <f>Обстеження!H406</f>
        <v>0</v>
      </c>
      <c r="L381" s="383">
        <f>Обстеження!H407</f>
        <v>0.1</v>
      </c>
      <c r="M381" s="384">
        <f t="shared" si="57"/>
        <v>0.7</v>
      </c>
      <c r="N381" s="384">
        <f t="shared" si="55"/>
        <v>8.9</v>
      </c>
      <c r="O381" s="383"/>
      <c r="P381" s="384">
        <f t="shared" si="58"/>
        <v>8.9</v>
      </c>
      <c r="Q381" s="384">
        <f>Обстеження!F369</f>
        <v>8.9</v>
      </c>
      <c r="R381" s="384">
        <f t="shared" si="59"/>
        <v>0</v>
      </c>
      <c r="S381" s="384"/>
      <c r="T381" s="384"/>
      <c r="U381" s="384"/>
      <c r="V381" s="384"/>
      <c r="W381" s="384"/>
      <c r="X381" s="384"/>
      <c r="Y381" s="384"/>
      <c r="Z381" s="772" t="str">
        <f>Обстеження!M12</f>
        <v>Вартість 1-го обстеження лікаря-стоматолога</v>
      </c>
      <c r="AA381" s="755"/>
      <c r="AB381" s="755"/>
      <c r="AC381" s="748"/>
      <c r="AD381" s="748"/>
      <c r="AE381" s="748"/>
      <c r="AF381" s="748"/>
      <c r="AG381" s="748"/>
      <c r="AH381" s="748"/>
      <c r="AI381" s="748"/>
      <c r="AJ381" s="748"/>
      <c r="AK381" s="748"/>
      <c r="AL381" s="748"/>
      <c r="AM381" s="748"/>
      <c r="AN381" s="748"/>
      <c r="AO381" s="375"/>
      <c r="AP381" s="375"/>
      <c r="AQ381" s="375"/>
      <c r="AR381" s="375"/>
      <c r="AS381" s="375"/>
      <c r="AT381" s="375"/>
      <c r="AU381" s="375"/>
      <c r="AV381" s="375"/>
      <c r="AW381" s="375"/>
      <c r="AX381" s="375"/>
      <c r="AY381" s="375"/>
      <c r="AZ381" s="375"/>
      <c r="BA381" s="375"/>
      <c r="BB381" s="375"/>
      <c r="BC381" s="375"/>
      <c r="BD381" s="375"/>
      <c r="BE381" s="375"/>
      <c r="BF381" s="375"/>
      <c r="BG381" s="375"/>
      <c r="BH381" s="375"/>
      <c r="BI381" s="375"/>
      <c r="BJ381" s="375"/>
      <c r="BK381" s="375"/>
      <c r="BL381" s="375"/>
      <c r="BM381" s="375"/>
      <c r="BN381" s="375"/>
      <c r="BO381" s="375"/>
    </row>
    <row r="382" spans="1:67" s="6" customFormat="1" x14ac:dyDescent="0.45">
      <c r="A382" s="517"/>
      <c r="B382" s="381" t="s">
        <v>898</v>
      </c>
      <c r="C382" s="385" t="s">
        <v>1008</v>
      </c>
      <c r="D382" s="383">
        <f>Обстеження!F430</f>
        <v>6.45</v>
      </c>
      <c r="E382" s="383">
        <f>Обстеження!F433</f>
        <v>1.42</v>
      </c>
      <c r="F382" s="383">
        <f>Обстеження!G445</f>
        <v>2.9</v>
      </c>
      <c r="G382" s="383">
        <f>Обстеження!H450</f>
        <v>0.05</v>
      </c>
      <c r="H382" s="384">
        <f t="shared" si="56"/>
        <v>10.82</v>
      </c>
      <c r="I382" s="383">
        <f>Обстеження!H456</f>
        <v>0.55000000000000004</v>
      </c>
      <c r="J382" s="383">
        <f>Обстеження!H457</f>
        <v>0</v>
      </c>
      <c r="K382" s="383">
        <f>Обстеження!H458</f>
        <v>0</v>
      </c>
      <c r="L382" s="383">
        <f>Обстеження!H459</f>
        <v>0.1</v>
      </c>
      <c r="M382" s="384">
        <f t="shared" si="57"/>
        <v>0.65</v>
      </c>
      <c r="N382" s="384">
        <f t="shared" si="55"/>
        <v>11.47</v>
      </c>
      <c r="O382" s="383"/>
      <c r="P382" s="384">
        <f t="shared" si="58"/>
        <v>11.5</v>
      </c>
      <c r="Q382" s="384">
        <f>Обстеження!F421</f>
        <v>11.5</v>
      </c>
      <c r="R382" s="384">
        <f t="shared" si="59"/>
        <v>0</v>
      </c>
      <c r="S382" s="384"/>
      <c r="T382" s="384"/>
      <c r="U382" s="384"/>
      <c r="V382" s="384"/>
      <c r="W382" s="384"/>
      <c r="X382" s="384"/>
      <c r="Y382" s="384"/>
      <c r="Z382" s="772" t="str">
        <f>Обстеження!M13</f>
        <v>Вартість 1-го обстеження лікаря-психіатр</v>
      </c>
      <c r="AA382" s="755"/>
      <c r="AB382" s="755"/>
      <c r="AC382" s="748"/>
      <c r="AD382" s="748"/>
      <c r="AE382" s="748"/>
      <c r="AF382" s="748"/>
      <c r="AG382" s="748"/>
      <c r="AH382" s="748"/>
      <c r="AI382" s="748"/>
      <c r="AJ382" s="748"/>
      <c r="AK382" s="748"/>
      <c r="AL382" s="748"/>
      <c r="AM382" s="748"/>
      <c r="AN382" s="748"/>
      <c r="AO382" s="375"/>
      <c r="AP382" s="375"/>
      <c r="AQ382" s="375"/>
      <c r="AR382" s="375"/>
      <c r="AS382" s="375"/>
      <c r="AT382" s="375"/>
      <c r="AU382" s="375"/>
      <c r="AV382" s="375"/>
      <c r="AW382" s="375"/>
      <c r="AX382" s="375"/>
      <c r="AY382" s="375"/>
      <c r="AZ382" s="375"/>
      <c r="BA382" s="375"/>
      <c r="BB382" s="375"/>
      <c r="BC382" s="375"/>
      <c r="BD382" s="375"/>
      <c r="BE382" s="375"/>
      <c r="BF382" s="375"/>
      <c r="BG382" s="375"/>
      <c r="BH382" s="375"/>
      <c r="BI382" s="375"/>
      <c r="BJ382" s="375"/>
      <c r="BK382" s="375"/>
      <c r="BL382" s="375"/>
      <c r="BM382" s="375"/>
      <c r="BN382" s="375"/>
      <c r="BO382" s="375"/>
    </row>
    <row r="383" spans="1:67" s="6" customFormat="1" x14ac:dyDescent="0.45">
      <c r="A383" s="517"/>
      <c r="B383" s="381" t="s">
        <v>900</v>
      </c>
      <c r="C383" s="385" t="s">
        <v>1010</v>
      </c>
      <c r="D383" s="383">
        <f>Обстеження!F478</f>
        <v>5.2</v>
      </c>
      <c r="E383" s="383">
        <f>Обстеження!F481</f>
        <v>1.1399999999999999</v>
      </c>
      <c r="F383" s="383">
        <f>Обстеження!G493</f>
        <v>2.9</v>
      </c>
      <c r="G383" s="383">
        <f>Обстеження!H498</f>
        <v>0.05</v>
      </c>
      <c r="H383" s="384">
        <f t="shared" si="56"/>
        <v>9.2900000000000009</v>
      </c>
      <c r="I383" s="383">
        <f>Обстеження!H504</f>
        <v>0.55000000000000004</v>
      </c>
      <c r="J383" s="383">
        <f>Обстеження!H505</f>
        <v>0</v>
      </c>
      <c r="K383" s="383">
        <f>Обстеження!H506</f>
        <v>0</v>
      </c>
      <c r="L383" s="383">
        <f>Обстеження!H507</f>
        <v>0.1</v>
      </c>
      <c r="M383" s="384">
        <f t="shared" si="57"/>
        <v>0.65</v>
      </c>
      <c r="N383" s="384">
        <f t="shared" si="55"/>
        <v>9.9400000000000013</v>
      </c>
      <c r="O383" s="383"/>
      <c r="P383" s="384">
        <f t="shared" si="58"/>
        <v>9.9</v>
      </c>
      <c r="Q383" s="384">
        <f>Обстеження!F469</f>
        <v>9.9</v>
      </c>
      <c r="R383" s="384">
        <f t="shared" si="59"/>
        <v>0</v>
      </c>
      <c r="S383" s="384"/>
      <c r="T383" s="384"/>
      <c r="U383" s="384"/>
      <c r="V383" s="384"/>
      <c r="W383" s="384"/>
      <c r="X383" s="384"/>
      <c r="Y383" s="384"/>
      <c r="Z383" s="772" t="str">
        <f>Обстеження!M14</f>
        <v>Вартість 1-го обстеження лікаря-нарколога</v>
      </c>
      <c r="AA383" s="755"/>
      <c r="AB383" s="755"/>
      <c r="AC383" s="748"/>
      <c r="AD383" s="748"/>
      <c r="AE383" s="748"/>
      <c r="AF383" s="748"/>
      <c r="AG383" s="748"/>
      <c r="AH383" s="748"/>
      <c r="AI383" s="748"/>
      <c r="AJ383" s="748"/>
      <c r="AK383" s="748"/>
      <c r="AL383" s="748"/>
      <c r="AM383" s="748"/>
      <c r="AN383" s="748"/>
      <c r="AO383" s="375"/>
      <c r="AP383" s="375"/>
      <c r="AQ383" s="375"/>
      <c r="AR383" s="375"/>
      <c r="AS383" s="375"/>
      <c r="AT383" s="375"/>
      <c r="AU383" s="375"/>
      <c r="AV383" s="375"/>
      <c r="AW383" s="375"/>
      <c r="AX383" s="375"/>
      <c r="AY383" s="375"/>
      <c r="AZ383" s="375"/>
      <c r="BA383" s="375"/>
      <c r="BB383" s="375"/>
      <c r="BC383" s="375"/>
      <c r="BD383" s="375"/>
      <c r="BE383" s="375"/>
      <c r="BF383" s="375"/>
      <c r="BG383" s="375"/>
      <c r="BH383" s="375"/>
      <c r="BI383" s="375"/>
      <c r="BJ383" s="375"/>
      <c r="BK383" s="375"/>
      <c r="BL383" s="375"/>
      <c r="BM383" s="375"/>
      <c r="BN383" s="375"/>
      <c r="BO383" s="375"/>
    </row>
    <row r="384" spans="1:67" s="6" customFormat="1" x14ac:dyDescent="0.45">
      <c r="A384" s="517"/>
      <c r="B384" s="381" t="s">
        <v>902</v>
      </c>
      <c r="C384" s="385" t="s">
        <v>1012</v>
      </c>
      <c r="D384" s="383">
        <f>Обстеження!F530</f>
        <v>25.8</v>
      </c>
      <c r="E384" s="383">
        <f>Обстеження!F533</f>
        <v>5.68</v>
      </c>
      <c r="F384" s="383">
        <f>Обстеження!G545</f>
        <v>3.35</v>
      </c>
      <c r="G384" s="383">
        <f>Обстеження!H550</f>
        <v>0.2</v>
      </c>
      <c r="H384" s="384">
        <f t="shared" si="56"/>
        <v>35.03</v>
      </c>
      <c r="I384" s="383">
        <f>Обстеження!H556</f>
        <v>2.2000000000000002</v>
      </c>
      <c r="J384" s="383">
        <f>Обстеження!H557</f>
        <v>0</v>
      </c>
      <c r="K384" s="383">
        <f>Обстеження!H558</f>
        <v>0</v>
      </c>
      <c r="L384" s="383">
        <f>Обстеження!H559</f>
        <v>0.4</v>
      </c>
      <c r="M384" s="384">
        <f t="shared" si="57"/>
        <v>2.6</v>
      </c>
      <c r="N384" s="384">
        <f t="shared" si="55"/>
        <v>37.630000000000003</v>
      </c>
      <c r="O384" s="383"/>
      <c r="P384" s="384">
        <f t="shared" si="58"/>
        <v>37.6</v>
      </c>
      <c r="Q384" s="384">
        <f>Обстеження!F521</f>
        <v>37.6</v>
      </c>
      <c r="R384" s="384">
        <f t="shared" si="59"/>
        <v>0</v>
      </c>
      <c r="S384" s="384"/>
      <c r="T384" s="384"/>
      <c r="U384" s="384"/>
      <c r="V384" s="384"/>
      <c r="W384" s="384"/>
      <c r="X384" s="384"/>
      <c r="Y384" s="384"/>
      <c r="Z384" s="772" t="str">
        <f>Обстеження!M15</f>
        <v>Вартість 1-го обстеження лікаря-психіатра для видачі сертифіката</v>
      </c>
      <c r="AA384" s="755"/>
      <c r="AB384" s="755"/>
      <c r="AC384" s="748"/>
      <c r="AD384" s="748"/>
      <c r="AE384" s="748"/>
      <c r="AF384" s="748"/>
      <c r="AG384" s="748"/>
      <c r="AH384" s="748"/>
      <c r="AI384" s="748"/>
      <c r="AJ384" s="748"/>
      <c r="AK384" s="748"/>
      <c r="AL384" s="748"/>
      <c r="AM384" s="748"/>
      <c r="AN384" s="748"/>
      <c r="AO384" s="375"/>
      <c r="AP384" s="375"/>
      <c r="AQ384" s="375"/>
      <c r="AR384" s="375"/>
      <c r="AS384" s="375"/>
      <c r="AT384" s="375"/>
      <c r="AU384" s="375"/>
      <c r="AV384" s="375"/>
      <c r="AW384" s="375"/>
      <c r="AX384" s="375"/>
      <c r="AY384" s="375"/>
      <c r="AZ384" s="375"/>
      <c r="BA384" s="375"/>
      <c r="BB384" s="375"/>
      <c r="BC384" s="375"/>
      <c r="BD384" s="375"/>
      <c r="BE384" s="375"/>
      <c r="BF384" s="375"/>
      <c r="BG384" s="375"/>
      <c r="BH384" s="375"/>
      <c r="BI384" s="375"/>
      <c r="BJ384" s="375"/>
      <c r="BK384" s="375"/>
      <c r="BL384" s="375"/>
      <c r="BM384" s="375"/>
      <c r="BN384" s="375"/>
      <c r="BO384" s="375"/>
    </row>
    <row r="385" spans="1:67" s="6" customFormat="1" x14ac:dyDescent="0.45">
      <c r="A385" s="517"/>
      <c r="B385" s="381" t="s">
        <v>904</v>
      </c>
      <c r="C385" s="385" t="s">
        <v>1135</v>
      </c>
      <c r="D385" s="383">
        <f>Обстеження!F582</f>
        <v>15.6</v>
      </c>
      <c r="E385" s="383">
        <f>Обстеження!F585</f>
        <v>3.43</v>
      </c>
      <c r="F385" s="383">
        <f>Обстеження!G597</f>
        <v>3.2</v>
      </c>
      <c r="G385" s="383">
        <f>Обстеження!H602</f>
        <v>0.15</v>
      </c>
      <c r="H385" s="384">
        <f t="shared" si="56"/>
        <v>22.38</v>
      </c>
      <c r="I385" s="383">
        <f>Обстеження!H608</f>
        <v>1.65</v>
      </c>
      <c r="J385" s="383">
        <f>Обстеження!H609</f>
        <v>0</v>
      </c>
      <c r="K385" s="383">
        <f>Обстеження!H610</f>
        <v>0</v>
      </c>
      <c r="L385" s="383">
        <f>Обстеження!H611</f>
        <v>0.3</v>
      </c>
      <c r="M385" s="384">
        <f t="shared" si="57"/>
        <v>1.95</v>
      </c>
      <c r="N385" s="384">
        <f t="shared" si="55"/>
        <v>24.33</v>
      </c>
      <c r="O385" s="383"/>
      <c r="P385" s="384">
        <f t="shared" si="58"/>
        <v>24.3</v>
      </c>
      <c r="Q385" s="384">
        <f>Обстеження!F573</f>
        <v>24.3</v>
      </c>
      <c r="R385" s="384">
        <f t="shared" si="59"/>
        <v>0</v>
      </c>
      <c r="S385" s="384"/>
      <c r="T385" s="384"/>
      <c r="U385" s="384"/>
      <c r="V385" s="384"/>
      <c r="W385" s="384"/>
      <c r="X385" s="384"/>
      <c r="Y385" s="384"/>
      <c r="Z385" s="772" t="str">
        <f>Обстеження!M16</f>
        <v>Вартість 1-го обстеження лікаря-нарколога для видачі сертифіката</v>
      </c>
      <c r="AA385" s="755"/>
      <c r="AB385" s="755"/>
      <c r="AC385" s="748"/>
      <c r="AD385" s="748"/>
      <c r="AE385" s="748"/>
      <c r="AF385" s="748"/>
      <c r="AG385" s="748"/>
      <c r="AH385" s="748"/>
      <c r="AI385" s="748"/>
      <c r="AJ385" s="748"/>
      <c r="AK385" s="748"/>
      <c r="AL385" s="748"/>
      <c r="AM385" s="748"/>
      <c r="AN385" s="748"/>
      <c r="AO385" s="375"/>
      <c r="AP385" s="375"/>
      <c r="AQ385" s="375"/>
      <c r="AR385" s="375"/>
      <c r="AS385" s="375"/>
      <c r="AT385" s="375"/>
      <c r="AU385" s="375"/>
      <c r="AV385" s="375"/>
      <c r="AW385" s="375"/>
      <c r="AX385" s="375"/>
      <c r="AY385" s="375"/>
      <c r="AZ385" s="375"/>
      <c r="BA385" s="375"/>
      <c r="BB385" s="375"/>
      <c r="BC385" s="375"/>
      <c r="BD385" s="375"/>
      <c r="BE385" s="375"/>
      <c r="BF385" s="375"/>
      <c r="BG385" s="375"/>
      <c r="BH385" s="375"/>
      <c r="BI385" s="375"/>
      <c r="BJ385" s="375"/>
      <c r="BK385" s="375"/>
      <c r="BL385" s="375"/>
      <c r="BM385" s="375"/>
      <c r="BN385" s="375"/>
      <c r="BO385" s="375"/>
    </row>
    <row r="386" spans="1:67" s="6" customFormat="1" x14ac:dyDescent="0.45">
      <c r="A386" s="517"/>
      <c r="B386" s="381"/>
      <c r="C386" s="385"/>
      <c r="D386" s="383"/>
      <c r="E386" s="383"/>
      <c r="F386" s="383"/>
      <c r="G386" s="383"/>
      <c r="H386" s="384"/>
      <c r="I386" s="383"/>
      <c r="J386" s="383"/>
      <c r="K386" s="383"/>
      <c r="L386" s="383"/>
      <c r="M386" s="384"/>
      <c r="N386" s="384"/>
      <c r="O386" s="383"/>
      <c r="P386" s="384"/>
      <c r="Q386" s="384"/>
      <c r="R386" s="384"/>
      <c r="S386" s="384"/>
      <c r="T386" s="384"/>
      <c r="U386" s="384"/>
      <c r="V386" s="384"/>
      <c r="W386" s="384"/>
      <c r="X386" s="384"/>
      <c r="Y386" s="384"/>
      <c r="Z386" s="772"/>
      <c r="AA386" s="755"/>
      <c r="AB386" s="755"/>
      <c r="AC386" s="748"/>
      <c r="AD386" s="748"/>
      <c r="AE386" s="748"/>
      <c r="AF386" s="748"/>
      <c r="AG386" s="748"/>
      <c r="AH386" s="748"/>
      <c r="AI386" s="748"/>
      <c r="AJ386" s="748"/>
      <c r="AK386" s="748"/>
      <c r="AL386" s="748"/>
      <c r="AM386" s="748"/>
      <c r="AN386" s="748"/>
      <c r="AO386" s="375"/>
      <c r="AP386" s="375"/>
      <c r="AQ386" s="375"/>
      <c r="AR386" s="375"/>
      <c r="AS386" s="375"/>
      <c r="AT386" s="375"/>
      <c r="AU386" s="375"/>
      <c r="AV386" s="375"/>
      <c r="AW386" s="375"/>
      <c r="AX386" s="375"/>
      <c r="AY386" s="375"/>
      <c r="AZ386" s="375"/>
      <c r="BA386" s="375"/>
      <c r="BB386" s="375"/>
      <c r="BC386" s="375"/>
      <c r="BD386" s="375"/>
      <c r="BE386" s="375"/>
      <c r="BF386" s="375"/>
      <c r="BG386" s="375"/>
      <c r="BH386" s="375"/>
      <c r="BI386" s="375"/>
      <c r="BJ386" s="375"/>
      <c r="BK386" s="375"/>
      <c r="BL386" s="375"/>
      <c r="BM386" s="375"/>
      <c r="BN386" s="375"/>
      <c r="BO386" s="375"/>
    </row>
  </sheetData>
  <mergeCells count="1">
    <mergeCell ref="Z93:AB93"/>
  </mergeCells>
  <phoneticPr fontId="8" type="noConversion"/>
  <hyperlinks>
    <hyperlink ref="C295" location="'4 РЕХ'!A154" display="Електрокардіографі́я серця (ЕКГ)" xr:uid="{00000000-0004-0000-0C00-000000000000}"/>
  </hyperlinks>
  <pageMargins left="0" right="0" top="0.74803149606299213" bottom="0.74803149606299213" header="0.31496062992125984" footer="0.31496062992125984"/>
  <pageSetup paperSize="9" scale="49" fitToHeight="30" orientation="landscape" r:id="rId1"/>
  <rowBreaks count="1" manualBreakCount="1">
    <brk id="34" min="1" max="2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U21"/>
  <sheetViews>
    <sheetView view="pageBreakPreview" zoomScale="50" zoomScaleNormal="100" zoomScaleSheetLayoutView="50" workbookViewId="0">
      <selection activeCell="AC26" sqref="AC26"/>
    </sheetView>
  </sheetViews>
  <sheetFormatPr defaultRowHeight="28.2" x14ac:dyDescent="0.5"/>
  <cols>
    <col min="2" max="2" width="12.6640625" style="947" bestFit="1" customWidth="1"/>
    <col min="3" max="3" width="9.109375" style="947" hidden="1" customWidth="1"/>
    <col min="4" max="4" width="145" style="947" customWidth="1"/>
    <col min="5" max="5" width="11.88671875" style="947" hidden="1" customWidth="1"/>
    <col min="6" max="6" width="9.88671875" style="947" hidden="1" customWidth="1"/>
    <col min="7" max="7" width="8.44140625" style="947" hidden="1" customWidth="1"/>
    <col min="8" max="9" width="12.6640625" style="947" hidden="1" customWidth="1"/>
    <col min="10" max="10" width="12" style="947" hidden="1" customWidth="1"/>
    <col min="11" max="11" width="8.44140625" style="947" hidden="1" customWidth="1"/>
    <col min="12" max="12" width="9" style="947" hidden="1" customWidth="1"/>
    <col min="13" max="13" width="9.44140625" style="947" hidden="1" customWidth="1"/>
    <col min="14" max="14" width="19" style="947" hidden="1" customWidth="1"/>
    <col min="15" max="15" width="10.6640625" style="947" hidden="1" customWidth="1"/>
    <col min="16" max="16" width="17.6640625" style="947" hidden="1" customWidth="1"/>
    <col min="17" max="17" width="23.6640625" style="947" bestFit="1" customWidth="1"/>
    <col min="18" max="18" width="14.33203125" style="947" bestFit="1" customWidth="1"/>
    <col min="19" max="19" width="33.88671875" style="947" bestFit="1" customWidth="1"/>
  </cols>
  <sheetData>
    <row r="1" spans="2:19" x14ac:dyDescent="0.5">
      <c r="B1" s="938"/>
      <c r="C1" s="939"/>
      <c r="D1" s="939"/>
      <c r="E1" s="890"/>
      <c r="F1" s="890"/>
      <c r="G1" s="890"/>
      <c r="H1" s="890"/>
      <c r="I1" s="890"/>
      <c r="J1" s="890"/>
      <c r="K1" s="890"/>
      <c r="L1" s="890"/>
      <c r="M1" s="890"/>
      <c r="N1" s="890"/>
      <c r="O1" s="890"/>
      <c r="P1" s="890"/>
      <c r="Q1" s="1026" t="s">
        <v>155</v>
      </c>
      <c r="R1" s="1026"/>
      <c r="S1" s="1026"/>
    </row>
    <row r="2" spans="2:19" x14ac:dyDescent="0.5">
      <c r="B2" s="940"/>
      <c r="C2" s="941"/>
      <c r="D2" s="941"/>
      <c r="E2" s="890"/>
      <c r="F2" s="890"/>
      <c r="G2" s="890"/>
      <c r="H2" s="890"/>
      <c r="I2" s="890"/>
      <c r="J2" s="890"/>
      <c r="K2" s="890"/>
      <c r="L2" s="890"/>
      <c r="M2" s="890"/>
      <c r="N2" s="890"/>
      <c r="O2" s="890"/>
      <c r="P2" s="890"/>
      <c r="Q2" s="1026" t="s">
        <v>156</v>
      </c>
      <c r="R2" s="1026"/>
      <c r="S2" s="1026"/>
    </row>
    <row r="3" spans="2:19" x14ac:dyDescent="0.5">
      <c r="B3" s="940"/>
      <c r="C3" s="941"/>
      <c r="D3" s="941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1026" t="s">
        <v>296</v>
      </c>
      <c r="R3" s="1026"/>
      <c r="S3" s="1026"/>
    </row>
    <row r="4" spans="2:19" ht="27.6" x14ac:dyDescent="0.45">
      <c r="B4" s="1027"/>
      <c r="C4" s="1027"/>
      <c r="D4" s="1027"/>
      <c r="E4" s="1027"/>
      <c r="F4" s="1027"/>
      <c r="G4" s="1027"/>
      <c r="H4" s="1027"/>
      <c r="I4" s="1027"/>
      <c r="J4" s="1027"/>
      <c r="K4" s="1027"/>
      <c r="L4" s="1027"/>
      <c r="M4" s="1027"/>
      <c r="N4" s="1027"/>
      <c r="O4" s="1027"/>
      <c r="P4" s="1027"/>
      <c r="Q4" s="1027"/>
      <c r="R4" s="1027"/>
      <c r="S4" s="1027"/>
    </row>
    <row r="5" spans="2:19" ht="27.6" x14ac:dyDescent="0.45">
      <c r="B5" s="1025" t="s">
        <v>157</v>
      </c>
      <c r="C5" s="1025"/>
      <c r="D5" s="1025"/>
      <c r="E5" s="1025"/>
      <c r="F5" s="1025"/>
      <c r="G5" s="1025"/>
      <c r="H5" s="1025"/>
      <c r="I5" s="1025"/>
      <c r="J5" s="1025"/>
      <c r="K5" s="1025"/>
      <c r="L5" s="1025"/>
      <c r="M5" s="1025"/>
      <c r="N5" s="1025"/>
      <c r="O5" s="1025"/>
      <c r="P5" s="1025"/>
      <c r="Q5" s="1025"/>
      <c r="R5" s="1025"/>
      <c r="S5" s="1025"/>
    </row>
    <row r="6" spans="2:19" ht="27.6" x14ac:dyDescent="0.45">
      <c r="B6" s="1025" t="s">
        <v>158</v>
      </c>
      <c r="C6" s="1025"/>
      <c r="D6" s="1025"/>
      <c r="E6" s="1025"/>
      <c r="F6" s="1025"/>
      <c r="G6" s="1025"/>
      <c r="H6" s="1025"/>
      <c r="I6" s="1025"/>
      <c r="J6" s="1025"/>
      <c r="K6" s="1025"/>
      <c r="L6" s="1025"/>
      <c r="M6" s="1025"/>
      <c r="N6" s="1025"/>
      <c r="O6" s="1025"/>
      <c r="P6" s="1025"/>
      <c r="Q6" s="1025"/>
      <c r="R6" s="1025"/>
      <c r="S6" s="1025"/>
    </row>
    <row r="7" spans="2:19" ht="27.6" x14ac:dyDescent="0.45">
      <c r="B7" s="1025"/>
      <c r="C7" s="1025"/>
      <c r="D7" s="1025"/>
      <c r="E7" s="1025"/>
      <c r="F7" s="1025"/>
      <c r="G7" s="1025"/>
      <c r="H7" s="1025"/>
      <c r="I7" s="1025"/>
      <c r="J7" s="1025"/>
      <c r="K7" s="1025"/>
      <c r="L7" s="1025"/>
      <c r="M7" s="1025"/>
      <c r="N7" s="1025"/>
      <c r="O7" s="1025"/>
      <c r="P7" s="1025"/>
      <c r="Q7" s="1025"/>
      <c r="R7" s="1025"/>
      <c r="S7" s="1025"/>
    </row>
    <row r="8" spans="2:19" ht="27.6" x14ac:dyDescent="0.45">
      <c r="B8" s="895">
        <v>1</v>
      </c>
      <c r="C8" s="895"/>
      <c r="D8" s="942" t="s">
        <v>881</v>
      </c>
      <c r="E8" s="959"/>
      <c r="F8" s="960"/>
      <c r="G8" s="959"/>
      <c r="H8" s="959"/>
      <c r="I8" s="959"/>
      <c r="J8" s="959"/>
      <c r="K8" s="959"/>
      <c r="L8" s="959"/>
      <c r="M8" s="959"/>
      <c r="N8" s="959"/>
      <c r="O8" s="959"/>
      <c r="P8" s="959"/>
      <c r="Q8" s="895" t="s">
        <v>988</v>
      </c>
      <c r="R8" s="895" t="s">
        <v>1181</v>
      </c>
      <c r="S8" s="895" t="s">
        <v>1183</v>
      </c>
    </row>
    <row r="9" spans="2:19" x14ac:dyDescent="0.5">
      <c r="B9" s="943"/>
      <c r="C9" s="943"/>
      <c r="D9" s="944"/>
      <c r="E9" s="906"/>
      <c r="F9" s="906"/>
      <c r="G9" s="906"/>
      <c r="H9" s="906"/>
      <c r="I9" s="906"/>
      <c r="J9" s="906"/>
      <c r="K9" s="906"/>
      <c r="L9" s="906"/>
      <c r="M9" s="906"/>
      <c r="N9" s="906"/>
      <c r="O9" s="906"/>
      <c r="P9" s="906"/>
      <c r="Q9" s="945"/>
      <c r="R9" s="945"/>
      <c r="S9" s="946"/>
    </row>
    <row r="10" spans="2:19" ht="56.4" x14ac:dyDescent="0.5">
      <c r="B10" s="961" t="s">
        <v>294</v>
      </c>
      <c r="C10" s="961"/>
      <c r="D10" s="967" t="str">
        <f>'Перелік ціни'!C34</f>
        <v>Попередній,періодичний та психіатричний огляд ,  у тому числі на вживання психоактивних речовин з видачею довідки (форма № 100-2/о)</v>
      </c>
      <c r="E10" s="962"/>
      <c r="F10" s="962"/>
      <c r="G10" s="962"/>
      <c r="H10" s="962"/>
      <c r="I10" s="962"/>
      <c r="J10" s="962"/>
      <c r="K10" s="962"/>
      <c r="L10" s="962"/>
      <c r="M10" s="962"/>
      <c r="N10" s="962"/>
      <c r="O10" s="962"/>
      <c r="P10" s="962"/>
      <c r="Q10" s="963">
        <f>'Перелік ціни'!Y34</f>
        <v>243</v>
      </c>
      <c r="R10" s="963"/>
      <c r="S10" s="963">
        <f>R10+Q10</f>
        <v>243</v>
      </c>
    </row>
    <row r="11" spans="2:19" ht="56.4" x14ac:dyDescent="0.5">
      <c r="B11" s="961" t="s">
        <v>299</v>
      </c>
      <c r="C11" s="961"/>
      <c r="D11" s="967" t="s">
        <v>300</v>
      </c>
      <c r="E11" s="962"/>
      <c r="F11" s="962"/>
      <c r="G11" s="962"/>
      <c r="H11" s="962"/>
      <c r="I11" s="962"/>
      <c r="J11" s="962"/>
      <c r="K11" s="962"/>
      <c r="L11" s="962"/>
      <c r="M11" s="962"/>
      <c r="N11" s="962"/>
      <c r="O11" s="962"/>
      <c r="P11" s="962"/>
      <c r="Q11" s="963">
        <f>'Перелік ціни'!Y34</f>
        <v>243</v>
      </c>
      <c r="R11" s="963">
        <f>ROUND(Q11*0.2,2)</f>
        <v>48.6</v>
      </c>
      <c r="S11" s="963">
        <f>R11+Q11</f>
        <v>291.60000000000002</v>
      </c>
    </row>
    <row r="12" spans="2:19" ht="49.5" customHeight="1" x14ac:dyDescent="0.5">
      <c r="B12" s="964"/>
      <c r="C12" s="964"/>
      <c r="D12" s="1002"/>
      <c r="E12" s="965"/>
      <c r="F12" s="965"/>
      <c r="G12" s="965"/>
      <c r="H12" s="965"/>
      <c r="I12" s="965"/>
      <c r="J12" s="965"/>
      <c r="K12" s="965"/>
      <c r="L12" s="965"/>
      <c r="M12" s="965"/>
      <c r="N12" s="965"/>
      <c r="O12" s="965"/>
      <c r="P12" s="965"/>
      <c r="Q12" s="966"/>
      <c r="R12" s="966"/>
      <c r="S12" s="966"/>
    </row>
    <row r="13" spans="2:19" ht="49.5" customHeight="1" x14ac:dyDescent="0.5">
      <c r="B13" s="964"/>
      <c r="C13" s="964"/>
      <c r="D13" s="1002"/>
      <c r="E13" s="965"/>
      <c r="F13" s="965"/>
      <c r="G13" s="965"/>
      <c r="H13" s="965"/>
      <c r="I13" s="965"/>
      <c r="J13" s="965"/>
      <c r="K13" s="965"/>
      <c r="L13" s="965"/>
      <c r="M13" s="965"/>
      <c r="N13" s="965"/>
      <c r="O13" s="965"/>
      <c r="P13" s="965"/>
      <c r="Q13" s="966"/>
      <c r="R13" s="966"/>
      <c r="S13" s="966"/>
    </row>
    <row r="14" spans="2:19" x14ac:dyDescent="0.5">
      <c r="B14" s="938"/>
      <c r="C14" s="939"/>
      <c r="D14" s="939"/>
      <c r="E14" s="890"/>
      <c r="F14" s="890"/>
      <c r="G14" s="890"/>
      <c r="H14" s="890"/>
      <c r="I14" s="890"/>
      <c r="J14" s="890"/>
      <c r="K14" s="890"/>
      <c r="L14" s="890"/>
      <c r="M14" s="890"/>
      <c r="N14" s="890"/>
      <c r="O14" s="890"/>
      <c r="P14" s="890"/>
      <c r="Q14" s="1026" t="s">
        <v>155</v>
      </c>
      <c r="R14" s="1026"/>
      <c r="S14" s="1026"/>
    </row>
    <row r="15" spans="2:19" x14ac:dyDescent="0.5">
      <c r="B15" s="940"/>
      <c r="C15" s="941"/>
      <c r="D15" s="941"/>
      <c r="E15" s="890"/>
      <c r="F15" s="890"/>
      <c r="G15" s="890"/>
      <c r="H15" s="890"/>
      <c r="I15" s="890"/>
      <c r="J15" s="890"/>
      <c r="K15" s="890"/>
      <c r="L15" s="890"/>
      <c r="M15" s="890"/>
      <c r="N15" s="890"/>
      <c r="O15" s="890"/>
      <c r="P15" s="890"/>
      <c r="Q15" s="1026" t="s">
        <v>156</v>
      </c>
      <c r="R15" s="1026"/>
      <c r="S15" s="1026"/>
    </row>
    <row r="16" spans="2:19" x14ac:dyDescent="0.5">
      <c r="B16" s="940"/>
      <c r="C16" s="941"/>
      <c r="D16" s="941"/>
      <c r="E16" s="890"/>
      <c r="F16" s="890"/>
      <c r="G16" s="890"/>
      <c r="H16" s="890"/>
      <c r="I16" s="890"/>
      <c r="J16" s="890"/>
      <c r="K16" s="890"/>
      <c r="L16" s="890"/>
      <c r="M16" s="890"/>
      <c r="N16" s="890"/>
      <c r="O16" s="890"/>
      <c r="P16" s="890"/>
      <c r="Q16" s="1026" t="s">
        <v>296</v>
      </c>
      <c r="R16" s="1026"/>
      <c r="S16" s="1026"/>
    </row>
    <row r="17" spans="1:21" ht="27.6" x14ac:dyDescent="0.45">
      <c r="B17" s="1027"/>
      <c r="C17" s="1027"/>
      <c r="D17" s="1027"/>
      <c r="E17" s="1027"/>
      <c r="F17" s="1027"/>
      <c r="G17" s="1027"/>
      <c r="H17" s="1027"/>
      <c r="I17" s="1027"/>
      <c r="J17" s="1027"/>
      <c r="K17" s="1027"/>
      <c r="L17" s="1027"/>
      <c r="M17" s="1027"/>
      <c r="N17" s="1027"/>
      <c r="O17" s="1027"/>
      <c r="P17" s="1027"/>
      <c r="Q17" s="1027"/>
      <c r="R17" s="1027"/>
      <c r="S17" s="1027"/>
    </row>
    <row r="18" spans="1:21" ht="27.6" x14ac:dyDescent="0.45">
      <c r="B18" s="1025" t="s">
        <v>157</v>
      </c>
      <c r="C18" s="1025"/>
      <c r="D18" s="1025"/>
      <c r="E18" s="1025"/>
      <c r="F18" s="1025"/>
      <c r="G18" s="1025"/>
      <c r="H18" s="1025"/>
      <c r="I18" s="1025"/>
      <c r="J18" s="1025"/>
      <c r="K18" s="1025"/>
      <c r="L18" s="1025"/>
      <c r="M18" s="1025"/>
      <c r="N18" s="1025"/>
      <c r="O18" s="1025"/>
      <c r="P18" s="1025"/>
      <c r="Q18" s="1025"/>
      <c r="R18" s="1025"/>
      <c r="S18" s="1025"/>
    </row>
    <row r="19" spans="1:21" ht="27.6" x14ac:dyDescent="0.45">
      <c r="B19" s="1025" t="s">
        <v>158</v>
      </c>
      <c r="C19" s="1025"/>
      <c r="D19" s="1025"/>
      <c r="E19" s="1025"/>
      <c r="F19" s="1025"/>
      <c r="G19" s="1025"/>
      <c r="H19" s="1025"/>
      <c r="I19" s="1025"/>
      <c r="J19" s="1025"/>
      <c r="K19" s="1025"/>
      <c r="L19" s="1025"/>
      <c r="M19" s="1025"/>
      <c r="N19" s="1025"/>
      <c r="O19" s="1025"/>
      <c r="P19" s="1025"/>
      <c r="Q19" s="1025"/>
      <c r="R19" s="1025"/>
      <c r="S19" s="1025"/>
    </row>
    <row r="20" spans="1:21" s="424" customFormat="1" ht="55.8" x14ac:dyDescent="0.5">
      <c r="A20" s="887"/>
      <c r="B20" s="895">
        <v>2</v>
      </c>
      <c r="C20" s="895"/>
      <c r="D20" s="968" t="s">
        <v>160</v>
      </c>
      <c r="E20" s="904" t="s">
        <v>1118</v>
      </c>
      <c r="F20" s="905">
        <v>0.22</v>
      </c>
      <c r="G20" s="904" t="s">
        <v>1119</v>
      </c>
      <c r="H20" s="904" t="s">
        <v>1125</v>
      </c>
      <c r="I20" s="904" t="s">
        <v>1120</v>
      </c>
      <c r="J20" s="904" t="s">
        <v>1121</v>
      </c>
      <c r="K20" s="904" t="s">
        <v>1122</v>
      </c>
      <c r="L20" s="904" t="s">
        <v>1126</v>
      </c>
      <c r="M20" s="904" t="s">
        <v>1123</v>
      </c>
      <c r="N20" s="904" t="s">
        <v>1127</v>
      </c>
      <c r="O20" s="904"/>
      <c r="P20" s="904" t="s">
        <v>988</v>
      </c>
      <c r="Q20" s="895" t="s">
        <v>988</v>
      </c>
      <c r="R20" s="895" t="s">
        <v>1181</v>
      </c>
      <c r="S20" s="895" t="s">
        <v>1183</v>
      </c>
      <c r="T20" s="719"/>
      <c r="U20" s="423"/>
    </row>
    <row r="21" spans="1:21" s="422" customFormat="1" ht="56.4" x14ac:dyDescent="0.5">
      <c r="A21" s="886"/>
      <c r="B21" s="943" t="s">
        <v>303</v>
      </c>
      <c r="C21" s="943"/>
      <c r="D21" s="944" t="str">
        <f>'Перелік ціни'!C93</f>
        <v>Тестування сечі на наявність в організмі наркотичних засобів і психотропних речовин</v>
      </c>
      <c r="E21" s="897">
        <f>'Перелік ціни'!D93</f>
        <v>19.649999999999999</v>
      </c>
      <c r="F21" s="897">
        <f>'Перелік ціни'!E93</f>
        <v>4.32</v>
      </c>
      <c r="G21" s="897">
        <f>'Перелік ціни'!F93</f>
        <v>171.70000000000002</v>
      </c>
      <c r="H21" s="897">
        <f>'Перелік ціни'!G93</f>
        <v>0</v>
      </c>
      <c r="I21" s="897">
        <f>'Перелік ціни'!H93</f>
        <v>195.67000000000002</v>
      </c>
      <c r="J21" s="897">
        <f>'Перелік ціни'!I93</f>
        <v>1.65</v>
      </c>
      <c r="K21" s="897">
        <f>'Перелік ціни'!J93</f>
        <v>0</v>
      </c>
      <c r="L21" s="897">
        <f>'Перелік ціни'!K93</f>
        <v>0</v>
      </c>
      <c r="M21" s="897">
        <f>'Перелік ціни'!L93</f>
        <v>0.3</v>
      </c>
      <c r="N21" s="897">
        <f>'Перелік ціни'!M93</f>
        <v>1.95</v>
      </c>
      <c r="O21" s="897">
        <f>'Перелік ціни'!N93</f>
        <v>197.62</v>
      </c>
      <c r="P21" s="897">
        <f>'Перелік ціни'!O93</f>
        <v>0</v>
      </c>
      <c r="Q21" s="945">
        <f>ROUND(O21,0)</f>
        <v>198</v>
      </c>
      <c r="R21" s="945"/>
      <c r="S21" s="946">
        <f>ROUND(Q21,2)</f>
        <v>198</v>
      </c>
      <c r="T21" s="716"/>
      <c r="U21" s="423"/>
    </row>
  </sheetData>
  <mergeCells count="13">
    <mergeCell ref="B19:S19"/>
    <mergeCell ref="B7:S7"/>
    <mergeCell ref="Q14:S14"/>
    <mergeCell ref="Q15:S15"/>
    <mergeCell ref="Q16:S16"/>
    <mergeCell ref="B17:S17"/>
    <mergeCell ref="B18:S18"/>
    <mergeCell ref="B6:S6"/>
    <mergeCell ref="Q1:S1"/>
    <mergeCell ref="Q2:S2"/>
    <mergeCell ref="Q3:S3"/>
    <mergeCell ref="B4:S4"/>
    <mergeCell ref="B5:S5"/>
  </mergeCells>
  <phoneticPr fontId="8" type="noConversion"/>
  <pageMargins left="0.78740157480314965" right="0" top="0.78740157480314965" bottom="0" header="0" footer="0"/>
  <pageSetup paperSize="9" scale="37" fitToHeight="2" orientation="portrait" r:id="rId1"/>
  <rowBreaks count="1" manualBreakCount="1">
    <brk id="12" min="1" max="18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  <pageSetUpPr fitToPage="1"/>
  </sheetPr>
  <dimension ref="A2:F36"/>
  <sheetViews>
    <sheetView tabSelected="1" view="pageBreakPreview" zoomScaleNormal="100" zoomScaleSheetLayoutView="100" workbookViewId="0">
      <selection activeCell="E32" sqref="E32"/>
    </sheetView>
  </sheetViews>
  <sheetFormatPr defaultRowHeight="14.4" x14ac:dyDescent="0.3"/>
  <cols>
    <col min="2" max="2" width="89.5546875" customWidth="1"/>
    <col min="3" max="3" width="26.44140625" style="1004" customWidth="1"/>
    <col min="4" max="4" width="9.109375" style="923"/>
    <col min="5" max="5" width="91" customWidth="1"/>
    <col min="6" max="6" width="9.109375" style="923"/>
  </cols>
  <sheetData>
    <row r="2" spans="1:3" ht="50.4" x14ac:dyDescent="0.3">
      <c r="A2" s="1007" t="s">
        <v>294</v>
      </c>
      <c r="B2" s="1005" t="s">
        <v>305</v>
      </c>
      <c r="C2" s="1006">
        <f>C14</f>
        <v>243</v>
      </c>
    </row>
    <row r="3" spans="1:3" x14ac:dyDescent="0.3">
      <c r="A3" s="111"/>
      <c r="B3" s="7"/>
      <c r="C3" s="74"/>
    </row>
    <row r="4" spans="1:3" x14ac:dyDescent="0.3">
      <c r="A4" s="111"/>
      <c r="B4" s="7"/>
      <c r="C4" s="74"/>
    </row>
    <row r="5" spans="1:3" x14ac:dyDescent="0.3">
      <c r="A5" s="111"/>
      <c r="B5" s="13" t="s">
        <v>929</v>
      </c>
      <c r="C5" s="14" t="s">
        <v>961</v>
      </c>
    </row>
    <row r="6" spans="1:3" x14ac:dyDescent="0.3">
      <c r="A6" s="111"/>
      <c r="B6" s="134" t="s">
        <v>293</v>
      </c>
      <c r="C6" s="78">
        <f>Обстеження!F421</f>
        <v>11.5</v>
      </c>
    </row>
    <row r="7" spans="1:3" x14ac:dyDescent="0.3">
      <c r="A7" s="111"/>
      <c r="B7" s="134" t="s">
        <v>768</v>
      </c>
      <c r="C7" s="78">
        <f>'2.Лабораторія'!F1028</f>
        <v>24</v>
      </c>
    </row>
    <row r="8" spans="1:3" x14ac:dyDescent="0.3">
      <c r="A8" s="111"/>
      <c r="B8" s="320" t="s">
        <v>297</v>
      </c>
      <c r="C8" s="78">
        <f>'2.Лабораторія ДОДАТКОВІ'!F1343</f>
        <v>198</v>
      </c>
    </row>
    <row r="9" spans="1:3" ht="28.2" x14ac:dyDescent="0.3">
      <c r="A9" s="111"/>
      <c r="B9" s="320" t="s">
        <v>301</v>
      </c>
      <c r="C9" s="78">
        <f>МАТЕРІАЛИ!E7</f>
        <v>1</v>
      </c>
    </row>
    <row r="10" spans="1:3" ht="28.2" x14ac:dyDescent="0.3">
      <c r="A10" s="111"/>
      <c r="B10" s="320" t="str">
        <f>МАТЕРІАЛИ!B8</f>
        <v>Довідка про проходження попереднього , періодичного та позачергового психіатричних оглядів , у тому числі на предмет вживання психоактивних речовин (форма № 100-2/о)</v>
      </c>
      <c r="C10" s="78">
        <f>МАТЕРІАЛИ!E8</f>
        <v>8.5</v>
      </c>
    </row>
    <row r="11" spans="1:3" x14ac:dyDescent="0.3">
      <c r="A11" s="111"/>
      <c r="B11" s="17"/>
      <c r="C11" s="78"/>
    </row>
    <row r="12" spans="1:3" ht="17.399999999999999" x14ac:dyDescent="0.3">
      <c r="A12" s="111"/>
      <c r="B12" s="135" t="s">
        <v>959</v>
      </c>
      <c r="C12" s="1001">
        <f>SUM(C6:C10)</f>
        <v>243</v>
      </c>
    </row>
    <row r="13" spans="1:3" ht="17.399999999999999" x14ac:dyDescent="0.3">
      <c r="A13" s="143"/>
      <c r="B13" s="135"/>
      <c r="C13" s="1000"/>
    </row>
    <row r="14" spans="1:3" ht="17.399999999999999" x14ac:dyDescent="0.3">
      <c r="A14" s="111"/>
      <c r="B14" s="135" t="s">
        <v>960</v>
      </c>
      <c r="C14" s="1000">
        <f>ROUND(C12,1)</f>
        <v>243</v>
      </c>
    </row>
    <row r="15" spans="1:3" ht="17.399999999999999" x14ac:dyDescent="0.3">
      <c r="A15" s="111"/>
      <c r="B15" s="39"/>
      <c r="C15" s="1003"/>
    </row>
    <row r="16" spans="1:3" ht="17.399999999999999" x14ac:dyDescent="0.3">
      <c r="A16" s="111"/>
      <c r="B16" s="39"/>
      <c r="C16" s="1003"/>
    </row>
    <row r="17" spans="1:3" ht="50.4" x14ac:dyDescent="0.3">
      <c r="A17" s="1007" t="s">
        <v>299</v>
      </c>
      <c r="B17" s="1005" t="s">
        <v>306</v>
      </c>
      <c r="C17" s="1006">
        <f>C29</f>
        <v>291.60000000000002</v>
      </c>
    </row>
    <row r="18" spans="1:3" x14ac:dyDescent="0.3">
      <c r="A18" s="111"/>
      <c r="B18" s="7"/>
      <c r="C18" s="74"/>
    </row>
    <row r="19" spans="1:3" x14ac:dyDescent="0.3">
      <c r="A19" s="111"/>
      <c r="B19" s="7"/>
      <c r="C19" s="74"/>
    </row>
    <row r="20" spans="1:3" x14ac:dyDescent="0.3">
      <c r="A20" s="111"/>
      <c r="B20" s="13" t="s">
        <v>929</v>
      </c>
      <c r="C20" s="14" t="s">
        <v>961</v>
      </c>
    </row>
    <row r="21" spans="1:3" x14ac:dyDescent="0.3">
      <c r="A21" s="111"/>
      <c r="B21" s="134" t="s">
        <v>293</v>
      </c>
      <c r="C21" s="78">
        <f>C6</f>
        <v>11.5</v>
      </c>
    </row>
    <row r="22" spans="1:3" x14ac:dyDescent="0.3">
      <c r="A22" s="111"/>
      <c r="B22" s="134" t="s">
        <v>768</v>
      </c>
      <c r="C22" s="78">
        <f>C7</f>
        <v>24</v>
      </c>
    </row>
    <row r="23" spans="1:3" x14ac:dyDescent="0.3">
      <c r="A23" s="111"/>
      <c r="B23" s="320" t="s">
        <v>297</v>
      </c>
      <c r="C23" s="78">
        <f>C8</f>
        <v>198</v>
      </c>
    </row>
    <row r="24" spans="1:3" ht="28.2" x14ac:dyDescent="0.3">
      <c r="A24" s="111"/>
      <c r="B24" s="320" t="s">
        <v>301</v>
      </c>
      <c r="C24" s="78">
        <f>C9</f>
        <v>1</v>
      </c>
    </row>
    <row r="25" spans="1:3" ht="28.2" x14ac:dyDescent="0.3">
      <c r="A25" s="111"/>
      <c r="B25" s="320" t="s">
        <v>298</v>
      </c>
      <c r="C25" s="78">
        <f>C10</f>
        <v>8.5</v>
      </c>
    </row>
    <row r="26" spans="1:3" x14ac:dyDescent="0.3">
      <c r="A26" s="111"/>
      <c r="B26" s="17"/>
      <c r="C26" s="78"/>
    </row>
    <row r="27" spans="1:3" ht="17.399999999999999" x14ac:dyDescent="0.3">
      <c r="A27" s="111"/>
      <c r="B27" s="135" t="s">
        <v>959</v>
      </c>
      <c r="C27" s="1001">
        <f>SUM(C21:C25)</f>
        <v>243</v>
      </c>
    </row>
    <row r="28" spans="1:3" ht="17.399999999999999" x14ac:dyDescent="0.3">
      <c r="A28" s="143"/>
      <c r="B28" s="135" t="s">
        <v>1181</v>
      </c>
      <c r="C28" s="1000">
        <f>C27*20%</f>
        <v>48.6</v>
      </c>
    </row>
    <row r="29" spans="1:3" ht="17.399999999999999" x14ac:dyDescent="0.3">
      <c r="A29" s="111"/>
      <c r="B29" s="135" t="s">
        <v>960</v>
      </c>
      <c r="C29" s="1000">
        <f>C27+C28</f>
        <v>291.60000000000002</v>
      </c>
    </row>
    <row r="32" spans="1:3" ht="16.8" x14ac:dyDescent="0.3">
      <c r="B32" s="958"/>
    </row>
    <row r="33" spans="2:2" ht="16.8" x14ac:dyDescent="0.3">
      <c r="B33" s="958"/>
    </row>
    <row r="34" spans="2:2" ht="16.8" x14ac:dyDescent="0.3">
      <c r="B34" s="958"/>
    </row>
    <row r="36" spans="2:2" ht="16.8" x14ac:dyDescent="0.3">
      <c r="B36" s="958"/>
    </row>
  </sheetData>
  <phoneticPr fontId="8" type="noConversion"/>
  <pageMargins left="0.70866141732283472" right="0.70866141732283472" top="0.74803149606299213" bottom="0.74803149606299213" header="0.31496062992125984" footer="0.31496062992125984"/>
  <pageSetup paperSize="9" scale="69" fitToHeight="2" orientation="portrait" r:id="rId1"/>
  <rowBreaks count="1" manualBreakCount="1">
    <brk id="15" max="2" man="1"/>
  </rowBreaks>
  <colBreaks count="1" manualBreakCount="1">
    <brk id="3" max="1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2:T1382"/>
  <sheetViews>
    <sheetView view="pageBreakPreview" topLeftCell="A1354" zoomScaleNormal="100" workbookViewId="0">
      <selection activeCell="B1342" sqref="B1342:J1382"/>
    </sheetView>
  </sheetViews>
  <sheetFormatPr defaultRowHeight="15.6" x14ac:dyDescent="0.3"/>
  <cols>
    <col min="1" max="1" width="6.109375" customWidth="1"/>
    <col min="2" max="2" width="9.33203125" style="7" bestFit="1" customWidth="1"/>
    <col min="3" max="3" width="48.88671875" style="7" customWidth="1"/>
    <col min="4" max="7" width="15.44140625" style="74" customWidth="1"/>
    <col min="8" max="8" width="11.5546875" style="74" bestFit="1" customWidth="1"/>
    <col min="9" max="10" width="9.33203125" style="7" bestFit="1" customWidth="1"/>
    <col min="11" max="11" width="9.109375" style="481"/>
    <col min="12" max="12" width="6.33203125" style="482" customWidth="1"/>
    <col min="13" max="13" width="67.44140625" style="482" bestFit="1" customWidth="1"/>
    <col min="14" max="14" width="9.109375" style="479"/>
    <col min="15" max="15" width="4" style="479" bestFit="1" customWidth="1"/>
    <col min="16" max="18" width="9.109375" style="479"/>
  </cols>
  <sheetData>
    <row r="2" spans="2:18" ht="18.600000000000001" hidden="1" x14ac:dyDescent="0.3">
      <c r="B2" s="1016" t="s">
        <v>958</v>
      </c>
      <c r="C2" s="1016"/>
      <c r="D2" s="1016"/>
      <c r="E2" s="1016"/>
      <c r="F2" s="1016"/>
      <c r="G2" s="1016"/>
      <c r="H2" s="1016"/>
      <c r="I2" s="1016"/>
      <c r="J2" s="1016"/>
    </row>
    <row r="3" spans="2:18" ht="19.2" hidden="1" x14ac:dyDescent="0.35">
      <c r="B3" s="53"/>
      <c r="C3" s="53"/>
      <c r="D3" s="225"/>
      <c r="E3" s="225"/>
      <c r="F3" s="225"/>
      <c r="G3" s="225"/>
      <c r="H3" s="225"/>
      <c r="I3" s="53"/>
      <c r="J3" s="53"/>
    </row>
    <row r="4" spans="2:18" ht="19.2" hidden="1" x14ac:dyDescent="0.35">
      <c r="B4" s="50" t="s">
        <v>173</v>
      </c>
      <c r="C4" s="1017" t="str">
        <f>M8</f>
        <v>Аналіз сечі за Зимницьким</v>
      </c>
      <c r="D4" s="1017"/>
      <c r="E4" s="1017"/>
      <c r="F4" s="296">
        <f>H53</f>
        <v>30</v>
      </c>
      <c r="G4" s="296" t="s">
        <v>971</v>
      </c>
      <c r="H4" s="225"/>
      <c r="I4" s="53"/>
      <c r="J4" s="53"/>
    </row>
    <row r="5" spans="2:18" hidden="1" x14ac:dyDescent="0.3"/>
    <row r="6" spans="2:18" hidden="1" x14ac:dyDescent="0.3">
      <c r="C6" s="1018" t="s">
        <v>932</v>
      </c>
      <c r="D6" s="1018"/>
      <c r="E6" s="297"/>
      <c r="F6" s="298">
        <f>F13+F16+F14</f>
        <v>22.18</v>
      </c>
      <c r="G6" s="227" t="s">
        <v>971</v>
      </c>
    </row>
    <row r="7" spans="2:18" hidden="1" x14ac:dyDescent="0.3"/>
    <row r="8" spans="2:18" s="7" customFormat="1" ht="27.6" hidden="1" x14ac:dyDescent="0.25">
      <c r="C8" s="13" t="s">
        <v>929</v>
      </c>
      <c r="D8" s="14" t="s">
        <v>928</v>
      </c>
      <c r="E8" s="14" t="s">
        <v>514</v>
      </c>
      <c r="F8" s="14" t="s">
        <v>515</v>
      </c>
      <c r="G8" s="14" t="s">
        <v>962</v>
      </c>
      <c r="H8" s="14" t="s">
        <v>926</v>
      </c>
      <c r="I8" s="14" t="s">
        <v>516</v>
      </c>
      <c r="J8" s="526" t="s">
        <v>961</v>
      </c>
      <c r="K8" s="563">
        <f>F4</f>
        <v>30</v>
      </c>
      <c r="L8" s="565" t="s">
        <v>173</v>
      </c>
      <c r="M8" s="566" t="s">
        <v>176</v>
      </c>
      <c r="N8" s="564"/>
      <c r="O8" s="480"/>
      <c r="P8" s="479"/>
      <c r="Q8" s="479"/>
      <c r="R8" s="479"/>
    </row>
    <row r="9" spans="2:18" s="7" customFormat="1" ht="13.8" hidden="1" x14ac:dyDescent="0.25">
      <c r="C9" s="17" t="str">
        <f>'2.Лабораторія'!C9</f>
        <v>Лікар-лаборант</v>
      </c>
      <c r="D9" s="73">
        <f>'2.Лабораторія'!D9</f>
        <v>10799.43</v>
      </c>
      <c r="E9" s="78">
        <f>D9*12</f>
        <v>129593.16</v>
      </c>
      <c r="F9" s="78">
        <f>'2.Лабораторія'!F9</f>
        <v>8307.26</v>
      </c>
      <c r="G9" s="78">
        <f>'2.Лабораторія'!G9</f>
        <v>4153.63</v>
      </c>
      <c r="H9" s="78">
        <f>E9+F9+G9</f>
        <v>142054.05000000002</v>
      </c>
      <c r="I9" s="17">
        <v>1807.2</v>
      </c>
      <c r="J9" s="562">
        <f>ROUND((H9/I9)/60,2)</f>
        <v>1.31</v>
      </c>
      <c r="K9" s="563">
        <f>F58</f>
        <v>33</v>
      </c>
      <c r="L9" s="565" t="s">
        <v>174</v>
      </c>
      <c r="M9" s="564" t="s">
        <v>184</v>
      </c>
      <c r="N9" s="564"/>
      <c r="O9" s="480"/>
      <c r="P9" s="479"/>
      <c r="Q9" s="479"/>
      <c r="R9" s="479"/>
    </row>
    <row r="10" spans="2:18" s="7" customFormat="1" ht="13.8" hidden="1" x14ac:dyDescent="0.25">
      <c r="C10" s="17" t="str">
        <f>'2.Лабораторія'!C10</f>
        <v>Лаборант клінічної лабораторії</v>
      </c>
      <c r="D10" s="73">
        <f>'2.Лабораторія'!D10</f>
        <v>7871.18</v>
      </c>
      <c r="E10" s="78">
        <f>D10*12</f>
        <v>94454.16</v>
      </c>
      <c r="F10" s="78">
        <f>'2.Лабораторія'!F10</f>
        <v>6054.75</v>
      </c>
      <c r="G10" s="78">
        <f>'2.Лабораторія'!G10</f>
        <v>3027.375</v>
      </c>
      <c r="H10" s="78">
        <f>E10+F10+G10</f>
        <v>103536.285</v>
      </c>
      <c r="I10" s="17">
        <v>1807.2</v>
      </c>
      <c r="J10" s="562">
        <f>ROUND((H10/I10)/60,2)</f>
        <v>0.95</v>
      </c>
      <c r="K10" s="563">
        <f>F113</f>
        <v>17</v>
      </c>
      <c r="L10" s="565" t="s">
        <v>175</v>
      </c>
      <c r="M10" s="564" t="s">
        <v>198</v>
      </c>
      <c r="N10" s="564"/>
      <c r="O10" s="480"/>
      <c r="P10" s="479"/>
      <c r="Q10" s="479"/>
      <c r="R10" s="479"/>
    </row>
    <row r="11" spans="2:18" s="7" customFormat="1" ht="13.8" hidden="1" x14ac:dyDescent="0.25">
      <c r="D11" s="74"/>
      <c r="E11" s="74"/>
      <c r="F11" s="74"/>
      <c r="G11" s="74"/>
      <c r="H11" s="74"/>
      <c r="K11" s="563">
        <f>F167</f>
        <v>40</v>
      </c>
      <c r="L11" s="565" t="s">
        <v>177</v>
      </c>
      <c r="M11" s="564" t="s">
        <v>185</v>
      </c>
      <c r="N11" s="564"/>
      <c r="O11" s="480"/>
      <c r="P11" s="479"/>
      <c r="Q11" s="479"/>
      <c r="R11" s="479"/>
    </row>
    <row r="12" spans="2:18" s="7" customFormat="1" ht="13.8" hidden="1" x14ac:dyDescent="0.25">
      <c r="C12" s="13" t="s">
        <v>929</v>
      </c>
      <c r="D12" s="14" t="s">
        <v>961</v>
      </c>
      <c r="E12" s="14" t="s">
        <v>930</v>
      </c>
      <c r="F12" s="14" t="s">
        <v>931</v>
      </c>
      <c r="G12" s="74"/>
      <c r="H12" s="74"/>
      <c r="K12" s="563">
        <f>F225</f>
        <v>89</v>
      </c>
      <c r="L12" s="565" t="s">
        <v>178</v>
      </c>
      <c r="M12" s="566" t="s">
        <v>183</v>
      </c>
      <c r="N12" s="564"/>
      <c r="O12" s="480"/>
      <c r="P12" s="479"/>
      <c r="Q12" s="479"/>
      <c r="R12" s="479"/>
    </row>
    <row r="13" spans="2:18" s="200" customFormat="1" ht="13.8" hidden="1" x14ac:dyDescent="0.25">
      <c r="B13" s="7"/>
      <c r="C13" s="15" t="str">
        <f>C9</f>
        <v>Лікар-лаборант</v>
      </c>
      <c r="D13" s="78">
        <f>J9</f>
        <v>1.31</v>
      </c>
      <c r="E13" s="73">
        <v>3</v>
      </c>
      <c r="F13" s="299">
        <f>ROUND(D13*E13,2)</f>
        <v>3.93</v>
      </c>
      <c r="G13" s="74"/>
      <c r="H13" s="74"/>
      <c r="I13" s="7"/>
      <c r="J13" s="7"/>
      <c r="K13" s="563">
        <f>F281</f>
        <v>88</v>
      </c>
      <c r="L13" s="565" t="s">
        <v>179</v>
      </c>
      <c r="M13" s="564" t="s">
        <v>199</v>
      </c>
      <c r="N13" s="564"/>
      <c r="O13" s="480"/>
      <c r="P13" s="479"/>
      <c r="Q13" s="479"/>
      <c r="R13" s="479"/>
    </row>
    <row r="14" spans="2:18" s="7" customFormat="1" ht="13.8" hidden="1" x14ac:dyDescent="0.25">
      <c r="C14" s="15" t="str">
        <f>C10</f>
        <v>Лаборант клінічної лабораторії</v>
      </c>
      <c r="D14" s="78">
        <f>J10</f>
        <v>0.95</v>
      </c>
      <c r="E14" s="73">
        <v>15</v>
      </c>
      <c r="F14" s="299">
        <f>ROUND(D14*E14,2)</f>
        <v>14.25</v>
      </c>
      <c r="G14" s="74"/>
      <c r="H14" s="74"/>
      <c r="K14" s="563">
        <f>F337</f>
        <v>30</v>
      </c>
      <c r="L14" s="565" t="s">
        <v>180</v>
      </c>
      <c r="M14" s="564" t="s">
        <v>186</v>
      </c>
      <c r="N14" s="564"/>
      <c r="O14" s="480"/>
      <c r="P14" s="479"/>
      <c r="Q14" s="479"/>
      <c r="R14" s="479"/>
    </row>
    <row r="15" spans="2:18" s="7" customFormat="1" ht="13.8" hidden="1" x14ac:dyDescent="0.25">
      <c r="D15" s="19"/>
      <c r="E15" s="74" t="s">
        <v>1016</v>
      </c>
      <c r="F15" s="74"/>
      <c r="G15" s="74"/>
      <c r="H15" s="74"/>
      <c r="K15" s="563">
        <f>F391</f>
        <v>46</v>
      </c>
      <c r="L15" s="565" t="s">
        <v>181</v>
      </c>
      <c r="M15" s="564" t="s">
        <v>188</v>
      </c>
      <c r="N15" s="564"/>
      <c r="O15" s="480"/>
      <c r="P15" s="479"/>
      <c r="Q15" s="479"/>
      <c r="R15" s="479"/>
    </row>
    <row r="16" spans="2:18" s="200" customFormat="1" ht="13.8" hidden="1" x14ac:dyDescent="0.25">
      <c r="B16" s="7"/>
      <c r="C16" s="17" t="s">
        <v>933</v>
      </c>
      <c r="D16" s="78">
        <f>F13+F14</f>
        <v>18.18</v>
      </c>
      <c r="E16" s="300">
        <v>0.22</v>
      </c>
      <c r="F16" s="301">
        <f>ROUND(D16*E16,2)</f>
        <v>4</v>
      </c>
      <c r="G16" s="74"/>
      <c r="H16" s="74"/>
      <c r="I16" s="7"/>
      <c r="J16" s="7"/>
      <c r="K16" s="563">
        <f>F446</f>
        <v>82</v>
      </c>
      <c r="L16" s="565" t="s">
        <v>187</v>
      </c>
      <c r="M16" s="566" t="s">
        <v>182</v>
      </c>
      <c r="N16" s="564"/>
      <c r="O16" s="480"/>
      <c r="P16" s="479"/>
      <c r="Q16" s="479"/>
      <c r="R16" s="479"/>
    </row>
    <row r="17" spans="2:18" ht="14.4" hidden="1" x14ac:dyDescent="0.3">
      <c r="K17" s="567">
        <f>F505</f>
        <v>143</v>
      </c>
      <c r="L17" s="568" t="s">
        <v>316</v>
      </c>
      <c r="M17" s="569" t="s">
        <v>357</v>
      </c>
      <c r="N17" s="570">
        <v>1</v>
      </c>
      <c r="O17" s="480">
        <f>'МЕДИЧНІ М'!F222</f>
        <v>100</v>
      </c>
      <c r="P17" s="571">
        <f>K17-O17</f>
        <v>43</v>
      </c>
    </row>
    <row r="18" spans="2:18" ht="14.4" hidden="1" x14ac:dyDescent="0.3">
      <c r="C18" s="12" t="s">
        <v>946</v>
      </c>
      <c r="D18" s="227"/>
      <c r="E18" s="227"/>
      <c r="F18" s="227">
        <f>G29</f>
        <v>4.5</v>
      </c>
      <c r="G18" s="227" t="s">
        <v>971</v>
      </c>
      <c r="K18" s="567">
        <f>F560</f>
        <v>335</v>
      </c>
      <c r="L18" s="568" t="s">
        <v>317</v>
      </c>
      <c r="M18" s="569" t="s">
        <v>358</v>
      </c>
      <c r="N18" s="570">
        <f>1+N17</f>
        <v>2</v>
      </c>
      <c r="O18" s="480">
        <f>'МЕДИЧНІ М'!F223</f>
        <v>280</v>
      </c>
      <c r="P18" s="571">
        <f t="shared" ref="P18:P31" si="0">K18-O18</f>
        <v>55</v>
      </c>
    </row>
    <row r="19" spans="2:18" ht="14.4" hidden="1" x14ac:dyDescent="0.3">
      <c r="K19" s="567">
        <f>F615</f>
        <v>240</v>
      </c>
      <c r="L19" s="568" t="s">
        <v>318</v>
      </c>
      <c r="M19" s="569" t="s">
        <v>359</v>
      </c>
      <c r="N19" s="570">
        <f t="shared" ref="N19:N31" si="1">1+N18</f>
        <v>3</v>
      </c>
      <c r="O19" s="480">
        <f>'МЕДИЧНІ М'!F224</f>
        <v>185</v>
      </c>
      <c r="P19" s="571">
        <f t="shared" si="0"/>
        <v>55</v>
      </c>
    </row>
    <row r="20" spans="2:18" s="200" customFormat="1" ht="27.6" hidden="1" x14ac:dyDescent="0.25">
      <c r="B20" s="82" t="s">
        <v>991</v>
      </c>
      <c r="C20" s="83" t="s">
        <v>986</v>
      </c>
      <c r="D20" s="83" t="s">
        <v>987</v>
      </c>
      <c r="E20" s="83" t="s">
        <v>988</v>
      </c>
      <c r="F20" s="83" t="s">
        <v>989</v>
      </c>
      <c r="G20" s="82" t="s">
        <v>990</v>
      </c>
      <c r="H20" s="74"/>
      <c r="I20" s="7"/>
      <c r="J20" s="7"/>
      <c r="K20" s="567">
        <f>F671</f>
        <v>343</v>
      </c>
      <c r="L20" s="568" t="s">
        <v>319</v>
      </c>
      <c r="M20" s="569" t="s">
        <v>360</v>
      </c>
      <c r="N20" s="570">
        <f t="shared" si="1"/>
        <v>4</v>
      </c>
      <c r="O20" s="480">
        <f>'МЕДИЧНІ М'!F225</f>
        <v>270</v>
      </c>
      <c r="P20" s="571">
        <f t="shared" si="0"/>
        <v>73</v>
      </c>
      <c r="Q20" s="479"/>
      <c r="R20" s="479"/>
    </row>
    <row r="21" spans="2:18" s="200" customFormat="1" ht="13.8" hidden="1" x14ac:dyDescent="0.25">
      <c r="B21" s="73">
        <v>1</v>
      </c>
      <c r="C21" s="79" t="s">
        <v>189</v>
      </c>
      <c r="D21" s="75" t="s">
        <v>941</v>
      </c>
      <c r="E21" s="358">
        <f>'МЕДИЧНІ М'!E220</f>
        <v>49</v>
      </c>
      <c r="F21" s="86">
        <v>500</v>
      </c>
      <c r="G21" s="88">
        <f>ROUND(E21/F21,2)</f>
        <v>0.1</v>
      </c>
      <c r="H21" s="74"/>
      <c r="I21" s="7"/>
      <c r="J21" s="7"/>
      <c r="K21" s="567">
        <f>F727</f>
        <v>169</v>
      </c>
      <c r="L21" s="568" t="s">
        <v>320</v>
      </c>
      <c r="M21" s="569" t="s">
        <v>361</v>
      </c>
      <c r="N21" s="570">
        <f t="shared" si="1"/>
        <v>5</v>
      </c>
      <c r="O21" s="480">
        <f>'МЕДИЧНІ М'!F226</f>
        <v>105</v>
      </c>
      <c r="P21" s="571">
        <f t="shared" si="0"/>
        <v>64</v>
      </c>
      <c r="Q21" s="479"/>
      <c r="R21" s="479"/>
    </row>
    <row r="22" spans="2:18" s="200" customFormat="1" ht="13.8" hidden="1" x14ac:dyDescent="0.25">
      <c r="B22" s="73">
        <f>B21+1</f>
        <v>2</v>
      </c>
      <c r="C22" s="79" t="s">
        <v>190</v>
      </c>
      <c r="D22" s="75" t="s">
        <v>941</v>
      </c>
      <c r="E22" s="358">
        <f>'МЕДИЧНІ М'!E216</f>
        <v>190</v>
      </c>
      <c r="F22" s="86">
        <v>500</v>
      </c>
      <c r="G22" s="88">
        <f>ROUND(E22/F22,2)</f>
        <v>0.38</v>
      </c>
      <c r="H22" s="74"/>
      <c r="I22" s="7"/>
      <c r="J22" s="7"/>
      <c r="K22" s="567">
        <f>F783</f>
        <v>169</v>
      </c>
      <c r="L22" s="568" t="s">
        <v>321</v>
      </c>
      <c r="M22" s="569" t="s">
        <v>362</v>
      </c>
      <c r="N22" s="570">
        <f t="shared" si="1"/>
        <v>6</v>
      </c>
      <c r="O22" s="480">
        <f>'МЕДИЧНІ М'!F227</f>
        <v>105</v>
      </c>
      <c r="P22" s="571">
        <f t="shared" si="0"/>
        <v>64</v>
      </c>
      <c r="Q22" s="479"/>
      <c r="R22" s="479"/>
    </row>
    <row r="23" spans="2:18" s="200" customFormat="1" ht="13.8" hidden="1" x14ac:dyDescent="0.25">
      <c r="B23" s="73">
        <f t="shared" ref="B23:B28" si="2">B22+1</f>
        <v>3</v>
      </c>
      <c r="C23" s="79" t="s">
        <v>934</v>
      </c>
      <c r="D23" s="76" t="s">
        <v>941</v>
      </c>
      <c r="E23" s="76">
        <f>'МЕДИЧНІ М'!E210</f>
        <v>2.8</v>
      </c>
      <c r="F23" s="77">
        <v>10</v>
      </c>
      <c r="G23" s="88">
        <f>ROUND(E23/F23,2)</f>
        <v>0.28000000000000003</v>
      </c>
      <c r="H23" s="74"/>
      <c r="I23" s="7"/>
      <c r="J23" s="7"/>
      <c r="K23" s="567">
        <f>F839</f>
        <v>160</v>
      </c>
      <c r="L23" s="568" t="s">
        <v>322</v>
      </c>
      <c r="M23" s="569" t="s">
        <v>363</v>
      </c>
      <c r="N23" s="570">
        <f t="shared" si="1"/>
        <v>7</v>
      </c>
      <c r="O23" s="480">
        <f>'МЕДИЧНІ М'!F228</f>
        <v>105</v>
      </c>
      <c r="P23" s="571">
        <f t="shared" si="0"/>
        <v>55</v>
      </c>
      <c r="Q23" s="479"/>
      <c r="R23" s="479"/>
    </row>
    <row r="24" spans="2:18" s="200" customFormat="1" ht="13.8" hidden="1" x14ac:dyDescent="0.25">
      <c r="B24" s="73">
        <f t="shared" si="2"/>
        <v>4</v>
      </c>
      <c r="C24" s="79" t="s">
        <v>936</v>
      </c>
      <c r="D24" s="76" t="s">
        <v>937</v>
      </c>
      <c r="E24" s="76">
        <f>'МЕДИЧНІ М'!E204</f>
        <v>0.3</v>
      </c>
      <c r="F24" s="77">
        <v>1</v>
      </c>
      <c r="G24" s="78">
        <f>ROUND(E24*F24,2)</f>
        <v>0.3</v>
      </c>
      <c r="H24" s="74"/>
      <c r="I24" s="7"/>
      <c r="J24" s="7"/>
      <c r="K24" s="567">
        <f>F895</f>
        <v>169</v>
      </c>
      <c r="L24" s="568" t="s">
        <v>323</v>
      </c>
      <c r="M24" s="569" t="s">
        <v>364</v>
      </c>
      <c r="N24" s="570">
        <f t="shared" si="1"/>
        <v>8</v>
      </c>
      <c r="O24" s="480">
        <f>'МЕДИЧНІ М'!F229</f>
        <v>105</v>
      </c>
      <c r="P24" s="571">
        <f t="shared" si="0"/>
        <v>64</v>
      </c>
      <c r="Q24" s="479"/>
      <c r="R24" s="479"/>
    </row>
    <row r="25" spans="2:18" s="200" customFormat="1" ht="13.8" hidden="1" x14ac:dyDescent="0.25">
      <c r="B25" s="73">
        <f t="shared" si="2"/>
        <v>5</v>
      </c>
      <c r="C25" s="27" t="s">
        <v>940</v>
      </c>
      <c r="D25" s="28" t="s">
        <v>941</v>
      </c>
      <c r="E25" s="81">
        <f>'МЕДИЧНІ М'!E202</f>
        <v>2</v>
      </c>
      <c r="F25" s="28">
        <v>1</v>
      </c>
      <c r="G25" s="81">
        <f>ROUND(E25*F25,2)</f>
        <v>2</v>
      </c>
      <c r="H25" s="74"/>
      <c r="I25" s="7"/>
      <c r="J25" s="7"/>
      <c r="K25" s="567">
        <f>F951</f>
        <v>185</v>
      </c>
      <c r="L25" s="568" t="s">
        <v>332</v>
      </c>
      <c r="M25" s="569" t="s">
        <v>365</v>
      </c>
      <c r="N25" s="570">
        <f t="shared" si="1"/>
        <v>9</v>
      </c>
      <c r="O25" s="480">
        <f>'МЕДИЧНІ М'!F230</f>
        <v>130</v>
      </c>
      <c r="P25" s="571">
        <f t="shared" si="0"/>
        <v>55</v>
      </c>
      <c r="Q25" s="479"/>
      <c r="R25" s="479"/>
    </row>
    <row r="26" spans="2:18" s="200" customFormat="1" ht="13.8" hidden="1" x14ac:dyDescent="0.25">
      <c r="B26" s="73">
        <f t="shared" si="2"/>
        <v>6</v>
      </c>
      <c r="C26" s="27" t="s">
        <v>943</v>
      </c>
      <c r="D26" s="28" t="s">
        <v>944</v>
      </c>
      <c r="E26" s="81">
        <f>'МЕДИЧНІ М'!E198</f>
        <v>6.72</v>
      </c>
      <c r="F26" s="28">
        <v>0.14000000000000001</v>
      </c>
      <c r="G26" s="28">
        <f>ROUND(E26*F26,2)</f>
        <v>0.94</v>
      </c>
      <c r="H26" s="74"/>
      <c r="I26" s="7"/>
      <c r="J26" s="7"/>
      <c r="K26" s="567">
        <f>F1007</f>
        <v>185</v>
      </c>
      <c r="L26" s="568" t="s">
        <v>333</v>
      </c>
      <c r="M26" s="569" t="s">
        <v>366</v>
      </c>
      <c r="N26" s="570">
        <f t="shared" si="1"/>
        <v>10</v>
      </c>
      <c r="O26" s="480">
        <f>'МЕДИЧНІ М'!F231</f>
        <v>130</v>
      </c>
      <c r="P26" s="571">
        <f t="shared" si="0"/>
        <v>55</v>
      </c>
      <c r="Q26" s="479"/>
      <c r="R26" s="479"/>
    </row>
    <row r="27" spans="2:18" s="200" customFormat="1" ht="13.8" hidden="1" x14ac:dyDescent="0.25">
      <c r="B27" s="73">
        <f t="shared" si="2"/>
        <v>7</v>
      </c>
      <c r="C27" s="27" t="s">
        <v>942</v>
      </c>
      <c r="D27" s="75" t="s">
        <v>974</v>
      </c>
      <c r="E27" s="76">
        <f>'МЕДИЧНІ М'!E215</f>
        <v>24.6</v>
      </c>
      <c r="F27" s="77">
        <v>100</v>
      </c>
      <c r="G27" s="78">
        <f>ROUND(E27/F27,2)</f>
        <v>0.25</v>
      </c>
      <c r="H27" s="74"/>
      <c r="I27" s="7"/>
      <c r="J27" s="7"/>
      <c r="K27" s="567">
        <f>F1063</f>
        <v>290</v>
      </c>
      <c r="L27" s="568" t="s">
        <v>334</v>
      </c>
      <c r="M27" s="569" t="s">
        <v>367</v>
      </c>
      <c r="N27" s="570">
        <f t="shared" si="1"/>
        <v>11</v>
      </c>
      <c r="O27" s="480">
        <f>'МЕДИЧНІ М'!F232</f>
        <v>235</v>
      </c>
      <c r="P27" s="571">
        <f t="shared" si="0"/>
        <v>55</v>
      </c>
      <c r="Q27" s="479"/>
      <c r="R27" s="479"/>
    </row>
    <row r="28" spans="2:18" s="200" customFormat="1" ht="13.8" hidden="1" x14ac:dyDescent="0.25">
      <c r="B28" s="73">
        <f t="shared" si="2"/>
        <v>8</v>
      </c>
      <c r="C28" s="27" t="s">
        <v>1124</v>
      </c>
      <c r="D28" s="28" t="s">
        <v>944</v>
      </c>
      <c r="E28" s="81">
        <f>'МЕДИЧНІ М'!E200</f>
        <v>0.5</v>
      </c>
      <c r="F28" s="81">
        <v>0.5</v>
      </c>
      <c r="G28" s="28">
        <f>ROUND(E28*F28,2)</f>
        <v>0.25</v>
      </c>
      <c r="H28" s="74"/>
      <c r="I28" s="7"/>
      <c r="J28" s="7"/>
      <c r="K28" s="567">
        <f>F1119</f>
        <v>159</v>
      </c>
      <c r="L28" s="568" t="s">
        <v>335</v>
      </c>
      <c r="M28" s="569" t="s">
        <v>368</v>
      </c>
      <c r="N28" s="570">
        <f t="shared" si="1"/>
        <v>12</v>
      </c>
      <c r="O28" s="480">
        <f>'МЕДИЧНІ М'!F233</f>
        <v>95</v>
      </c>
      <c r="P28" s="571">
        <f t="shared" si="0"/>
        <v>64</v>
      </c>
      <c r="Q28" s="479"/>
      <c r="R28" s="479"/>
    </row>
    <row r="29" spans="2:18" s="200" customFormat="1" ht="13.8" hidden="1" x14ac:dyDescent="0.25">
      <c r="B29" s="1012" t="s">
        <v>945</v>
      </c>
      <c r="C29" s="1013"/>
      <c r="D29" s="1013"/>
      <c r="E29" s="1013"/>
      <c r="F29" s="1014"/>
      <c r="G29" s="572">
        <f>SUM(G21:G28)</f>
        <v>4.5</v>
      </c>
      <c r="H29" s="74"/>
      <c r="I29" s="7"/>
      <c r="J29" s="7"/>
      <c r="K29" s="785">
        <f>F1175</f>
        <v>225</v>
      </c>
      <c r="L29" s="786" t="s">
        <v>336</v>
      </c>
      <c r="M29" s="787" t="s">
        <v>369</v>
      </c>
      <c r="N29" s="570">
        <f t="shared" si="1"/>
        <v>13</v>
      </c>
      <c r="O29" s="480">
        <f>'МЕДИЧНІ М'!F234</f>
        <v>170</v>
      </c>
      <c r="P29" s="571">
        <f t="shared" si="0"/>
        <v>55</v>
      </c>
      <c r="Q29" s="479"/>
      <c r="R29" s="479"/>
    </row>
    <row r="30" spans="2:18" ht="14.4" hidden="1" x14ac:dyDescent="0.3">
      <c r="K30" s="785">
        <f>F1231</f>
        <v>367</v>
      </c>
      <c r="L30" s="786" t="s">
        <v>211</v>
      </c>
      <c r="M30" s="787" t="s">
        <v>212</v>
      </c>
      <c r="N30" s="570">
        <f t="shared" si="1"/>
        <v>14</v>
      </c>
      <c r="O30" s="479">
        <f>'МЕДИЧНІ М'!F324</f>
        <v>320</v>
      </c>
      <c r="P30" s="571">
        <f t="shared" si="0"/>
        <v>47</v>
      </c>
    </row>
    <row r="31" spans="2:18" ht="14.4" hidden="1" x14ac:dyDescent="0.3">
      <c r="C31" s="12" t="s">
        <v>968</v>
      </c>
      <c r="D31" s="227"/>
      <c r="E31" s="227"/>
      <c r="F31" s="298">
        <f>H34</f>
        <v>0.72</v>
      </c>
      <c r="G31" s="227" t="s">
        <v>971</v>
      </c>
      <c r="K31" s="785">
        <f>F1287</f>
        <v>242</v>
      </c>
      <c r="L31" s="786" t="s">
        <v>215</v>
      </c>
      <c r="M31" s="787" t="s">
        <v>216</v>
      </c>
      <c r="N31" s="570">
        <f t="shared" si="1"/>
        <v>15</v>
      </c>
      <c r="O31" s="479">
        <f>'МЕДИЧНІ М'!F325</f>
        <v>195</v>
      </c>
      <c r="P31" s="571">
        <f t="shared" si="0"/>
        <v>47</v>
      </c>
    </row>
    <row r="32" spans="2:18" hidden="1" x14ac:dyDescent="0.3">
      <c r="C32" s="22"/>
      <c r="D32" s="36"/>
      <c r="E32" s="36"/>
      <c r="F32" s="302"/>
      <c r="G32" s="36"/>
    </row>
    <row r="33" spans="2:18" s="200" customFormat="1" ht="27.6" hidden="1" x14ac:dyDescent="0.3">
      <c r="B33" s="7"/>
      <c r="C33" s="14" t="s">
        <v>513</v>
      </c>
      <c r="D33" s="14" t="s">
        <v>1108</v>
      </c>
      <c r="E33" s="14" t="s">
        <v>516</v>
      </c>
      <c r="F33" s="14" t="s">
        <v>970</v>
      </c>
      <c r="G33" s="14" t="s">
        <v>930</v>
      </c>
      <c r="H33" s="14" t="s">
        <v>961</v>
      </c>
      <c r="I33" s="7"/>
      <c r="J33" s="7"/>
      <c r="K33" s="22"/>
      <c r="L33" s="482"/>
      <c r="M33" s="482"/>
      <c r="N33" s="479"/>
      <c r="O33" s="479"/>
      <c r="P33" s="479"/>
      <c r="Q33" s="479"/>
      <c r="R33" s="479"/>
    </row>
    <row r="34" spans="2:18" s="200" customFormat="1" hidden="1" x14ac:dyDescent="0.3">
      <c r="B34" s="7"/>
      <c r="C34" s="27" t="s">
        <v>1090</v>
      </c>
      <c r="D34" s="73">
        <f>АМОРТИЗАЦІЯ!C5</f>
        <v>34445.759999999995</v>
      </c>
      <c r="E34" s="73">
        <v>13679.5</v>
      </c>
      <c r="F34" s="73">
        <f>ROUND((D34/E34)/60,2)</f>
        <v>0.04</v>
      </c>
      <c r="G34" s="73">
        <f>E13+E14</f>
        <v>18</v>
      </c>
      <c r="H34" s="78">
        <f>ROUND(F34*G34,2)</f>
        <v>0.72</v>
      </c>
      <c r="I34" s="38"/>
      <c r="J34" s="7"/>
      <c r="K34" s="22"/>
      <c r="L34" s="482"/>
      <c r="M34" s="482"/>
      <c r="N34" s="479"/>
      <c r="O34" s="479"/>
      <c r="P34" s="479"/>
      <c r="Q34" s="479"/>
      <c r="R34" s="479"/>
    </row>
    <row r="35" spans="2:18" hidden="1" x14ac:dyDescent="0.3"/>
    <row r="36" spans="2:18" hidden="1" x14ac:dyDescent="0.3">
      <c r="C36" s="12" t="s">
        <v>948</v>
      </c>
      <c r="D36" s="227"/>
      <c r="E36" s="227"/>
      <c r="F36" s="298">
        <f>H49</f>
        <v>2.34</v>
      </c>
      <c r="G36" s="227" t="s">
        <v>971</v>
      </c>
    </row>
    <row r="37" spans="2:18" hidden="1" x14ac:dyDescent="0.3">
      <c r="C37" s="22"/>
      <c r="D37" s="36"/>
      <c r="E37" s="36"/>
      <c r="F37" s="302"/>
    </row>
    <row r="38" spans="2:18" s="200" customFormat="1" ht="27.6" hidden="1" x14ac:dyDescent="0.3">
      <c r="B38" s="7"/>
      <c r="C38" s="14" t="s">
        <v>948</v>
      </c>
      <c r="D38" s="14" t="s">
        <v>1110</v>
      </c>
      <c r="E38" s="14" t="s">
        <v>516</v>
      </c>
      <c r="F38" s="14" t="s">
        <v>954</v>
      </c>
      <c r="G38" s="14" t="s">
        <v>930</v>
      </c>
      <c r="H38" s="14" t="s">
        <v>1111</v>
      </c>
      <c r="I38" s="7"/>
      <c r="J38" s="7"/>
      <c r="K38" s="22"/>
      <c r="L38" s="482"/>
      <c r="M38" s="482"/>
      <c r="N38" s="479"/>
      <c r="O38" s="479"/>
      <c r="P38" s="479"/>
      <c r="Q38" s="479"/>
      <c r="R38" s="479"/>
    </row>
    <row r="39" spans="2:18" s="200" customFormat="1" hidden="1" x14ac:dyDescent="0.3">
      <c r="B39" s="7"/>
      <c r="C39" s="1009" t="str">
        <f>C9</f>
        <v>Лікар-лаборант</v>
      </c>
      <c r="D39" s="1010"/>
      <c r="E39" s="1010"/>
      <c r="F39" s="1010"/>
      <c r="G39" s="1010"/>
      <c r="H39" s="1011"/>
      <c r="I39" s="7"/>
      <c r="J39" s="7"/>
      <c r="K39" s="22"/>
      <c r="L39" s="482"/>
      <c r="M39" s="482"/>
      <c r="N39" s="479"/>
      <c r="O39" s="479"/>
      <c r="P39" s="479"/>
      <c r="Q39" s="479"/>
      <c r="R39" s="479"/>
    </row>
    <row r="40" spans="2:18" s="200" customFormat="1" hidden="1" x14ac:dyDescent="0.3">
      <c r="B40" s="7"/>
      <c r="C40" s="17" t="s">
        <v>951</v>
      </c>
      <c r="D40" s="221">
        <f>'2.Лабораторія'!D47</f>
        <v>12188.608008565312</v>
      </c>
      <c r="E40" s="73">
        <f>I9</f>
        <v>1807.2</v>
      </c>
      <c r="F40" s="73">
        <f>ROUND((D40/E40)/60,2)</f>
        <v>0.11</v>
      </c>
      <c r="G40" s="73">
        <f>E13</f>
        <v>3</v>
      </c>
      <c r="H40" s="78">
        <f>ROUND(F40*G40,2)</f>
        <v>0.33</v>
      </c>
      <c r="I40" s="7"/>
      <c r="J40" s="7"/>
      <c r="K40" s="22"/>
      <c r="L40" s="482"/>
      <c r="M40" s="482"/>
      <c r="N40" s="479"/>
      <c r="O40" s="479"/>
      <c r="P40" s="479"/>
      <c r="Q40" s="479"/>
      <c r="R40" s="479"/>
    </row>
    <row r="41" spans="2:18" s="200" customFormat="1" hidden="1" x14ac:dyDescent="0.3">
      <c r="B41" s="7"/>
      <c r="C41" s="17" t="s">
        <v>952</v>
      </c>
      <c r="D41" s="221">
        <f>'2.Лабораторія'!D48</f>
        <v>53.149721627408987</v>
      </c>
      <c r="E41" s="73">
        <f>I9</f>
        <v>1807.2</v>
      </c>
      <c r="F41" s="73">
        <f>ROUND((D41/E41)/60,2)</f>
        <v>0</v>
      </c>
      <c r="G41" s="73">
        <f>E13</f>
        <v>3</v>
      </c>
      <c r="H41" s="78">
        <f>ROUND(F41*G41,2)</f>
        <v>0</v>
      </c>
      <c r="I41" s="7"/>
      <c r="J41" s="7"/>
      <c r="K41" s="22"/>
      <c r="L41" s="482"/>
      <c r="M41" s="482"/>
      <c r="N41" s="479"/>
      <c r="O41" s="479"/>
      <c r="P41" s="479"/>
      <c r="Q41" s="479"/>
      <c r="R41" s="479"/>
    </row>
    <row r="42" spans="2:18" s="200" customFormat="1" hidden="1" x14ac:dyDescent="0.3">
      <c r="B42" s="7"/>
      <c r="C42" s="17" t="s">
        <v>953</v>
      </c>
      <c r="D42" s="221">
        <f>'2.Лабораторія'!D49</f>
        <v>374.98368308351178</v>
      </c>
      <c r="E42" s="73">
        <f>I9</f>
        <v>1807.2</v>
      </c>
      <c r="F42" s="73">
        <f>ROUND((D42/E42)/60,2)</f>
        <v>0</v>
      </c>
      <c r="G42" s="73">
        <f>E13</f>
        <v>3</v>
      </c>
      <c r="H42" s="78">
        <f>ROUND(F42*G42,2)</f>
        <v>0</v>
      </c>
      <c r="I42" s="7"/>
      <c r="J42" s="7"/>
      <c r="K42" s="22"/>
      <c r="L42" s="482"/>
      <c r="M42" s="482"/>
      <c r="N42" s="479"/>
      <c r="O42" s="479"/>
      <c r="P42" s="479"/>
      <c r="Q42" s="479"/>
      <c r="R42" s="479"/>
    </row>
    <row r="43" spans="2:18" s="200" customFormat="1" hidden="1" x14ac:dyDescent="0.3">
      <c r="B43" s="7"/>
      <c r="C43" s="17" t="s">
        <v>1109</v>
      </c>
      <c r="D43" s="221">
        <f>'2.Лабораторія'!D50</f>
        <v>1686.0389293361886</v>
      </c>
      <c r="E43" s="73">
        <f>I10</f>
        <v>1807.2</v>
      </c>
      <c r="F43" s="73">
        <f>ROUND((D43/E43)/60,2)</f>
        <v>0.02</v>
      </c>
      <c r="G43" s="73">
        <f>E13</f>
        <v>3</v>
      </c>
      <c r="H43" s="78">
        <f>ROUND(F43*G43,2)</f>
        <v>0.06</v>
      </c>
      <c r="I43" s="7"/>
      <c r="J43" s="7"/>
      <c r="K43" s="22"/>
      <c r="L43" s="482"/>
      <c r="M43" s="482"/>
      <c r="N43" s="479"/>
      <c r="O43" s="479"/>
      <c r="P43" s="479"/>
      <c r="Q43" s="479"/>
      <c r="R43" s="479"/>
    </row>
    <row r="44" spans="2:18" s="200" customFormat="1" hidden="1" x14ac:dyDescent="0.3">
      <c r="B44" s="7"/>
      <c r="C44" s="1009" t="str">
        <f>C10</f>
        <v>Лаборант клінічної лабораторії</v>
      </c>
      <c r="D44" s="1010"/>
      <c r="E44" s="1010"/>
      <c r="F44" s="1010"/>
      <c r="G44" s="1010"/>
      <c r="H44" s="1011"/>
      <c r="I44" s="7"/>
      <c r="J44" s="7"/>
      <c r="K44" s="22"/>
      <c r="L44" s="482"/>
      <c r="M44" s="482"/>
      <c r="N44" s="479"/>
      <c r="O44" s="479"/>
      <c r="P44" s="479"/>
      <c r="Q44" s="479"/>
      <c r="R44" s="479"/>
    </row>
    <row r="45" spans="2:18" s="200" customFormat="1" hidden="1" x14ac:dyDescent="0.3">
      <c r="B45" s="7"/>
      <c r="C45" s="17" t="s">
        <v>951</v>
      </c>
      <c r="D45" s="221">
        <f>D40</f>
        <v>12188.608008565312</v>
      </c>
      <c r="E45" s="73">
        <f>I10</f>
        <v>1807.2</v>
      </c>
      <c r="F45" s="73">
        <f>ROUND((D45/E45)/60,2)</f>
        <v>0.11</v>
      </c>
      <c r="G45" s="73">
        <f>E14</f>
        <v>15</v>
      </c>
      <c r="H45" s="78">
        <f>ROUND(F45*G45,2)</f>
        <v>1.65</v>
      </c>
      <c r="I45" s="7"/>
      <c r="J45" s="7"/>
      <c r="K45" s="22"/>
      <c r="L45" s="482"/>
      <c r="M45" s="482"/>
      <c r="N45" s="479"/>
      <c r="O45" s="479"/>
      <c r="P45" s="479"/>
      <c r="Q45" s="479"/>
      <c r="R45" s="479"/>
    </row>
    <row r="46" spans="2:18" s="200" customFormat="1" hidden="1" x14ac:dyDescent="0.3">
      <c r="B46" s="7"/>
      <c r="C46" s="17" t="s">
        <v>952</v>
      </c>
      <c r="D46" s="221">
        <f>D41</f>
        <v>53.149721627408987</v>
      </c>
      <c r="E46" s="73">
        <f>I10</f>
        <v>1807.2</v>
      </c>
      <c r="F46" s="73">
        <f>ROUND((D46/E46)/60,2)</f>
        <v>0</v>
      </c>
      <c r="G46" s="73">
        <f>E14</f>
        <v>15</v>
      </c>
      <c r="H46" s="78">
        <f>ROUND(F46*G46,2)</f>
        <v>0</v>
      </c>
      <c r="I46" s="7"/>
      <c r="J46" s="7"/>
      <c r="K46" s="22"/>
      <c r="L46" s="482"/>
      <c r="M46" s="482"/>
      <c r="N46" s="479"/>
      <c r="O46" s="479"/>
      <c r="P46" s="479"/>
      <c r="Q46" s="479"/>
      <c r="R46" s="479"/>
    </row>
    <row r="47" spans="2:18" s="200" customFormat="1" hidden="1" x14ac:dyDescent="0.3">
      <c r="B47" s="7"/>
      <c r="C47" s="17" t="s">
        <v>953</v>
      </c>
      <c r="D47" s="221">
        <f>D42</f>
        <v>374.98368308351178</v>
      </c>
      <c r="E47" s="73">
        <f>I10</f>
        <v>1807.2</v>
      </c>
      <c r="F47" s="73">
        <f>ROUND((D47/E47)/60,2)</f>
        <v>0</v>
      </c>
      <c r="G47" s="73">
        <f>E14</f>
        <v>15</v>
      </c>
      <c r="H47" s="78">
        <f>ROUND(F47*G47,2)</f>
        <v>0</v>
      </c>
      <c r="I47" s="7"/>
      <c r="J47" s="7"/>
      <c r="K47" s="22"/>
      <c r="L47" s="482"/>
      <c r="M47" s="482"/>
      <c r="N47" s="479"/>
      <c r="O47" s="479"/>
      <c r="P47" s="479"/>
      <c r="Q47" s="479"/>
      <c r="R47" s="479"/>
    </row>
    <row r="48" spans="2:18" s="200" customFormat="1" hidden="1" x14ac:dyDescent="0.3">
      <c r="B48" s="7"/>
      <c r="C48" s="17" t="s">
        <v>1109</v>
      </c>
      <c r="D48" s="221">
        <f>D43</f>
        <v>1686.0389293361886</v>
      </c>
      <c r="E48" s="73">
        <f>I10</f>
        <v>1807.2</v>
      </c>
      <c r="F48" s="73">
        <f>ROUND((D48/E48)/60,2)</f>
        <v>0.02</v>
      </c>
      <c r="G48" s="73">
        <f>E14</f>
        <v>15</v>
      </c>
      <c r="H48" s="78">
        <f>ROUND(F48*G48,2)</f>
        <v>0.3</v>
      </c>
      <c r="I48" s="7"/>
      <c r="J48" s="7"/>
      <c r="K48" s="22"/>
      <c r="L48" s="482"/>
      <c r="M48" s="482"/>
      <c r="N48" s="479"/>
      <c r="O48" s="479"/>
      <c r="P48" s="479"/>
      <c r="Q48" s="479"/>
      <c r="R48" s="479"/>
    </row>
    <row r="49" spans="1:20" s="7" customFormat="1" hidden="1" x14ac:dyDescent="0.3">
      <c r="C49" s="1012" t="s">
        <v>957</v>
      </c>
      <c r="D49" s="1013"/>
      <c r="E49" s="1013"/>
      <c r="F49" s="1013"/>
      <c r="G49" s="1014"/>
      <c r="H49" s="299">
        <f>SUM(H40:H48)</f>
        <v>2.34</v>
      </c>
      <c r="K49" s="22"/>
      <c r="L49" s="482"/>
      <c r="M49" s="482"/>
      <c r="N49" s="479"/>
      <c r="O49" s="479"/>
      <c r="P49" s="479"/>
      <c r="Q49" s="479"/>
      <c r="R49" s="479"/>
    </row>
    <row r="50" spans="1:20" hidden="1" x14ac:dyDescent="0.3"/>
    <row r="51" spans="1:20" hidden="1" x14ac:dyDescent="0.3">
      <c r="C51" s="1015" t="s">
        <v>959</v>
      </c>
      <c r="D51" s="1015"/>
      <c r="E51" s="1015"/>
      <c r="F51" s="1015"/>
      <c r="G51" s="1015"/>
      <c r="H51" s="334">
        <f>F6+F18+F36+F31</f>
        <v>29.74</v>
      </c>
    </row>
    <row r="52" spans="1:20" hidden="1" x14ac:dyDescent="0.3">
      <c r="C52" s="33"/>
      <c r="D52" s="33"/>
      <c r="E52" s="33"/>
      <c r="F52" s="33"/>
      <c r="G52" s="33"/>
      <c r="H52" s="335"/>
    </row>
    <row r="53" spans="1:20" hidden="1" x14ac:dyDescent="0.3">
      <c r="C53" s="1015" t="s">
        <v>960</v>
      </c>
      <c r="D53" s="1015"/>
      <c r="E53" s="1015"/>
      <c r="F53" s="1015"/>
      <c r="G53" s="1015"/>
      <c r="H53" s="334">
        <f>ROUND(H51,0)</f>
        <v>30</v>
      </c>
    </row>
    <row r="54" spans="1:20" hidden="1" x14ac:dyDescent="0.3"/>
    <row r="55" spans="1:20" hidden="1" x14ac:dyDescent="0.3"/>
    <row r="56" spans="1:20" s="54" customFormat="1" ht="19.8" hidden="1" x14ac:dyDescent="0.4">
      <c r="A56" s="53"/>
      <c r="B56" s="1016" t="s">
        <v>958</v>
      </c>
      <c r="C56" s="1016"/>
      <c r="D56" s="1016"/>
      <c r="E56" s="1016"/>
      <c r="F56" s="1016"/>
      <c r="G56" s="1016"/>
      <c r="H56" s="1016"/>
      <c r="I56" s="1016"/>
      <c r="J56" s="1016"/>
      <c r="K56" s="137"/>
      <c r="L56" s="493"/>
      <c r="M56" s="493"/>
      <c r="N56" s="70"/>
      <c r="O56" s="53"/>
      <c r="P56" s="53"/>
      <c r="Q56" s="53"/>
      <c r="R56" s="53"/>
      <c r="S56" s="53"/>
      <c r="T56" s="53"/>
    </row>
    <row r="57" spans="1:20" s="54" customFormat="1" ht="19.8" hidden="1" x14ac:dyDescent="0.4">
      <c r="A57" s="53"/>
      <c r="B57" s="53"/>
      <c r="C57" s="53"/>
      <c r="D57" s="225"/>
      <c r="E57" s="225"/>
      <c r="F57" s="225"/>
      <c r="G57" s="225"/>
      <c r="H57" s="225"/>
      <c r="I57" s="53"/>
      <c r="J57" s="53"/>
      <c r="K57" s="132"/>
      <c r="L57" s="493"/>
      <c r="M57" s="493"/>
      <c r="N57" s="70"/>
      <c r="O57" s="53"/>
      <c r="P57" s="53"/>
      <c r="Q57" s="53"/>
      <c r="R57" s="53"/>
      <c r="S57" s="53"/>
      <c r="T57" s="53"/>
    </row>
    <row r="58" spans="1:20" s="54" customFormat="1" ht="19.8" hidden="1" x14ac:dyDescent="0.4">
      <c r="A58" s="53"/>
      <c r="B58" s="50" t="s">
        <v>174</v>
      </c>
      <c r="C58" s="1017" t="str">
        <f>M9</f>
        <v>Аналіз сечі на кетони (ацетон)</v>
      </c>
      <c r="D58" s="1017"/>
      <c r="E58" s="1017"/>
      <c r="F58" s="296">
        <f>H109</f>
        <v>33</v>
      </c>
      <c r="G58" s="296" t="s">
        <v>971</v>
      </c>
      <c r="H58" s="225"/>
      <c r="I58" s="53"/>
      <c r="J58" s="53"/>
      <c r="K58" s="132"/>
      <c r="L58" s="493"/>
      <c r="M58" s="493"/>
      <c r="N58" s="70"/>
      <c r="O58" s="53"/>
      <c r="P58" s="53"/>
      <c r="Q58" s="53"/>
      <c r="R58" s="53"/>
      <c r="S58" s="53"/>
      <c r="T58" s="53"/>
    </row>
    <row r="59" spans="1:20" ht="12" hidden="1" customHeight="1" x14ac:dyDescent="0.3">
      <c r="A59" s="7"/>
      <c r="K59" s="130"/>
      <c r="L59" s="493"/>
      <c r="M59" s="493"/>
      <c r="N59" s="22"/>
      <c r="O59" s="7"/>
      <c r="P59" s="7"/>
      <c r="Q59" s="7"/>
      <c r="R59" s="7"/>
      <c r="S59" s="7"/>
      <c r="T59" s="7"/>
    </row>
    <row r="60" spans="1:20" hidden="1" x14ac:dyDescent="0.3">
      <c r="A60" s="7"/>
      <c r="C60" s="1018" t="s">
        <v>932</v>
      </c>
      <c r="D60" s="1018"/>
      <c r="E60" s="297"/>
      <c r="F60" s="298">
        <f>F67+F70+F68</f>
        <v>22.18</v>
      </c>
      <c r="G60" s="227" t="s">
        <v>971</v>
      </c>
      <c r="K60" s="130"/>
      <c r="L60" s="493"/>
      <c r="M60" s="493"/>
      <c r="N60" s="22"/>
      <c r="O60" s="7"/>
      <c r="P60" s="7"/>
      <c r="Q60" s="7"/>
      <c r="R60" s="7"/>
      <c r="S60" s="7"/>
      <c r="T60" s="7"/>
    </row>
    <row r="61" spans="1:20" ht="7.5" hidden="1" customHeight="1" x14ac:dyDescent="0.3">
      <c r="A61" s="7"/>
      <c r="K61" s="130"/>
      <c r="L61" s="493"/>
      <c r="M61" s="493"/>
      <c r="N61" s="22"/>
      <c r="O61" s="7"/>
      <c r="P61" s="7"/>
      <c r="Q61" s="7"/>
      <c r="R61" s="7"/>
      <c r="S61" s="7"/>
      <c r="T61" s="7"/>
    </row>
    <row r="62" spans="1:20" ht="27.6" hidden="1" x14ac:dyDescent="0.3">
      <c r="A62" s="7"/>
      <c r="C62" s="13" t="s">
        <v>929</v>
      </c>
      <c r="D62" s="14" t="s">
        <v>928</v>
      </c>
      <c r="E62" s="14" t="s">
        <v>514</v>
      </c>
      <c r="F62" s="14" t="s">
        <v>515</v>
      </c>
      <c r="G62" s="14" t="s">
        <v>962</v>
      </c>
      <c r="H62" s="14" t="s">
        <v>926</v>
      </c>
      <c r="I62" s="14" t="s">
        <v>516</v>
      </c>
      <c r="J62" s="14" t="s">
        <v>961</v>
      </c>
      <c r="K62" s="138"/>
      <c r="L62" s="493"/>
      <c r="M62" s="493"/>
      <c r="N62" s="22"/>
      <c r="O62" s="7"/>
      <c r="P62" s="7"/>
      <c r="Q62" s="7"/>
      <c r="R62" s="7"/>
      <c r="S62" s="7"/>
      <c r="T62" s="7"/>
    </row>
    <row r="63" spans="1:20" hidden="1" x14ac:dyDescent="0.3">
      <c r="A63" s="7"/>
      <c r="C63" s="17" t="str">
        <f>C9</f>
        <v>Лікар-лаборант</v>
      </c>
      <c r="D63" s="78">
        <f>D9</f>
        <v>10799.43</v>
      </c>
      <c r="E63" s="78">
        <f>D63*12</f>
        <v>129593.16</v>
      </c>
      <c r="F63" s="78">
        <f>F9</f>
        <v>8307.26</v>
      </c>
      <c r="G63" s="78">
        <f>G9</f>
        <v>4153.63</v>
      </c>
      <c r="H63" s="78">
        <f>E63+F63+G63</f>
        <v>142054.05000000002</v>
      </c>
      <c r="I63" s="17">
        <v>1807.2</v>
      </c>
      <c r="J63" s="16">
        <f>ROUND((H63/I63)/60,2)</f>
        <v>1.31</v>
      </c>
      <c r="K63" s="140"/>
      <c r="L63" s="493"/>
      <c r="M63" s="493"/>
      <c r="N63" s="22"/>
      <c r="O63" s="7"/>
      <c r="P63" s="7"/>
      <c r="Q63" s="7"/>
      <c r="R63" s="7"/>
      <c r="S63" s="7"/>
      <c r="T63" s="7"/>
    </row>
    <row r="64" spans="1:20" hidden="1" x14ac:dyDescent="0.3">
      <c r="A64" s="7"/>
      <c r="C64" s="17" t="str">
        <f>C10</f>
        <v>Лаборант клінічної лабораторії</v>
      </c>
      <c r="D64" s="78">
        <f>D10</f>
        <v>7871.18</v>
      </c>
      <c r="E64" s="78">
        <f>D64*12</f>
        <v>94454.16</v>
      </c>
      <c r="F64" s="78">
        <f>F10</f>
        <v>6054.75</v>
      </c>
      <c r="G64" s="78">
        <f>G10</f>
        <v>3027.375</v>
      </c>
      <c r="H64" s="78">
        <f>E64+F64+G64</f>
        <v>103536.285</v>
      </c>
      <c r="I64" s="17">
        <v>1807.2</v>
      </c>
      <c r="J64" s="16">
        <f>ROUND((H64/I64)/60,2)</f>
        <v>0.95</v>
      </c>
      <c r="K64" s="140"/>
      <c r="L64" s="493"/>
      <c r="M64" s="493"/>
      <c r="N64" s="22"/>
      <c r="O64" s="7"/>
      <c r="P64" s="7"/>
      <c r="Q64" s="7"/>
      <c r="R64" s="7"/>
      <c r="S64" s="7"/>
      <c r="T64" s="7"/>
    </row>
    <row r="65" spans="1:20" hidden="1" x14ac:dyDescent="0.3">
      <c r="A65" s="7"/>
      <c r="K65" s="130"/>
      <c r="L65" s="493"/>
      <c r="M65" s="493"/>
      <c r="N65" s="22"/>
      <c r="O65" s="7"/>
      <c r="P65" s="7"/>
      <c r="Q65" s="7"/>
      <c r="R65" s="7"/>
      <c r="S65" s="7"/>
      <c r="T65" s="7"/>
    </row>
    <row r="66" spans="1:20" hidden="1" x14ac:dyDescent="0.3">
      <c r="A66" s="7"/>
      <c r="C66" s="13" t="s">
        <v>929</v>
      </c>
      <c r="D66" s="14" t="s">
        <v>961</v>
      </c>
      <c r="E66" s="14" t="s">
        <v>930</v>
      </c>
      <c r="F66" s="14" t="s">
        <v>931</v>
      </c>
      <c r="K66" s="130"/>
      <c r="L66" s="493"/>
      <c r="M66" s="493"/>
      <c r="N66" s="22"/>
      <c r="O66" s="7"/>
      <c r="P66" s="7"/>
      <c r="Q66" s="7"/>
      <c r="R66" s="7"/>
      <c r="S66" s="7"/>
      <c r="T66" s="7"/>
    </row>
    <row r="67" spans="1:20" hidden="1" x14ac:dyDescent="0.3">
      <c r="A67" s="7"/>
      <c r="C67" s="15" t="str">
        <f>C63</f>
        <v>Лікар-лаборант</v>
      </c>
      <c r="D67" s="78">
        <f>J63</f>
        <v>1.31</v>
      </c>
      <c r="E67" s="73">
        <v>3</v>
      </c>
      <c r="F67" s="299">
        <f>ROUND(D67*E67,2)</f>
        <v>3.93</v>
      </c>
      <c r="K67" s="130"/>
      <c r="L67" s="493"/>
      <c r="M67" s="493"/>
      <c r="N67" s="22"/>
      <c r="O67" s="7"/>
      <c r="P67" s="7"/>
      <c r="Q67" s="7"/>
      <c r="R67" s="7"/>
      <c r="S67" s="7"/>
      <c r="T67" s="7"/>
    </row>
    <row r="68" spans="1:20" hidden="1" x14ac:dyDescent="0.3">
      <c r="A68" s="7"/>
      <c r="C68" s="15" t="str">
        <f>C64</f>
        <v>Лаборант клінічної лабораторії</v>
      </c>
      <c r="D68" s="78">
        <f>J64</f>
        <v>0.95</v>
      </c>
      <c r="E68" s="73">
        <v>15</v>
      </c>
      <c r="F68" s="299">
        <f>ROUND(D68*E68,2)</f>
        <v>14.25</v>
      </c>
      <c r="K68" s="130"/>
      <c r="L68" s="493"/>
      <c r="M68" s="493"/>
      <c r="N68" s="22"/>
      <c r="O68" s="7"/>
      <c r="P68" s="7"/>
      <c r="Q68" s="7"/>
      <c r="R68" s="7"/>
      <c r="S68" s="7"/>
      <c r="T68" s="7"/>
    </row>
    <row r="69" spans="1:20" hidden="1" x14ac:dyDescent="0.3">
      <c r="A69" s="7"/>
      <c r="D69" s="19"/>
      <c r="E69" s="74" t="s">
        <v>1016</v>
      </c>
      <c r="K69" s="130"/>
      <c r="L69" s="493"/>
      <c r="M69" s="493"/>
      <c r="N69" s="22"/>
      <c r="O69" s="7"/>
      <c r="P69" s="7"/>
      <c r="Q69" s="7"/>
      <c r="R69" s="7"/>
      <c r="S69" s="7"/>
      <c r="T69" s="7"/>
    </row>
    <row r="70" spans="1:20" hidden="1" x14ac:dyDescent="0.3">
      <c r="A70" s="7"/>
      <c r="C70" s="17" t="s">
        <v>933</v>
      </c>
      <c r="D70" s="78">
        <f>F67+F68</f>
        <v>18.18</v>
      </c>
      <c r="E70" s="300">
        <v>0.22</v>
      </c>
      <c r="F70" s="301">
        <f>ROUND(D70*E70,2)</f>
        <v>4</v>
      </c>
      <c r="K70" s="130"/>
      <c r="L70" s="493"/>
      <c r="M70" s="493"/>
      <c r="N70" s="22"/>
      <c r="O70" s="7"/>
      <c r="P70" s="7"/>
      <c r="Q70" s="7"/>
      <c r="R70" s="7"/>
      <c r="S70" s="7"/>
      <c r="T70" s="7"/>
    </row>
    <row r="71" spans="1:20" hidden="1" x14ac:dyDescent="0.3">
      <c r="A71" s="7"/>
      <c r="K71" s="130"/>
      <c r="L71" s="493"/>
      <c r="M71" s="493"/>
      <c r="N71" s="22"/>
      <c r="O71" s="7"/>
      <c r="P71" s="7"/>
      <c r="Q71" s="7"/>
      <c r="R71" s="7"/>
      <c r="S71" s="7"/>
      <c r="T71" s="7"/>
    </row>
    <row r="72" spans="1:20" hidden="1" x14ac:dyDescent="0.3">
      <c r="A72" s="7"/>
      <c r="C72" s="12" t="s">
        <v>946</v>
      </c>
      <c r="D72" s="227"/>
      <c r="E72" s="227"/>
      <c r="F72" s="227">
        <f>G85</f>
        <v>7.51</v>
      </c>
      <c r="G72" s="227" t="s">
        <v>971</v>
      </c>
      <c r="K72" s="130"/>
      <c r="L72" s="493"/>
      <c r="M72" s="493"/>
      <c r="N72" s="22"/>
      <c r="O72" s="7"/>
      <c r="P72" s="7"/>
      <c r="Q72" s="7"/>
      <c r="R72" s="7"/>
      <c r="S72" s="7"/>
      <c r="T72" s="7"/>
    </row>
    <row r="73" spans="1:20" hidden="1" x14ac:dyDescent="0.3">
      <c r="A73" s="7"/>
      <c r="K73" s="130"/>
      <c r="L73" s="493"/>
      <c r="M73" s="493"/>
      <c r="N73" s="22"/>
      <c r="O73" s="7"/>
      <c r="P73" s="7"/>
      <c r="Q73" s="7"/>
      <c r="R73" s="7"/>
      <c r="S73" s="7"/>
      <c r="T73" s="7"/>
    </row>
    <row r="74" spans="1:20" ht="40.5" hidden="1" customHeight="1" x14ac:dyDescent="0.3">
      <c r="A74" s="7"/>
      <c r="B74" s="82" t="s">
        <v>991</v>
      </c>
      <c r="C74" s="83" t="s">
        <v>986</v>
      </c>
      <c r="D74" s="83" t="s">
        <v>987</v>
      </c>
      <c r="E74" s="83" t="s">
        <v>988</v>
      </c>
      <c r="F74" s="83" t="s">
        <v>989</v>
      </c>
      <c r="G74" s="82" t="s">
        <v>990</v>
      </c>
      <c r="K74" s="130"/>
      <c r="L74" s="493"/>
      <c r="M74" s="493"/>
      <c r="N74" s="22"/>
      <c r="O74" s="7"/>
      <c r="P74" s="7"/>
      <c r="Q74" s="7"/>
      <c r="R74" s="7"/>
      <c r="S74" s="7"/>
      <c r="T74" s="7"/>
    </row>
    <row r="75" spans="1:20" hidden="1" x14ac:dyDescent="0.3">
      <c r="A75" s="7"/>
      <c r="B75" s="73">
        <v>1</v>
      </c>
      <c r="C75" s="85" t="s">
        <v>191</v>
      </c>
      <c r="D75" s="358" t="s">
        <v>941</v>
      </c>
      <c r="E75" s="358">
        <f>'МЕДИЧНІ М'!E197</f>
        <v>27</v>
      </c>
      <c r="F75" s="86">
        <v>25</v>
      </c>
      <c r="G75" s="88">
        <f>ROUND(E75/F75,2)</f>
        <v>1.08</v>
      </c>
      <c r="K75" s="130"/>
      <c r="L75" s="493"/>
      <c r="M75" s="493"/>
      <c r="N75" s="22"/>
      <c r="O75" s="7"/>
      <c r="P75" s="7"/>
      <c r="Q75" s="7"/>
      <c r="R75" s="7"/>
      <c r="S75" s="7"/>
      <c r="T75" s="7"/>
    </row>
    <row r="76" spans="1:20" ht="28.2" hidden="1" x14ac:dyDescent="0.3">
      <c r="A76" s="7"/>
      <c r="B76" s="73">
        <f>B75+1</f>
        <v>2</v>
      </c>
      <c r="C76" s="85" t="s">
        <v>192</v>
      </c>
      <c r="D76" s="358" t="s">
        <v>941</v>
      </c>
      <c r="E76" s="358">
        <f>'МЕДИЧНІ М'!E214</f>
        <v>120</v>
      </c>
      <c r="F76" s="86">
        <v>100</v>
      </c>
      <c r="G76" s="88">
        <f>ROUND(E76/F76,2)</f>
        <v>1.2</v>
      </c>
      <c r="K76" s="130"/>
      <c r="L76" s="493"/>
      <c r="M76" s="493"/>
      <c r="N76" s="22"/>
      <c r="O76" s="7"/>
      <c r="P76" s="7"/>
      <c r="Q76" s="7"/>
      <c r="R76" s="7"/>
      <c r="S76" s="7"/>
      <c r="T76" s="7"/>
    </row>
    <row r="77" spans="1:20" hidden="1" x14ac:dyDescent="0.3">
      <c r="A77" s="7"/>
      <c r="B77" s="73">
        <f t="shared" ref="B77:B84" si="3">B76+1</f>
        <v>3</v>
      </c>
      <c r="C77" s="85" t="s">
        <v>934</v>
      </c>
      <c r="D77" s="359" t="s">
        <v>941</v>
      </c>
      <c r="E77" s="359">
        <f>'МЕДИЧНІ М'!E210</f>
        <v>2.8</v>
      </c>
      <c r="F77" s="505">
        <v>10</v>
      </c>
      <c r="G77" s="88">
        <f>ROUND(E77/F77,2)</f>
        <v>0.28000000000000003</v>
      </c>
      <c r="K77" s="130"/>
      <c r="L77" s="493"/>
      <c r="M77" s="493"/>
      <c r="N77" s="22"/>
      <c r="O77" s="7"/>
      <c r="P77" s="7"/>
      <c r="Q77" s="7"/>
      <c r="R77" s="7"/>
      <c r="S77" s="7"/>
      <c r="T77" s="7"/>
    </row>
    <row r="78" spans="1:20" hidden="1" x14ac:dyDescent="0.3">
      <c r="A78" s="7"/>
      <c r="B78" s="73">
        <f t="shared" si="3"/>
        <v>4</v>
      </c>
      <c r="C78" s="85" t="s">
        <v>981</v>
      </c>
      <c r="D78" s="359" t="s">
        <v>941</v>
      </c>
      <c r="E78" s="359">
        <f>'МЕДИЧНІ М'!E209</f>
        <v>0.6</v>
      </c>
      <c r="F78" s="360">
        <v>1</v>
      </c>
      <c r="G78" s="88">
        <f>ROUND(E78/F78,2)</f>
        <v>0.6</v>
      </c>
      <c r="K78" s="130"/>
      <c r="L78" s="493"/>
      <c r="M78" s="493"/>
      <c r="N78" s="22"/>
      <c r="O78" s="7"/>
      <c r="P78" s="7"/>
      <c r="Q78" s="7"/>
      <c r="R78" s="7"/>
      <c r="S78" s="7"/>
      <c r="T78" s="7"/>
    </row>
    <row r="79" spans="1:20" hidden="1" x14ac:dyDescent="0.3">
      <c r="A79" s="7"/>
      <c r="B79" s="73">
        <f t="shared" si="3"/>
        <v>5</v>
      </c>
      <c r="C79" s="85" t="s">
        <v>982</v>
      </c>
      <c r="D79" s="359" t="s">
        <v>941</v>
      </c>
      <c r="E79" s="359">
        <f>'МЕДИЧНІ М'!E208</f>
        <v>11</v>
      </c>
      <c r="F79" s="360">
        <v>100</v>
      </c>
      <c r="G79" s="88">
        <f>ROUND(E79/F79,2)</f>
        <v>0.11</v>
      </c>
      <c r="K79" s="130"/>
      <c r="L79" s="493"/>
      <c r="M79" s="493"/>
      <c r="N79" s="22"/>
      <c r="O79" s="7"/>
      <c r="P79" s="7"/>
      <c r="Q79" s="7"/>
      <c r="R79" s="7"/>
      <c r="S79" s="7"/>
      <c r="T79" s="7"/>
    </row>
    <row r="80" spans="1:20" hidden="1" x14ac:dyDescent="0.3">
      <c r="A80" s="7"/>
      <c r="B80" s="73">
        <f t="shared" si="3"/>
        <v>6</v>
      </c>
      <c r="C80" s="85" t="s">
        <v>936</v>
      </c>
      <c r="D80" s="359" t="s">
        <v>937</v>
      </c>
      <c r="E80" s="359">
        <f>'МЕДИЧНІ М'!E204</f>
        <v>0.3</v>
      </c>
      <c r="F80" s="360">
        <v>1</v>
      </c>
      <c r="G80" s="361">
        <f>ROUND(E80*F80,2)</f>
        <v>0.3</v>
      </c>
      <c r="K80" s="130"/>
      <c r="L80" s="493"/>
      <c r="M80" s="493"/>
      <c r="N80" s="22"/>
      <c r="O80" s="7"/>
      <c r="P80" s="7"/>
      <c r="Q80" s="7"/>
      <c r="R80" s="7"/>
      <c r="S80" s="7"/>
      <c r="T80" s="7"/>
    </row>
    <row r="81" spans="1:20" hidden="1" x14ac:dyDescent="0.3">
      <c r="A81" s="7"/>
      <c r="B81" s="73">
        <f t="shared" si="3"/>
        <v>7</v>
      </c>
      <c r="C81" s="27" t="s">
        <v>940</v>
      </c>
      <c r="D81" s="28" t="s">
        <v>941</v>
      </c>
      <c r="E81" s="81">
        <f>'МЕДИЧНІ М'!E202</f>
        <v>2</v>
      </c>
      <c r="F81" s="504">
        <v>1.25</v>
      </c>
      <c r="G81" s="81">
        <f>ROUND(E81*F81,2)</f>
        <v>2.5</v>
      </c>
      <c r="K81" s="130"/>
      <c r="L81" s="493"/>
      <c r="M81" s="493"/>
      <c r="N81" s="22"/>
      <c r="O81" s="7"/>
      <c r="P81" s="7"/>
      <c r="Q81" s="7"/>
      <c r="R81" s="7"/>
      <c r="S81" s="7"/>
      <c r="T81" s="7"/>
    </row>
    <row r="82" spans="1:20" hidden="1" x14ac:dyDescent="0.3">
      <c r="A82" s="7"/>
      <c r="B82" s="73">
        <f t="shared" si="3"/>
        <v>8</v>
      </c>
      <c r="C82" s="27" t="s">
        <v>943</v>
      </c>
      <c r="D82" s="28" t="s">
        <v>944</v>
      </c>
      <c r="E82" s="81">
        <f>'МЕДИЧНІ М'!E198</f>
        <v>6.72</v>
      </c>
      <c r="F82" s="28">
        <v>0.14000000000000001</v>
      </c>
      <c r="G82" s="28">
        <f>ROUND(E82*F82,2)</f>
        <v>0.94</v>
      </c>
      <c r="K82" s="130"/>
      <c r="L82" s="493"/>
      <c r="M82" s="493"/>
      <c r="N82" s="22"/>
      <c r="O82" s="7"/>
      <c r="P82" s="7"/>
      <c r="Q82" s="7"/>
      <c r="R82" s="7"/>
      <c r="S82" s="7"/>
      <c r="T82" s="7"/>
    </row>
    <row r="83" spans="1:20" hidden="1" x14ac:dyDescent="0.3">
      <c r="A83" s="7"/>
      <c r="B83" s="73">
        <f t="shared" si="3"/>
        <v>9</v>
      </c>
      <c r="C83" s="27" t="s">
        <v>942</v>
      </c>
      <c r="D83" s="358" t="s">
        <v>974</v>
      </c>
      <c r="E83" s="359">
        <f>'МЕДИЧНІ М'!E215</f>
        <v>24.6</v>
      </c>
      <c r="F83" s="360">
        <v>100</v>
      </c>
      <c r="G83" s="361">
        <f>ROUND(E83/F83,2)</f>
        <v>0.25</v>
      </c>
      <c r="K83" s="130"/>
      <c r="L83" s="493"/>
      <c r="M83" s="493"/>
      <c r="N83" s="22"/>
      <c r="O83" s="7"/>
      <c r="P83" s="7"/>
      <c r="Q83" s="7"/>
      <c r="R83" s="7"/>
      <c r="S83" s="7"/>
      <c r="T83" s="7"/>
    </row>
    <row r="84" spans="1:20" hidden="1" x14ac:dyDescent="0.3">
      <c r="A84" s="7"/>
      <c r="B84" s="73">
        <f t="shared" si="3"/>
        <v>10</v>
      </c>
      <c r="C84" s="27" t="s">
        <v>1124</v>
      </c>
      <c r="D84" s="28" t="s">
        <v>944</v>
      </c>
      <c r="E84" s="81">
        <f>'МЕДИЧНІ М'!E200</f>
        <v>0.5</v>
      </c>
      <c r="F84" s="81">
        <v>0.5</v>
      </c>
      <c r="G84" s="28">
        <f>ROUND(E84*F84,2)</f>
        <v>0.25</v>
      </c>
      <c r="K84" s="130"/>
      <c r="L84" s="493"/>
      <c r="M84" s="493"/>
      <c r="N84" s="22"/>
      <c r="O84" s="7"/>
      <c r="P84" s="7"/>
      <c r="Q84" s="7"/>
      <c r="R84" s="7"/>
      <c r="S84" s="7"/>
      <c r="T84" s="7"/>
    </row>
    <row r="85" spans="1:20" hidden="1" x14ac:dyDescent="0.3">
      <c r="A85" s="7"/>
      <c r="B85" s="1012" t="s">
        <v>945</v>
      </c>
      <c r="C85" s="1013"/>
      <c r="D85" s="1013"/>
      <c r="E85" s="1013"/>
      <c r="F85" s="1014"/>
      <c r="G85" s="572">
        <f>SUM(G75:G84)</f>
        <v>7.51</v>
      </c>
      <c r="K85" s="130"/>
      <c r="L85" s="493"/>
      <c r="M85" s="493"/>
      <c r="N85" s="22"/>
      <c r="O85" s="7"/>
      <c r="P85" s="7"/>
      <c r="Q85" s="7"/>
      <c r="R85" s="7"/>
      <c r="S85" s="7"/>
      <c r="T85" s="7"/>
    </row>
    <row r="86" spans="1:20" ht="10.5" hidden="1" customHeight="1" x14ac:dyDescent="0.3">
      <c r="A86" s="7"/>
      <c r="K86" s="130"/>
      <c r="L86" s="493"/>
      <c r="M86" s="493"/>
      <c r="N86" s="22"/>
      <c r="O86" s="7"/>
      <c r="P86" s="7"/>
      <c r="Q86" s="7"/>
      <c r="R86" s="7"/>
      <c r="S86" s="7"/>
      <c r="T86" s="7"/>
    </row>
    <row r="87" spans="1:20" hidden="1" x14ac:dyDescent="0.3">
      <c r="A87" s="7"/>
      <c r="C87" s="12" t="s">
        <v>968</v>
      </c>
      <c r="D87" s="227"/>
      <c r="E87" s="227"/>
      <c r="F87" s="298">
        <f>H90</f>
        <v>0.72</v>
      </c>
      <c r="G87" s="227" t="s">
        <v>971</v>
      </c>
      <c r="K87" s="130"/>
      <c r="L87" s="493"/>
      <c r="M87" s="493"/>
      <c r="N87" s="22"/>
      <c r="O87" s="7"/>
      <c r="P87" s="7"/>
      <c r="Q87" s="7"/>
      <c r="R87" s="7"/>
      <c r="S87" s="7"/>
      <c r="T87" s="7"/>
    </row>
    <row r="88" spans="1:20" hidden="1" x14ac:dyDescent="0.3">
      <c r="A88" s="7"/>
      <c r="C88" s="22"/>
      <c r="D88" s="36"/>
      <c r="E88" s="36"/>
      <c r="F88" s="302"/>
      <c r="G88" s="36"/>
      <c r="K88" s="130"/>
      <c r="L88" s="493"/>
      <c r="M88" s="493"/>
      <c r="N88" s="22"/>
      <c r="O88" s="7"/>
      <c r="P88" s="7"/>
      <c r="Q88" s="7"/>
      <c r="R88" s="7"/>
      <c r="S88" s="7"/>
      <c r="T88" s="7"/>
    </row>
    <row r="89" spans="1:20" ht="27.6" hidden="1" x14ac:dyDescent="0.3">
      <c r="A89" s="7"/>
      <c r="C89" s="14" t="s">
        <v>513</v>
      </c>
      <c r="D89" s="14" t="s">
        <v>1108</v>
      </c>
      <c r="E89" s="14" t="s">
        <v>516</v>
      </c>
      <c r="F89" s="14" t="s">
        <v>970</v>
      </c>
      <c r="G89" s="14" t="s">
        <v>930</v>
      </c>
      <c r="H89" s="14" t="s">
        <v>961</v>
      </c>
      <c r="K89" s="130"/>
      <c r="L89" s="493"/>
      <c r="M89" s="493"/>
      <c r="N89" s="22"/>
      <c r="O89" s="7"/>
      <c r="P89" s="7"/>
      <c r="Q89" s="7"/>
      <c r="R89" s="7"/>
      <c r="S89" s="7"/>
      <c r="T89" s="7"/>
    </row>
    <row r="90" spans="1:20" hidden="1" x14ac:dyDescent="0.3">
      <c r="A90" s="7"/>
      <c r="C90" s="27" t="s">
        <v>1090</v>
      </c>
      <c r="D90" s="73">
        <f>АМОРТИЗАЦІЯ!C5</f>
        <v>34445.759999999995</v>
      </c>
      <c r="E90" s="73">
        <v>13679.5</v>
      </c>
      <c r="F90" s="73">
        <f>ROUND((D90/E90)/60,2)</f>
        <v>0.04</v>
      </c>
      <c r="G90" s="73">
        <f>E67+E68</f>
        <v>18</v>
      </c>
      <c r="H90" s="78">
        <f>ROUND(F90*G90,2)</f>
        <v>0.72</v>
      </c>
      <c r="I90" s="38"/>
      <c r="K90" s="130"/>
      <c r="L90" s="493"/>
      <c r="M90" s="493"/>
      <c r="N90" s="22"/>
      <c r="O90" s="7"/>
      <c r="P90" s="7"/>
      <c r="Q90" s="7"/>
      <c r="R90" s="7"/>
      <c r="S90" s="7"/>
      <c r="T90" s="7"/>
    </row>
    <row r="91" spans="1:20" hidden="1" x14ac:dyDescent="0.3">
      <c r="A91" s="7"/>
      <c r="K91" s="130"/>
      <c r="L91" s="493"/>
      <c r="M91" s="493"/>
      <c r="N91" s="22"/>
      <c r="O91" s="7"/>
      <c r="P91" s="7"/>
      <c r="Q91" s="7"/>
      <c r="R91" s="7"/>
      <c r="S91" s="7"/>
      <c r="T91" s="7"/>
    </row>
    <row r="92" spans="1:20" hidden="1" x14ac:dyDescent="0.3">
      <c r="A92" s="7"/>
      <c r="C92" s="12" t="s">
        <v>948</v>
      </c>
      <c r="D92" s="227"/>
      <c r="E92" s="227"/>
      <c r="F92" s="298">
        <f>H105</f>
        <v>2.34</v>
      </c>
      <c r="G92" s="227" t="s">
        <v>971</v>
      </c>
      <c r="K92" s="130"/>
      <c r="L92" s="493"/>
      <c r="M92" s="493"/>
      <c r="N92" s="22"/>
      <c r="O92" s="7"/>
      <c r="P92" s="7"/>
      <c r="Q92" s="7"/>
      <c r="R92" s="7"/>
      <c r="S92" s="7"/>
      <c r="T92" s="7"/>
    </row>
    <row r="93" spans="1:20" ht="3" hidden="1" customHeight="1" x14ac:dyDescent="0.3">
      <c r="A93" s="7"/>
      <c r="C93" s="22"/>
      <c r="D93" s="36"/>
      <c r="E93" s="36"/>
      <c r="F93" s="302"/>
      <c r="K93" s="130"/>
      <c r="L93" s="493"/>
      <c r="M93" s="493"/>
      <c r="N93" s="22"/>
      <c r="O93" s="7"/>
      <c r="P93" s="7"/>
      <c r="Q93" s="7"/>
      <c r="R93" s="7"/>
      <c r="S93" s="7"/>
      <c r="T93" s="7"/>
    </row>
    <row r="94" spans="1:20" ht="27.6" hidden="1" x14ac:dyDescent="0.3">
      <c r="A94" s="7"/>
      <c r="C94" s="14" t="s">
        <v>948</v>
      </c>
      <c r="D94" s="14" t="s">
        <v>1110</v>
      </c>
      <c r="E94" s="14" t="s">
        <v>516</v>
      </c>
      <c r="F94" s="14" t="s">
        <v>954</v>
      </c>
      <c r="G94" s="14" t="s">
        <v>930</v>
      </c>
      <c r="H94" s="14" t="s">
        <v>1111</v>
      </c>
      <c r="K94" s="130"/>
      <c r="L94" s="493"/>
      <c r="M94" s="493"/>
      <c r="N94" s="22"/>
      <c r="O94" s="7"/>
      <c r="P94" s="7"/>
      <c r="Q94" s="7"/>
      <c r="R94" s="7"/>
      <c r="S94" s="7"/>
      <c r="T94" s="7"/>
    </row>
    <row r="95" spans="1:20" hidden="1" x14ac:dyDescent="0.3">
      <c r="A95" s="7"/>
      <c r="C95" s="1009" t="str">
        <f>C63</f>
        <v>Лікар-лаборант</v>
      </c>
      <c r="D95" s="1010"/>
      <c r="E95" s="1010"/>
      <c r="F95" s="1010"/>
      <c r="G95" s="1010"/>
      <c r="H95" s="1011"/>
      <c r="K95" s="130"/>
      <c r="L95" s="493"/>
      <c r="M95" s="493"/>
      <c r="N95" s="22"/>
      <c r="O95" s="7"/>
      <c r="P95" s="7"/>
      <c r="Q95" s="7"/>
      <c r="R95" s="7"/>
      <c r="S95" s="7"/>
      <c r="T95" s="7"/>
    </row>
    <row r="96" spans="1:20" hidden="1" x14ac:dyDescent="0.3">
      <c r="A96" s="7"/>
      <c r="C96" s="17" t="s">
        <v>951</v>
      </c>
      <c r="D96" s="221">
        <f>D40</f>
        <v>12188.608008565312</v>
      </c>
      <c r="E96" s="73">
        <f>I63</f>
        <v>1807.2</v>
      </c>
      <c r="F96" s="73">
        <f>ROUND((D96/E96)/60,2)</f>
        <v>0.11</v>
      </c>
      <c r="G96" s="73">
        <f>E67</f>
        <v>3</v>
      </c>
      <c r="H96" s="78">
        <f>ROUND(F96*G96,2)</f>
        <v>0.33</v>
      </c>
      <c r="K96" s="130"/>
      <c r="L96" s="493"/>
      <c r="M96" s="493"/>
      <c r="N96" s="22"/>
      <c r="O96" s="7"/>
      <c r="P96" s="7"/>
      <c r="Q96" s="7"/>
      <c r="R96" s="7"/>
      <c r="S96" s="7"/>
      <c r="T96" s="7"/>
    </row>
    <row r="97" spans="1:20" hidden="1" x14ac:dyDescent="0.3">
      <c r="A97" s="7"/>
      <c r="C97" s="17" t="s">
        <v>952</v>
      </c>
      <c r="D97" s="221">
        <f>D41</f>
        <v>53.149721627408987</v>
      </c>
      <c r="E97" s="73">
        <f>I63</f>
        <v>1807.2</v>
      </c>
      <c r="F97" s="73">
        <f>ROUND((D97/E97)/60,2)</f>
        <v>0</v>
      </c>
      <c r="G97" s="73">
        <f>E67</f>
        <v>3</v>
      </c>
      <c r="H97" s="78">
        <f>ROUND(F97*G97,2)</f>
        <v>0</v>
      </c>
      <c r="K97" s="130"/>
      <c r="L97" s="493"/>
      <c r="M97" s="493"/>
      <c r="N97" s="22"/>
      <c r="O97" s="7"/>
      <c r="P97" s="7"/>
      <c r="Q97" s="7"/>
      <c r="R97" s="7"/>
      <c r="S97" s="7"/>
      <c r="T97" s="7"/>
    </row>
    <row r="98" spans="1:20" hidden="1" x14ac:dyDescent="0.3">
      <c r="A98" s="7"/>
      <c r="C98" s="17" t="s">
        <v>953</v>
      </c>
      <c r="D98" s="221">
        <f>D42</f>
        <v>374.98368308351178</v>
      </c>
      <c r="E98" s="73">
        <f>I63</f>
        <v>1807.2</v>
      </c>
      <c r="F98" s="73">
        <f>ROUND((D98/E98)/60,2)</f>
        <v>0</v>
      </c>
      <c r="G98" s="73">
        <f>E67</f>
        <v>3</v>
      </c>
      <c r="H98" s="78">
        <f>ROUND(F98*G98,2)</f>
        <v>0</v>
      </c>
      <c r="K98" s="130"/>
      <c r="L98" s="493"/>
      <c r="M98" s="493"/>
      <c r="N98" s="22"/>
      <c r="O98" s="7"/>
      <c r="P98" s="7"/>
      <c r="Q98" s="7"/>
      <c r="R98" s="7"/>
      <c r="S98" s="7"/>
      <c r="T98" s="7"/>
    </row>
    <row r="99" spans="1:20" hidden="1" x14ac:dyDescent="0.3">
      <c r="A99" s="7"/>
      <c r="C99" s="17" t="s">
        <v>1109</v>
      </c>
      <c r="D99" s="221">
        <f>D43</f>
        <v>1686.0389293361886</v>
      </c>
      <c r="E99" s="73">
        <f>I64</f>
        <v>1807.2</v>
      </c>
      <c r="F99" s="73">
        <f>ROUND((D99/E99)/60,2)</f>
        <v>0.02</v>
      </c>
      <c r="G99" s="73">
        <f>E67</f>
        <v>3</v>
      </c>
      <c r="H99" s="78">
        <f>ROUND(F99*G99,2)</f>
        <v>0.06</v>
      </c>
      <c r="K99" s="130"/>
      <c r="L99" s="493"/>
      <c r="M99" s="493"/>
      <c r="N99" s="22"/>
      <c r="O99" s="7"/>
      <c r="P99" s="7"/>
      <c r="Q99" s="7"/>
      <c r="R99" s="7"/>
      <c r="S99" s="7"/>
      <c r="T99" s="7"/>
    </row>
    <row r="100" spans="1:20" hidden="1" x14ac:dyDescent="0.3">
      <c r="A100" s="7"/>
      <c r="C100" s="1009" t="str">
        <f>C64</f>
        <v>Лаборант клінічної лабораторії</v>
      </c>
      <c r="D100" s="1010"/>
      <c r="E100" s="1010"/>
      <c r="F100" s="1010"/>
      <c r="G100" s="1010"/>
      <c r="H100" s="1011"/>
      <c r="K100" s="130"/>
      <c r="L100" s="493"/>
      <c r="M100" s="493"/>
      <c r="N100" s="22"/>
      <c r="O100" s="7"/>
      <c r="P100" s="7"/>
      <c r="Q100" s="7"/>
      <c r="R100" s="7"/>
      <c r="S100" s="7"/>
      <c r="T100" s="7"/>
    </row>
    <row r="101" spans="1:20" hidden="1" x14ac:dyDescent="0.3">
      <c r="A101" s="7"/>
      <c r="C101" s="17" t="s">
        <v>951</v>
      </c>
      <c r="D101" s="221">
        <f>D96</f>
        <v>12188.608008565312</v>
      </c>
      <c r="E101" s="73">
        <f>I64</f>
        <v>1807.2</v>
      </c>
      <c r="F101" s="73">
        <f>ROUND((D101/E101)/60,2)</f>
        <v>0.11</v>
      </c>
      <c r="G101" s="73">
        <f>E68</f>
        <v>15</v>
      </c>
      <c r="H101" s="78">
        <f>ROUND(F101*G101,2)</f>
        <v>1.65</v>
      </c>
      <c r="K101" s="130"/>
      <c r="L101" s="493"/>
      <c r="M101" s="493"/>
      <c r="N101" s="22"/>
      <c r="O101" s="7"/>
      <c r="P101" s="7"/>
      <c r="Q101" s="7"/>
      <c r="R101" s="7"/>
      <c r="S101" s="7"/>
      <c r="T101" s="7"/>
    </row>
    <row r="102" spans="1:20" hidden="1" x14ac:dyDescent="0.3">
      <c r="A102" s="7"/>
      <c r="C102" s="17" t="s">
        <v>952</v>
      </c>
      <c r="D102" s="221">
        <f>D97</f>
        <v>53.149721627408987</v>
      </c>
      <c r="E102" s="73">
        <f>I64</f>
        <v>1807.2</v>
      </c>
      <c r="F102" s="73">
        <f>ROUND((D102/E102)/60,2)</f>
        <v>0</v>
      </c>
      <c r="G102" s="73">
        <f>E68</f>
        <v>15</v>
      </c>
      <c r="H102" s="78">
        <f>ROUND(F102*G102,2)</f>
        <v>0</v>
      </c>
      <c r="K102" s="130"/>
      <c r="L102" s="493"/>
      <c r="M102" s="493"/>
      <c r="N102" s="22"/>
      <c r="O102" s="7"/>
      <c r="P102" s="7"/>
      <c r="Q102" s="7"/>
      <c r="R102" s="7"/>
      <c r="S102" s="7"/>
      <c r="T102" s="7"/>
    </row>
    <row r="103" spans="1:20" hidden="1" x14ac:dyDescent="0.3">
      <c r="A103" s="7"/>
      <c r="C103" s="17" t="s">
        <v>953</v>
      </c>
      <c r="D103" s="221">
        <f>D98</f>
        <v>374.98368308351178</v>
      </c>
      <c r="E103" s="73">
        <f>I64</f>
        <v>1807.2</v>
      </c>
      <c r="F103" s="73">
        <f>ROUND((D103/E103)/60,2)</f>
        <v>0</v>
      </c>
      <c r="G103" s="73">
        <f>E68</f>
        <v>15</v>
      </c>
      <c r="H103" s="78">
        <f>ROUND(F103*G103,2)</f>
        <v>0</v>
      </c>
      <c r="K103" s="130"/>
      <c r="L103" s="493"/>
      <c r="M103" s="493"/>
      <c r="N103" s="22"/>
      <c r="O103" s="7"/>
      <c r="P103" s="7"/>
      <c r="Q103" s="7"/>
      <c r="R103" s="7"/>
      <c r="S103" s="7"/>
      <c r="T103" s="7"/>
    </row>
    <row r="104" spans="1:20" hidden="1" x14ac:dyDescent="0.3">
      <c r="A104" s="7"/>
      <c r="C104" s="17" t="s">
        <v>1109</v>
      </c>
      <c r="D104" s="221">
        <f>D99</f>
        <v>1686.0389293361886</v>
      </c>
      <c r="E104" s="73">
        <f>I64</f>
        <v>1807.2</v>
      </c>
      <c r="F104" s="73">
        <f>ROUND((D104/E104)/60,2)</f>
        <v>0.02</v>
      </c>
      <c r="G104" s="73">
        <f>E68</f>
        <v>15</v>
      </c>
      <c r="H104" s="78">
        <f>ROUND(F104*G104,2)</f>
        <v>0.3</v>
      </c>
      <c r="K104" s="130"/>
      <c r="L104" s="493"/>
      <c r="M104" s="493"/>
      <c r="N104" s="22"/>
      <c r="O104" s="7"/>
      <c r="P104" s="7"/>
      <c r="Q104" s="7"/>
      <c r="R104" s="7"/>
      <c r="S104" s="7"/>
      <c r="T104" s="7"/>
    </row>
    <row r="105" spans="1:20" hidden="1" x14ac:dyDescent="0.3">
      <c r="A105" s="7"/>
      <c r="C105" s="1012" t="s">
        <v>957</v>
      </c>
      <c r="D105" s="1013"/>
      <c r="E105" s="1013"/>
      <c r="F105" s="1013"/>
      <c r="G105" s="1014"/>
      <c r="H105" s="299">
        <f>SUM(H96:H104)</f>
        <v>2.34</v>
      </c>
      <c r="K105" s="130"/>
      <c r="L105" s="493"/>
      <c r="M105" s="493"/>
      <c r="N105" s="22"/>
      <c r="O105" s="7"/>
      <c r="P105" s="7"/>
      <c r="Q105" s="7"/>
      <c r="R105" s="7"/>
      <c r="S105" s="7"/>
      <c r="T105" s="7"/>
    </row>
    <row r="106" spans="1:20" ht="4.5" hidden="1" customHeight="1" x14ac:dyDescent="0.3">
      <c r="A106" s="7"/>
      <c r="K106" s="130"/>
      <c r="L106" s="493"/>
      <c r="M106" s="493"/>
      <c r="N106" s="22"/>
      <c r="O106" s="7"/>
      <c r="P106" s="7"/>
      <c r="Q106" s="7"/>
      <c r="R106" s="7"/>
      <c r="S106" s="7"/>
      <c r="T106" s="7"/>
    </row>
    <row r="107" spans="1:20" hidden="1" x14ac:dyDescent="0.3">
      <c r="A107" s="7"/>
      <c r="C107" s="1015" t="s">
        <v>959</v>
      </c>
      <c r="D107" s="1015"/>
      <c r="E107" s="1015"/>
      <c r="F107" s="1015"/>
      <c r="G107" s="1015"/>
      <c r="H107" s="334">
        <f>F60+F72+F92+F87</f>
        <v>32.75</v>
      </c>
      <c r="K107" s="130"/>
      <c r="L107" s="493"/>
      <c r="M107" s="493"/>
      <c r="N107" s="22"/>
      <c r="O107" s="7"/>
      <c r="P107" s="7"/>
      <c r="Q107" s="7"/>
      <c r="R107" s="7"/>
      <c r="S107" s="7"/>
      <c r="T107" s="7"/>
    </row>
    <row r="108" spans="1:20" hidden="1" x14ac:dyDescent="0.3">
      <c r="A108" s="7"/>
      <c r="C108" s="33"/>
      <c r="D108" s="33"/>
      <c r="E108" s="33"/>
      <c r="F108" s="33"/>
      <c r="G108" s="33"/>
      <c r="H108" s="335"/>
      <c r="K108" s="130"/>
      <c r="L108" s="493"/>
      <c r="M108" s="493"/>
      <c r="N108" s="22"/>
      <c r="O108" s="7"/>
      <c r="P108" s="7"/>
      <c r="Q108" s="7"/>
      <c r="R108" s="7"/>
      <c r="S108" s="7"/>
      <c r="T108" s="7"/>
    </row>
    <row r="109" spans="1:20" hidden="1" x14ac:dyDescent="0.3">
      <c r="A109" s="7"/>
      <c r="C109" s="1015" t="s">
        <v>960</v>
      </c>
      <c r="D109" s="1015"/>
      <c r="E109" s="1015"/>
      <c r="F109" s="1015"/>
      <c r="G109" s="1015"/>
      <c r="H109" s="334">
        <f>ROUND(H107,0)</f>
        <v>33</v>
      </c>
      <c r="K109" s="130"/>
      <c r="L109" s="493"/>
      <c r="M109" s="493"/>
      <c r="N109" s="22"/>
      <c r="O109" s="7"/>
      <c r="P109" s="7"/>
      <c r="Q109" s="7"/>
      <c r="R109" s="7"/>
      <c r="S109" s="7"/>
      <c r="T109" s="7"/>
    </row>
    <row r="110" spans="1:20" hidden="1" x14ac:dyDescent="0.3">
      <c r="A110" s="7"/>
      <c r="K110" s="130"/>
      <c r="L110" s="493"/>
      <c r="M110" s="493"/>
      <c r="N110" s="22"/>
      <c r="O110" s="7"/>
      <c r="P110" s="7"/>
      <c r="Q110" s="7"/>
      <c r="R110" s="7"/>
      <c r="S110" s="7"/>
      <c r="T110" s="7"/>
    </row>
    <row r="111" spans="1:20" s="54" customFormat="1" ht="19.8" hidden="1" x14ac:dyDescent="0.4">
      <c r="A111" s="53"/>
      <c r="B111" s="1016" t="s">
        <v>958</v>
      </c>
      <c r="C111" s="1016"/>
      <c r="D111" s="1016"/>
      <c r="E111" s="1016"/>
      <c r="F111" s="1016"/>
      <c r="G111" s="1016"/>
      <c r="H111" s="1016"/>
      <c r="I111" s="1016"/>
      <c r="J111" s="1016"/>
      <c r="K111" s="137"/>
      <c r="L111" s="493"/>
      <c r="M111" s="493"/>
      <c r="N111" s="70"/>
      <c r="O111" s="53"/>
      <c r="P111" s="53"/>
      <c r="Q111" s="53"/>
      <c r="R111" s="53"/>
      <c r="S111" s="53"/>
      <c r="T111" s="53"/>
    </row>
    <row r="112" spans="1:20" s="54" customFormat="1" ht="19.8" hidden="1" x14ac:dyDescent="0.4">
      <c r="A112" s="53"/>
      <c r="B112" s="53"/>
      <c r="C112" s="53"/>
      <c r="D112" s="225"/>
      <c r="E112" s="225"/>
      <c r="F112" s="225"/>
      <c r="G112" s="225"/>
      <c r="H112" s="225"/>
      <c r="I112" s="53"/>
      <c r="J112" s="53"/>
      <c r="K112" s="132"/>
      <c r="L112" s="493"/>
      <c r="M112" s="493"/>
      <c r="N112" s="70"/>
      <c r="O112" s="53"/>
      <c r="P112" s="53"/>
      <c r="Q112" s="53"/>
      <c r="R112" s="53"/>
      <c r="S112" s="53"/>
      <c r="T112" s="53"/>
    </row>
    <row r="113" spans="1:20" s="54" customFormat="1" ht="19.8" hidden="1" x14ac:dyDescent="0.4">
      <c r="A113" s="53"/>
      <c r="B113" s="50" t="s">
        <v>175</v>
      </c>
      <c r="C113" s="1017" t="str">
        <f>M10</f>
        <v>Дослідження калу на лямблії</v>
      </c>
      <c r="D113" s="1017"/>
      <c r="E113" s="1017"/>
      <c r="F113" s="296">
        <f>H163</f>
        <v>17</v>
      </c>
      <c r="G113" s="296" t="s">
        <v>971</v>
      </c>
      <c r="H113" s="225"/>
      <c r="I113" s="53"/>
      <c r="J113" s="53"/>
      <c r="K113" s="132"/>
      <c r="L113" s="493"/>
      <c r="M113" s="493"/>
      <c r="N113" s="70"/>
      <c r="O113" s="53"/>
      <c r="P113" s="53"/>
      <c r="Q113" s="53"/>
      <c r="R113" s="53"/>
      <c r="S113" s="53"/>
      <c r="T113" s="53"/>
    </row>
    <row r="114" spans="1:20" hidden="1" x14ac:dyDescent="0.3">
      <c r="A114" s="7"/>
      <c r="K114" s="130"/>
      <c r="L114" s="493"/>
      <c r="M114" s="493"/>
      <c r="N114" s="22"/>
      <c r="O114" s="7"/>
      <c r="P114" s="7"/>
      <c r="Q114" s="7"/>
      <c r="R114" s="7"/>
      <c r="S114" s="7"/>
      <c r="T114" s="7"/>
    </row>
    <row r="115" spans="1:20" hidden="1" x14ac:dyDescent="0.3">
      <c r="A115" s="7"/>
      <c r="C115" s="1018" t="s">
        <v>932</v>
      </c>
      <c r="D115" s="1018"/>
      <c r="E115" s="297"/>
      <c r="F115" s="298">
        <f>F122+F125+F123</f>
        <v>10.59</v>
      </c>
      <c r="G115" s="227" t="s">
        <v>971</v>
      </c>
      <c r="K115" s="130"/>
      <c r="L115" s="493"/>
      <c r="M115" s="493"/>
      <c r="N115" s="22"/>
      <c r="O115" s="7"/>
      <c r="P115" s="7"/>
      <c r="Q115" s="7"/>
      <c r="R115" s="7"/>
      <c r="S115" s="7"/>
      <c r="T115" s="7"/>
    </row>
    <row r="116" spans="1:20" hidden="1" x14ac:dyDescent="0.3">
      <c r="A116" s="7"/>
      <c r="K116" s="130"/>
      <c r="L116" s="493"/>
      <c r="M116" s="493"/>
      <c r="N116" s="22"/>
      <c r="O116" s="7"/>
      <c r="P116" s="7"/>
      <c r="Q116" s="7"/>
      <c r="R116" s="7"/>
      <c r="S116" s="7"/>
      <c r="T116" s="7"/>
    </row>
    <row r="117" spans="1:20" ht="27.6" hidden="1" x14ac:dyDescent="0.3">
      <c r="A117" s="7"/>
      <c r="C117" s="13" t="s">
        <v>929</v>
      </c>
      <c r="D117" s="14" t="s">
        <v>928</v>
      </c>
      <c r="E117" s="14" t="s">
        <v>514</v>
      </c>
      <c r="F117" s="14" t="s">
        <v>515</v>
      </c>
      <c r="G117" s="14" t="s">
        <v>962</v>
      </c>
      <c r="H117" s="14" t="s">
        <v>926</v>
      </c>
      <c r="I117" s="14" t="s">
        <v>516</v>
      </c>
      <c r="J117" s="14" t="s">
        <v>961</v>
      </c>
      <c r="K117" s="138"/>
      <c r="L117" s="493"/>
      <c r="M117" s="493"/>
      <c r="N117" s="22"/>
      <c r="O117" s="7"/>
      <c r="P117" s="7"/>
      <c r="Q117" s="7"/>
      <c r="R117" s="7"/>
      <c r="S117" s="7"/>
      <c r="T117" s="7"/>
    </row>
    <row r="118" spans="1:20" hidden="1" x14ac:dyDescent="0.3">
      <c r="A118" s="7"/>
      <c r="C118" s="17" t="str">
        <f>C63</f>
        <v>Лікар-лаборант</v>
      </c>
      <c r="D118" s="78">
        <f>D63</f>
        <v>10799.43</v>
      </c>
      <c r="E118" s="78">
        <f>D118*12</f>
        <v>129593.16</v>
      </c>
      <c r="F118" s="78">
        <f>F63</f>
        <v>8307.26</v>
      </c>
      <c r="G118" s="78">
        <f>G63</f>
        <v>4153.63</v>
      </c>
      <c r="H118" s="78">
        <f>E118+F118+G118</f>
        <v>142054.05000000002</v>
      </c>
      <c r="I118" s="17">
        <v>1807.2</v>
      </c>
      <c r="J118" s="16">
        <f>ROUND((H118/I118)/60,2)</f>
        <v>1.31</v>
      </c>
      <c r="K118" s="140"/>
      <c r="L118" s="493"/>
      <c r="M118" s="493"/>
      <c r="N118" s="22"/>
      <c r="O118" s="7"/>
      <c r="P118" s="7"/>
      <c r="Q118" s="7"/>
      <c r="R118" s="7"/>
      <c r="S118" s="7"/>
      <c r="T118" s="7"/>
    </row>
    <row r="119" spans="1:20" hidden="1" x14ac:dyDescent="0.3">
      <c r="A119" s="7"/>
      <c r="C119" s="17" t="str">
        <f>C64</f>
        <v>Лаборант клінічної лабораторії</v>
      </c>
      <c r="D119" s="78">
        <f>D64</f>
        <v>7871.18</v>
      </c>
      <c r="E119" s="78">
        <f>D119*12</f>
        <v>94454.16</v>
      </c>
      <c r="F119" s="78">
        <f>F64</f>
        <v>6054.75</v>
      </c>
      <c r="G119" s="78">
        <f>G64</f>
        <v>3027.375</v>
      </c>
      <c r="H119" s="78">
        <f>E119+F119+G119</f>
        <v>103536.285</v>
      </c>
      <c r="I119" s="17">
        <v>1807.2</v>
      </c>
      <c r="J119" s="16">
        <f>ROUND((H119/I119)/60,2)</f>
        <v>0.95</v>
      </c>
      <c r="K119" s="140"/>
      <c r="L119" s="493"/>
      <c r="M119" s="493"/>
      <c r="N119" s="22"/>
      <c r="O119" s="7"/>
      <c r="P119" s="7"/>
      <c r="Q119" s="7"/>
      <c r="R119" s="7"/>
      <c r="S119" s="7"/>
      <c r="T119" s="7"/>
    </row>
    <row r="120" spans="1:20" hidden="1" x14ac:dyDescent="0.3">
      <c r="A120" s="7"/>
      <c r="K120" s="130"/>
      <c r="L120" s="493"/>
      <c r="M120" s="493"/>
      <c r="N120" s="22"/>
      <c r="O120" s="7"/>
      <c r="P120" s="7"/>
      <c r="Q120" s="7"/>
      <c r="R120" s="7"/>
      <c r="S120" s="7"/>
      <c r="T120" s="7"/>
    </row>
    <row r="121" spans="1:20" hidden="1" x14ac:dyDescent="0.3">
      <c r="A121" s="7"/>
      <c r="C121" s="13" t="s">
        <v>929</v>
      </c>
      <c r="D121" s="14" t="s">
        <v>961</v>
      </c>
      <c r="E121" s="14" t="s">
        <v>930</v>
      </c>
      <c r="F121" s="14" t="s">
        <v>931</v>
      </c>
      <c r="K121" s="130"/>
      <c r="L121" s="493"/>
      <c r="M121" s="493"/>
      <c r="N121" s="22"/>
      <c r="O121" s="7"/>
      <c r="P121" s="7"/>
      <c r="Q121" s="7"/>
      <c r="R121" s="7"/>
      <c r="S121" s="7"/>
      <c r="T121" s="7"/>
    </row>
    <row r="122" spans="1:20" hidden="1" x14ac:dyDescent="0.3">
      <c r="A122" s="7"/>
      <c r="C122" s="15" t="str">
        <f>C118</f>
        <v>Лікар-лаборант</v>
      </c>
      <c r="D122" s="78">
        <f>J118</f>
        <v>1.31</v>
      </c>
      <c r="E122" s="73">
        <v>3</v>
      </c>
      <c r="F122" s="299">
        <f>ROUND(D122*E122,2)</f>
        <v>3.93</v>
      </c>
      <c r="K122" s="130"/>
      <c r="L122" s="493"/>
      <c r="M122" s="493"/>
      <c r="N122" s="22"/>
      <c r="O122" s="7"/>
      <c r="P122" s="7"/>
      <c r="Q122" s="7"/>
      <c r="R122" s="7"/>
      <c r="S122" s="7"/>
      <c r="T122" s="7"/>
    </row>
    <row r="123" spans="1:20" hidden="1" x14ac:dyDescent="0.3">
      <c r="A123" s="7"/>
      <c r="C123" s="15" t="str">
        <f>C119</f>
        <v>Лаборант клінічної лабораторії</v>
      </c>
      <c r="D123" s="78">
        <f>J119</f>
        <v>0.95</v>
      </c>
      <c r="E123" s="73">
        <v>5</v>
      </c>
      <c r="F123" s="299">
        <f>ROUND(D123*E123,2)</f>
        <v>4.75</v>
      </c>
      <c r="K123" s="130"/>
      <c r="L123" s="493"/>
      <c r="M123" s="493"/>
      <c r="N123" s="22"/>
      <c r="O123" s="7"/>
      <c r="P123" s="7"/>
      <c r="Q123" s="7"/>
      <c r="R123" s="7"/>
      <c r="S123" s="7"/>
      <c r="T123" s="7"/>
    </row>
    <row r="124" spans="1:20" hidden="1" x14ac:dyDescent="0.3">
      <c r="A124" s="7"/>
      <c r="D124" s="19"/>
      <c r="E124" s="74" t="s">
        <v>1016</v>
      </c>
      <c r="K124" s="130"/>
      <c r="L124" s="493"/>
      <c r="M124" s="493"/>
      <c r="N124" s="22"/>
      <c r="O124" s="7"/>
      <c r="P124" s="7"/>
      <c r="Q124" s="7"/>
      <c r="R124" s="7"/>
      <c r="S124" s="7"/>
      <c r="T124" s="7"/>
    </row>
    <row r="125" spans="1:20" hidden="1" x14ac:dyDescent="0.3">
      <c r="A125" s="7"/>
      <c r="C125" s="17" t="s">
        <v>933</v>
      </c>
      <c r="D125" s="78">
        <f>F122+F123</f>
        <v>8.68</v>
      </c>
      <c r="E125" s="300">
        <v>0.22</v>
      </c>
      <c r="F125" s="301">
        <f>ROUND(D125*E125,2)</f>
        <v>1.91</v>
      </c>
      <c r="K125" s="130"/>
      <c r="L125" s="493"/>
      <c r="M125" s="493"/>
      <c r="N125" s="22"/>
      <c r="O125" s="7"/>
      <c r="P125" s="7"/>
      <c r="Q125" s="7"/>
      <c r="R125" s="7"/>
      <c r="S125" s="7"/>
      <c r="T125" s="7"/>
    </row>
    <row r="126" spans="1:20" hidden="1" x14ac:dyDescent="0.3">
      <c r="A126" s="7"/>
      <c r="K126" s="130"/>
      <c r="L126" s="493"/>
      <c r="M126" s="493"/>
      <c r="N126" s="22"/>
      <c r="O126" s="7"/>
      <c r="P126" s="7"/>
      <c r="Q126" s="7"/>
      <c r="R126" s="7"/>
      <c r="S126" s="7"/>
      <c r="T126" s="7"/>
    </row>
    <row r="127" spans="1:20" hidden="1" x14ac:dyDescent="0.3">
      <c r="A127" s="7"/>
      <c r="C127" s="12" t="s">
        <v>946</v>
      </c>
      <c r="D127" s="227"/>
      <c r="E127" s="227"/>
      <c r="F127" s="227">
        <f>G139</f>
        <v>5.0999999999999996</v>
      </c>
      <c r="G127" s="227" t="s">
        <v>971</v>
      </c>
      <c r="K127" s="130"/>
      <c r="L127" s="493"/>
      <c r="M127" s="493"/>
      <c r="N127" s="22"/>
      <c r="O127" s="7"/>
      <c r="P127" s="7"/>
      <c r="Q127" s="7"/>
      <c r="R127" s="7"/>
      <c r="S127" s="7"/>
      <c r="T127" s="7"/>
    </row>
    <row r="128" spans="1:20" hidden="1" x14ac:dyDescent="0.3">
      <c r="A128" s="7"/>
      <c r="K128" s="130"/>
      <c r="L128" s="493"/>
      <c r="M128" s="493"/>
      <c r="N128" s="22"/>
      <c r="O128" s="7"/>
      <c r="P128" s="7"/>
      <c r="Q128" s="7"/>
      <c r="R128" s="7"/>
      <c r="S128" s="7"/>
      <c r="T128" s="7"/>
    </row>
    <row r="129" spans="1:20" ht="27.6" hidden="1" x14ac:dyDescent="0.3">
      <c r="A129" s="7"/>
      <c r="B129" s="82" t="s">
        <v>991</v>
      </c>
      <c r="C129" s="83" t="s">
        <v>986</v>
      </c>
      <c r="D129" s="83" t="s">
        <v>987</v>
      </c>
      <c r="E129" s="83" t="s">
        <v>988</v>
      </c>
      <c r="F129" s="83" t="s">
        <v>989</v>
      </c>
      <c r="G129" s="82" t="s">
        <v>990</v>
      </c>
      <c r="K129" s="130"/>
      <c r="L129" s="493"/>
      <c r="M129" s="493"/>
      <c r="N129" s="22"/>
      <c r="O129" s="7"/>
      <c r="P129" s="7"/>
      <c r="Q129" s="7"/>
      <c r="R129" s="7"/>
      <c r="S129" s="7"/>
      <c r="T129" s="7"/>
    </row>
    <row r="130" spans="1:20" hidden="1" x14ac:dyDescent="0.3">
      <c r="A130" s="7"/>
      <c r="B130" s="84">
        <v>1</v>
      </c>
      <c r="C130" s="85" t="s">
        <v>1018</v>
      </c>
      <c r="D130" s="86" t="s">
        <v>941</v>
      </c>
      <c r="E130" s="87">
        <f>'МЕДИЧНІ М'!E219</f>
        <v>11</v>
      </c>
      <c r="F130" s="86">
        <v>1000</v>
      </c>
      <c r="G130" s="88">
        <f>ROUND(E130/F130,2)</f>
        <v>0.01</v>
      </c>
      <c r="K130" s="130"/>
      <c r="L130" s="493"/>
      <c r="M130" s="493"/>
      <c r="N130" s="22"/>
      <c r="O130" s="7"/>
      <c r="P130" s="7"/>
      <c r="Q130" s="7"/>
      <c r="R130" s="7"/>
      <c r="S130" s="7"/>
      <c r="T130" s="7"/>
    </row>
    <row r="131" spans="1:20" hidden="1" x14ac:dyDescent="0.3">
      <c r="A131" s="7"/>
      <c r="B131" s="73">
        <f>B130+1</f>
        <v>2</v>
      </c>
      <c r="C131" s="79" t="s">
        <v>934</v>
      </c>
      <c r="D131" s="76" t="s">
        <v>941</v>
      </c>
      <c r="E131" s="76">
        <f>'МЕДИЧНІ М'!E210</f>
        <v>2.8</v>
      </c>
      <c r="F131" s="86">
        <v>10</v>
      </c>
      <c r="G131" s="88">
        <f>ROUND(E131/F131,2)</f>
        <v>0.28000000000000003</v>
      </c>
      <c r="K131" s="130"/>
      <c r="L131" s="493"/>
      <c r="M131" s="493"/>
      <c r="N131" s="22"/>
      <c r="O131" s="7"/>
      <c r="P131" s="7"/>
      <c r="Q131" s="7"/>
      <c r="R131" s="7"/>
      <c r="S131" s="7"/>
      <c r="T131" s="7"/>
    </row>
    <row r="132" spans="1:20" hidden="1" x14ac:dyDescent="0.3">
      <c r="A132" s="7"/>
      <c r="B132" s="73">
        <f t="shared" ref="B132:B138" si="4">B131+1</f>
        <v>3</v>
      </c>
      <c r="C132" s="79" t="s">
        <v>984</v>
      </c>
      <c r="D132" s="76" t="s">
        <v>941</v>
      </c>
      <c r="E132" s="76">
        <f>'МЕДИЧНІ М'!E213</f>
        <v>62.32</v>
      </c>
      <c r="F132" s="77">
        <v>1000</v>
      </c>
      <c r="G132" s="88">
        <f>ROUND(E132/F132,2)</f>
        <v>0.06</v>
      </c>
      <c r="K132" s="130"/>
      <c r="L132" s="493"/>
      <c r="M132" s="493"/>
      <c r="N132" s="22"/>
      <c r="O132" s="7"/>
      <c r="P132" s="7"/>
      <c r="Q132" s="7"/>
      <c r="R132" s="7"/>
      <c r="S132" s="7"/>
      <c r="T132" s="7"/>
    </row>
    <row r="133" spans="1:20" hidden="1" x14ac:dyDescent="0.3">
      <c r="A133" s="7"/>
      <c r="B133" s="73">
        <f t="shared" si="4"/>
        <v>4</v>
      </c>
      <c r="C133" s="79" t="s">
        <v>936</v>
      </c>
      <c r="D133" s="76" t="s">
        <v>937</v>
      </c>
      <c r="E133" s="76">
        <f>'МЕДИЧНІ М'!E204</f>
        <v>0.3</v>
      </c>
      <c r="F133" s="77">
        <v>1</v>
      </c>
      <c r="G133" s="78">
        <f>ROUND(E133/F133,2)</f>
        <v>0.3</v>
      </c>
      <c r="K133" s="130"/>
      <c r="L133" s="493"/>
      <c r="M133" s="493"/>
      <c r="N133" s="22"/>
      <c r="O133" s="7"/>
      <c r="P133" s="7"/>
      <c r="Q133" s="7"/>
      <c r="R133" s="7"/>
      <c r="S133" s="7"/>
      <c r="T133" s="7"/>
    </row>
    <row r="134" spans="1:20" hidden="1" x14ac:dyDescent="0.3">
      <c r="A134" s="7"/>
      <c r="B134" s="73">
        <f t="shared" si="4"/>
        <v>5</v>
      </c>
      <c r="C134" s="79" t="s">
        <v>1049</v>
      </c>
      <c r="D134" s="75" t="s">
        <v>941</v>
      </c>
      <c r="E134" s="75">
        <f>'МЕДИЧНІ М'!E207</f>
        <v>7</v>
      </c>
      <c r="F134" s="86">
        <v>500</v>
      </c>
      <c r="G134" s="88">
        <f>ROUND(E134/F134,2)</f>
        <v>0.01</v>
      </c>
      <c r="K134" s="130"/>
      <c r="L134" s="493"/>
      <c r="M134" s="493"/>
      <c r="N134" s="22"/>
      <c r="O134" s="7"/>
      <c r="P134" s="7"/>
      <c r="Q134" s="7"/>
      <c r="R134" s="7"/>
      <c r="S134" s="7"/>
      <c r="T134" s="7"/>
    </row>
    <row r="135" spans="1:20" hidden="1" x14ac:dyDescent="0.3">
      <c r="A135" s="7"/>
      <c r="B135" s="73">
        <f t="shared" si="4"/>
        <v>6</v>
      </c>
      <c r="C135" s="27" t="s">
        <v>940</v>
      </c>
      <c r="D135" s="28" t="s">
        <v>941</v>
      </c>
      <c r="E135" s="81">
        <f>'МЕДИЧНІ М'!E202</f>
        <v>2</v>
      </c>
      <c r="F135" s="28">
        <v>1.5</v>
      </c>
      <c r="G135" s="81">
        <f>ROUND(E135*F135,2)</f>
        <v>3</v>
      </c>
      <c r="K135" s="130"/>
      <c r="L135" s="493"/>
      <c r="M135" s="493"/>
      <c r="N135" s="22"/>
      <c r="O135" s="7"/>
      <c r="P135" s="7"/>
      <c r="Q135" s="7"/>
      <c r="R135" s="7"/>
      <c r="S135" s="7"/>
      <c r="T135" s="7"/>
    </row>
    <row r="136" spans="1:20" hidden="1" x14ac:dyDescent="0.3">
      <c r="A136" s="7"/>
      <c r="B136" s="73">
        <f t="shared" si="4"/>
        <v>7</v>
      </c>
      <c r="C136" s="27" t="s">
        <v>943</v>
      </c>
      <c r="D136" s="28" t="s">
        <v>944</v>
      </c>
      <c r="E136" s="81">
        <f>'МЕДИЧНІ М'!E198</f>
        <v>6.72</v>
      </c>
      <c r="F136" s="28">
        <v>0.14000000000000001</v>
      </c>
      <c r="G136" s="28">
        <f>ROUND(E136*F136,2)</f>
        <v>0.94</v>
      </c>
      <c r="K136" s="130"/>
      <c r="L136" s="493"/>
      <c r="M136" s="493"/>
      <c r="N136" s="22"/>
      <c r="O136" s="7"/>
      <c r="P136" s="7"/>
      <c r="Q136" s="7"/>
      <c r="R136" s="7"/>
      <c r="S136" s="7"/>
      <c r="T136" s="7"/>
    </row>
    <row r="137" spans="1:20" hidden="1" x14ac:dyDescent="0.3">
      <c r="A137" s="7"/>
      <c r="B137" s="73">
        <f t="shared" si="4"/>
        <v>8</v>
      </c>
      <c r="C137" s="27" t="s">
        <v>942</v>
      </c>
      <c r="D137" s="75" t="s">
        <v>974</v>
      </c>
      <c r="E137" s="76">
        <f>'МЕДИЧНІ М'!E215</f>
        <v>24.6</v>
      </c>
      <c r="F137" s="77">
        <v>100</v>
      </c>
      <c r="G137" s="78">
        <f>ROUND(E137/F137,2)</f>
        <v>0.25</v>
      </c>
      <c r="K137" s="130"/>
      <c r="L137" s="493"/>
      <c r="M137" s="493"/>
      <c r="N137" s="22"/>
      <c r="O137" s="7"/>
      <c r="P137" s="7"/>
      <c r="Q137" s="7"/>
      <c r="R137" s="7"/>
      <c r="S137" s="7"/>
      <c r="T137" s="7"/>
    </row>
    <row r="138" spans="1:20" hidden="1" x14ac:dyDescent="0.3">
      <c r="A138" s="7"/>
      <c r="B138" s="73">
        <f t="shared" si="4"/>
        <v>9</v>
      </c>
      <c r="C138" s="27" t="s">
        <v>1124</v>
      </c>
      <c r="D138" s="28" t="s">
        <v>944</v>
      </c>
      <c r="E138" s="81">
        <f>'МЕДИЧНІ М'!E200</f>
        <v>0.5</v>
      </c>
      <c r="F138" s="81">
        <v>0.5</v>
      </c>
      <c r="G138" s="28">
        <f>ROUND(E138*F138,2)</f>
        <v>0.25</v>
      </c>
      <c r="K138" s="130"/>
      <c r="L138" s="493"/>
      <c r="M138" s="493"/>
      <c r="N138" s="22"/>
      <c r="O138" s="7"/>
      <c r="P138" s="7"/>
      <c r="Q138" s="7"/>
      <c r="R138" s="7"/>
      <c r="S138" s="7"/>
      <c r="T138" s="7"/>
    </row>
    <row r="139" spans="1:20" hidden="1" x14ac:dyDescent="0.3">
      <c r="A139" s="7"/>
      <c r="B139" s="1012" t="s">
        <v>945</v>
      </c>
      <c r="C139" s="1013"/>
      <c r="D139" s="1013"/>
      <c r="E139" s="1013"/>
      <c r="F139" s="1014"/>
      <c r="G139" s="572">
        <f>SUM(G130:G138)</f>
        <v>5.0999999999999996</v>
      </c>
      <c r="K139" s="130"/>
      <c r="L139" s="493"/>
      <c r="M139" s="493"/>
      <c r="N139" s="22"/>
      <c r="O139" s="7"/>
      <c r="P139" s="7"/>
      <c r="Q139" s="7"/>
      <c r="R139" s="7"/>
      <c r="S139" s="7"/>
      <c r="T139" s="7"/>
    </row>
    <row r="140" spans="1:20" hidden="1" x14ac:dyDescent="0.3">
      <c r="A140" s="7"/>
      <c r="K140" s="130"/>
      <c r="L140" s="493"/>
      <c r="M140" s="493"/>
      <c r="N140" s="22"/>
      <c r="O140" s="7"/>
      <c r="P140" s="7"/>
      <c r="Q140" s="7"/>
      <c r="R140" s="7"/>
      <c r="S140" s="7"/>
      <c r="T140" s="7"/>
    </row>
    <row r="141" spans="1:20" hidden="1" x14ac:dyDescent="0.3">
      <c r="A141" s="7"/>
      <c r="C141" s="12" t="s">
        <v>968</v>
      </c>
      <c r="D141" s="227"/>
      <c r="E141" s="227"/>
      <c r="F141" s="298">
        <f>H144</f>
        <v>0.32</v>
      </c>
      <c r="G141" s="227" t="s">
        <v>971</v>
      </c>
      <c r="K141" s="130"/>
      <c r="L141" s="493"/>
      <c r="M141" s="493"/>
      <c r="N141" s="22"/>
      <c r="O141" s="7"/>
      <c r="P141" s="7"/>
      <c r="Q141" s="7"/>
      <c r="R141" s="7"/>
      <c r="S141" s="7"/>
      <c r="T141" s="7"/>
    </row>
    <row r="142" spans="1:20" hidden="1" x14ac:dyDescent="0.3">
      <c r="A142" s="7"/>
      <c r="C142" s="22"/>
      <c r="D142" s="36"/>
      <c r="E142" s="36"/>
      <c r="F142" s="302"/>
      <c r="G142" s="36"/>
      <c r="K142" s="130"/>
      <c r="L142" s="493"/>
      <c r="M142" s="493"/>
      <c r="N142" s="22"/>
      <c r="O142" s="7"/>
      <c r="P142" s="7"/>
      <c r="Q142" s="7"/>
      <c r="R142" s="7"/>
      <c r="S142" s="7"/>
      <c r="T142" s="7"/>
    </row>
    <row r="143" spans="1:20" ht="27.6" hidden="1" x14ac:dyDescent="0.3">
      <c r="A143" s="7"/>
      <c r="C143" s="14" t="s">
        <v>513</v>
      </c>
      <c r="D143" s="14" t="s">
        <v>969</v>
      </c>
      <c r="E143" s="14" t="s">
        <v>516</v>
      </c>
      <c r="F143" s="14" t="s">
        <v>970</v>
      </c>
      <c r="G143" s="14" t="s">
        <v>930</v>
      </c>
      <c r="H143" s="14" t="s">
        <v>961</v>
      </c>
      <c r="K143" s="130"/>
      <c r="L143" s="493"/>
      <c r="M143" s="493"/>
      <c r="N143" s="22"/>
      <c r="O143" s="7"/>
      <c r="P143" s="7"/>
      <c r="Q143" s="7"/>
      <c r="R143" s="7"/>
      <c r="S143" s="7"/>
      <c r="T143" s="7"/>
    </row>
    <row r="144" spans="1:20" hidden="1" x14ac:dyDescent="0.3">
      <c r="A144" s="7"/>
      <c r="C144" s="27" t="s">
        <v>1090</v>
      </c>
      <c r="D144" s="73">
        <f>АМОРТИЗАЦІЯ!C5</f>
        <v>34445.759999999995</v>
      </c>
      <c r="E144" s="73">
        <v>13679.5</v>
      </c>
      <c r="F144" s="73">
        <f>ROUND((D144/E144)/60,2)</f>
        <v>0.04</v>
      </c>
      <c r="G144" s="73">
        <f>E122+E123</f>
        <v>8</v>
      </c>
      <c r="H144" s="78">
        <f>ROUND(F144*G144,2)</f>
        <v>0.32</v>
      </c>
      <c r="I144" s="38"/>
      <c r="K144" s="130"/>
      <c r="L144" s="493"/>
      <c r="M144" s="493"/>
      <c r="N144" s="22"/>
      <c r="O144" s="7"/>
      <c r="P144" s="7"/>
      <c r="Q144" s="7"/>
      <c r="R144" s="7"/>
      <c r="S144" s="7"/>
      <c r="T144" s="7"/>
    </row>
    <row r="145" spans="1:20" hidden="1" x14ac:dyDescent="0.3">
      <c r="A145" s="7"/>
      <c r="K145" s="130"/>
      <c r="L145" s="493"/>
      <c r="M145" s="493"/>
      <c r="N145" s="22"/>
      <c r="O145" s="7"/>
      <c r="P145" s="7"/>
      <c r="Q145" s="7"/>
      <c r="R145" s="7"/>
      <c r="S145" s="7"/>
      <c r="T145" s="7"/>
    </row>
    <row r="146" spans="1:20" hidden="1" x14ac:dyDescent="0.3">
      <c r="A146" s="7"/>
      <c r="C146" s="12" t="s">
        <v>948</v>
      </c>
      <c r="D146" s="227"/>
      <c r="E146" s="227"/>
      <c r="F146" s="298">
        <f>H159</f>
        <v>1.04</v>
      </c>
      <c r="G146" s="227" t="s">
        <v>971</v>
      </c>
      <c r="K146" s="130"/>
      <c r="L146" s="493"/>
      <c r="M146" s="493"/>
      <c r="N146" s="22"/>
      <c r="O146" s="7"/>
      <c r="P146" s="7"/>
      <c r="Q146" s="7"/>
      <c r="R146" s="7"/>
      <c r="S146" s="7"/>
      <c r="T146" s="7"/>
    </row>
    <row r="147" spans="1:20" hidden="1" x14ac:dyDescent="0.3">
      <c r="A147" s="7"/>
      <c r="C147" s="22"/>
      <c r="D147" s="36"/>
      <c r="E147" s="36"/>
      <c r="F147" s="302"/>
      <c r="K147" s="130"/>
      <c r="L147" s="493"/>
      <c r="M147" s="493"/>
      <c r="N147" s="22"/>
      <c r="O147" s="7"/>
      <c r="P147" s="7"/>
      <c r="Q147" s="7"/>
      <c r="R147" s="7"/>
      <c r="S147" s="7"/>
      <c r="T147" s="7"/>
    </row>
    <row r="148" spans="1:20" ht="27.6" hidden="1" x14ac:dyDescent="0.3">
      <c r="A148" s="7"/>
      <c r="C148" s="14" t="s">
        <v>948</v>
      </c>
      <c r="D148" s="14" t="s">
        <v>1110</v>
      </c>
      <c r="E148" s="14" t="s">
        <v>516</v>
      </c>
      <c r="F148" s="14" t="s">
        <v>954</v>
      </c>
      <c r="G148" s="14" t="s">
        <v>930</v>
      </c>
      <c r="H148" s="14" t="s">
        <v>1111</v>
      </c>
      <c r="K148" s="130"/>
      <c r="L148" s="493"/>
      <c r="M148" s="493"/>
      <c r="N148" s="22"/>
      <c r="O148" s="7"/>
      <c r="P148" s="7"/>
      <c r="Q148" s="7"/>
      <c r="R148" s="7"/>
      <c r="S148" s="7"/>
      <c r="T148" s="7"/>
    </row>
    <row r="149" spans="1:20" hidden="1" x14ac:dyDescent="0.3">
      <c r="A149" s="7"/>
      <c r="C149" s="1009" t="str">
        <f>C118</f>
        <v>Лікар-лаборант</v>
      </c>
      <c r="D149" s="1010"/>
      <c r="E149" s="1010"/>
      <c r="F149" s="1010"/>
      <c r="G149" s="1010"/>
      <c r="H149" s="1011"/>
      <c r="K149" s="130"/>
      <c r="L149" s="493"/>
      <c r="M149" s="493"/>
      <c r="N149" s="22"/>
      <c r="O149" s="7"/>
      <c r="P149" s="7"/>
      <c r="Q149" s="7"/>
      <c r="R149" s="7"/>
      <c r="S149" s="7"/>
      <c r="T149" s="7"/>
    </row>
    <row r="150" spans="1:20" hidden="1" x14ac:dyDescent="0.3">
      <c r="A150" s="7"/>
      <c r="C150" s="17" t="s">
        <v>951</v>
      </c>
      <c r="D150" s="221">
        <f>D96</f>
        <v>12188.608008565312</v>
      </c>
      <c r="E150" s="73">
        <f>I118</f>
        <v>1807.2</v>
      </c>
      <c r="F150" s="73">
        <f>ROUND((D150/E150)/60,2)</f>
        <v>0.11</v>
      </c>
      <c r="G150" s="73">
        <f>E122</f>
        <v>3</v>
      </c>
      <c r="H150" s="78">
        <f>ROUND(F150*G150,2)</f>
        <v>0.33</v>
      </c>
      <c r="K150" s="130"/>
      <c r="L150" s="493"/>
      <c r="M150" s="493"/>
      <c r="N150" s="22"/>
      <c r="O150" s="7"/>
      <c r="P150" s="7"/>
      <c r="Q150" s="7"/>
      <c r="R150" s="7"/>
      <c r="S150" s="7"/>
      <c r="T150" s="7"/>
    </row>
    <row r="151" spans="1:20" hidden="1" x14ac:dyDescent="0.3">
      <c r="A151" s="7"/>
      <c r="C151" s="17" t="s">
        <v>952</v>
      </c>
      <c r="D151" s="221">
        <f>D97</f>
        <v>53.149721627408987</v>
      </c>
      <c r="E151" s="73">
        <f>I118</f>
        <v>1807.2</v>
      </c>
      <c r="F151" s="73">
        <f>ROUND((D151/E151)/60,2)</f>
        <v>0</v>
      </c>
      <c r="G151" s="73">
        <f>E122</f>
        <v>3</v>
      </c>
      <c r="H151" s="78">
        <f>ROUND(F151*G151,2)</f>
        <v>0</v>
      </c>
      <c r="K151" s="130"/>
      <c r="L151" s="493"/>
      <c r="M151" s="493"/>
      <c r="N151" s="22"/>
      <c r="O151" s="7"/>
      <c r="P151" s="7"/>
      <c r="Q151" s="7"/>
      <c r="R151" s="7"/>
      <c r="S151" s="7"/>
      <c r="T151" s="7"/>
    </row>
    <row r="152" spans="1:20" hidden="1" x14ac:dyDescent="0.3">
      <c r="A152" s="7"/>
      <c r="C152" s="17" t="s">
        <v>953</v>
      </c>
      <c r="D152" s="221">
        <f>D98</f>
        <v>374.98368308351178</v>
      </c>
      <c r="E152" s="73">
        <f>I118</f>
        <v>1807.2</v>
      </c>
      <c r="F152" s="73">
        <f>ROUND((D152/E152)/60,2)</f>
        <v>0</v>
      </c>
      <c r="G152" s="73">
        <f>E122</f>
        <v>3</v>
      </c>
      <c r="H152" s="78">
        <f>ROUND(F152*G152,2)</f>
        <v>0</v>
      </c>
      <c r="K152" s="130"/>
      <c r="L152" s="493"/>
      <c r="M152" s="493"/>
      <c r="N152" s="22"/>
      <c r="O152" s="7"/>
      <c r="P152" s="7"/>
      <c r="Q152" s="7"/>
      <c r="R152" s="7"/>
      <c r="S152" s="7"/>
      <c r="T152" s="7"/>
    </row>
    <row r="153" spans="1:20" hidden="1" x14ac:dyDescent="0.3">
      <c r="A153" s="7"/>
      <c r="C153" s="17" t="s">
        <v>1109</v>
      </c>
      <c r="D153" s="221">
        <f>D99</f>
        <v>1686.0389293361886</v>
      </c>
      <c r="E153" s="73">
        <f>I118</f>
        <v>1807.2</v>
      </c>
      <c r="F153" s="73">
        <f>ROUND((D153/E153)/60,2)</f>
        <v>0.02</v>
      </c>
      <c r="G153" s="73">
        <f>E122</f>
        <v>3</v>
      </c>
      <c r="H153" s="78">
        <f>ROUND(F153*G153,2)</f>
        <v>0.06</v>
      </c>
      <c r="K153" s="130"/>
      <c r="L153" s="493"/>
      <c r="M153" s="493"/>
      <c r="N153" s="22"/>
      <c r="O153" s="7"/>
      <c r="P153" s="7"/>
      <c r="Q153" s="7"/>
      <c r="R153" s="7"/>
      <c r="S153" s="7"/>
      <c r="T153" s="7"/>
    </row>
    <row r="154" spans="1:20" hidden="1" x14ac:dyDescent="0.3">
      <c r="A154" s="7"/>
      <c r="C154" s="1009" t="str">
        <f>C119</f>
        <v>Лаборант клінічної лабораторії</v>
      </c>
      <c r="D154" s="1010"/>
      <c r="E154" s="1010"/>
      <c r="F154" s="1010"/>
      <c r="G154" s="1010"/>
      <c r="H154" s="1011"/>
      <c r="K154" s="130"/>
      <c r="L154" s="493"/>
      <c r="M154" s="493"/>
      <c r="N154" s="22"/>
      <c r="O154" s="7"/>
      <c r="P154" s="7"/>
      <c r="Q154" s="7"/>
      <c r="R154" s="7"/>
      <c r="S154" s="7"/>
      <c r="T154" s="7"/>
    </row>
    <row r="155" spans="1:20" hidden="1" x14ac:dyDescent="0.3">
      <c r="A155" s="7"/>
      <c r="C155" s="17" t="s">
        <v>951</v>
      </c>
      <c r="D155" s="221">
        <f>D101</f>
        <v>12188.608008565312</v>
      </c>
      <c r="E155" s="73">
        <f>I119</f>
        <v>1807.2</v>
      </c>
      <c r="F155" s="73">
        <f>ROUND((D155/E155)/60,2)</f>
        <v>0.11</v>
      </c>
      <c r="G155" s="73">
        <f>E123</f>
        <v>5</v>
      </c>
      <c r="H155" s="78">
        <f>ROUND(F155*G155,2)</f>
        <v>0.55000000000000004</v>
      </c>
      <c r="K155" s="130"/>
      <c r="L155" s="493"/>
      <c r="M155" s="493"/>
      <c r="N155" s="22"/>
      <c r="O155" s="7"/>
      <c r="P155" s="7"/>
      <c r="Q155" s="7"/>
      <c r="R155" s="7"/>
      <c r="S155" s="7"/>
      <c r="T155" s="7"/>
    </row>
    <row r="156" spans="1:20" hidden="1" x14ac:dyDescent="0.3">
      <c r="A156" s="7"/>
      <c r="C156" s="17" t="s">
        <v>952</v>
      </c>
      <c r="D156" s="221">
        <f>D102</f>
        <v>53.149721627408987</v>
      </c>
      <c r="E156" s="73">
        <f>I119</f>
        <v>1807.2</v>
      </c>
      <c r="F156" s="73">
        <f>ROUND((D156/E156)/60,2)</f>
        <v>0</v>
      </c>
      <c r="G156" s="73">
        <f>E123</f>
        <v>5</v>
      </c>
      <c r="H156" s="78">
        <f>ROUND(F156*G156,2)</f>
        <v>0</v>
      </c>
      <c r="K156" s="130"/>
      <c r="L156" s="493"/>
      <c r="M156" s="493"/>
      <c r="N156" s="22"/>
      <c r="O156" s="7"/>
      <c r="P156" s="7"/>
      <c r="Q156" s="7"/>
      <c r="R156" s="7"/>
      <c r="S156" s="7"/>
      <c r="T156" s="7"/>
    </row>
    <row r="157" spans="1:20" hidden="1" x14ac:dyDescent="0.3">
      <c r="A157" s="7"/>
      <c r="C157" s="17" t="s">
        <v>953</v>
      </c>
      <c r="D157" s="221">
        <f>D103</f>
        <v>374.98368308351178</v>
      </c>
      <c r="E157" s="73">
        <f>I119</f>
        <v>1807.2</v>
      </c>
      <c r="F157" s="73">
        <f>ROUND((D157/E157)/60,2)</f>
        <v>0</v>
      </c>
      <c r="G157" s="73">
        <f>E123</f>
        <v>5</v>
      </c>
      <c r="H157" s="78">
        <f>ROUND(F157*G157,2)</f>
        <v>0</v>
      </c>
      <c r="K157" s="130"/>
      <c r="L157" s="493"/>
      <c r="M157" s="493"/>
      <c r="N157" s="22"/>
      <c r="O157" s="7"/>
      <c r="P157" s="7"/>
      <c r="Q157" s="7"/>
      <c r="R157" s="7"/>
      <c r="S157" s="7"/>
      <c r="T157" s="7"/>
    </row>
    <row r="158" spans="1:20" hidden="1" x14ac:dyDescent="0.3">
      <c r="A158" s="7"/>
      <c r="C158" s="17" t="s">
        <v>1109</v>
      </c>
      <c r="D158" s="221">
        <f>D104</f>
        <v>1686.0389293361886</v>
      </c>
      <c r="E158" s="73">
        <f>I119</f>
        <v>1807.2</v>
      </c>
      <c r="F158" s="73">
        <f>ROUND((D158/E158)/60,2)</f>
        <v>0.02</v>
      </c>
      <c r="G158" s="73">
        <f>E123</f>
        <v>5</v>
      </c>
      <c r="H158" s="78">
        <f>ROUND(F158*G158,2)</f>
        <v>0.1</v>
      </c>
      <c r="K158" s="130"/>
      <c r="L158" s="493"/>
      <c r="M158" s="493"/>
      <c r="N158" s="22"/>
      <c r="O158" s="7"/>
      <c r="P158" s="7"/>
      <c r="Q158" s="7"/>
      <c r="R158" s="7"/>
      <c r="S158" s="7"/>
      <c r="T158" s="7"/>
    </row>
    <row r="159" spans="1:20" hidden="1" x14ac:dyDescent="0.3">
      <c r="A159" s="7"/>
      <c r="C159" s="1012" t="s">
        <v>957</v>
      </c>
      <c r="D159" s="1013"/>
      <c r="E159" s="1013"/>
      <c r="F159" s="1013"/>
      <c r="G159" s="1014"/>
      <c r="H159" s="299">
        <f>SUM(H150:H158)</f>
        <v>1.04</v>
      </c>
      <c r="K159" s="130"/>
      <c r="L159" s="493"/>
      <c r="M159" s="493"/>
      <c r="N159" s="22"/>
      <c r="O159" s="7"/>
      <c r="P159" s="7"/>
      <c r="Q159" s="7"/>
      <c r="R159" s="7"/>
      <c r="S159" s="7"/>
      <c r="T159" s="7"/>
    </row>
    <row r="160" spans="1:20" hidden="1" x14ac:dyDescent="0.3">
      <c r="A160" s="7"/>
      <c r="K160" s="130"/>
      <c r="L160" s="493"/>
      <c r="M160" s="493"/>
      <c r="N160" s="22"/>
      <c r="O160" s="7"/>
      <c r="P160" s="7"/>
      <c r="Q160" s="7"/>
      <c r="R160" s="7"/>
      <c r="S160" s="7"/>
      <c r="T160" s="7"/>
    </row>
    <row r="161" spans="1:20" hidden="1" x14ac:dyDescent="0.3">
      <c r="A161" s="7"/>
      <c r="C161" s="1015" t="s">
        <v>959</v>
      </c>
      <c r="D161" s="1015"/>
      <c r="E161" s="1015"/>
      <c r="F161" s="1015"/>
      <c r="G161" s="1015"/>
      <c r="H161" s="334">
        <f>F115+F127+F146+F141</f>
        <v>17.05</v>
      </c>
      <c r="K161" s="130"/>
      <c r="L161" s="493"/>
      <c r="M161" s="493"/>
      <c r="N161" s="22"/>
      <c r="O161" s="7"/>
      <c r="P161" s="7"/>
      <c r="Q161" s="7"/>
      <c r="R161" s="7"/>
      <c r="S161" s="7"/>
      <c r="T161" s="7"/>
    </row>
    <row r="162" spans="1:20" hidden="1" x14ac:dyDescent="0.3">
      <c r="A162" s="7"/>
      <c r="C162" s="33"/>
      <c r="D162" s="33"/>
      <c r="E162" s="33"/>
      <c r="F162" s="33"/>
      <c r="G162" s="33"/>
      <c r="H162" s="335"/>
      <c r="K162" s="130"/>
      <c r="L162" s="493"/>
      <c r="M162" s="493"/>
      <c r="N162" s="22"/>
      <c r="O162" s="7"/>
      <c r="P162" s="7"/>
      <c r="Q162" s="7"/>
      <c r="R162" s="7"/>
      <c r="S162" s="7"/>
      <c r="T162" s="7"/>
    </row>
    <row r="163" spans="1:20" hidden="1" x14ac:dyDescent="0.3">
      <c r="A163" s="7"/>
      <c r="C163" s="1015" t="s">
        <v>960</v>
      </c>
      <c r="D163" s="1015"/>
      <c r="E163" s="1015"/>
      <c r="F163" s="1015"/>
      <c r="G163" s="1015"/>
      <c r="H163" s="334">
        <f>ROUND(H161,0)</f>
        <v>17</v>
      </c>
      <c r="K163" s="130"/>
      <c r="L163" s="493"/>
      <c r="M163" s="493"/>
      <c r="N163" s="22"/>
      <c r="O163" s="7"/>
      <c r="P163" s="7"/>
      <c r="Q163" s="7"/>
      <c r="R163" s="7"/>
      <c r="S163" s="7"/>
      <c r="T163" s="7"/>
    </row>
    <row r="164" spans="1:20" hidden="1" x14ac:dyDescent="0.3">
      <c r="A164" s="7"/>
      <c r="K164" s="130"/>
      <c r="L164" s="493"/>
      <c r="M164" s="493"/>
      <c r="N164" s="22"/>
      <c r="O164" s="7"/>
      <c r="P164" s="7"/>
      <c r="Q164" s="7"/>
      <c r="R164" s="7"/>
      <c r="S164" s="7"/>
      <c r="T164" s="7"/>
    </row>
    <row r="165" spans="1:20" s="54" customFormat="1" ht="19.8" hidden="1" x14ac:dyDescent="0.4">
      <c r="A165" s="53"/>
      <c r="B165" s="1016" t="s">
        <v>958</v>
      </c>
      <c r="C165" s="1016"/>
      <c r="D165" s="1016"/>
      <c r="E165" s="1016"/>
      <c r="F165" s="1016"/>
      <c r="G165" s="1016"/>
      <c r="H165" s="1016"/>
      <c r="I165" s="1016"/>
      <c r="J165" s="1016"/>
      <c r="K165" s="137"/>
      <c r="L165" s="493"/>
      <c r="M165" s="493"/>
      <c r="N165" s="70"/>
      <c r="O165" s="53"/>
      <c r="P165" s="53"/>
      <c r="Q165" s="53"/>
      <c r="R165" s="53"/>
      <c r="S165" s="53"/>
      <c r="T165" s="53"/>
    </row>
    <row r="166" spans="1:20" s="54" customFormat="1" ht="19.8" hidden="1" x14ac:dyDescent="0.4">
      <c r="A166" s="53"/>
      <c r="B166" s="53"/>
      <c r="C166" s="53"/>
      <c r="D166" s="225"/>
      <c r="E166" s="225"/>
      <c r="F166" s="225"/>
      <c r="G166" s="225"/>
      <c r="H166" s="225"/>
      <c r="I166" s="53"/>
      <c r="J166" s="53"/>
      <c r="K166" s="132"/>
      <c r="L166" s="493"/>
      <c r="M166" s="493"/>
      <c r="N166" s="70"/>
      <c r="O166" s="53"/>
      <c r="P166" s="53"/>
      <c r="Q166" s="53"/>
      <c r="R166" s="53"/>
      <c r="S166" s="53"/>
      <c r="T166" s="53"/>
    </row>
    <row r="167" spans="1:20" s="54" customFormat="1" ht="19.8" hidden="1" x14ac:dyDescent="0.4">
      <c r="A167" s="53"/>
      <c r="B167" s="50" t="s">
        <v>177</v>
      </c>
      <c r="C167" s="1017" t="str">
        <f>M11</f>
        <v>Мазок на генітальні інфекції</v>
      </c>
      <c r="D167" s="1017"/>
      <c r="E167" s="1017"/>
      <c r="F167" s="296">
        <f>H221</f>
        <v>40</v>
      </c>
      <c r="G167" s="296" t="s">
        <v>971</v>
      </c>
      <c r="H167" s="225"/>
      <c r="I167" s="53"/>
      <c r="J167" s="53"/>
      <c r="K167" s="132"/>
      <c r="L167" s="493"/>
      <c r="M167" s="493"/>
      <c r="N167" s="70"/>
      <c r="O167" s="53"/>
      <c r="P167" s="53"/>
      <c r="Q167" s="53"/>
      <c r="R167" s="53"/>
      <c r="S167" s="53"/>
      <c r="T167" s="53"/>
    </row>
    <row r="168" spans="1:20" hidden="1" x14ac:dyDescent="0.3">
      <c r="A168" s="7"/>
      <c r="K168" s="130"/>
      <c r="L168" s="493"/>
      <c r="M168" s="493"/>
      <c r="N168" s="22"/>
      <c r="O168" s="7"/>
      <c r="P168" s="7"/>
      <c r="Q168" s="7"/>
      <c r="R168" s="7"/>
      <c r="S168" s="7"/>
      <c r="T168" s="7"/>
    </row>
    <row r="169" spans="1:20" hidden="1" x14ac:dyDescent="0.3">
      <c r="A169" s="7"/>
      <c r="C169" s="1018" t="s">
        <v>932</v>
      </c>
      <c r="D169" s="1018"/>
      <c r="E169" s="297"/>
      <c r="F169" s="298">
        <f>F176+F179+F177</f>
        <v>29.77</v>
      </c>
      <c r="G169" s="227" t="s">
        <v>971</v>
      </c>
      <c r="K169" s="130"/>
      <c r="L169" s="493"/>
      <c r="M169" s="493"/>
      <c r="N169" s="22"/>
      <c r="O169" s="7"/>
      <c r="P169" s="7"/>
      <c r="Q169" s="7"/>
      <c r="R169" s="7"/>
      <c r="S169" s="7"/>
      <c r="T169" s="7"/>
    </row>
    <row r="170" spans="1:20" hidden="1" x14ac:dyDescent="0.3">
      <c r="A170" s="7"/>
      <c r="K170" s="130"/>
      <c r="L170" s="493"/>
      <c r="M170" s="493"/>
      <c r="N170" s="22"/>
      <c r="O170" s="7"/>
      <c r="P170" s="7"/>
      <c r="Q170" s="7"/>
      <c r="R170" s="7"/>
      <c r="S170" s="7"/>
      <c r="T170" s="7"/>
    </row>
    <row r="171" spans="1:20" ht="27.6" hidden="1" x14ac:dyDescent="0.3">
      <c r="A171" s="7"/>
      <c r="C171" s="13" t="s">
        <v>929</v>
      </c>
      <c r="D171" s="14" t="s">
        <v>928</v>
      </c>
      <c r="E171" s="14" t="s">
        <v>514</v>
      </c>
      <c r="F171" s="14" t="s">
        <v>515</v>
      </c>
      <c r="G171" s="14" t="s">
        <v>962</v>
      </c>
      <c r="H171" s="14" t="s">
        <v>926</v>
      </c>
      <c r="I171" s="14" t="s">
        <v>516</v>
      </c>
      <c r="J171" s="14" t="s">
        <v>961</v>
      </c>
      <c r="K171" s="138"/>
      <c r="L171" s="493"/>
      <c r="M171" s="493"/>
      <c r="N171" s="22"/>
      <c r="O171" s="7"/>
      <c r="P171" s="7"/>
      <c r="Q171" s="7"/>
      <c r="R171" s="7"/>
      <c r="S171" s="7"/>
      <c r="T171" s="7"/>
    </row>
    <row r="172" spans="1:20" hidden="1" x14ac:dyDescent="0.3">
      <c r="A172" s="7"/>
      <c r="C172" s="17" t="str">
        <f>C118</f>
        <v>Лікар-лаборант</v>
      </c>
      <c r="D172" s="73">
        <f>D118</f>
        <v>10799.43</v>
      </c>
      <c r="E172" s="78">
        <f>D172*12</f>
        <v>129593.16</v>
      </c>
      <c r="F172" s="73">
        <f>F118</f>
        <v>8307.26</v>
      </c>
      <c r="G172" s="73">
        <f>G118</f>
        <v>4153.63</v>
      </c>
      <c r="H172" s="78">
        <f>E172+F172+G172</f>
        <v>142054.05000000002</v>
      </c>
      <c r="I172" s="17">
        <v>1807.2</v>
      </c>
      <c r="J172" s="16">
        <f>ROUND((H172/I172)/60,2)</f>
        <v>1.31</v>
      </c>
      <c r="K172" s="140"/>
      <c r="L172" s="493"/>
      <c r="M172" s="493"/>
      <c r="N172" s="22"/>
      <c r="O172" s="7"/>
      <c r="P172" s="7"/>
      <c r="Q172" s="7"/>
      <c r="R172" s="7"/>
      <c r="S172" s="7"/>
      <c r="T172" s="7"/>
    </row>
    <row r="173" spans="1:20" hidden="1" x14ac:dyDescent="0.3">
      <c r="A173" s="7"/>
      <c r="C173" s="17" t="str">
        <f>C119</f>
        <v>Лаборант клінічної лабораторії</v>
      </c>
      <c r="D173" s="73">
        <f>D119</f>
        <v>7871.18</v>
      </c>
      <c r="E173" s="78">
        <f>D173*12</f>
        <v>94454.16</v>
      </c>
      <c r="F173" s="73">
        <f>F119</f>
        <v>6054.75</v>
      </c>
      <c r="G173" s="73">
        <f>G119</f>
        <v>3027.375</v>
      </c>
      <c r="H173" s="78">
        <f>E173+F173+G173</f>
        <v>103536.285</v>
      </c>
      <c r="I173" s="17">
        <v>1807.2</v>
      </c>
      <c r="J173" s="16">
        <f>ROUND((H173/I173)/60,2)</f>
        <v>0.95</v>
      </c>
      <c r="K173" s="140"/>
      <c r="L173" s="493"/>
      <c r="M173" s="493"/>
      <c r="N173" s="22"/>
      <c r="O173" s="7"/>
      <c r="P173" s="7"/>
      <c r="Q173" s="7"/>
      <c r="R173" s="7"/>
      <c r="S173" s="7"/>
      <c r="T173" s="7"/>
    </row>
    <row r="174" spans="1:20" hidden="1" x14ac:dyDescent="0.3">
      <c r="A174" s="7"/>
      <c r="K174" s="130"/>
      <c r="L174" s="493"/>
      <c r="M174" s="493"/>
      <c r="N174" s="22"/>
      <c r="O174" s="7"/>
      <c r="P174" s="7"/>
      <c r="Q174" s="7"/>
      <c r="R174" s="7"/>
      <c r="S174" s="7"/>
      <c r="T174" s="7"/>
    </row>
    <row r="175" spans="1:20" hidden="1" x14ac:dyDescent="0.3">
      <c r="A175" s="7"/>
      <c r="C175" s="13" t="s">
        <v>929</v>
      </c>
      <c r="D175" s="14" t="s">
        <v>961</v>
      </c>
      <c r="E175" s="14" t="s">
        <v>930</v>
      </c>
      <c r="F175" s="14" t="s">
        <v>931</v>
      </c>
      <c r="K175" s="130"/>
      <c r="L175" s="493"/>
      <c r="M175" s="493"/>
      <c r="N175" s="22"/>
      <c r="O175" s="7"/>
      <c r="P175" s="7"/>
      <c r="Q175" s="7"/>
      <c r="R175" s="7"/>
      <c r="S175" s="7"/>
      <c r="T175" s="7"/>
    </row>
    <row r="176" spans="1:20" hidden="1" x14ac:dyDescent="0.3">
      <c r="A176" s="7"/>
      <c r="C176" s="15" t="str">
        <f>C172</f>
        <v>Лікар-лаборант</v>
      </c>
      <c r="D176" s="78">
        <f>J172</f>
        <v>1.31</v>
      </c>
      <c r="E176" s="73">
        <v>15</v>
      </c>
      <c r="F176" s="299">
        <f>ROUND(D176*E176,2)</f>
        <v>19.649999999999999</v>
      </c>
      <c r="K176" s="130"/>
      <c r="L176" s="493"/>
      <c r="M176" s="493"/>
      <c r="N176" s="22"/>
      <c r="O176" s="7"/>
      <c r="P176" s="7"/>
      <c r="Q176" s="7"/>
      <c r="R176" s="7"/>
      <c r="S176" s="7"/>
      <c r="T176" s="7"/>
    </row>
    <row r="177" spans="1:20" hidden="1" x14ac:dyDescent="0.3">
      <c r="A177" s="7"/>
      <c r="C177" s="15" t="str">
        <f>C173</f>
        <v>Лаборант клінічної лабораторії</v>
      </c>
      <c r="D177" s="78">
        <f>J173</f>
        <v>0.95</v>
      </c>
      <c r="E177" s="73">
        <v>5</v>
      </c>
      <c r="F177" s="299">
        <f>ROUND(D177*E177,2)</f>
        <v>4.75</v>
      </c>
      <c r="K177" s="130"/>
      <c r="L177" s="493"/>
      <c r="M177" s="493"/>
      <c r="N177" s="22"/>
      <c r="O177" s="7"/>
      <c r="P177" s="7"/>
      <c r="Q177" s="7"/>
      <c r="R177" s="7"/>
      <c r="S177" s="7"/>
      <c r="T177" s="7"/>
    </row>
    <row r="178" spans="1:20" hidden="1" x14ac:dyDescent="0.3">
      <c r="A178" s="7"/>
      <c r="D178" s="19"/>
      <c r="E178" s="74" t="s">
        <v>1016</v>
      </c>
      <c r="K178" s="130"/>
      <c r="L178" s="493"/>
      <c r="M178" s="493"/>
      <c r="N178" s="22"/>
      <c r="O178" s="7"/>
      <c r="P178" s="7"/>
      <c r="Q178" s="7"/>
      <c r="R178" s="7"/>
      <c r="S178" s="7"/>
      <c r="T178" s="7"/>
    </row>
    <row r="179" spans="1:20" hidden="1" x14ac:dyDescent="0.3">
      <c r="A179" s="7"/>
      <c r="C179" s="17" t="s">
        <v>933</v>
      </c>
      <c r="D179" s="78">
        <f>F176+F177</f>
        <v>24.4</v>
      </c>
      <c r="E179" s="300">
        <v>0.22</v>
      </c>
      <c r="F179" s="301">
        <f>ROUND(D179*E179,2)</f>
        <v>5.37</v>
      </c>
      <c r="K179" s="130"/>
      <c r="L179" s="493"/>
      <c r="M179" s="493"/>
      <c r="N179" s="22"/>
      <c r="O179" s="7"/>
      <c r="P179" s="7"/>
      <c r="Q179" s="7"/>
      <c r="R179" s="7"/>
      <c r="S179" s="7"/>
      <c r="T179" s="7"/>
    </row>
    <row r="180" spans="1:20" hidden="1" x14ac:dyDescent="0.3">
      <c r="A180" s="7"/>
      <c r="K180" s="130"/>
      <c r="L180" s="493"/>
      <c r="M180" s="493"/>
      <c r="N180" s="22"/>
      <c r="O180" s="7"/>
      <c r="P180" s="7"/>
      <c r="Q180" s="7"/>
      <c r="R180" s="7"/>
      <c r="S180" s="7"/>
      <c r="T180" s="7"/>
    </row>
    <row r="181" spans="1:20" hidden="1" x14ac:dyDescent="0.3">
      <c r="A181" s="7"/>
      <c r="C181" s="12" t="s">
        <v>946</v>
      </c>
      <c r="D181" s="227"/>
      <c r="E181" s="227"/>
      <c r="F181" s="298">
        <f>G197</f>
        <v>6.43</v>
      </c>
      <c r="G181" s="227" t="s">
        <v>971</v>
      </c>
      <c r="K181" s="130"/>
      <c r="L181" s="493"/>
      <c r="M181" s="493"/>
      <c r="N181" s="22"/>
      <c r="O181" s="7"/>
      <c r="P181" s="7"/>
      <c r="Q181" s="7"/>
      <c r="R181" s="7"/>
      <c r="S181" s="7"/>
      <c r="T181" s="7"/>
    </row>
    <row r="182" spans="1:20" hidden="1" x14ac:dyDescent="0.3">
      <c r="A182" s="7"/>
      <c r="K182" s="130"/>
      <c r="L182" s="493"/>
      <c r="M182" s="493"/>
      <c r="N182" s="22"/>
      <c r="O182" s="7"/>
      <c r="P182" s="7"/>
      <c r="Q182" s="7"/>
      <c r="R182" s="7"/>
      <c r="S182" s="7"/>
      <c r="T182" s="7"/>
    </row>
    <row r="183" spans="1:20" ht="27.6" hidden="1" x14ac:dyDescent="0.3">
      <c r="A183" s="7"/>
      <c r="B183" s="82" t="s">
        <v>991</v>
      </c>
      <c r="C183" s="83" t="s">
        <v>986</v>
      </c>
      <c r="D183" s="83" t="s">
        <v>987</v>
      </c>
      <c r="E183" s="83" t="s">
        <v>988</v>
      </c>
      <c r="F183" s="83" t="s">
        <v>989</v>
      </c>
      <c r="G183" s="82" t="s">
        <v>990</v>
      </c>
      <c r="K183" s="130"/>
      <c r="L183" s="493"/>
      <c r="M183" s="493"/>
      <c r="N183" s="22"/>
      <c r="O183" s="7"/>
      <c r="P183" s="7"/>
      <c r="Q183" s="7"/>
      <c r="R183" s="7"/>
      <c r="S183" s="7"/>
      <c r="T183" s="7"/>
    </row>
    <row r="184" spans="1:20" hidden="1" x14ac:dyDescent="0.3">
      <c r="A184" s="7"/>
      <c r="B184" s="84">
        <v>1</v>
      </c>
      <c r="C184" s="489" t="s">
        <v>943</v>
      </c>
      <c r="D184" s="490" t="s">
        <v>944</v>
      </c>
      <c r="E184" s="87">
        <f>'МЕДИЧНІ М'!E198</f>
        <v>6.72</v>
      </c>
      <c r="F184" s="490">
        <v>0.14000000000000001</v>
      </c>
      <c r="G184" s="81">
        <f>ROUND(E184*F184,2)</f>
        <v>0.94</v>
      </c>
      <c r="K184" s="130"/>
      <c r="L184" s="493"/>
      <c r="M184" s="493"/>
      <c r="N184" s="22"/>
      <c r="O184" s="7"/>
      <c r="P184" s="7"/>
      <c r="Q184" s="7"/>
      <c r="R184" s="7"/>
      <c r="S184" s="7"/>
      <c r="T184" s="7"/>
    </row>
    <row r="185" spans="1:20" hidden="1" x14ac:dyDescent="0.3">
      <c r="A185" s="7"/>
      <c r="B185" s="73">
        <f>1+B184</f>
        <v>2</v>
      </c>
      <c r="C185" s="79" t="s">
        <v>983</v>
      </c>
      <c r="D185" s="76" t="s">
        <v>941</v>
      </c>
      <c r="E185" s="76">
        <f>'МЕДИЧНІ М'!E199</f>
        <v>7.5</v>
      </c>
      <c r="F185" s="77">
        <v>1000</v>
      </c>
      <c r="G185" s="88">
        <f>ROUND(E185/F185,2)</f>
        <v>0.01</v>
      </c>
      <c r="K185" s="130"/>
      <c r="L185" s="493"/>
      <c r="M185" s="493"/>
      <c r="N185" s="22"/>
      <c r="O185" s="7"/>
      <c r="P185" s="7"/>
      <c r="Q185" s="7"/>
      <c r="R185" s="7"/>
      <c r="S185" s="7"/>
      <c r="T185" s="7"/>
    </row>
    <row r="186" spans="1:20" hidden="1" x14ac:dyDescent="0.3">
      <c r="A186" s="7"/>
      <c r="B186" s="73">
        <f t="shared" ref="B186:B196" si="5">1+B185</f>
        <v>3</v>
      </c>
      <c r="C186" s="489" t="s">
        <v>1124</v>
      </c>
      <c r="D186" s="490" t="s">
        <v>944</v>
      </c>
      <c r="E186" s="491">
        <f>'МЕДИЧНІ М'!E200</f>
        <v>0.5</v>
      </c>
      <c r="F186" s="491">
        <v>0.5</v>
      </c>
      <c r="G186" s="81">
        <f>ROUND(E186*F186,2)</f>
        <v>0.25</v>
      </c>
      <c r="K186" s="130"/>
      <c r="L186" s="493"/>
      <c r="M186" s="493"/>
      <c r="N186" s="22"/>
      <c r="O186" s="7"/>
      <c r="P186" s="7"/>
      <c r="Q186" s="7"/>
      <c r="R186" s="7"/>
      <c r="S186" s="7"/>
      <c r="T186" s="7"/>
    </row>
    <row r="187" spans="1:20" hidden="1" x14ac:dyDescent="0.3">
      <c r="A187" s="7"/>
      <c r="B187" s="73">
        <f t="shared" si="5"/>
        <v>4</v>
      </c>
      <c r="C187" s="79" t="s">
        <v>1034</v>
      </c>
      <c r="D187" s="75" t="s">
        <v>974</v>
      </c>
      <c r="E187" s="210">
        <f>'МЕДИЧНІ М'!E201</f>
        <v>39.299999999999997</v>
      </c>
      <c r="F187" s="86">
        <v>400</v>
      </c>
      <c r="G187" s="88">
        <f>ROUND(E187/F187,2)</f>
        <v>0.1</v>
      </c>
      <c r="K187" s="130"/>
      <c r="L187" s="493"/>
      <c r="M187" s="493"/>
      <c r="N187" s="22"/>
      <c r="O187" s="7"/>
      <c r="P187" s="7"/>
      <c r="Q187" s="7"/>
      <c r="R187" s="7"/>
      <c r="S187" s="7"/>
      <c r="T187" s="7"/>
    </row>
    <row r="188" spans="1:20" hidden="1" x14ac:dyDescent="0.3">
      <c r="A188" s="7"/>
      <c r="B188" s="73">
        <f t="shared" si="5"/>
        <v>5</v>
      </c>
      <c r="C188" s="489" t="s">
        <v>940</v>
      </c>
      <c r="D188" s="490" t="s">
        <v>941</v>
      </c>
      <c r="E188" s="491">
        <f>'МЕДИЧНІ М'!E202</f>
        <v>2</v>
      </c>
      <c r="F188" s="490">
        <v>1.5</v>
      </c>
      <c r="G188" s="81">
        <f>ROUND(E188*F188,2)</f>
        <v>3</v>
      </c>
      <c r="K188" s="130"/>
      <c r="L188" s="493"/>
      <c r="M188" s="493"/>
      <c r="N188" s="22"/>
      <c r="O188" s="7"/>
      <c r="P188" s="7"/>
      <c r="Q188" s="7"/>
      <c r="R188" s="7"/>
      <c r="S188" s="7"/>
      <c r="T188" s="7"/>
    </row>
    <row r="189" spans="1:20" hidden="1" x14ac:dyDescent="0.3">
      <c r="A189" s="7"/>
      <c r="B189" s="73">
        <f t="shared" si="5"/>
        <v>6</v>
      </c>
      <c r="C189" s="79" t="s">
        <v>936</v>
      </c>
      <c r="D189" s="76" t="s">
        <v>937</v>
      </c>
      <c r="E189" s="76">
        <f>'МЕДИЧНІ М'!E204</f>
        <v>0.3</v>
      </c>
      <c r="F189" s="521">
        <v>0.6</v>
      </c>
      <c r="G189" s="78">
        <f>ROUND(E189/F189,2)</f>
        <v>0.5</v>
      </c>
      <c r="K189" s="130"/>
      <c r="L189" s="493"/>
      <c r="M189" s="493"/>
      <c r="N189" s="22"/>
      <c r="O189" s="7"/>
      <c r="P189" s="7"/>
      <c r="Q189" s="7"/>
      <c r="R189" s="7"/>
      <c r="S189" s="7"/>
      <c r="T189" s="7"/>
    </row>
    <row r="190" spans="1:20" hidden="1" x14ac:dyDescent="0.3">
      <c r="A190" s="7"/>
      <c r="B190" s="73">
        <f t="shared" si="5"/>
        <v>7</v>
      </c>
      <c r="C190" s="79" t="s">
        <v>982</v>
      </c>
      <c r="D190" s="78" t="s">
        <v>941</v>
      </c>
      <c r="E190" s="78">
        <f>'МЕДИЧНІ М'!E208</f>
        <v>11</v>
      </c>
      <c r="F190" s="221">
        <v>100</v>
      </c>
      <c r="G190" s="88">
        <f>ROUND(E190/F190,2)</f>
        <v>0.11</v>
      </c>
      <c r="K190" s="130"/>
      <c r="L190" s="493"/>
      <c r="M190" s="493"/>
      <c r="N190" s="22"/>
      <c r="O190" s="7"/>
      <c r="P190" s="7"/>
      <c r="Q190" s="7"/>
      <c r="R190" s="7"/>
      <c r="S190" s="7"/>
      <c r="T190" s="7"/>
    </row>
    <row r="191" spans="1:20" hidden="1" x14ac:dyDescent="0.3">
      <c r="A191" s="7"/>
      <c r="B191" s="73">
        <f t="shared" si="5"/>
        <v>8</v>
      </c>
      <c r="C191" s="79" t="s">
        <v>981</v>
      </c>
      <c r="D191" s="78" t="s">
        <v>941</v>
      </c>
      <c r="E191" s="78">
        <f>'МЕДИЧНІ М'!E209</f>
        <v>0.6</v>
      </c>
      <c r="F191" s="221">
        <v>1</v>
      </c>
      <c r="G191" s="88">
        <f>ROUND(E191*F191,2)</f>
        <v>0.6</v>
      </c>
      <c r="K191" s="130"/>
      <c r="L191" s="493"/>
      <c r="M191" s="493"/>
      <c r="N191" s="22"/>
      <c r="O191" s="7"/>
      <c r="P191" s="7"/>
      <c r="Q191" s="7"/>
      <c r="R191" s="7"/>
      <c r="S191" s="7"/>
      <c r="T191" s="7"/>
    </row>
    <row r="192" spans="1:20" hidden="1" x14ac:dyDescent="0.3">
      <c r="A192" s="7"/>
      <c r="B192" s="73">
        <f t="shared" si="5"/>
        <v>9</v>
      </c>
      <c r="C192" s="79" t="s">
        <v>934</v>
      </c>
      <c r="D192" s="76" t="s">
        <v>941</v>
      </c>
      <c r="E192" s="76">
        <f>'МЕДИЧНІ М'!E210</f>
        <v>2.8</v>
      </c>
      <c r="F192" s="86">
        <v>10</v>
      </c>
      <c r="G192" s="88">
        <f>ROUND(E192/F192,2)</f>
        <v>0.28000000000000003</v>
      </c>
      <c r="K192" s="130"/>
      <c r="L192" s="493"/>
      <c r="M192" s="493"/>
      <c r="N192" s="22"/>
      <c r="O192" s="7"/>
      <c r="P192" s="7"/>
      <c r="Q192" s="7"/>
      <c r="R192" s="7"/>
      <c r="S192" s="7"/>
      <c r="T192" s="7"/>
    </row>
    <row r="193" spans="1:20" hidden="1" x14ac:dyDescent="0.3">
      <c r="A193" s="7"/>
      <c r="B193" s="73">
        <f t="shared" si="5"/>
        <v>10</v>
      </c>
      <c r="C193" s="320" t="s">
        <v>984</v>
      </c>
      <c r="D193" s="78" t="s">
        <v>941</v>
      </c>
      <c r="E193" s="88">
        <f>'МЕДИЧНІ М'!E213</f>
        <v>62.32</v>
      </c>
      <c r="F193" s="221">
        <v>1000</v>
      </c>
      <c r="G193" s="88">
        <f>ROUND(E193/F193,2)</f>
        <v>0.06</v>
      </c>
      <c r="K193" s="130"/>
      <c r="L193" s="493"/>
      <c r="M193" s="493"/>
      <c r="N193" s="22"/>
      <c r="O193" s="7"/>
      <c r="P193" s="7"/>
      <c r="Q193" s="7"/>
      <c r="R193" s="7"/>
      <c r="S193" s="7"/>
      <c r="T193" s="7"/>
    </row>
    <row r="194" spans="1:20" hidden="1" x14ac:dyDescent="0.3">
      <c r="A194" s="7"/>
      <c r="B194" s="73">
        <f t="shared" si="5"/>
        <v>11</v>
      </c>
      <c r="C194" s="489" t="s">
        <v>942</v>
      </c>
      <c r="D194" s="76" t="s">
        <v>974</v>
      </c>
      <c r="E194" s="76">
        <f>'МЕДИЧНІ М'!E215</f>
        <v>24.6</v>
      </c>
      <c r="F194" s="77">
        <v>100</v>
      </c>
      <c r="G194" s="78">
        <f>ROUND(E194/F194,2)</f>
        <v>0.25</v>
      </c>
      <c r="K194" s="130"/>
      <c r="L194" s="493"/>
      <c r="M194" s="493"/>
      <c r="N194" s="22"/>
      <c r="O194" s="7"/>
      <c r="P194" s="7"/>
      <c r="Q194" s="7"/>
      <c r="R194" s="7"/>
      <c r="S194" s="7"/>
      <c r="T194" s="7"/>
    </row>
    <row r="195" spans="1:20" hidden="1" x14ac:dyDescent="0.3">
      <c r="A195" s="7"/>
      <c r="B195" s="73">
        <f t="shared" si="5"/>
        <v>12</v>
      </c>
      <c r="C195" s="320" t="s">
        <v>1043</v>
      </c>
      <c r="D195" s="78" t="s">
        <v>974</v>
      </c>
      <c r="E195" s="76">
        <f>'МЕДИЧНІ М'!E217</f>
        <v>120</v>
      </c>
      <c r="F195" s="84">
        <v>1000</v>
      </c>
      <c r="G195" s="88">
        <f>ROUND(E195/F195,2)</f>
        <v>0.12</v>
      </c>
      <c r="K195" s="130"/>
      <c r="L195" s="493"/>
      <c r="M195" s="493"/>
      <c r="N195" s="22"/>
      <c r="O195" s="7"/>
      <c r="P195" s="7"/>
      <c r="Q195" s="7"/>
      <c r="R195" s="7"/>
      <c r="S195" s="7"/>
      <c r="T195" s="7"/>
    </row>
    <row r="196" spans="1:20" hidden="1" x14ac:dyDescent="0.3">
      <c r="A196" s="7"/>
      <c r="B196" s="73">
        <f t="shared" si="5"/>
        <v>13</v>
      </c>
      <c r="C196" s="320" t="s">
        <v>1042</v>
      </c>
      <c r="D196" s="75" t="s">
        <v>974</v>
      </c>
      <c r="E196" s="76">
        <f>'МЕДИЧНІ М'!E218</f>
        <v>214</v>
      </c>
      <c r="F196" s="86">
        <v>1000</v>
      </c>
      <c r="G196" s="88">
        <f>ROUND(E196/F196,2)</f>
        <v>0.21</v>
      </c>
      <c r="K196" s="130"/>
      <c r="L196" s="493"/>
      <c r="M196" s="493"/>
      <c r="N196" s="22"/>
      <c r="O196" s="7"/>
      <c r="P196" s="7"/>
      <c r="Q196" s="7"/>
      <c r="R196" s="7"/>
      <c r="S196" s="7"/>
      <c r="T196" s="7"/>
    </row>
    <row r="197" spans="1:20" hidden="1" x14ac:dyDescent="0.3">
      <c r="A197" s="7"/>
      <c r="B197" s="1012" t="s">
        <v>945</v>
      </c>
      <c r="C197" s="1013"/>
      <c r="D197" s="1013"/>
      <c r="E197" s="1013"/>
      <c r="F197" s="1014"/>
      <c r="G197" s="572">
        <f>SUM(G184:G196)</f>
        <v>6.43</v>
      </c>
      <c r="K197" s="130"/>
      <c r="L197" s="493"/>
      <c r="M197" s="493"/>
      <c r="N197" s="22"/>
      <c r="O197" s="7"/>
      <c r="P197" s="7"/>
      <c r="Q197" s="7"/>
      <c r="R197" s="7"/>
      <c r="S197" s="7"/>
      <c r="T197" s="7"/>
    </row>
    <row r="198" spans="1:20" hidden="1" x14ac:dyDescent="0.3">
      <c r="A198" s="7"/>
      <c r="K198" s="130"/>
      <c r="L198" s="493"/>
      <c r="M198" s="493"/>
      <c r="N198" s="22"/>
      <c r="O198" s="7"/>
      <c r="P198" s="7"/>
      <c r="Q198" s="7"/>
      <c r="R198" s="7"/>
      <c r="S198" s="7"/>
      <c r="T198" s="7"/>
    </row>
    <row r="199" spans="1:20" hidden="1" x14ac:dyDescent="0.3">
      <c r="A199" s="7"/>
      <c r="C199" s="12" t="s">
        <v>968</v>
      </c>
      <c r="D199" s="227"/>
      <c r="E199" s="227"/>
      <c r="F199" s="298">
        <f>H202</f>
        <v>0.8</v>
      </c>
      <c r="G199" s="227" t="s">
        <v>971</v>
      </c>
      <c r="K199" s="130"/>
      <c r="L199" s="493"/>
      <c r="M199" s="493"/>
      <c r="N199" s="22"/>
      <c r="O199" s="7"/>
      <c r="P199" s="7"/>
      <c r="Q199" s="7"/>
      <c r="R199" s="7"/>
      <c r="S199" s="7"/>
      <c r="T199" s="7"/>
    </row>
    <row r="200" spans="1:20" hidden="1" x14ac:dyDescent="0.3">
      <c r="A200" s="7"/>
      <c r="C200" s="22"/>
      <c r="D200" s="36"/>
      <c r="E200" s="36"/>
      <c r="F200" s="302"/>
      <c r="G200" s="36"/>
      <c r="K200" s="130"/>
      <c r="L200" s="493"/>
      <c r="M200" s="493"/>
      <c r="N200" s="22"/>
      <c r="O200" s="7"/>
      <c r="P200" s="7"/>
      <c r="Q200" s="7"/>
      <c r="R200" s="7"/>
      <c r="S200" s="7"/>
      <c r="T200" s="7"/>
    </row>
    <row r="201" spans="1:20" ht="27.6" hidden="1" x14ac:dyDescent="0.3">
      <c r="A201" s="7"/>
      <c r="C201" s="14" t="s">
        <v>513</v>
      </c>
      <c r="D201" s="14" t="s">
        <v>969</v>
      </c>
      <c r="E201" s="14" t="s">
        <v>516</v>
      </c>
      <c r="F201" s="14" t="s">
        <v>970</v>
      </c>
      <c r="G201" s="14" t="s">
        <v>930</v>
      </c>
      <c r="H201" s="14" t="s">
        <v>961</v>
      </c>
      <c r="K201" s="130"/>
      <c r="L201" s="493"/>
      <c r="M201" s="493"/>
      <c r="N201" s="22"/>
      <c r="O201" s="7"/>
      <c r="P201" s="7"/>
      <c r="Q201" s="7"/>
      <c r="R201" s="7"/>
      <c r="S201" s="7"/>
      <c r="T201" s="7"/>
    </row>
    <row r="202" spans="1:20" hidden="1" x14ac:dyDescent="0.3">
      <c r="A202" s="7"/>
      <c r="C202" s="27" t="s">
        <v>1090</v>
      </c>
      <c r="D202" s="73">
        <f>АМОРТИЗАЦІЯ!C5</f>
        <v>34445.759999999995</v>
      </c>
      <c r="E202" s="73">
        <v>13679.5</v>
      </c>
      <c r="F202" s="73">
        <f>ROUND((D202/E202)/60,2)</f>
        <v>0.04</v>
      </c>
      <c r="G202" s="73">
        <f>E177+E176</f>
        <v>20</v>
      </c>
      <c r="H202" s="78">
        <f>ROUND(F202*G202,2)</f>
        <v>0.8</v>
      </c>
      <c r="I202" s="38"/>
      <c r="K202" s="130"/>
      <c r="L202" s="493"/>
      <c r="M202" s="493"/>
      <c r="N202" s="22"/>
      <c r="O202" s="7"/>
      <c r="P202" s="7"/>
      <c r="Q202" s="7"/>
      <c r="R202" s="7"/>
      <c r="S202" s="7"/>
      <c r="T202" s="7"/>
    </row>
    <row r="203" spans="1:20" hidden="1" x14ac:dyDescent="0.3">
      <c r="A203" s="7"/>
      <c r="K203" s="130"/>
      <c r="L203" s="493"/>
      <c r="M203" s="493"/>
      <c r="N203" s="22"/>
      <c r="O203" s="7"/>
      <c r="P203" s="7"/>
      <c r="Q203" s="7"/>
      <c r="R203" s="7"/>
      <c r="S203" s="7"/>
      <c r="T203" s="7"/>
    </row>
    <row r="204" spans="1:20" hidden="1" x14ac:dyDescent="0.3">
      <c r="A204" s="7"/>
      <c r="C204" s="12" t="s">
        <v>948</v>
      </c>
      <c r="D204" s="227"/>
      <c r="E204" s="227"/>
      <c r="F204" s="298">
        <f>H217</f>
        <v>2.6</v>
      </c>
      <c r="G204" s="227" t="s">
        <v>971</v>
      </c>
      <c r="K204" s="130"/>
      <c r="L204" s="493"/>
      <c r="M204" s="493"/>
      <c r="N204" s="22"/>
      <c r="O204" s="7"/>
      <c r="P204" s="7"/>
      <c r="Q204" s="7"/>
      <c r="R204" s="7"/>
      <c r="S204" s="7"/>
      <c r="T204" s="7"/>
    </row>
    <row r="205" spans="1:20" hidden="1" x14ac:dyDescent="0.3">
      <c r="A205" s="7"/>
      <c r="C205" s="22"/>
      <c r="D205" s="36"/>
      <c r="E205" s="36"/>
      <c r="F205" s="302"/>
      <c r="K205" s="130"/>
      <c r="L205" s="493"/>
      <c r="M205" s="493"/>
      <c r="N205" s="22"/>
      <c r="O205" s="7"/>
      <c r="P205" s="7"/>
      <c r="Q205" s="7"/>
      <c r="R205" s="7"/>
      <c r="S205" s="7"/>
      <c r="T205" s="7"/>
    </row>
    <row r="206" spans="1:20" ht="27.6" hidden="1" x14ac:dyDescent="0.3">
      <c r="A206" s="7"/>
      <c r="C206" s="14" t="s">
        <v>948</v>
      </c>
      <c r="D206" s="14" t="s">
        <v>1110</v>
      </c>
      <c r="E206" s="14" t="s">
        <v>516</v>
      </c>
      <c r="F206" s="14" t="s">
        <v>954</v>
      </c>
      <c r="G206" s="14" t="s">
        <v>930</v>
      </c>
      <c r="H206" s="14" t="s">
        <v>1111</v>
      </c>
      <c r="K206" s="130"/>
      <c r="L206" s="493"/>
      <c r="M206" s="493"/>
      <c r="N206" s="22"/>
      <c r="O206" s="7"/>
      <c r="P206" s="7"/>
      <c r="Q206" s="7"/>
      <c r="R206" s="7"/>
      <c r="S206" s="7"/>
      <c r="T206" s="7"/>
    </row>
    <row r="207" spans="1:20" hidden="1" x14ac:dyDescent="0.3">
      <c r="A207" s="7"/>
      <c r="C207" s="1009" t="str">
        <f>C172</f>
        <v>Лікар-лаборант</v>
      </c>
      <c r="D207" s="1010"/>
      <c r="E207" s="1010"/>
      <c r="F207" s="1010"/>
      <c r="G207" s="1010"/>
      <c r="H207" s="1011"/>
      <c r="K207" s="130"/>
      <c r="L207" s="493"/>
      <c r="M207" s="493"/>
      <c r="N207" s="22"/>
      <c r="O207" s="7"/>
      <c r="P207" s="7"/>
      <c r="Q207" s="7"/>
      <c r="R207" s="7"/>
      <c r="S207" s="7"/>
      <c r="T207" s="7"/>
    </row>
    <row r="208" spans="1:20" hidden="1" x14ac:dyDescent="0.3">
      <c r="A208" s="7"/>
      <c r="C208" s="17" t="s">
        <v>951</v>
      </c>
      <c r="D208" s="221">
        <f>D150</f>
        <v>12188.608008565312</v>
      </c>
      <c r="E208" s="73">
        <f>I172</f>
        <v>1807.2</v>
      </c>
      <c r="F208" s="73">
        <f>ROUND((D208/E208)/60,2)</f>
        <v>0.11</v>
      </c>
      <c r="G208" s="73">
        <f>E176</f>
        <v>15</v>
      </c>
      <c r="H208" s="78">
        <f>ROUND(F208*G208,2)</f>
        <v>1.65</v>
      </c>
      <c r="K208" s="130"/>
      <c r="L208" s="493"/>
      <c r="M208" s="493"/>
      <c r="N208" s="22"/>
      <c r="O208" s="7"/>
      <c r="P208" s="7"/>
      <c r="Q208" s="7"/>
      <c r="R208" s="7"/>
      <c r="S208" s="7"/>
      <c r="T208" s="7"/>
    </row>
    <row r="209" spans="1:20" hidden="1" x14ac:dyDescent="0.3">
      <c r="A209" s="7"/>
      <c r="C209" s="17" t="s">
        <v>952</v>
      </c>
      <c r="D209" s="221">
        <f>D151</f>
        <v>53.149721627408987</v>
      </c>
      <c r="E209" s="73">
        <f>I172</f>
        <v>1807.2</v>
      </c>
      <c r="F209" s="73">
        <f>ROUND((D209/E209)/60,2)</f>
        <v>0</v>
      </c>
      <c r="G209" s="73">
        <f>E176</f>
        <v>15</v>
      </c>
      <c r="H209" s="78">
        <f>ROUND(F209*G209,2)</f>
        <v>0</v>
      </c>
      <c r="K209" s="130"/>
      <c r="L209" s="493"/>
      <c r="M209" s="493"/>
      <c r="N209" s="22"/>
      <c r="O209" s="7"/>
      <c r="P209" s="7"/>
      <c r="Q209" s="7"/>
      <c r="R209" s="7"/>
      <c r="S209" s="7"/>
      <c r="T209" s="7"/>
    </row>
    <row r="210" spans="1:20" hidden="1" x14ac:dyDescent="0.3">
      <c r="A210" s="7"/>
      <c r="C210" s="17" t="s">
        <v>953</v>
      </c>
      <c r="D210" s="221">
        <f>D152</f>
        <v>374.98368308351178</v>
      </c>
      <c r="E210" s="73">
        <f>I172</f>
        <v>1807.2</v>
      </c>
      <c r="F210" s="73">
        <f>ROUND((D210/E210)/60,2)</f>
        <v>0</v>
      </c>
      <c r="G210" s="73">
        <f>E176</f>
        <v>15</v>
      </c>
      <c r="H210" s="78">
        <f>ROUND(F210*G210,2)</f>
        <v>0</v>
      </c>
      <c r="K210" s="130"/>
      <c r="L210" s="493"/>
      <c r="M210" s="493"/>
      <c r="N210" s="22"/>
      <c r="O210" s="7"/>
      <c r="P210" s="7"/>
      <c r="Q210" s="7"/>
      <c r="R210" s="7"/>
      <c r="S210" s="7"/>
      <c r="T210" s="7"/>
    </row>
    <row r="211" spans="1:20" hidden="1" x14ac:dyDescent="0.3">
      <c r="A211" s="7"/>
      <c r="C211" s="17" t="s">
        <v>1109</v>
      </c>
      <c r="D211" s="221">
        <f>D153</f>
        <v>1686.0389293361886</v>
      </c>
      <c r="E211" s="73">
        <f>I172</f>
        <v>1807.2</v>
      </c>
      <c r="F211" s="73">
        <f>ROUND((D211/E211)/60,2)</f>
        <v>0.02</v>
      </c>
      <c r="G211" s="73">
        <f>E176</f>
        <v>15</v>
      </c>
      <c r="H211" s="78">
        <f>ROUND(F211*G211,2)</f>
        <v>0.3</v>
      </c>
      <c r="K211" s="130"/>
      <c r="L211" s="493"/>
      <c r="M211" s="493"/>
      <c r="N211" s="22"/>
      <c r="O211" s="7"/>
      <c r="P211" s="7"/>
      <c r="Q211" s="7"/>
      <c r="R211" s="7"/>
      <c r="S211" s="7"/>
      <c r="T211" s="7"/>
    </row>
    <row r="212" spans="1:20" hidden="1" x14ac:dyDescent="0.3">
      <c r="A212" s="7"/>
      <c r="C212" s="1009" t="str">
        <f>C173</f>
        <v>Лаборант клінічної лабораторії</v>
      </c>
      <c r="D212" s="1010"/>
      <c r="E212" s="1010"/>
      <c r="F212" s="1010"/>
      <c r="G212" s="1010"/>
      <c r="H212" s="1011"/>
      <c r="K212" s="130"/>
      <c r="L212" s="493"/>
      <c r="M212" s="493"/>
      <c r="N212" s="22"/>
      <c r="O212" s="7"/>
      <c r="P212" s="7"/>
      <c r="Q212" s="7"/>
      <c r="R212" s="7"/>
      <c r="S212" s="7"/>
      <c r="T212" s="7"/>
    </row>
    <row r="213" spans="1:20" hidden="1" x14ac:dyDescent="0.3">
      <c r="A213" s="7"/>
      <c r="C213" s="17" t="s">
        <v>951</v>
      </c>
      <c r="D213" s="221">
        <f>D155</f>
        <v>12188.608008565312</v>
      </c>
      <c r="E213" s="73">
        <f>I173</f>
        <v>1807.2</v>
      </c>
      <c r="F213" s="73">
        <f>ROUND((D213/E213)/60,2)</f>
        <v>0.11</v>
      </c>
      <c r="G213" s="73">
        <f>E177</f>
        <v>5</v>
      </c>
      <c r="H213" s="78">
        <f>ROUND(F213*G213,2)</f>
        <v>0.55000000000000004</v>
      </c>
      <c r="K213" s="130"/>
      <c r="L213" s="493"/>
      <c r="M213" s="493"/>
      <c r="N213" s="22"/>
      <c r="O213" s="7"/>
      <c r="P213" s="7"/>
      <c r="Q213" s="7"/>
      <c r="R213" s="7"/>
      <c r="S213" s="7"/>
      <c r="T213" s="7"/>
    </row>
    <row r="214" spans="1:20" hidden="1" x14ac:dyDescent="0.3">
      <c r="A214" s="7"/>
      <c r="C214" s="17" t="s">
        <v>952</v>
      </c>
      <c r="D214" s="221">
        <f>D156</f>
        <v>53.149721627408987</v>
      </c>
      <c r="E214" s="73">
        <f>I173</f>
        <v>1807.2</v>
      </c>
      <c r="F214" s="73">
        <f>ROUND((D214/E214)/60,2)</f>
        <v>0</v>
      </c>
      <c r="G214" s="73">
        <f>E177</f>
        <v>5</v>
      </c>
      <c r="H214" s="78">
        <f>ROUND(F214*G214,2)</f>
        <v>0</v>
      </c>
      <c r="K214" s="130"/>
      <c r="L214" s="493"/>
      <c r="M214" s="493"/>
      <c r="N214" s="22"/>
      <c r="O214" s="7"/>
      <c r="P214" s="7"/>
      <c r="Q214" s="7"/>
      <c r="R214" s="7"/>
      <c r="S214" s="7"/>
      <c r="T214" s="7"/>
    </row>
    <row r="215" spans="1:20" hidden="1" x14ac:dyDescent="0.3">
      <c r="A215" s="7"/>
      <c r="C215" s="17" t="s">
        <v>953</v>
      </c>
      <c r="D215" s="221">
        <f>D157</f>
        <v>374.98368308351178</v>
      </c>
      <c r="E215" s="73">
        <f>I173</f>
        <v>1807.2</v>
      </c>
      <c r="F215" s="73">
        <f>ROUND((D215/E215)/60,2)</f>
        <v>0</v>
      </c>
      <c r="G215" s="73">
        <f>E177</f>
        <v>5</v>
      </c>
      <c r="H215" s="78">
        <f>ROUND(F215*G215,2)</f>
        <v>0</v>
      </c>
      <c r="K215" s="130"/>
      <c r="L215" s="493"/>
      <c r="M215" s="493"/>
      <c r="N215" s="22"/>
      <c r="O215" s="7"/>
      <c r="P215" s="7"/>
      <c r="Q215" s="7"/>
      <c r="R215" s="7"/>
      <c r="S215" s="7"/>
      <c r="T215" s="7"/>
    </row>
    <row r="216" spans="1:20" hidden="1" x14ac:dyDescent="0.3">
      <c r="A216" s="7"/>
      <c r="C216" s="17" t="s">
        <v>1109</v>
      </c>
      <c r="D216" s="221">
        <f>D158</f>
        <v>1686.0389293361886</v>
      </c>
      <c r="E216" s="73">
        <f>I173</f>
        <v>1807.2</v>
      </c>
      <c r="F216" s="73">
        <f>ROUND((D216/E216)/60,2)</f>
        <v>0.02</v>
      </c>
      <c r="G216" s="73">
        <f>E177</f>
        <v>5</v>
      </c>
      <c r="H216" s="78">
        <f>ROUND(F216*G216,2)</f>
        <v>0.1</v>
      </c>
      <c r="K216" s="130"/>
      <c r="L216" s="493"/>
      <c r="M216" s="493"/>
      <c r="N216" s="22"/>
      <c r="O216" s="7"/>
      <c r="P216" s="7"/>
      <c r="Q216" s="7"/>
      <c r="R216" s="7"/>
      <c r="S216" s="7"/>
      <c r="T216" s="7"/>
    </row>
    <row r="217" spans="1:20" hidden="1" x14ac:dyDescent="0.3">
      <c r="A217" s="7"/>
      <c r="C217" s="1012" t="s">
        <v>957</v>
      </c>
      <c r="D217" s="1013"/>
      <c r="E217" s="1013"/>
      <c r="F217" s="1013"/>
      <c r="G217" s="1014"/>
      <c r="H217" s="299">
        <f>SUM(H208:H216)</f>
        <v>2.6</v>
      </c>
      <c r="K217" s="130"/>
      <c r="L217" s="493"/>
      <c r="M217" s="493"/>
      <c r="N217" s="22"/>
      <c r="O217" s="7"/>
      <c r="P217" s="7"/>
      <c r="Q217" s="7"/>
      <c r="R217" s="7"/>
      <c r="S217" s="7"/>
      <c r="T217" s="7"/>
    </row>
    <row r="218" spans="1:20" hidden="1" x14ac:dyDescent="0.3">
      <c r="A218" s="7"/>
      <c r="K218" s="130"/>
      <c r="L218" s="493"/>
      <c r="M218" s="493"/>
      <c r="N218" s="22"/>
      <c r="O218" s="7"/>
      <c r="P218" s="7"/>
      <c r="Q218" s="7"/>
      <c r="R218" s="7"/>
      <c r="S218" s="7"/>
      <c r="T218" s="7"/>
    </row>
    <row r="219" spans="1:20" hidden="1" x14ac:dyDescent="0.3">
      <c r="A219" s="7"/>
      <c r="C219" s="1015" t="s">
        <v>959</v>
      </c>
      <c r="D219" s="1015"/>
      <c r="E219" s="1015"/>
      <c r="F219" s="1015"/>
      <c r="G219" s="1015"/>
      <c r="H219" s="334">
        <f>F169+F181+F204+F199</f>
        <v>39.6</v>
      </c>
      <c r="K219" s="130"/>
      <c r="L219" s="493"/>
      <c r="M219" s="493"/>
      <c r="N219" s="22"/>
      <c r="O219" s="7"/>
      <c r="P219" s="7"/>
      <c r="Q219" s="7"/>
      <c r="R219" s="7"/>
      <c r="S219" s="7"/>
      <c r="T219" s="7"/>
    </row>
    <row r="220" spans="1:20" hidden="1" x14ac:dyDescent="0.3">
      <c r="A220" s="7"/>
      <c r="C220" s="33"/>
      <c r="D220" s="33"/>
      <c r="E220" s="33"/>
      <c r="F220" s="33"/>
      <c r="G220" s="33"/>
      <c r="H220" s="335"/>
      <c r="K220" s="130"/>
      <c r="L220" s="493"/>
      <c r="M220" s="493"/>
      <c r="N220" s="22"/>
      <c r="O220" s="7"/>
      <c r="P220" s="7"/>
      <c r="Q220" s="7"/>
      <c r="R220" s="7"/>
      <c r="S220" s="7"/>
      <c r="T220" s="7"/>
    </row>
    <row r="221" spans="1:20" hidden="1" x14ac:dyDescent="0.3">
      <c r="A221" s="7"/>
      <c r="C221" s="1015" t="s">
        <v>960</v>
      </c>
      <c r="D221" s="1015"/>
      <c r="E221" s="1015"/>
      <c r="F221" s="1015"/>
      <c r="G221" s="1015"/>
      <c r="H221" s="334">
        <f>ROUND(H219,0)</f>
        <v>40</v>
      </c>
      <c r="K221" s="130"/>
      <c r="L221" s="493"/>
      <c r="M221" s="493"/>
      <c r="N221" s="22"/>
      <c r="O221" s="7"/>
      <c r="P221" s="7"/>
      <c r="Q221" s="7"/>
      <c r="R221" s="7"/>
      <c r="S221" s="7"/>
      <c r="T221" s="7"/>
    </row>
    <row r="222" spans="1:20" hidden="1" x14ac:dyDescent="0.3">
      <c r="A222" s="7"/>
      <c r="K222" s="130"/>
      <c r="L222" s="493"/>
      <c r="M222" s="493"/>
      <c r="N222" s="22"/>
      <c r="O222" s="7"/>
      <c r="P222" s="7"/>
      <c r="Q222" s="7"/>
      <c r="R222" s="7"/>
      <c r="S222" s="7"/>
      <c r="T222" s="7"/>
    </row>
    <row r="223" spans="1:20" s="54" customFormat="1" ht="19.8" hidden="1" x14ac:dyDescent="0.4">
      <c r="A223" s="53"/>
      <c r="B223" s="1016" t="s">
        <v>958</v>
      </c>
      <c r="C223" s="1016"/>
      <c r="D223" s="1016"/>
      <c r="E223" s="1016"/>
      <c r="F223" s="1016"/>
      <c r="G223" s="1016"/>
      <c r="H223" s="1016"/>
      <c r="I223" s="1016"/>
      <c r="J223" s="1016"/>
      <c r="K223" s="137"/>
      <c r="L223" s="493"/>
      <c r="M223" s="493"/>
      <c r="N223" s="70"/>
      <c r="O223" s="53"/>
      <c r="P223" s="53"/>
      <c r="Q223" s="53"/>
      <c r="R223" s="53"/>
      <c r="S223" s="53"/>
      <c r="T223" s="53"/>
    </row>
    <row r="224" spans="1:20" s="54" customFormat="1" ht="19.8" hidden="1" x14ac:dyDescent="0.4">
      <c r="A224" s="53"/>
      <c r="B224" s="53"/>
      <c r="C224" s="53"/>
      <c r="D224" s="225"/>
      <c r="E224" s="225"/>
      <c r="F224" s="225"/>
      <c r="G224" s="225"/>
      <c r="H224" s="225"/>
      <c r="I224" s="53"/>
      <c r="J224" s="53"/>
      <c r="K224" s="132"/>
      <c r="L224" s="493"/>
      <c r="M224" s="493"/>
      <c r="N224" s="70"/>
      <c r="O224" s="53"/>
      <c r="P224" s="53"/>
      <c r="Q224" s="53"/>
      <c r="R224" s="53"/>
      <c r="S224" s="53"/>
      <c r="T224" s="53"/>
    </row>
    <row r="225" spans="1:20" s="54" customFormat="1" ht="19.8" hidden="1" x14ac:dyDescent="0.4">
      <c r="A225" s="53"/>
      <c r="B225" s="50" t="s">
        <v>178</v>
      </c>
      <c r="C225" s="1017" t="str">
        <f>M12</f>
        <v>Мікроскопічне дослідження на Демодекс</v>
      </c>
      <c r="D225" s="1017"/>
      <c r="E225" s="1017"/>
      <c r="F225" s="296">
        <f>H276</f>
        <v>89</v>
      </c>
      <c r="G225" s="296" t="s">
        <v>971</v>
      </c>
      <c r="H225" s="225"/>
      <c r="I225" s="53"/>
      <c r="J225" s="53"/>
      <c r="K225" s="132"/>
      <c r="L225" s="493"/>
      <c r="M225" s="493"/>
      <c r="N225" s="70"/>
      <c r="O225" s="53"/>
      <c r="P225" s="53"/>
      <c r="Q225" s="53"/>
      <c r="R225" s="53"/>
      <c r="S225" s="53"/>
      <c r="T225" s="53"/>
    </row>
    <row r="226" spans="1:20" hidden="1" x14ac:dyDescent="0.3">
      <c r="A226" s="7"/>
      <c r="K226" s="130"/>
      <c r="L226" s="493"/>
      <c r="M226" s="493"/>
      <c r="N226" s="22"/>
      <c r="O226" s="7"/>
      <c r="P226" s="7"/>
      <c r="Q226" s="7"/>
      <c r="R226" s="7"/>
      <c r="S226" s="7"/>
      <c r="T226" s="7"/>
    </row>
    <row r="227" spans="1:20" hidden="1" x14ac:dyDescent="0.3">
      <c r="A227" s="7"/>
      <c r="C227" s="1018" t="s">
        <v>932</v>
      </c>
      <c r="D227" s="1018"/>
      <c r="E227" s="297"/>
      <c r="F227" s="298">
        <f>F234+F237+F235</f>
        <v>29.77</v>
      </c>
      <c r="G227" s="227" t="s">
        <v>971</v>
      </c>
      <c r="K227" s="130"/>
      <c r="L227" s="493"/>
      <c r="M227" s="493"/>
      <c r="N227" s="22"/>
      <c r="O227" s="7"/>
      <c r="P227" s="7"/>
      <c r="Q227" s="7"/>
      <c r="R227" s="7"/>
      <c r="S227" s="7"/>
      <c r="T227" s="7"/>
    </row>
    <row r="228" spans="1:20" hidden="1" x14ac:dyDescent="0.3">
      <c r="A228" s="7"/>
      <c r="K228" s="130"/>
      <c r="L228" s="493"/>
      <c r="M228" s="493"/>
      <c r="N228" s="22"/>
      <c r="O228" s="7"/>
      <c r="P228" s="7"/>
      <c r="Q228" s="7"/>
      <c r="R228" s="7"/>
      <c r="S228" s="7"/>
      <c r="T228" s="7"/>
    </row>
    <row r="229" spans="1:20" ht="27.6" hidden="1" x14ac:dyDescent="0.3">
      <c r="A229" s="7"/>
      <c r="C229" s="13" t="s">
        <v>929</v>
      </c>
      <c r="D229" s="14" t="s">
        <v>928</v>
      </c>
      <c r="E229" s="14" t="s">
        <v>514</v>
      </c>
      <c r="F229" s="14" t="s">
        <v>515</v>
      </c>
      <c r="G229" s="14" t="s">
        <v>962</v>
      </c>
      <c r="H229" s="14" t="s">
        <v>926</v>
      </c>
      <c r="I229" s="14" t="s">
        <v>516</v>
      </c>
      <c r="J229" s="14" t="s">
        <v>961</v>
      </c>
      <c r="K229" s="138"/>
      <c r="L229" s="493"/>
      <c r="M229" s="493"/>
      <c r="N229" s="22"/>
      <c r="O229" s="7"/>
      <c r="P229" s="7"/>
      <c r="Q229" s="7"/>
      <c r="R229" s="7"/>
      <c r="S229" s="7"/>
      <c r="T229" s="7"/>
    </row>
    <row r="230" spans="1:20" hidden="1" x14ac:dyDescent="0.3">
      <c r="A230" s="7"/>
      <c r="C230" s="17" t="str">
        <f>C172</f>
        <v>Лікар-лаборант</v>
      </c>
      <c r="D230" s="73">
        <f>D172</f>
        <v>10799.43</v>
      </c>
      <c r="E230" s="78">
        <f>D230*12</f>
        <v>129593.16</v>
      </c>
      <c r="F230" s="73">
        <f>F172</f>
        <v>8307.26</v>
      </c>
      <c r="G230" s="73">
        <f>G172</f>
        <v>4153.63</v>
      </c>
      <c r="H230" s="78">
        <f>E230+F230+G230</f>
        <v>142054.05000000002</v>
      </c>
      <c r="I230" s="17">
        <v>1807.2</v>
      </c>
      <c r="J230" s="16">
        <f>ROUND((H230/I230)/60,2)</f>
        <v>1.31</v>
      </c>
      <c r="K230" s="140"/>
      <c r="L230" s="493"/>
      <c r="M230" s="493"/>
      <c r="N230" s="22"/>
      <c r="O230" s="7"/>
      <c r="P230" s="7"/>
      <c r="Q230" s="7"/>
      <c r="R230" s="7"/>
      <c r="S230" s="7"/>
      <c r="T230" s="7"/>
    </row>
    <row r="231" spans="1:20" hidden="1" x14ac:dyDescent="0.3">
      <c r="A231" s="7"/>
      <c r="C231" s="17" t="str">
        <f>C173</f>
        <v>Лаборант клінічної лабораторії</v>
      </c>
      <c r="D231" s="73">
        <f>D173</f>
        <v>7871.18</v>
      </c>
      <c r="E231" s="78">
        <f>D231*12</f>
        <v>94454.16</v>
      </c>
      <c r="F231" s="73">
        <f>F173</f>
        <v>6054.75</v>
      </c>
      <c r="G231" s="73">
        <f>G173</f>
        <v>3027.375</v>
      </c>
      <c r="H231" s="78">
        <f>E231+F231+G231</f>
        <v>103536.285</v>
      </c>
      <c r="I231" s="17">
        <v>1807.2</v>
      </c>
      <c r="J231" s="16">
        <f>ROUND((H231/I231)/60,2)</f>
        <v>0.95</v>
      </c>
      <c r="K231" s="140"/>
      <c r="L231" s="493"/>
      <c r="M231" s="493"/>
      <c r="N231" s="22"/>
      <c r="O231" s="7"/>
      <c r="P231" s="7"/>
      <c r="Q231" s="7"/>
      <c r="R231" s="7"/>
      <c r="S231" s="7"/>
      <c r="T231" s="7"/>
    </row>
    <row r="232" spans="1:20" hidden="1" x14ac:dyDescent="0.3">
      <c r="A232" s="7"/>
      <c r="K232" s="130"/>
      <c r="L232" s="493"/>
      <c r="M232" s="493"/>
      <c r="N232" s="22"/>
      <c r="O232" s="7"/>
      <c r="P232" s="7"/>
      <c r="Q232" s="7"/>
      <c r="R232" s="7"/>
      <c r="S232" s="7"/>
      <c r="T232" s="7"/>
    </row>
    <row r="233" spans="1:20" hidden="1" x14ac:dyDescent="0.3">
      <c r="A233" s="7"/>
      <c r="C233" s="13" t="s">
        <v>929</v>
      </c>
      <c r="D233" s="14" t="s">
        <v>961</v>
      </c>
      <c r="E233" s="14" t="s">
        <v>930</v>
      </c>
      <c r="F233" s="14" t="s">
        <v>931</v>
      </c>
      <c r="K233" s="130"/>
      <c r="L233" s="493"/>
      <c r="M233" s="493"/>
      <c r="N233" s="22"/>
      <c r="O233" s="7"/>
      <c r="P233" s="7"/>
      <c r="Q233" s="7"/>
      <c r="R233" s="7"/>
      <c r="S233" s="7"/>
      <c r="T233" s="7"/>
    </row>
    <row r="234" spans="1:20" hidden="1" x14ac:dyDescent="0.3">
      <c r="A234" s="7"/>
      <c r="C234" s="15" t="str">
        <f>C230</f>
        <v>Лікар-лаборант</v>
      </c>
      <c r="D234" s="78">
        <f>J230</f>
        <v>1.31</v>
      </c>
      <c r="E234" s="73">
        <v>15</v>
      </c>
      <c r="F234" s="299">
        <f>ROUND(D234*E234,2)</f>
        <v>19.649999999999999</v>
      </c>
      <c r="K234" s="130"/>
      <c r="L234" s="493"/>
      <c r="M234" s="493"/>
      <c r="N234" s="22"/>
      <c r="O234" s="7"/>
      <c r="P234" s="7"/>
      <c r="Q234" s="7"/>
      <c r="R234" s="7"/>
      <c r="S234" s="7"/>
      <c r="T234" s="7"/>
    </row>
    <row r="235" spans="1:20" hidden="1" x14ac:dyDescent="0.3">
      <c r="A235" s="7"/>
      <c r="C235" s="15" t="str">
        <f>C231</f>
        <v>Лаборант клінічної лабораторії</v>
      </c>
      <c r="D235" s="78">
        <f>J231</f>
        <v>0.95</v>
      </c>
      <c r="E235" s="73">
        <v>5</v>
      </c>
      <c r="F235" s="299">
        <f>ROUND(D235*E235,2)</f>
        <v>4.75</v>
      </c>
      <c r="K235" s="130"/>
      <c r="L235" s="493"/>
      <c r="M235" s="493"/>
      <c r="N235" s="22"/>
      <c r="O235" s="7"/>
      <c r="P235" s="7"/>
      <c r="Q235" s="7"/>
      <c r="R235" s="7"/>
      <c r="S235" s="7"/>
      <c r="T235" s="7"/>
    </row>
    <row r="236" spans="1:20" hidden="1" x14ac:dyDescent="0.3">
      <c r="A236" s="7"/>
      <c r="D236" s="19"/>
      <c r="E236" s="74" t="s">
        <v>1016</v>
      </c>
      <c r="K236" s="130"/>
      <c r="L236" s="493"/>
      <c r="M236" s="493"/>
      <c r="N236" s="22"/>
      <c r="O236" s="7"/>
      <c r="P236" s="7"/>
      <c r="Q236" s="7"/>
      <c r="R236" s="7"/>
      <c r="S236" s="7"/>
      <c r="T236" s="7"/>
    </row>
    <row r="237" spans="1:20" hidden="1" x14ac:dyDescent="0.3">
      <c r="A237" s="7"/>
      <c r="C237" s="17" t="s">
        <v>933</v>
      </c>
      <c r="D237" s="78">
        <f>F234+F235</f>
        <v>24.4</v>
      </c>
      <c r="E237" s="300">
        <v>0.22</v>
      </c>
      <c r="F237" s="301">
        <f>ROUND(D237*E237,2)</f>
        <v>5.37</v>
      </c>
      <c r="K237" s="130"/>
      <c r="L237" s="493"/>
      <c r="M237" s="493"/>
      <c r="N237" s="22"/>
      <c r="O237" s="7"/>
      <c r="P237" s="7"/>
      <c r="Q237" s="7"/>
      <c r="R237" s="7"/>
      <c r="S237" s="7"/>
      <c r="T237" s="7"/>
    </row>
    <row r="238" spans="1:20" hidden="1" x14ac:dyDescent="0.3">
      <c r="A238" s="7"/>
      <c r="K238" s="130"/>
      <c r="L238" s="493"/>
      <c r="M238" s="493"/>
      <c r="N238" s="22"/>
      <c r="O238" s="7"/>
      <c r="P238" s="7"/>
      <c r="Q238" s="7"/>
      <c r="R238" s="7"/>
      <c r="S238" s="7"/>
      <c r="T238" s="7"/>
    </row>
    <row r="239" spans="1:20" hidden="1" x14ac:dyDescent="0.3">
      <c r="A239" s="7"/>
      <c r="C239" s="12" t="s">
        <v>946</v>
      </c>
      <c r="D239" s="227"/>
      <c r="E239" s="227"/>
      <c r="F239" s="227">
        <f>G252</f>
        <v>55.389999999999993</v>
      </c>
      <c r="G239" s="227" t="s">
        <v>971</v>
      </c>
      <c r="K239" s="130"/>
      <c r="L239" s="493"/>
      <c r="M239" s="493"/>
      <c r="N239" s="22"/>
      <c r="O239" s="7"/>
      <c r="P239" s="7"/>
      <c r="Q239" s="7"/>
      <c r="R239" s="7"/>
      <c r="S239" s="7"/>
      <c r="T239" s="7"/>
    </row>
    <row r="240" spans="1:20" hidden="1" x14ac:dyDescent="0.3">
      <c r="A240" s="7"/>
      <c r="K240" s="130"/>
      <c r="L240" s="493"/>
      <c r="M240" s="493"/>
      <c r="N240" s="22"/>
      <c r="O240" s="7"/>
      <c r="P240" s="7"/>
      <c r="Q240" s="7"/>
      <c r="R240" s="7"/>
      <c r="S240" s="7"/>
      <c r="T240" s="7"/>
    </row>
    <row r="241" spans="1:20" ht="27.6" hidden="1" x14ac:dyDescent="0.3">
      <c r="A241" s="7"/>
      <c r="B241" s="82" t="s">
        <v>991</v>
      </c>
      <c r="C241" s="83" t="s">
        <v>986</v>
      </c>
      <c r="D241" s="83" t="s">
        <v>987</v>
      </c>
      <c r="E241" s="83" t="s">
        <v>988</v>
      </c>
      <c r="F241" s="83" t="s">
        <v>989</v>
      </c>
      <c r="G241" s="82" t="s">
        <v>990</v>
      </c>
      <c r="K241" s="130"/>
      <c r="L241" s="493"/>
      <c r="M241" s="493"/>
      <c r="N241" s="22"/>
      <c r="O241" s="7"/>
      <c r="P241" s="7"/>
      <c r="Q241" s="7"/>
      <c r="R241" s="7"/>
      <c r="S241" s="7"/>
      <c r="T241" s="7"/>
    </row>
    <row r="242" spans="1:20" hidden="1" x14ac:dyDescent="0.3">
      <c r="A242" s="7"/>
      <c r="B242" s="84">
        <v>1</v>
      </c>
      <c r="C242" s="85" t="s">
        <v>1041</v>
      </c>
      <c r="D242" s="86" t="s">
        <v>941</v>
      </c>
      <c r="E242" s="87">
        <f>'МЕДИЧНІ М'!E211</f>
        <v>48.15</v>
      </c>
      <c r="F242" s="86">
        <v>1</v>
      </c>
      <c r="G242" s="88">
        <f>ROUND(E242/F242,2)</f>
        <v>48.15</v>
      </c>
      <c r="K242" s="130"/>
      <c r="L242" s="493"/>
      <c r="M242" s="493"/>
      <c r="N242" s="22"/>
      <c r="O242" s="7"/>
      <c r="P242" s="7"/>
      <c r="Q242" s="7"/>
      <c r="R242" s="7"/>
      <c r="S242" s="7"/>
      <c r="T242" s="7"/>
    </row>
    <row r="243" spans="1:20" hidden="1" x14ac:dyDescent="0.3">
      <c r="A243" s="7"/>
      <c r="B243" s="84">
        <f>1+B242</f>
        <v>2</v>
      </c>
      <c r="C243" s="513" t="s">
        <v>984</v>
      </c>
      <c r="D243" s="358" t="s">
        <v>941</v>
      </c>
      <c r="E243" s="359">
        <f>'МЕДИЧНІ М'!E213</f>
        <v>62.32</v>
      </c>
      <c r="F243" s="360">
        <v>100</v>
      </c>
      <c r="G243" s="88">
        <f>ROUND(E243/F243,2)</f>
        <v>0.62</v>
      </c>
      <c r="K243" s="130"/>
      <c r="L243" s="493"/>
      <c r="M243" s="493"/>
      <c r="N243" s="22"/>
      <c r="O243" s="7"/>
      <c r="P243" s="7"/>
      <c r="Q243" s="7"/>
      <c r="R243" s="7"/>
      <c r="S243" s="7"/>
      <c r="T243" s="7"/>
    </row>
    <row r="244" spans="1:20" hidden="1" x14ac:dyDescent="0.3">
      <c r="A244" s="7"/>
      <c r="B244" s="84">
        <f t="shared" ref="B244:B251" si="6">1+B243</f>
        <v>3</v>
      </c>
      <c r="C244" s="85" t="s">
        <v>193</v>
      </c>
      <c r="D244" s="86" t="s">
        <v>941</v>
      </c>
      <c r="E244" s="87">
        <f>'МЕДИЧНІ М'!E212</f>
        <v>1.2</v>
      </c>
      <c r="F244" s="86">
        <v>1</v>
      </c>
      <c r="G244" s="88">
        <f>ROUND(E244/F244,2)</f>
        <v>1.2</v>
      </c>
      <c r="K244" s="130"/>
      <c r="L244" s="493"/>
      <c r="M244" s="493"/>
      <c r="N244" s="22"/>
      <c r="O244" s="7"/>
      <c r="P244" s="7"/>
      <c r="Q244" s="7"/>
      <c r="R244" s="7"/>
      <c r="S244" s="7"/>
      <c r="T244" s="7"/>
    </row>
    <row r="245" spans="1:20" hidden="1" x14ac:dyDescent="0.3">
      <c r="A245" s="7"/>
      <c r="B245" s="84">
        <f t="shared" si="6"/>
        <v>4</v>
      </c>
      <c r="C245" s="85" t="s">
        <v>194</v>
      </c>
      <c r="D245" s="86" t="s">
        <v>937</v>
      </c>
      <c r="E245" s="87">
        <f>'МЕДИЧНІ М'!E196</f>
        <v>0.40200000000000002</v>
      </c>
      <c r="F245" s="86">
        <v>1</v>
      </c>
      <c r="G245" s="88">
        <f>ROUND(E245/F245,2)</f>
        <v>0.4</v>
      </c>
      <c r="K245" s="130"/>
      <c r="L245" s="493"/>
      <c r="M245" s="493"/>
      <c r="N245" s="22"/>
      <c r="O245" s="7"/>
      <c r="P245" s="7"/>
      <c r="Q245" s="7"/>
      <c r="R245" s="7"/>
      <c r="S245" s="7"/>
      <c r="T245" s="7"/>
    </row>
    <row r="246" spans="1:20" hidden="1" x14ac:dyDescent="0.3">
      <c r="A246" s="7"/>
      <c r="B246" s="84">
        <f t="shared" si="6"/>
        <v>5</v>
      </c>
      <c r="C246" s="489" t="s">
        <v>943</v>
      </c>
      <c r="D246" s="490" t="s">
        <v>944</v>
      </c>
      <c r="E246" s="491">
        <f>'МЕДИЧНІ М'!E198</f>
        <v>6.72</v>
      </c>
      <c r="F246" s="490">
        <v>0.14000000000000001</v>
      </c>
      <c r="G246" s="28">
        <f>ROUND(E246*F246,2)</f>
        <v>0.94</v>
      </c>
      <c r="K246" s="130"/>
      <c r="L246" s="493"/>
      <c r="M246" s="493"/>
      <c r="N246" s="22"/>
      <c r="O246" s="7"/>
      <c r="P246" s="7"/>
      <c r="Q246" s="7"/>
      <c r="R246" s="7"/>
      <c r="S246" s="7"/>
      <c r="T246" s="7"/>
    </row>
    <row r="247" spans="1:20" hidden="1" x14ac:dyDescent="0.3">
      <c r="A247" s="7"/>
      <c r="B247" s="84">
        <f t="shared" si="6"/>
        <v>6</v>
      </c>
      <c r="C247" s="489" t="s">
        <v>1124</v>
      </c>
      <c r="D247" s="490" t="s">
        <v>944</v>
      </c>
      <c r="E247" s="491">
        <f>'МЕДИЧНІ М'!E200</f>
        <v>0.5</v>
      </c>
      <c r="F247" s="491">
        <v>0.5</v>
      </c>
      <c r="G247" s="28">
        <f>ROUND(E247*F247,2)</f>
        <v>0.25</v>
      </c>
      <c r="K247" s="130"/>
      <c r="L247" s="493"/>
      <c r="M247" s="493"/>
      <c r="N247" s="22"/>
      <c r="O247" s="7"/>
      <c r="P247" s="7"/>
      <c r="Q247" s="7"/>
      <c r="R247" s="7"/>
      <c r="S247" s="7"/>
      <c r="T247" s="7"/>
    </row>
    <row r="248" spans="1:20" hidden="1" x14ac:dyDescent="0.3">
      <c r="A248" s="7"/>
      <c r="B248" s="84">
        <f t="shared" si="6"/>
        <v>7</v>
      </c>
      <c r="C248" s="489" t="s">
        <v>940</v>
      </c>
      <c r="D248" s="490" t="s">
        <v>941</v>
      </c>
      <c r="E248" s="491">
        <f>'МЕДИЧНІ М'!E202</f>
        <v>2</v>
      </c>
      <c r="F248" s="490">
        <v>1.5</v>
      </c>
      <c r="G248" s="28">
        <f>ROUND(E248*F248,2)</f>
        <v>3</v>
      </c>
      <c r="K248" s="130"/>
      <c r="L248" s="493"/>
      <c r="M248" s="493"/>
      <c r="N248" s="22"/>
      <c r="O248" s="7"/>
      <c r="P248" s="7"/>
      <c r="Q248" s="7"/>
      <c r="R248" s="7"/>
      <c r="S248" s="7"/>
      <c r="T248" s="7"/>
    </row>
    <row r="249" spans="1:20" hidden="1" x14ac:dyDescent="0.3">
      <c r="A249" s="7"/>
      <c r="B249" s="84">
        <f t="shared" si="6"/>
        <v>8</v>
      </c>
      <c r="C249" s="85" t="s">
        <v>936</v>
      </c>
      <c r="D249" s="358" t="s">
        <v>937</v>
      </c>
      <c r="E249" s="358">
        <f>'МЕДИЧНІ М'!E204</f>
        <v>0.3</v>
      </c>
      <c r="F249" s="360">
        <v>1</v>
      </c>
      <c r="G249" s="361">
        <f>ROUND(E249/F249,2)</f>
        <v>0.3</v>
      </c>
      <c r="K249" s="130"/>
      <c r="L249" s="493"/>
      <c r="M249" s="493"/>
      <c r="N249" s="22"/>
      <c r="O249" s="7"/>
      <c r="P249" s="7"/>
      <c r="Q249" s="7"/>
      <c r="R249" s="7"/>
      <c r="S249" s="7"/>
      <c r="T249" s="7"/>
    </row>
    <row r="250" spans="1:20" hidden="1" x14ac:dyDescent="0.3">
      <c r="A250" s="7"/>
      <c r="B250" s="84">
        <f t="shared" si="6"/>
        <v>9</v>
      </c>
      <c r="C250" s="513" t="s">
        <v>934</v>
      </c>
      <c r="D250" s="361" t="s">
        <v>941</v>
      </c>
      <c r="E250" s="361">
        <f>'МЕДИЧНІ М'!E210</f>
        <v>2.8</v>
      </c>
      <c r="F250" s="84">
        <v>10</v>
      </c>
      <c r="G250" s="88">
        <f>ROUND(E250/F250,2)</f>
        <v>0.28000000000000003</v>
      </c>
      <c r="K250" s="130"/>
      <c r="L250" s="493"/>
      <c r="M250" s="493"/>
      <c r="N250" s="22"/>
      <c r="O250" s="7"/>
      <c r="P250" s="7"/>
      <c r="Q250" s="7"/>
      <c r="R250" s="7"/>
      <c r="S250" s="7"/>
      <c r="T250" s="7"/>
    </row>
    <row r="251" spans="1:20" hidden="1" x14ac:dyDescent="0.3">
      <c r="A251" s="7"/>
      <c r="B251" s="84">
        <f t="shared" si="6"/>
        <v>10</v>
      </c>
      <c r="C251" s="27" t="s">
        <v>942</v>
      </c>
      <c r="D251" s="361" t="s">
        <v>974</v>
      </c>
      <c r="E251" s="361">
        <f>'МЕДИЧНІ М'!E215</f>
        <v>24.6</v>
      </c>
      <c r="F251" s="514">
        <v>100</v>
      </c>
      <c r="G251" s="361">
        <f>ROUND(E251/F251,2)</f>
        <v>0.25</v>
      </c>
      <c r="K251" s="130"/>
      <c r="L251" s="493"/>
      <c r="M251" s="493"/>
      <c r="N251" s="22"/>
      <c r="O251" s="7"/>
      <c r="P251" s="7"/>
      <c r="Q251" s="7"/>
      <c r="R251" s="7"/>
      <c r="S251" s="7"/>
      <c r="T251" s="7"/>
    </row>
    <row r="252" spans="1:20" hidden="1" x14ac:dyDescent="0.3">
      <c r="A252" s="7"/>
      <c r="B252" s="1028" t="s">
        <v>945</v>
      </c>
      <c r="C252" s="1029"/>
      <c r="D252" s="1029"/>
      <c r="E252" s="1029"/>
      <c r="F252" s="1030"/>
      <c r="G252" s="572">
        <f>SUM(G242:G251)</f>
        <v>55.389999999999993</v>
      </c>
      <c r="K252" s="130"/>
      <c r="L252" s="493"/>
      <c r="M252" s="493"/>
      <c r="N252" s="22"/>
      <c r="O252" s="7"/>
      <c r="P252" s="7"/>
      <c r="Q252" s="7"/>
      <c r="R252" s="7"/>
      <c r="S252" s="7"/>
      <c r="T252" s="7"/>
    </row>
    <row r="253" spans="1:20" hidden="1" x14ac:dyDescent="0.3">
      <c r="A253" s="7"/>
      <c r="K253" s="130"/>
      <c r="L253" s="493"/>
      <c r="M253" s="493"/>
      <c r="N253" s="22"/>
      <c r="O253" s="7"/>
      <c r="P253" s="7"/>
      <c r="Q253" s="7"/>
      <c r="R253" s="7"/>
      <c r="S253" s="7"/>
      <c r="T253" s="7"/>
    </row>
    <row r="254" spans="1:20" hidden="1" x14ac:dyDescent="0.3">
      <c r="A254" s="7"/>
      <c r="C254" s="12" t="s">
        <v>968</v>
      </c>
      <c r="D254" s="227"/>
      <c r="E254" s="227"/>
      <c r="F254" s="298">
        <f>H257</f>
        <v>0.8</v>
      </c>
      <c r="G254" s="227" t="s">
        <v>971</v>
      </c>
      <c r="K254" s="130"/>
      <c r="L254" s="493"/>
      <c r="M254" s="493"/>
      <c r="N254" s="22"/>
      <c r="O254" s="7"/>
      <c r="P254" s="7"/>
      <c r="Q254" s="7"/>
      <c r="R254" s="7"/>
      <c r="S254" s="7"/>
      <c r="T254" s="7"/>
    </row>
    <row r="255" spans="1:20" hidden="1" x14ac:dyDescent="0.3">
      <c r="A255" s="7"/>
      <c r="C255" s="22"/>
      <c r="D255" s="36"/>
      <c r="E255" s="36"/>
      <c r="F255" s="302"/>
      <c r="G255" s="36"/>
      <c r="K255" s="130"/>
      <c r="L255" s="493"/>
      <c r="M255" s="493"/>
      <c r="N255" s="22"/>
      <c r="O255" s="7"/>
      <c r="P255" s="7"/>
      <c r="Q255" s="7"/>
      <c r="R255" s="7"/>
      <c r="S255" s="7"/>
      <c r="T255" s="7"/>
    </row>
    <row r="256" spans="1:20" ht="27.6" hidden="1" x14ac:dyDescent="0.3">
      <c r="A256" s="7"/>
      <c r="C256" s="14" t="s">
        <v>513</v>
      </c>
      <c r="D256" s="14" t="s">
        <v>1108</v>
      </c>
      <c r="E256" s="14" t="s">
        <v>516</v>
      </c>
      <c r="F256" s="14" t="s">
        <v>970</v>
      </c>
      <c r="G256" s="14" t="s">
        <v>930</v>
      </c>
      <c r="H256" s="14" t="s">
        <v>961</v>
      </c>
      <c r="K256" s="130"/>
      <c r="L256" s="493"/>
      <c r="M256" s="493"/>
      <c r="N256" s="22"/>
      <c r="O256" s="7"/>
      <c r="P256" s="7"/>
      <c r="Q256" s="7"/>
      <c r="R256" s="7"/>
      <c r="S256" s="7"/>
      <c r="T256" s="7"/>
    </row>
    <row r="257" spans="1:20" hidden="1" x14ac:dyDescent="0.3">
      <c r="A257" s="7"/>
      <c r="C257" s="27" t="s">
        <v>1090</v>
      </c>
      <c r="D257" s="73">
        <f>АМОРТИЗАЦІЯ!C5</f>
        <v>34445.759999999995</v>
      </c>
      <c r="E257" s="73">
        <v>13679.5</v>
      </c>
      <c r="F257" s="73">
        <f>ROUND((D257/E257)/60,2)</f>
        <v>0.04</v>
      </c>
      <c r="G257" s="73">
        <f>E235+E234</f>
        <v>20</v>
      </c>
      <c r="H257" s="78">
        <f>ROUND(F257*G257,2)</f>
        <v>0.8</v>
      </c>
      <c r="I257" s="38"/>
      <c r="K257" s="130"/>
      <c r="L257" s="493"/>
      <c r="M257" s="493"/>
      <c r="N257" s="22"/>
      <c r="O257" s="7"/>
      <c r="P257" s="7"/>
      <c r="Q257" s="7"/>
      <c r="R257" s="7"/>
      <c r="S257" s="7"/>
      <c r="T257" s="7"/>
    </row>
    <row r="258" spans="1:20" ht="14.25" hidden="1" customHeight="1" x14ac:dyDescent="0.3">
      <c r="A258" s="7"/>
      <c r="K258" s="130"/>
      <c r="L258" s="493"/>
      <c r="M258" s="493"/>
      <c r="N258" s="22"/>
      <c r="O258" s="7"/>
      <c r="P258" s="7"/>
      <c r="Q258" s="7"/>
      <c r="R258" s="7"/>
      <c r="S258" s="7"/>
      <c r="T258" s="7"/>
    </row>
    <row r="259" spans="1:20" hidden="1" x14ac:dyDescent="0.3">
      <c r="A259" s="7"/>
      <c r="C259" s="12" t="s">
        <v>948</v>
      </c>
      <c r="D259" s="227"/>
      <c r="E259" s="227"/>
      <c r="F259" s="298">
        <f>H272</f>
        <v>2.6</v>
      </c>
      <c r="G259" s="227" t="s">
        <v>971</v>
      </c>
      <c r="K259" s="130"/>
      <c r="L259" s="493"/>
      <c r="M259" s="493"/>
      <c r="N259" s="22"/>
      <c r="O259" s="7"/>
      <c r="P259" s="7"/>
      <c r="Q259" s="7"/>
      <c r="R259" s="7"/>
      <c r="S259" s="7"/>
      <c r="T259" s="7"/>
    </row>
    <row r="260" spans="1:20" hidden="1" x14ac:dyDescent="0.3">
      <c r="A260" s="7"/>
      <c r="C260" s="22"/>
      <c r="D260" s="36"/>
      <c r="E260" s="36"/>
      <c r="F260" s="302"/>
      <c r="K260" s="130"/>
      <c r="L260" s="493"/>
      <c r="M260" s="493"/>
      <c r="N260" s="22"/>
      <c r="O260" s="7"/>
      <c r="P260" s="7"/>
      <c r="Q260" s="7"/>
      <c r="R260" s="7"/>
      <c r="S260" s="7"/>
      <c r="T260" s="7"/>
    </row>
    <row r="261" spans="1:20" ht="27.6" hidden="1" x14ac:dyDescent="0.3">
      <c r="A261" s="7"/>
      <c r="C261" s="14" t="s">
        <v>948</v>
      </c>
      <c r="D261" s="14" t="s">
        <v>1110</v>
      </c>
      <c r="E261" s="14" t="s">
        <v>516</v>
      </c>
      <c r="F261" s="14" t="s">
        <v>954</v>
      </c>
      <c r="G261" s="14" t="s">
        <v>930</v>
      </c>
      <c r="H261" s="14" t="s">
        <v>1111</v>
      </c>
      <c r="K261" s="130"/>
      <c r="L261" s="493"/>
      <c r="M261" s="493"/>
      <c r="N261" s="22"/>
      <c r="O261" s="7"/>
      <c r="P261" s="7"/>
      <c r="Q261" s="7"/>
      <c r="R261" s="7"/>
      <c r="S261" s="7"/>
      <c r="T261" s="7"/>
    </row>
    <row r="262" spans="1:20" hidden="1" x14ac:dyDescent="0.3">
      <c r="A262" s="7"/>
      <c r="C262" s="1009" t="str">
        <f>C230</f>
        <v>Лікар-лаборант</v>
      </c>
      <c r="D262" s="1010"/>
      <c r="E262" s="1010"/>
      <c r="F262" s="1010"/>
      <c r="G262" s="1010"/>
      <c r="H262" s="1011"/>
      <c r="K262" s="130"/>
      <c r="L262" s="493"/>
      <c r="M262" s="493"/>
      <c r="N262" s="22"/>
      <c r="O262" s="7"/>
      <c r="P262" s="7"/>
      <c r="Q262" s="7"/>
      <c r="R262" s="7"/>
      <c r="S262" s="7"/>
      <c r="T262" s="7"/>
    </row>
    <row r="263" spans="1:20" hidden="1" x14ac:dyDescent="0.3">
      <c r="A263" s="7"/>
      <c r="C263" s="17" t="s">
        <v>951</v>
      </c>
      <c r="D263" s="221">
        <f>D208</f>
        <v>12188.608008565312</v>
      </c>
      <c r="E263" s="73">
        <f>I230</f>
        <v>1807.2</v>
      </c>
      <c r="F263" s="73">
        <f>ROUND((D263/E263)/60,2)</f>
        <v>0.11</v>
      </c>
      <c r="G263" s="73">
        <f>E234</f>
        <v>15</v>
      </c>
      <c r="H263" s="78">
        <f>ROUND(F263*G263,2)</f>
        <v>1.65</v>
      </c>
      <c r="K263" s="130"/>
      <c r="L263" s="493"/>
      <c r="M263" s="493"/>
      <c r="N263" s="22"/>
      <c r="O263" s="7"/>
      <c r="P263" s="7"/>
      <c r="Q263" s="7"/>
      <c r="R263" s="7"/>
      <c r="S263" s="7"/>
      <c r="T263" s="7"/>
    </row>
    <row r="264" spans="1:20" hidden="1" x14ac:dyDescent="0.3">
      <c r="A264" s="7"/>
      <c r="C264" s="17" t="s">
        <v>952</v>
      </c>
      <c r="D264" s="221">
        <f>D209</f>
        <v>53.149721627408987</v>
      </c>
      <c r="E264" s="73">
        <f>I230</f>
        <v>1807.2</v>
      </c>
      <c r="F264" s="73">
        <f>ROUND((D264/E264)/60,2)</f>
        <v>0</v>
      </c>
      <c r="G264" s="73">
        <f>E234</f>
        <v>15</v>
      </c>
      <c r="H264" s="78">
        <f>ROUND(F264*G264,2)</f>
        <v>0</v>
      </c>
      <c r="K264" s="130"/>
      <c r="L264" s="493"/>
      <c r="M264" s="493"/>
      <c r="N264" s="22"/>
      <c r="O264" s="7"/>
      <c r="P264" s="7"/>
      <c r="Q264" s="7"/>
      <c r="R264" s="7"/>
      <c r="S264" s="7"/>
      <c r="T264" s="7"/>
    </row>
    <row r="265" spans="1:20" hidden="1" x14ac:dyDescent="0.3">
      <c r="A265" s="7"/>
      <c r="C265" s="17" t="s">
        <v>953</v>
      </c>
      <c r="D265" s="221">
        <f>D210</f>
        <v>374.98368308351178</v>
      </c>
      <c r="E265" s="73">
        <f>I230</f>
        <v>1807.2</v>
      </c>
      <c r="F265" s="73">
        <f>ROUND((D265/E265)/60,2)</f>
        <v>0</v>
      </c>
      <c r="G265" s="73">
        <f>E234</f>
        <v>15</v>
      </c>
      <c r="H265" s="78">
        <f>ROUND(F265*G265,2)</f>
        <v>0</v>
      </c>
      <c r="K265" s="130"/>
      <c r="L265" s="493"/>
      <c r="M265" s="493"/>
      <c r="N265" s="22"/>
      <c r="O265" s="7"/>
      <c r="P265" s="7"/>
      <c r="Q265" s="7"/>
      <c r="R265" s="7"/>
      <c r="S265" s="7"/>
      <c r="T265" s="7"/>
    </row>
    <row r="266" spans="1:20" hidden="1" x14ac:dyDescent="0.3">
      <c r="A266" s="7"/>
      <c r="C266" s="17" t="s">
        <v>1109</v>
      </c>
      <c r="D266" s="221">
        <f>D211</f>
        <v>1686.0389293361886</v>
      </c>
      <c r="E266" s="73">
        <f>I230</f>
        <v>1807.2</v>
      </c>
      <c r="F266" s="73">
        <f>ROUND((D266/E266)/60,2)</f>
        <v>0.02</v>
      </c>
      <c r="G266" s="73">
        <f>E234</f>
        <v>15</v>
      </c>
      <c r="H266" s="78">
        <f>ROUND(F266*G266,2)</f>
        <v>0.3</v>
      </c>
      <c r="K266" s="130"/>
      <c r="L266" s="493"/>
      <c r="M266" s="493"/>
      <c r="N266" s="22"/>
      <c r="O266" s="7"/>
      <c r="P266" s="7"/>
      <c r="Q266" s="7"/>
      <c r="R266" s="7"/>
      <c r="S266" s="7"/>
      <c r="T266" s="7"/>
    </row>
    <row r="267" spans="1:20" hidden="1" x14ac:dyDescent="0.3">
      <c r="A267" s="7"/>
      <c r="C267" s="1009" t="str">
        <f>C231</f>
        <v>Лаборант клінічної лабораторії</v>
      </c>
      <c r="D267" s="1010"/>
      <c r="E267" s="1010"/>
      <c r="F267" s="1010"/>
      <c r="G267" s="1010"/>
      <c r="H267" s="1011"/>
      <c r="K267" s="130"/>
      <c r="L267" s="493"/>
      <c r="M267" s="493"/>
      <c r="N267" s="22"/>
      <c r="O267" s="7"/>
      <c r="P267" s="7"/>
      <c r="Q267" s="7"/>
      <c r="R267" s="7"/>
      <c r="S267" s="7"/>
      <c r="T267" s="7"/>
    </row>
    <row r="268" spans="1:20" hidden="1" x14ac:dyDescent="0.3">
      <c r="A268" s="7"/>
      <c r="C268" s="17" t="s">
        <v>951</v>
      </c>
      <c r="D268" s="221">
        <f>D213</f>
        <v>12188.608008565312</v>
      </c>
      <c r="E268" s="73">
        <f>I231</f>
        <v>1807.2</v>
      </c>
      <c r="F268" s="73">
        <f>ROUND((D268/E268)/60,2)</f>
        <v>0.11</v>
      </c>
      <c r="G268" s="73">
        <f>E235</f>
        <v>5</v>
      </c>
      <c r="H268" s="78">
        <f>ROUND(F268*G268,2)</f>
        <v>0.55000000000000004</v>
      </c>
      <c r="K268" s="130"/>
      <c r="L268" s="493"/>
      <c r="M268" s="493"/>
      <c r="N268" s="22"/>
      <c r="O268" s="7"/>
      <c r="P268" s="7"/>
      <c r="Q268" s="7"/>
      <c r="R268" s="7"/>
      <c r="S268" s="7"/>
      <c r="T268" s="7"/>
    </row>
    <row r="269" spans="1:20" hidden="1" x14ac:dyDescent="0.3">
      <c r="A269" s="7"/>
      <c r="C269" s="17" t="s">
        <v>952</v>
      </c>
      <c r="D269" s="221">
        <f>D214</f>
        <v>53.149721627408987</v>
      </c>
      <c r="E269" s="73">
        <f>I231</f>
        <v>1807.2</v>
      </c>
      <c r="F269" s="73">
        <f>ROUND((D269/E269)/60,2)</f>
        <v>0</v>
      </c>
      <c r="G269" s="73">
        <f>E235</f>
        <v>5</v>
      </c>
      <c r="H269" s="78">
        <f>ROUND(F269*G269,2)</f>
        <v>0</v>
      </c>
      <c r="K269" s="130"/>
      <c r="L269" s="493"/>
      <c r="M269" s="493"/>
      <c r="N269" s="22"/>
      <c r="O269" s="7"/>
      <c r="P269" s="7"/>
      <c r="Q269" s="7"/>
      <c r="R269" s="7"/>
      <c r="S269" s="7"/>
      <c r="T269" s="7"/>
    </row>
    <row r="270" spans="1:20" hidden="1" x14ac:dyDescent="0.3">
      <c r="A270" s="7"/>
      <c r="C270" s="17" t="s">
        <v>953</v>
      </c>
      <c r="D270" s="221">
        <f>D215</f>
        <v>374.98368308351178</v>
      </c>
      <c r="E270" s="73">
        <f>I231</f>
        <v>1807.2</v>
      </c>
      <c r="F270" s="73">
        <f>ROUND((D270/E270)/60,2)</f>
        <v>0</v>
      </c>
      <c r="G270" s="73">
        <f>E235</f>
        <v>5</v>
      </c>
      <c r="H270" s="78">
        <f>ROUND(F270*G270,2)</f>
        <v>0</v>
      </c>
      <c r="K270" s="130"/>
      <c r="L270" s="493"/>
      <c r="M270" s="493"/>
      <c r="N270" s="22"/>
      <c r="O270" s="7"/>
      <c r="P270" s="7"/>
      <c r="Q270" s="7"/>
      <c r="R270" s="7"/>
      <c r="S270" s="7"/>
      <c r="T270" s="7"/>
    </row>
    <row r="271" spans="1:20" hidden="1" x14ac:dyDescent="0.3">
      <c r="A271" s="7"/>
      <c r="C271" s="17" t="s">
        <v>1109</v>
      </c>
      <c r="D271" s="221">
        <f>D216</f>
        <v>1686.0389293361886</v>
      </c>
      <c r="E271" s="73">
        <f>I231</f>
        <v>1807.2</v>
      </c>
      <c r="F271" s="73">
        <f>ROUND((D271/E271)/60,2)</f>
        <v>0.02</v>
      </c>
      <c r="G271" s="73">
        <f>E235</f>
        <v>5</v>
      </c>
      <c r="H271" s="78">
        <f>ROUND(F271*G271,2)</f>
        <v>0.1</v>
      </c>
      <c r="K271" s="130"/>
      <c r="L271" s="493"/>
      <c r="M271" s="493"/>
      <c r="N271" s="22"/>
      <c r="O271" s="7"/>
      <c r="P271" s="7"/>
      <c r="Q271" s="7"/>
      <c r="R271" s="7"/>
      <c r="S271" s="7"/>
      <c r="T271" s="7"/>
    </row>
    <row r="272" spans="1:20" hidden="1" x14ac:dyDescent="0.3">
      <c r="A272" s="7"/>
      <c r="C272" s="1012" t="s">
        <v>957</v>
      </c>
      <c r="D272" s="1013"/>
      <c r="E272" s="1013"/>
      <c r="F272" s="1013"/>
      <c r="G272" s="1014"/>
      <c r="H272" s="299">
        <f>SUM(H263:H271)</f>
        <v>2.6</v>
      </c>
      <c r="K272" s="130"/>
      <c r="L272" s="493"/>
      <c r="M272" s="493"/>
      <c r="N272" s="22"/>
      <c r="O272" s="7"/>
      <c r="P272" s="7"/>
      <c r="Q272" s="7"/>
      <c r="R272" s="7"/>
      <c r="S272" s="7"/>
      <c r="T272" s="7"/>
    </row>
    <row r="273" spans="1:20" ht="9.75" hidden="1" customHeight="1" x14ac:dyDescent="0.3">
      <c r="A273" s="7"/>
      <c r="K273" s="130"/>
      <c r="L273" s="493"/>
      <c r="M273" s="493"/>
      <c r="N273" s="22"/>
      <c r="O273" s="7"/>
      <c r="P273" s="7"/>
      <c r="Q273" s="7"/>
      <c r="R273" s="7"/>
      <c r="S273" s="7"/>
      <c r="T273" s="7"/>
    </row>
    <row r="274" spans="1:20" hidden="1" x14ac:dyDescent="0.3">
      <c r="A274" s="7"/>
      <c r="C274" s="1015" t="s">
        <v>959</v>
      </c>
      <c r="D274" s="1015"/>
      <c r="E274" s="1015"/>
      <c r="F274" s="1015"/>
      <c r="G274" s="1015"/>
      <c r="H274" s="334">
        <f>F227+F239+F259+F254</f>
        <v>88.559999999999988</v>
      </c>
      <c r="K274" s="130"/>
      <c r="L274" s="493"/>
      <c r="M274" s="493"/>
      <c r="N274" s="22"/>
      <c r="O274" s="7"/>
      <c r="P274" s="7"/>
      <c r="Q274" s="7"/>
      <c r="R274" s="7"/>
      <c r="S274" s="7"/>
      <c r="T274" s="7"/>
    </row>
    <row r="275" spans="1:20" hidden="1" x14ac:dyDescent="0.3">
      <c r="A275" s="7"/>
      <c r="C275" s="33"/>
      <c r="D275" s="33"/>
      <c r="E275" s="33"/>
      <c r="F275" s="33"/>
      <c r="G275" s="33"/>
      <c r="H275" s="335"/>
      <c r="K275" s="130"/>
      <c r="L275" s="493"/>
      <c r="M275" s="493"/>
      <c r="N275" s="22"/>
      <c r="O275" s="7"/>
      <c r="P275" s="7"/>
      <c r="Q275" s="7"/>
      <c r="R275" s="7"/>
      <c r="S275" s="7"/>
      <c r="T275" s="7"/>
    </row>
    <row r="276" spans="1:20" hidden="1" x14ac:dyDescent="0.3">
      <c r="A276" s="7"/>
      <c r="C276" s="1015" t="s">
        <v>960</v>
      </c>
      <c r="D276" s="1015"/>
      <c r="E276" s="1015"/>
      <c r="F276" s="1015"/>
      <c r="G276" s="1015"/>
      <c r="H276" s="334">
        <f>ROUND(H274,0)</f>
        <v>89</v>
      </c>
      <c r="K276" s="130"/>
      <c r="L276" s="493"/>
      <c r="M276" s="493"/>
      <c r="N276" s="22"/>
      <c r="O276" s="7"/>
      <c r="P276" s="7"/>
      <c r="Q276" s="7"/>
      <c r="R276" s="7"/>
      <c r="S276" s="7"/>
      <c r="T276" s="7"/>
    </row>
    <row r="277" spans="1:20" hidden="1" x14ac:dyDescent="0.3">
      <c r="A277" s="7"/>
      <c r="K277" s="130"/>
      <c r="L277" s="493"/>
      <c r="M277" s="493"/>
      <c r="N277" s="22"/>
      <c r="O277" s="7"/>
      <c r="P277" s="7"/>
      <c r="Q277" s="7"/>
      <c r="R277" s="7"/>
      <c r="S277" s="7"/>
      <c r="T277" s="7"/>
    </row>
    <row r="278" spans="1:20" hidden="1" x14ac:dyDescent="0.3">
      <c r="A278" s="7"/>
      <c r="K278" s="130"/>
      <c r="L278" s="493"/>
      <c r="M278" s="493"/>
      <c r="N278" s="22"/>
      <c r="O278" s="7"/>
      <c r="P278" s="7"/>
      <c r="Q278" s="7"/>
      <c r="R278" s="7"/>
      <c r="S278" s="7"/>
      <c r="T278" s="7"/>
    </row>
    <row r="279" spans="1:20" s="54" customFormat="1" ht="19.8" hidden="1" x14ac:dyDescent="0.4">
      <c r="A279" s="53"/>
      <c r="B279" s="1016" t="s">
        <v>958</v>
      </c>
      <c r="C279" s="1016"/>
      <c r="D279" s="1016"/>
      <c r="E279" s="1016"/>
      <c r="F279" s="1016"/>
      <c r="G279" s="1016"/>
      <c r="H279" s="1016"/>
      <c r="I279" s="1016"/>
      <c r="J279" s="1016"/>
      <c r="K279" s="137"/>
      <c r="L279" s="493"/>
      <c r="M279" s="493"/>
      <c r="N279" s="70"/>
      <c r="O279" s="53"/>
      <c r="P279" s="53"/>
      <c r="Q279" s="53"/>
      <c r="R279" s="53"/>
      <c r="S279" s="53"/>
      <c r="T279" s="53"/>
    </row>
    <row r="280" spans="1:20" s="54" customFormat="1" ht="19.8" hidden="1" x14ac:dyDescent="0.4">
      <c r="A280" s="53"/>
      <c r="B280" s="53"/>
      <c r="C280" s="53"/>
      <c r="D280" s="225"/>
      <c r="E280" s="225"/>
      <c r="F280" s="225"/>
      <c r="G280" s="225"/>
      <c r="H280" s="225"/>
      <c r="I280" s="53"/>
      <c r="J280" s="53"/>
      <c r="K280" s="132"/>
      <c r="L280" s="493"/>
      <c r="M280" s="493"/>
      <c r="N280" s="70"/>
      <c r="O280" s="53"/>
      <c r="P280" s="53"/>
      <c r="Q280" s="53"/>
      <c r="R280" s="53"/>
      <c r="S280" s="53"/>
      <c r="T280" s="53"/>
    </row>
    <row r="281" spans="1:20" s="54" customFormat="1" ht="36" hidden="1" customHeight="1" x14ac:dyDescent="0.4">
      <c r="A281" s="53"/>
      <c r="B281" s="50" t="s">
        <v>179</v>
      </c>
      <c r="C281" s="1017" t="str">
        <f>M13</f>
        <v>Мікроскопічне дослідження на патологічні грибки</v>
      </c>
      <c r="D281" s="1017"/>
      <c r="E281" s="1017"/>
      <c r="F281" s="296">
        <f>H332</f>
        <v>88</v>
      </c>
      <c r="G281" s="296" t="s">
        <v>971</v>
      </c>
      <c r="H281" s="225"/>
      <c r="I281" s="53"/>
      <c r="J281" s="53"/>
      <c r="K281" s="132"/>
      <c r="L281" s="493"/>
      <c r="M281" s="493"/>
      <c r="N281" s="70"/>
      <c r="O281" s="53"/>
      <c r="P281" s="53"/>
      <c r="Q281" s="53"/>
      <c r="R281" s="53"/>
      <c r="S281" s="53"/>
      <c r="T281" s="53"/>
    </row>
    <row r="282" spans="1:20" hidden="1" x14ac:dyDescent="0.3">
      <c r="A282" s="7"/>
      <c r="K282" s="130"/>
      <c r="L282" s="493"/>
      <c r="M282" s="493"/>
      <c r="N282" s="22"/>
      <c r="O282" s="7"/>
      <c r="P282" s="7"/>
      <c r="Q282" s="7"/>
      <c r="R282" s="7"/>
      <c r="S282" s="7"/>
      <c r="T282" s="7"/>
    </row>
    <row r="283" spans="1:20" hidden="1" x14ac:dyDescent="0.3">
      <c r="A283" s="7"/>
      <c r="C283" s="1018" t="s">
        <v>932</v>
      </c>
      <c r="D283" s="1018"/>
      <c r="E283" s="297"/>
      <c r="F283" s="298">
        <f>F290+F293+F291</f>
        <v>29.77</v>
      </c>
      <c r="G283" s="227" t="s">
        <v>971</v>
      </c>
      <c r="K283" s="130"/>
      <c r="L283" s="493"/>
      <c r="M283" s="493"/>
      <c r="N283" s="22"/>
      <c r="O283" s="7"/>
      <c r="P283" s="7"/>
      <c r="Q283" s="7"/>
      <c r="R283" s="7"/>
      <c r="S283" s="7"/>
      <c r="T283" s="7"/>
    </row>
    <row r="284" spans="1:20" hidden="1" x14ac:dyDescent="0.3">
      <c r="A284" s="7"/>
      <c r="K284" s="130"/>
      <c r="L284" s="493"/>
      <c r="M284" s="493"/>
      <c r="N284" s="22"/>
      <c r="O284" s="7"/>
      <c r="P284" s="7"/>
      <c r="Q284" s="7"/>
      <c r="R284" s="7"/>
      <c r="S284" s="7"/>
      <c r="T284" s="7"/>
    </row>
    <row r="285" spans="1:20" ht="27.6" hidden="1" x14ac:dyDescent="0.3">
      <c r="A285" s="7"/>
      <c r="C285" s="13" t="s">
        <v>929</v>
      </c>
      <c r="D285" s="14" t="s">
        <v>928</v>
      </c>
      <c r="E285" s="14" t="s">
        <v>514</v>
      </c>
      <c r="F285" s="14" t="s">
        <v>515</v>
      </c>
      <c r="G285" s="14" t="s">
        <v>962</v>
      </c>
      <c r="H285" s="14" t="s">
        <v>926</v>
      </c>
      <c r="I285" s="14" t="s">
        <v>516</v>
      </c>
      <c r="J285" s="14" t="s">
        <v>961</v>
      </c>
      <c r="K285" s="138"/>
      <c r="L285" s="493"/>
      <c r="M285" s="493"/>
      <c r="N285" s="22"/>
      <c r="O285" s="7"/>
      <c r="P285" s="7"/>
      <c r="Q285" s="7"/>
      <c r="R285" s="7"/>
      <c r="S285" s="7"/>
      <c r="T285" s="7"/>
    </row>
    <row r="286" spans="1:20" hidden="1" x14ac:dyDescent="0.3">
      <c r="A286" s="7"/>
      <c r="C286" s="17" t="str">
        <f>C230</f>
        <v>Лікар-лаборант</v>
      </c>
      <c r="D286" s="73">
        <f>D230</f>
        <v>10799.43</v>
      </c>
      <c r="E286" s="78">
        <f>D286*12</f>
        <v>129593.16</v>
      </c>
      <c r="F286" s="73">
        <f>F230</f>
        <v>8307.26</v>
      </c>
      <c r="G286" s="73">
        <f>G230</f>
        <v>4153.63</v>
      </c>
      <c r="H286" s="78">
        <f>E286+F286+G286</f>
        <v>142054.05000000002</v>
      </c>
      <c r="I286" s="17">
        <v>1807.2</v>
      </c>
      <c r="J286" s="16">
        <f>ROUND((H286/I286)/60,2)</f>
        <v>1.31</v>
      </c>
      <c r="K286" s="140"/>
      <c r="L286" s="493"/>
      <c r="M286" s="493"/>
      <c r="N286" s="22"/>
      <c r="O286" s="7"/>
      <c r="P286" s="7"/>
      <c r="Q286" s="7"/>
      <c r="R286" s="7"/>
      <c r="S286" s="7"/>
      <c r="T286" s="7"/>
    </row>
    <row r="287" spans="1:20" hidden="1" x14ac:dyDescent="0.3">
      <c r="A287" s="7"/>
      <c r="C287" s="17" t="str">
        <f>C231</f>
        <v>Лаборант клінічної лабораторії</v>
      </c>
      <c r="D287" s="73">
        <f>D231</f>
        <v>7871.18</v>
      </c>
      <c r="E287" s="78">
        <f>D287*12</f>
        <v>94454.16</v>
      </c>
      <c r="F287" s="73">
        <f>F231</f>
        <v>6054.75</v>
      </c>
      <c r="G287" s="73">
        <f>G231</f>
        <v>3027.375</v>
      </c>
      <c r="H287" s="78">
        <f>E287+F287+G287</f>
        <v>103536.285</v>
      </c>
      <c r="I287" s="17">
        <v>1807.2</v>
      </c>
      <c r="J287" s="16">
        <f>ROUND((H287/I287)/60,2)</f>
        <v>0.95</v>
      </c>
      <c r="K287" s="140"/>
      <c r="L287" s="493"/>
      <c r="M287" s="493"/>
      <c r="N287" s="22"/>
      <c r="O287" s="7"/>
      <c r="P287" s="7"/>
      <c r="Q287" s="7"/>
      <c r="R287" s="7"/>
      <c r="S287" s="7"/>
      <c r="T287" s="7"/>
    </row>
    <row r="288" spans="1:20" hidden="1" x14ac:dyDescent="0.3">
      <c r="A288" s="7"/>
      <c r="K288" s="130"/>
      <c r="L288" s="493"/>
      <c r="M288" s="493"/>
      <c r="N288" s="22"/>
      <c r="O288" s="7"/>
      <c r="P288" s="7"/>
      <c r="Q288" s="7"/>
      <c r="R288" s="7"/>
      <c r="S288" s="7"/>
      <c r="T288" s="7"/>
    </row>
    <row r="289" spans="1:20" hidden="1" x14ac:dyDescent="0.3">
      <c r="A289" s="7"/>
      <c r="C289" s="13" t="s">
        <v>929</v>
      </c>
      <c r="D289" s="14" t="s">
        <v>961</v>
      </c>
      <c r="E289" s="14" t="s">
        <v>930</v>
      </c>
      <c r="F289" s="14" t="s">
        <v>931</v>
      </c>
      <c r="K289" s="130"/>
      <c r="L289" s="493"/>
      <c r="M289" s="493"/>
      <c r="N289" s="22"/>
      <c r="O289" s="7"/>
      <c r="P289" s="7"/>
      <c r="Q289" s="7"/>
      <c r="R289" s="7"/>
      <c r="S289" s="7"/>
      <c r="T289" s="7"/>
    </row>
    <row r="290" spans="1:20" hidden="1" x14ac:dyDescent="0.3">
      <c r="A290" s="7"/>
      <c r="C290" s="15" t="str">
        <f>C286</f>
        <v>Лікар-лаборант</v>
      </c>
      <c r="D290" s="78">
        <f>J286</f>
        <v>1.31</v>
      </c>
      <c r="E290" s="73">
        <v>15</v>
      </c>
      <c r="F290" s="299">
        <f>ROUND(D290*E290,2)</f>
        <v>19.649999999999999</v>
      </c>
      <c r="K290" s="130"/>
      <c r="L290" s="493"/>
      <c r="M290" s="493"/>
      <c r="N290" s="22"/>
      <c r="O290" s="7"/>
      <c r="P290" s="7"/>
      <c r="Q290" s="7"/>
      <c r="R290" s="7"/>
      <c r="S290" s="7"/>
      <c r="T290" s="7"/>
    </row>
    <row r="291" spans="1:20" hidden="1" x14ac:dyDescent="0.3">
      <c r="A291" s="7"/>
      <c r="C291" s="15" t="str">
        <f>C287</f>
        <v>Лаборант клінічної лабораторії</v>
      </c>
      <c r="D291" s="78">
        <f>J287</f>
        <v>0.95</v>
      </c>
      <c r="E291" s="73">
        <v>5</v>
      </c>
      <c r="F291" s="299">
        <f>ROUND(D291*E291,2)</f>
        <v>4.75</v>
      </c>
      <c r="K291" s="130"/>
      <c r="L291" s="493"/>
      <c r="M291" s="493"/>
      <c r="N291" s="22"/>
      <c r="O291" s="7"/>
      <c r="P291" s="7"/>
      <c r="Q291" s="7"/>
      <c r="R291" s="7"/>
      <c r="S291" s="7"/>
      <c r="T291" s="7"/>
    </row>
    <row r="292" spans="1:20" hidden="1" x14ac:dyDescent="0.3">
      <c r="A292" s="7"/>
      <c r="D292" s="19"/>
      <c r="E292" s="74" t="s">
        <v>1016</v>
      </c>
      <c r="K292" s="130"/>
      <c r="L292" s="493"/>
      <c r="M292" s="493"/>
      <c r="N292" s="22"/>
      <c r="O292" s="7"/>
      <c r="P292" s="7"/>
      <c r="Q292" s="7"/>
      <c r="R292" s="7"/>
      <c r="S292" s="7"/>
      <c r="T292" s="7"/>
    </row>
    <row r="293" spans="1:20" hidden="1" x14ac:dyDescent="0.3">
      <c r="A293" s="7"/>
      <c r="C293" s="17" t="s">
        <v>933</v>
      </c>
      <c r="D293" s="78">
        <f>F290+F291</f>
        <v>24.4</v>
      </c>
      <c r="E293" s="300">
        <v>0.22</v>
      </c>
      <c r="F293" s="301">
        <f>ROUND(D293*E293,2)</f>
        <v>5.37</v>
      </c>
      <c r="K293" s="130"/>
      <c r="L293" s="493"/>
      <c r="M293" s="493"/>
      <c r="N293" s="22"/>
      <c r="O293" s="7"/>
      <c r="P293" s="7"/>
      <c r="Q293" s="7"/>
      <c r="R293" s="7"/>
      <c r="S293" s="7"/>
      <c r="T293" s="7"/>
    </row>
    <row r="294" spans="1:20" hidden="1" x14ac:dyDescent="0.3">
      <c r="A294" s="7"/>
      <c r="K294" s="130"/>
      <c r="L294" s="493"/>
      <c r="M294" s="493"/>
      <c r="N294" s="22"/>
      <c r="O294" s="7"/>
      <c r="P294" s="7"/>
      <c r="Q294" s="7"/>
      <c r="R294" s="7"/>
      <c r="S294" s="7"/>
      <c r="T294" s="7"/>
    </row>
    <row r="295" spans="1:20" hidden="1" x14ac:dyDescent="0.3">
      <c r="A295" s="7"/>
      <c r="C295" s="12" t="s">
        <v>946</v>
      </c>
      <c r="D295" s="227"/>
      <c r="E295" s="227"/>
      <c r="F295" s="227">
        <f>G308</f>
        <v>54.689999999999991</v>
      </c>
      <c r="G295" s="227" t="s">
        <v>971</v>
      </c>
      <c r="K295" s="130"/>
      <c r="L295" s="493"/>
      <c r="M295" s="493"/>
      <c r="N295" s="22"/>
      <c r="O295" s="7"/>
      <c r="P295" s="7"/>
      <c r="Q295" s="7"/>
      <c r="R295" s="7"/>
      <c r="S295" s="7"/>
      <c r="T295" s="7"/>
    </row>
    <row r="296" spans="1:20" hidden="1" x14ac:dyDescent="0.3">
      <c r="A296" s="7"/>
      <c r="K296" s="130"/>
      <c r="L296" s="493"/>
      <c r="M296" s="493"/>
      <c r="N296" s="22"/>
      <c r="O296" s="7"/>
      <c r="P296" s="7"/>
      <c r="Q296" s="7"/>
      <c r="R296" s="7"/>
      <c r="S296" s="7"/>
      <c r="T296" s="7"/>
    </row>
    <row r="297" spans="1:20" ht="27.6" hidden="1" x14ac:dyDescent="0.3">
      <c r="A297" s="7"/>
      <c r="B297" s="82" t="s">
        <v>991</v>
      </c>
      <c r="C297" s="83" t="s">
        <v>986</v>
      </c>
      <c r="D297" s="83" t="s">
        <v>987</v>
      </c>
      <c r="E297" s="83" t="s">
        <v>988</v>
      </c>
      <c r="F297" s="83" t="s">
        <v>989</v>
      </c>
      <c r="G297" s="82" t="s">
        <v>990</v>
      </c>
      <c r="K297" s="130"/>
      <c r="L297" s="493"/>
      <c r="M297" s="493"/>
      <c r="N297" s="22"/>
      <c r="O297" s="7"/>
      <c r="P297" s="7"/>
      <c r="Q297" s="7"/>
      <c r="R297" s="7"/>
      <c r="S297" s="7"/>
      <c r="T297" s="7"/>
    </row>
    <row r="298" spans="1:20" hidden="1" x14ac:dyDescent="0.3">
      <c r="A298" s="7"/>
      <c r="B298" s="84">
        <v>1</v>
      </c>
      <c r="C298" s="85" t="s">
        <v>1041</v>
      </c>
      <c r="D298" s="86" t="s">
        <v>941</v>
      </c>
      <c r="E298" s="87">
        <f>E242</f>
        <v>48.15</v>
      </c>
      <c r="F298" s="86">
        <v>1</v>
      </c>
      <c r="G298" s="88">
        <f>ROUND(E298/F298,2)</f>
        <v>48.15</v>
      </c>
      <c r="K298" s="130"/>
      <c r="L298" s="493"/>
      <c r="M298" s="493"/>
      <c r="N298" s="22"/>
      <c r="O298" s="7"/>
      <c r="P298" s="7"/>
      <c r="Q298" s="7"/>
      <c r="R298" s="7"/>
      <c r="S298" s="7"/>
      <c r="T298" s="7"/>
    </row>
    <row r="299" spans="1:20" hidden="1" x14ac:dyDescent="0.3">
      <c r="A299" s="7"/>
      <c r="B299" s="84">
        <f>1+B298</f>
        <v>2</v>
      </c>
      <c r="C299" s="513" t="s">
        <v>984</v>
      </c>
      <c r="D299" s="358" t="s">
        <v>941</v>
      </c>
      <c r="E299" s="87">
        <f t="shared" ref="E299:E307" si="7">E243</f>
        <v>62.32</v>
      </c>
      <c r="F299" s="360">
        <v>100</v>
      </c>
      <c r="G299" s="88">
        <f>ROUND(E299/F299,2)</f>
        <v>0.62</v>
      </c>
      <c r="K299" s="130"/>
      <c r="L299" s="493"/>
      <c r="M299" s="493"/>
      <c r="N299" s="22"/>
      <c r="O299" s="7"/>
      <c r="P299" s="7"/>
      <c r="Q299" s="7"/>
      <c r="R299" s="7"/>
      <c r="S299" s="7"/>
      <c r="T299" s="7"/>
    </row>
    <row r="300" spans="1:20" hidden="1" x14ac:dyDescent="0.3">
      <c r="A300" s="7"/>
      <c r="B300" s="84">
        <f t="shared" ref="B300:B307" si="8">1+B299</f>
        <v>3</v>
      </c>
      <c r="C300" s="85" t="s">
        <v>193</v>
      </c>
      <c r="D300" s="86" t="s">
        <v>941</v>
      </c>
      <c r="E300" s="87">
        <f t="shared" si="7"/>
        <v>1.2</v>
      </c>
      <c r="F300" s="86">
        <v>1</v>
      </c>
      <c r="G300" s="88">
        <f>ROUND(E300/F300,2)</f>
        <v>1.2</v>
      </c>
      <c r="K300" s="130"/>
      <c r="L300" s="493"/>
      <c r="M300" s="493"/>
      <c r="N300" s="22"/>
      <c r="O300" s="7"/>
      <c r="P300" s="7"/>
      <c r="Q300" s="7"/>
      <c r="R300" s="7"/>
      <c r="S300" s="7"/>
      <c r="T300" s="7"/>
    </row>
    <row r="301" spans="1:20" hidden="1" x14ac:dyDescent="0.3">
      <c r="A301" s="7"/>
      <c r="B301" s="84">
        <f t="shared" si="8"/>
        <v>4</v>
      </c>
      <c r="C301" s="85" t="s">
        <v>194</v>
      </c>
      <c r="D301" s="86" t="s">
        <v>937</v>
      </c>
      <c r="E301" s="87">
        <f t="shared" si="7"/>
        <v>0.40200000000000002</v>
      </c>
      <c r="F301" s="86">
        <v>1</v>
      </c>
      <c r="G301" s="88">
        <f>ROUND(E301/F301,2)</f>
        <v>0.4</v>
      </c>
      <c r="K301" s="130"/>
      <c r="L301" s="493"/>
      <c r="M301" s="493"/>
      <c r="N301" s="22"/>
      <c r="O301" s="7"/>
      <c r="P301" s="7"/>
      <c r="Q301" s="7"/>
      <c r="R301" s="7"/>
      <c r="S301" s="7"/>
      <c r="T301" s="7"/>
    </row>
    <row r="302" spans="1:20" hidden="1" x14ac:dyDescent="0.3">
      <c r="A302" s="7"/>
      <c r="B302" s="84">
        <f t="shared" si="8"/>
        <v>5</v>
      </c>
      <c r="C302" s="489" t="s">
        <v>943</v>
      </c>
      <c r="D302" s="490" t="s">
        <v>944</v>
      </c>
      <c r="E302" s="87">
        <f t="shared" si="7"/>
        <v>6.72</v>
      </c>
      <c r="F302" s="490">
        <v>0.14000000000000001</v>
      </c>
      <c r="G302" s="28">
        <f>ROUND(E302*F302,2)</f>
        <v>0.94</v>
      </c>
      <c r="K302" s="130"/>
      <c r="L302" s="493"/>
      <c r="M302" s="493"/>
      <c r="N302" s="22"/>
      <c r="O302" s="7"/>
      <c r="P302" s="7"/>
      <c r="Q302" s="7"/>
      <c r="R302" s="7"/>
      <c r="S302" s="7"/>
      <c r="T302" s="7"/>
    </row>
    <row r="303" spans="1:20" hidden="1" x14ac:dyDescent="0.3">
      <c r="A303" s="7"/>
      <c r="B303" s="84">
        <f t="shared" si="8"/>
        <v>6</v>
      </c>
      <c r="C303" s="489" t="s">
        <v>1124</v>
      </c>
      <c r="D303" s="490" t="s">
        <v>944</v>
      </c>
      <c r="E303" s="87">
        <f t="shared" si="7"/>
        <v>0.5</v>
      </c>
      <c r="F303" s="491">
        <v>0.5</v>
      </c>
      <c r="G303" s="28">
        <f>ROUND(E303*F303,2)</f>
        <v>0.25</v>
      </c>
      <c r="K303" s="130"/>
      <c r="L303" s="493"/>
      <c r="M303" s="493"/>
      <c r="N303" s="22"/>
      <c r="O303" s="7"/>
      <c r="P303" s="7"/>
      <c r="Q303" s="7"/>
      <c r="R303" s="7"/>
      <c r="S303" s="7"/>
      <c r="T303" s="7"/>
    </row>
    <row r="304" spans="1:20" hidden="1" x14ac:dyDescent="0.3">
      <c r="A304" s="7"/>
      <c r="B304" s="84">
        <f t="shared" si="8"/>
        <v>7</v>
      </c>
      <c r="C304" s="489" t="s">
        <v>940</v>
      </c>
      <c r="D304" s="490" t="s">
        <v>941</v>
      </c>
      <c r="E304" s="87">
        <f t="shared" si="7"/>
        <v>2</v>
      </c>
      <c r="F304" s="522">
        <v>1.1499999999999999</v>
      </c>
      <c r="G304" s="28">
        <f>ROUND(E304*F304,2)</f>
        <v>2.2999999999999998</v>
      </c>
      <c r="K304" s="130"/>
      <c r="L304" s="493"/>
      <c r="M304" s="493"/>
      <c r="N304" s="22"/>
      <c r="O304" s="7"/>
      <c r="P304" s="7"/>
      <c r="Q304" s="7"/>
      <c r="R304" s="7"/>
      <c r="S304" s="7"/>
      <c r="T304" s="7"/>
    </row>
    <row r="305" spans="1:20" hidden="1" x14ac:dyDescent="0.3">
      <c r="A305" s="7"/>
      <c r="B305" s="84">
        <f t="shared" si="8"/>
        <v>8</v>
      </c>
      <c r="C305" s="85" t="s">
        <v>936</v>
      </c>
      <c r="D305" s="358" t="s">
        <v>937</v>
      </c>
      <c r="E305" s="87">
        <f t="shared" si="7"/>
        <v>0.3</v>
      </c>
      <c r="F305" s="360">
        <v>1</v>
      </c>
      <c r="G305" s="361">
        <f>ROUND(E305/F305,2)</f>
        <v>0.3</v>
      </c>
      <c r="K305" s="130"/>
      <c r="L305" s="493"/>
      <c r="M305" s="493"/>
      <c r="N305" s="22"/>
      <c r="O305" s="7"/>
      <c r="P305" s="7"/>
      <c r="Q305" s="7"/>
      <c r="R305" s="7"/>
      <c r="S305" s="7"/>
      <c r="T305" s="7"/>
    </row>
    <row r="306" spans="1:20" hidden="1" x14ac:dyDescent="0.3">
      <c r="A306" s="7"/>
      <c r="B306" s="84">
        <f t="shared" si="8"/>
        <v>9</v>
      </c>
      <c r="C306" s="513" t="s">
        <v>934</v>
      </c>
      <c r="D306" s="361" t="s">
        <v>941</v>
      </c>
      <c r="E306" s="87">
        <f t="shared" si="7"/>
        <v>2.8</v>
      </c>
      <c r="F306" s="84">
        <v>10</v>
      </c>
      <c r="G306" s="88">
        <f>ROUND(E306/F306,2)</f>
        <v>0.28000000000000003</v>
      </c>
      <c r="K306" s="130"/>
      <c r="L306" s="493"/>
      <c r="M306" s="493"/>
      <c r="N306" s="22"/>
      <c r="O306" s="7"/>
      <c r="P306" s="7"/>
      <c r="Q306" s="7"/>
      <c r="R306" s="7"/>
      <c r="S306" s="7"/>
      <c r="T306" s="7"/>
    </row>
    <row r="307" spans="1:20" hidden="1" x14ac:dyDescent="0.3">
      <c r="A307" s="7"/>
      <c r="B307" s="84">
        <f t="shared" si="8"/>
        <v>10</v>
      </c>
      <c r="C307" s="27" t="s">
        <v>942</v>
      </c>
      <c r="D307" s="361" t="s">
        <v>974</v>
      </c>
      <c r="E307" s="87">
        <f t="shared" si="7"/>
        <v>24.6</v>
      </c>
      <c r="F307" s="514">
        <v>100</v>
      </c>
      <c r="G307" s="361">
        <f>ROUND(E307/F307,2)</f>
        <v>0.25</v>
      </c>
      <c r="K307" s="130"/>
      <c r="L307" s="493"/>
      <c r="M307" s="493"/>
      <c r="N307" s="22"/>
      <c r="O307" s="7"/>
      <c r="P307" s="7"/>
      <c r="Q307" s="7"/>
      <c r="R307" s="7"/>
      <c r="S307" s="7"/>
      <c r="T307" s="7"/>
    </row>
    <row r="308" spans="1:20" hidden="1" x14ac:dyDescent="0.3">
      <c r="A308" s="7"/>
      <c r="B308" s="1028" t="s">
        <v>945</v>
      </c>
      <c r="C308" s="1029"/>
      <c r="D308" s="1029"/>
      <c r="E308" s="1029"/>
      <c r="F308" s="1030"/>
      <c r="G308" s="572">
        <f>SUM(G298:G307)</f>
        <v>54.689999999999991</v>
      </c>
      <c r="K308" s="130"/>
      <c r="L308" s="493"/>
      <c r="M308" s="493"/>
      <c r="N308" s="22"/>
      <c r="O308" s="7"/>
      <c r="P308" s="7"/>
      <c r="Q308" s="7"/>
      <c r="R308" s="7"/>
      <c r="S308" s="7"/>
      <c r="T308" s="7"/>
    </row>
    <row r="309" spans="1:20" hidden="1" x14ac:dyDescent="0.3">
      <c r="A309" s="7"/>
      <c r="K309" s="130"/>
      <c r="L309" s="493"/>
      <c r="M309" s="493"/>
      <c r="N309" s="22"/>
      <c r="O309" s="7"/>
      <c r="P309" s="7"/>
      <c r="Q309" s="7"/>
      <c r="R309" s="7"/>
      <c r="S309" s="7"/>
      <c r="T309" s="7"/>
    </row>
    <row r="310" spans="1:20" hidden="1" x14ac:dyDescent="0.3">
      <c r="A310" s="7"/>
      <c r="C310" s="12" t="s">
        <v>968</v>
      </c>
      <c r="D310" s="227"/>
      <c r="E310" s="227"/>
      <c r="F310" s="298">
        <f>H313</f>
        <v>0.8</v>
      </c>
      <c r="G310" s="227" t="s">
        <v>971</v>
      </c>
      <c r="K310" s="130"/>
      <c r="L310" s="493"/>
      <c r="M310" s="493"/>
      <c r="N310" s="22"/>
      <c r="O310" s="7"/>
      <c r="P310" s="7"/>
      <c r="Q310" s="7"/>
      <c r="R310" s="7"/>
      <c r="S310" s="7"/>
      <c r="T310" s="7"/>
    </row>
    <row r="311" spans="1:20" hidden="1" x14ac:dyDescent="0.3">
      <c r="A311" s="7"/>
      <c r="C311" s="22"/>
      <c r="D311" s="36"/>
      <c r="E311" s="36"/>
      <c r="F311" s="302"/>
      <c r="G311" s="36"/>
      <c r="K311" s="130"/>
      <c r="L311" s="493"/>
      <c r="M311" s="493"/>
      <c r="N311" s="22"/>
      <c r="O311" s="7"/>
      <c r="P311" s="7"/>
      <c r="Q311" s="7"/>
      <c r="R311" s="7"/>
      <c r="S311" s="7"/>
      <c r="T311" s="7"/>
    </row>
    <row r="312" spans="1:20" ht="27.6" hidden="1" x14ac:dyDescent="0.3">
      <c r="A312" s="7"/>
      <c r="C312" s="14" t="s">
        <v>513</v>
      </c>
      <c r="D312" s="14" t="s">
        <v>1108</v>
      </c>
      <c r="E312" s="14" t="s">
        <v>516</v>
      </c>
      <c r="F312" s="14" t="s">
        <v>970</v>
      </c>
      <c r="G312" s="14" t="s">
        <v>930</v>
      </c>
      <c r="H312" s="14" t="s">
        <v>961</v>
      </c>
      <c r="K312" s="130"/>
      <c r="L312" s="493"/>
      <c r="M312" s="493"/>
      <c r="N312" s="22"/>
      <c r="O312" s="7"/>
      <c r="P312" s="7"/>
      <c r="Q312" s="7"/>
      <c r="R312" s="7"/>
      <c r="S312" s="7"/>
      <c r="T312" s="7"/>
    </row>
    <row r="313" spans="1:20" hidden="1" x14ac:dyDescent="0.3">
      <c r="A313" s="7"/>
      <c r="C313" s="27" t="s">
        <v>1090</v>
      </c>
      <c r="D313" s="73">
        <f>АМОРТИЗАЦІЯ!C5</f>
        <v>34445.759999999995</v>
      </c>
      <c r="E313" s="73">
        <v>13679.5</v>
      </c>
      <c r="F313" s="73">
        <f>ROUND((D313/E313)/60,2)</f>
        <v>0.04</v>
      </c>
      <c r="G313" s="73">
        <f>E291+E290</f>
        <v>20</v>
      </c>
      <c r="H313" s="78">
        <f>ROUND(F313*G313,2)</f>
        <v>0.8</v>
      </c>
      <c r="I313" s="38"/>
      <c r="K313" s="130"/>
      <c r="L313" s="493"/>
      <c r="M313" s="493"/>
      <c r="N313" s="22"/>
      <c r="O313" s="7"/>
      <c r="P313" s="7"/>
      <c r="Q313" s="7"/>
      <c r="R313" s="7"/>
      <c r="S313" s="7"/>
      <c r="T313" s="7"/>
    </row>
    <row r="314" spans="1:20" ht="14.25" hidden="1" customHeight="1" x14ac:dyDescent="0.3">
      <c r="A314" s="7"/>
      <c r="K314" s="130"/>
      <c r="L314" s="493"/>
      <c r="M314" s="493"/>
      <c r="N314" s="22"/>
      <c r="O314" s="7"/>
      <c r="P314" s="7"/>
      <c r="Q314" s="7"/>
      <c r="R314" s="7"/>
      <c r="S314" s="7"/>
      <c r="T314" s="7"/>
    </row>
    <row r="315" spans="1:20" hidden="1" x14ac:dyDescent="0.3">
      <c r="A315" s="7"/>
      <c r="C315" s="12" t="s">
        <v>948</v>
      </c>
      <c r="D315" s="227"/>
      <c r="E315" s="227"/>
      <c r="F315" s="298">
        <f>H328</f>
        <v>2.6</v>
      </c>
      <c r="G315" s="227" t="s">
        <v>971</v>
      </c>
      <c r="K315" s="130"/>
      <c r="L315" s="493"/>
      <c r="M315" s="493"/>
      <c r="N315" s="22"/>
      <c r="O315" s="7"/>
      <c r="P315" s="7"/>
      <c r="Q315" s="7"/>
      <c r="R315" s="7"/>
      <c r="S315" s="7"/>
      <c r="T315" s="7"/>
    </row>
    <row r="316" spans="1:20" hidden="1" x14ac:dyDescent="0.3">
      <c r="A316" s="7"/>
      <c r="C316" s="22"/>
      <c r="D316" s="36"/>
      <c r="E316" s="36"/>
      <c r="F316" s="302"/>
      <c r="K316" s="130"/>
      <c r="L316" s="493"/>
      <c r="M316" s="493"/>
      <c r="N316" s="22"/>
      <c r="O316" s="7"/>
      <c r="P316" s="7"/>
      <c r="Q316" s="7"/>
      <c r="R316" s="7"/>
      <c r="S316" s="7"/>
      <c r="T316" s="7"/>
    </row>
    <row r="317" spans="1:20" ht="27.6" hidden="1" x14ac:dyDescent="0.3">
      <c r="A317" s="7"/>
      <c r="C317" s="14" t="s">
        <v>948</v>
      </c>
      <c r="D317" s="14" t="s">
        <v>1110</v>
      </c>
      <c r="E317" s="14" t="s">
        <v>516</v>
      </c>
      <c r="F317" s="14" t="s">
        <v>954</v>
      </c>
      <c r="G317" s="14" t="s">
        <v>930</v>
      </c>
      <c r="H317" s="14" t="s">
        <v>1111</v>
      </c>
      <c r="K317" s="130"/>
      <c r="L317" s="493"/>
      <c r="M317" s="493"/>
      <c r="N317" s="22"/>
      <c r="O317" s="7"/>
      <c r="P317" s="7"/>
      <c r="Q317" s="7"/>
      <c r="R317" s="7"/>
      <c r="S317" s="7"/>
      <c r="T317" s="7"/>
    </row>
    <row r="318" spans="1:20" hidden="1" x14ac:dyDescent="0.3">
      <c r="A318" s="7"/>
      <c r="C318" s="1009" t="str">
        <f>C286</f>
        <v>Лікар-лаборант</v>
      </c>
      <c r="D318" s="1010"/>
      <c r="E318" s="1010"/>
      <c r="F318" s="1010"/>
      <c r="G318" s="1010"/>
      <c r="H318" s="1011"/>
      <c r="K318" s="130"/>
      <c r="L318" s="493"/>
      <c r="M318" s="493"/>
      <c r="N318" s="22"/>
      <c r="O318" s="7"/>
      <c r="P318" s="7"/>
      <c r="Q318" s="7"/>
      <c r="R318" s="7"/>
      <c r="S318" s="7"/>
      <c r="T318" s="7"/>
    </row>
    <row r="319" spans="1:20" hidden="1" x14ac:dyDescent="0.3">
      <c r="A319" s="7"/>
      <c r="C319" s="17" t="s">
        <v>951</v>
      </c>
      <c r="D319" s="221">
        <f>D263</f>
        <v>12188.608008565312</v>
      </c>
      <c r="E319" s="73">
        <f>I286</f>
        <v>1807.2</v>
      </c>
      <c r="F319" s="73">
        <f>ROUND((D319/E319)/60,2)</f>
        <v>0.11</v>
      </c>
      <c r="G319" s="73">
        <f>E290</f>
        <v>15</v>
      </c>
      <c r="H319" s="78">
        <f>ROUND(F319*G319,2)</f>
        <v>1.65</v>
      </c>
      <c r="K319" s="130"/>
      <c r="L319" s="493"/>
      <c r="M319" s="493"/>
      <c r="N319" s="22"/>
      <c r="O319" s="7"/>
      <c r="P319" s="7"/>
      <c r="Q319" s="7"/>
      <c r="R319" s="7"/>
      <c r="S319" s="7"/>
      <c r="T319" s="7"/>
    </row>
    <row r="320" spans="1:20" hidden="1" x14ac:dyDescent="0.3">
      <c r="A320" s="7"/>
      <c r="C320" s="17" t="s">
        <v>952</v>
      </c>
      <c r="D320" s="221">
        <f>D264</f>
        <v>53.149721627408987</v>
      </c>
      <c r="E320" s="73">
        <f>I286</f>
        <v>1807.2</v>
      </c>
      <c r="F320" s="73">
        <f>ROUND((D320/E320)/60,2)</f>
        <v>0</v>
      </c>
      <c r="G320" s="73">
        <f>E290</f>
        <v>15</v>
      </c>
      <c r="H320" s="78">
        <f>ROUND(F320*G320,2)</f>
        <v>0</v>
      </c>
      <c r="K320" s="130"/>
      <c r="L320" s="493"/>
      <c r="M320" s="493"/>
      <c r="N320" s="22"/>
      <c r="O320" s="7"/>
      <c r="P320" s="7"/>
      <c r="Q320" s="7"/>
      <c r="R320" s="7"/>
      <c r="S320" s="7"/>
      <c r="T320" s="7"/>
    </row>
    <row r="321" spans="1:20" hidden="1" x14ac:dyDescent="0.3">
      <c r="A321" s="7"/>
      <c r="C321" s="17" t="s">
        <v>953</v>
      </c>
      <c r="D321" s="221">
        <f>D265</f>
        <v>374.98368308351178</v>
      </c>
      <c r="E321" s="73">
        <f>I286</f>
        <v>1807.2</v>
      </c>
      <c r="F321" s="73">
        <f>ROUND((D321/E321)/60,2)</f>
        <v>0</v>
      </c>
      <c r="G321" s="73">
        <f>E290</f>
        <v>15</v>
      </c>
      <c r="H321" s="78">
        <f>ROUND(F321*G321,2)</f>
        <v>0</v>
      </c>
      <c r="K321" s="130"/>
      <c r="L321" s="493"/>
      <c r="M321" s="493"/>
      <c r="N321" s="22"/>
      <c r="O321" s="7"/>
      <c r="P321" s="7"/>
      <c r="Q321" s="7"/>
      <c r="R321" s="7"/>
      <c r="S321" s="7"/>
      <c r="T321" s="7"/>
    </row>
    <row r="322" spans="1:20" hidden="1" x14ac:dyDescent="0.3">
      <c r="A322" s="7"/>
      <c r="C322" s="17" t="s">
        <v>1109</v>
      </c>
      <c r="D322" s="221">
        <f>D266</f>
        <v>1686.0389293361886</v>
      </c>
      <c r="E322" s="73">
        <f>I286</f>
        <v>1807.2</v>
      </c>
      <c r="F322" s="73">
        <f>ROUND((D322/E322)/60,2)</f>
        <v>0.02</v>
      </c>
      <c r="G322" s="73">
        <f>E290</f>
        <v>15</v>
      </c>
      <c r="H322" s="78">
        <f>ROUND(F322*G322,2)</f>
        <v>0.3</v>
      </c>
      <c r="K322" s="130"/>
      <c r="L322" s="493"/>
      <c r="M322" s="493"/>
      <c r="N322" s="22"/>
      <c r="O322" s="7"/>
      <c r="P322" s="7"/>
      <c r="Q322" s="7"/>
      <c r="R322" s="7"/>
      <c r="S322" s="7"/>
      <c r="T322" s="7"/>
    </row>
    <row r="323" spans="1:20" hidden="1" x14ac:dyDescent="0.3">
      <c r="A323" s="7"/>
      <c r="C323" s="1009" t="str">
        <f>C287</f>
        <v>Лаборант клінічної лабораторії</v>
      </c>
      <c r="D323" s="1010"/>
      <c r="E323" s="1010"/>
      <c r="F323" s="1010"/>
      <c r="G323" s="1010"/>
      <c r="H323" s="1011"/>
      <c r="K323" s="130"/>
      <c r="L323" s="493"/>
      <c r="M323" s="493"/>
      <c r="N323" s="22"/>
      <c r="O323" s="7"/>
      <c r="P323" s="7"/>
      <c r="Q323" s="7"/>
      <c r="R323" s="7"/>
      <c r="S323" s="7"/>
      <c r="T323" s="7"/>
    </row>
    <row r="324" spans="1:20" hidden="1" x14ac:dyDescent="0.3">
      <c r="A324" s="7"/>
      <c r="C324" s="17" t="s">
        <v>951</v>
      </c>
      <c r="D324" s="221">
        <f>D319</f>
        <v>12188.608008565312</v>
      </c>
      <c r="E324" s="73">
        <f>I287</f>
        <v>1807.2</v>
      </c>
      <c r="F324" s="73">
        <f>ROUND((D324/E324)/60,2)</f>
        <v>0.11</v>
      </c>
      <c r="G324" s="73">
        <f>E291</f>
        <v>5</v>
      </c>
      <c r="H324" s="78">
        <f>ROUND(F324*G324,2)</f>
        <v>0.55000000000000004</v>
      </c>
      <c r="K324" s="130"/>
      <c r="L324" s="493"/>
      <c r="M324" s="493"/>
      <c r="N324" s="22"/>
      <c r="O324" s="7"/>
      <c r="P324" s="7"/>
      <c r="Q324" s="7"/>
      <c r="R324" s="7"/>
      <c r="S324" s="7"/>
      <c r="T324" s="7"/>
    </row>
    <row r="325" spans="1:20" hidden="1" x14ac:dyDescent="0.3">
      <c r="A325" s="7"/>
      <c r="C325" s="17" t="s">
        <v>952</v>
      </c>
      <c r="D325" s="221">
        <f>D320</f>
        <v>53.149721627408987</v>
      </c>
      <c r="E325" s="73">
        <f>I287</f>
        <v>1807.2</v>
      </c>
      <c r="F325" s="73">
        <f>ROUND((D325/E325)/60,2)</f>
        <v>0</v>
      </c>
      <c r="G325" s="73">
        <f>E291</f>
        <v>5</v>
      </c>
      <c r="H325" s="78">
        <f>ROUND(F325*G325,2)</f>
        <v>0</v>
      </c>
      <c r="K325" s="130"/>
      <c r="L325" s="493"/>
      <c r="M325" s="493"/>
      <c r="N325" s="22"/>
      <c r="O325" s="7"/>
      <c r="P325" s="7"/>
      <c r="Q325" s="7"/>
      <c r="R325" s="7"/>
      <c r="S325" s="7"/>
      <c r="T325" s="7"/>
    </row>
    <row r="326" spans="1:20" hidden="1" x14ac:dyDescent="0.3">
      <c r="A326" s="7"/>
      <c r="C326" s="17" t="s">
        <v>953</v>
      </c>
      <c r="D326" s="221">
        <f>D321</f>
        <v>374.98368308351178</v>
      </c>
      <c r="E326" s="73">
        <f>I287</f>
        <v>1807.2</v>
      </c>
      <c r="F326" s="73">
        <f>ROUND((D326/E326)/60,2)</f>
        <v>0</v>
      </c>
      <c r="G326" s="73">
        <f>E291</f>
        <v>5</v>
      </c>
      <c r="H326" s="78">
        <f>ROUND(F326*G326,2)</f>
        <v>0</v>
      </c>
      <c r="K326" s="130"/>
      <c r="L326" s="493"/>
      <c r="M326" s="493"/>
      <c r="N326" s="22"/>
      <c r="O326" s="7"/>
      <c r="P326" s="7"/>
      <c r="Q326" s="7"/>
      <c r="R326" s="7"/>
      <c r="S326" s="7"/>
      <c r="T326" s="7"/>
    </row>
    <row r="327" spans="1:20" hidden="1" x14ac:dyDescent="0.3">
      <c r="A327" s="7"/>
      <c r="C327" s="17" t="s">
        <v>1109</v>
      </c>
      <c r="D327" s="221">
        <f>D322</f>
        <v>1686.0389293361886</v>
      </c>
      <c r="E327" s="73">
        <f>I287</f>
        <v>1807.2</v>
      </c>
      <c r="F327" s="73">
        <f>ROUND((D327/E327)/60,2)</f>
        <v>0.02</v>
      </c>
      <c r="G327" s="73">
        <f>E291</f>
        <v>5</v>
      </c>
      <c r="H327" s="78">
        <f>ROUND(F327*G327,2)</f>
        <v>0.1</v>
      </c>
      <c r="K327" s="130"/>
      <c r="L327" s="493"/>
      <c r="M327" s="493"/>
      <c r="N327" s="22"/>
      <c r="O327" s="7"/>
      <c r="P327" s="7"/>
      <c r="Q327" s="7"/>
      <c r="R327" s="7"/>
      <c r="S327" s="7"/>
      <c r="T327" s="7"/>
    </row>
    <row r="328" spans="1:20" hidden="1" x14ac:dyDescent="0.3">
      <c r="A328" s="7"/>
      <c r="C328" s="1012" t="s">
        <v>957</v>
      </c>
      <c r="D328" s="1013"/>
      <c r="E328" s="1013"/>
      <c r="F328" s="1013"/>
      <c r="G328" s="1014"/>
      <c r="H328" s="299">
        <f>SUM(H319:H327)</f>
        <v>2.6</v>
      </c>
      <c r="K328" s="130"/>
      <c r="L328" s="493"/>
      <c r="M328" s="493"/>
      <c r="N328" s="22"/>
      <c r="O328" s="7"/>
      <c r="P328" s="7"/>
      <c r="Q328" s="7"/>
      <c r="R328" s="7"/>
      <c r="S328" s="7"/>
      <c r="T328" s="7"/>
    </row>
    <row r="329" spans="1:20" ht="9.75" hidden="1" customHeight="1" x14ac:dyDescent="0.3">
      <c r="A329" s="7"/>
      <c r="K329" s="130"/>
      <c r="L329" s="493"/>
      <c r="M329" s="493"/>
      <c r="N329" s="22"/>
      <c r="O329" s="7"/>
      <c r="P329" s="7"/>
      <c r="Q329" s="7"/>
      <c r="R329" s="7"/>
      <c r="S329" s="7"/>
      <c r="T329" s="7"/>
    </row>
    <row r="330" spans="1:20" hidden="1" x14ac:dyDescent="0.3">
      <c r="A330" s="7"/>
      <c r="C330" s="1015" t="s">
        <v>959</v>
      </c>
      <c r="D330" s="1015"/>
      <c r="E330" s="1015"/>
      <c r="F330" s="1015"/>
      <c r="G330" s="1015"/>
      <c r="H330" s="334">
        <f>F283+F295+F315+F310</f>
        <v>87.859999999999985</v>
      </c>
      <c r="K330" s="130"/>
      <c r="L330" s="493"/>
      <c r="M330" s="493"/>
      <c r="N330" s="22"/>
      <c r="O330" s="7"/>
      <c r="P330" s="7"/>
      <c r="Q330" s="7"/>
      <c r="R330" s="7"/>
      <c r="S330" s="7"/>
      <c r="T330" s="7"/>
    </row>
    <row r="331" spans="1:20" hidden="1" x14ac:dyDescent="0.3">
      <c r="A331" s="7"/>
      <c r="C331" s="33"/>
      <c r="D331" s="33"/>
      <c r="E331" s="33"/>
      <c r="F331" s="33"/>
      <c r="G331" s="33"/>
      <c r="H331" s="335"/>
      <c r="K331" s="130"/>
      <c r="L331" s="493"/>
      <c r="M331" s="493"/>
      <c r="N331" s="22"/>
      <c r="O331" s="7"/>
      <c r="P331" s="7"/>
      <c r="Q331" s="7"/>
      <c r="R331" s="7"/>
      <c r="S331" s="7"/>
      <c r="T331" s="7"/>
    </row>
    <row r="332" spans="1:20" hidden="1" x14ac:dyDescent="0.3">
      <c r="A332" s="7"/>
      <c r="C332" s="1015" t="s">
        <v>960</v>
      </c>
      <c r="D332" s="1015"/>
      <c r="E332" s="1015"/>
      <c r="F332" s="1015"/>
      <c r="G332" s="1015"/>
      <c r="H332" s="334">
        <f>ROUND(H330,0)</f>
        <v>88</v>
      </c>
      <c r="K332" s="130"/>
      <c r="L332" s="493"/>
      <c r="M332" s="493"/>
      <c r="N332" s="22"/>
      <c r="O332" s="7"/>
      <c r="P332" s="7"/>
      <c r="Q332" s="7"/>
      <c r="R332" s="7"/>
      <c r="S332" s="7"/>
      <c r="T332" s="7"/>
    </row>
    <row r="333" spans="1:20" hidden="1" x14ac:dyDescent="0.3">
      <c r="A333" s="7"/>
      <c r="K333" s="130"/>
      <c r="L333" s="493"/>
      <c r="M333" s="493"/>
      <c r="N333" s="22"/>
      <c r="O333" s="7"/>
      <c r="P333" s="7"/>
      <c r="Q333" s="7"/>
      <c r="R333" s="7"/>
      <c r="S333" s="7"/>
      <c r="T333" s="7"/>
    </row>
    <row r="334" spans="1:20" hidden="1" x14ac:dyDescent="0.3">
      <c r="A334" s="7"/>
      <c r="K334" s="130"/>
      <c r="L334" s="493"/>
      <c r="M334" s="493"/>
      <c r="N334" s="22"/>
      <c r="O334" s="7"/>
      <c r="P334" s="7"/>
      <c r="Q334" s="7"/>
      <c r="R334" s="7"/>
      <c r="S334" s="7"/>
      <c r="T334" s="7"/>
    </row>
    <row r="335" spans="1:20" s="54" customFormat="1" ht="19.8" hidden="1" x14ac:dyDescent="0.4">
      <c r="A335" s="53"/>
      <c r="B335" s="1016" t="s">
        <v>958</v>
      </c>
      <c r="C335" s="1016"/>
      <c r="D335" s="1016"/>
      <c r="E335" s="1016"/>
      <c r="F335" s="1016"/>
      <c r="G335" s="1016"/>
      <c r="H335" s="1016"/>
      <c r="I335" s="1016"/>
      <c r="J335" s="1016"/>
      <c r="K335" s="137"/>
      <c r="L335" s="493"/>
      <c r="M335" s="493"/>
      <c r="N335" s="70"/>
      <c r="O335" s="53"/>
      <c r="P335" s="53"/>
      <c r="Q335" s="53"/>
      <c r="R335" s="53"/>
      <c r="S335" s="53"/>
      <c r="T335" s="53"/>
    </row>
    <row r="336" spans="1:20" s="54" customFormat="1" ht="19.8" hidden="1" x14ac:dyDescent="0.4">
      <c r="A336" s="53"/>
      <c r="B336" s="53"/>
      <c r="C336" s="53"/>
      <c r="D336" s="225"/>
      <c r="E336" s="225"/>
      <c r="F336" s="225"/>
      <c r="G336" s="225"/>
      <c r="H336" s="225"/>
      <c r="I336" s="53"/>
      <c r="J336" s="53"/>
      <c r="K336" s="132"/>
      <c r="L336" s="493"/>
      <c r="M336" s="493"/>
      <c r="N336" s="70"/>
      <c r="O336" s="53"/>
      <c r="P336" s="53"/>
      <c r="Q336" s="53"/>
      <c r="R336" s="53"/>
      <c r="S336" s="53"/>
      <c r="T336" s="53"/>
    </row>
    <row r="337" spans="1:20" s="54" customFormat="1" ht="19.8" hidden="1" x14ac:dyDescent="0.4">
      <c r="A337" s="53"/>
      <c r="B337" s="50" t="s">
        <v>180</v>
      </c>
      <c r="C337" s="1017" t="str">
        <f>M14</f>
        <v>Дослідження мікрофлори ротової порожнини</v>
      </c>
      <c r="D337" s="1017"/>
      <c r="E337" s="1017"/>
      <c r="F337" s="296">
        <f>H387</f>
        <v>30</v>
      </c>
      <c r="G337" s="296" t="s">
        <v>971</v>
      </c>
      <c r="H337" s="225"/>
      <c r="I337" s="53"/>
      <c r="J337" s="53"/>
      <c r="K337" s="132"/>
      <c r="L337" s="493"/>
      <c r="M337" s="493"/>
      <c r="N337" s="70"/>
      <c r="O337" s="53"/>
      <c r="P337" s="53"/>
      <c r="Q337" s="53"/>
      <c r="R337" s="53"/>
      <c r="S337" s="53"/>
      <c r="T337" s="53"/>
    </row>
    <row r="338" spans="1:20" hidden="1" x14ac:dyDescent="0.3">
      <c r="A338" s="7"/>
      <c r="K338" s="130"/>
      <c r="L338" s="493"/>
      <c r="M338" s="493"/>
      <c r="N338" s="22"/>
      <c r="O338" s="7"/>
      <c r="P338" s="7"/>
      <c r="Q338" s="7"/>
      <c r="R338" s="7"/>
      <c r="S338" s="7"/>
      <c r="T338" s="7"/>
    </row>
    <row r="339" spans="1:20" hidden="1" x14ac:dyDescent="0.3">
      <c r="A339" s="7"/>
      <c r="C339" s="1018" t="s">
        <v>932</v>
      </c>
      <c r="D339" s="1018"/>
      <c r="E339" s="297"/>
      <c r="F339" s="298">
        <f>F346+F349+F347</f>
        <v>21.78</v>
      </c>
      <c r="G339" s="227" t="s">
        <v>971</v>
      </c>
      <c r="K339" s="130"/>
      <c r="L339" s="493"/>
      <c r="M339" s="493"/>
      <c r="N339" s="22"/>
      <c r="O339" s="7"/>
      <c r="P339" s="7"/>
      <c r="Q339" s="7"/>
      <c r="R339" s="7"/>
      <c r="S339" s="7"/>
      <c r="T339" s="7"/>
    </row>
    <row r="340" spans="1:20" hidden="1" x14ac:dyDescent="0.3">
      <c r="A340" s="7"/>
      <c r="K340" s="130"/>
      <c r="L340" s="493"/>
      <c r="M340" s="493"/>
      <c r="N340" s="22"/>
      <c r="O340" s="7"/>
      <c r="P340" s="7"/>
      <c r="Q340" s="7"/>
      <c r="R340" s="7"/>
      <c r="S340" s="7"/>
      <c r="T340" s="7"/>
    </row>
    <row r="341" spans="1:20" ht="27.6" hidden="1" x14ac:dyDescent="0.3">
      <c r="A341" s="7"/>
      <c r="C341" s="13" t="s">
        <v>929</v>
      </c>
      <c r="D341" s="14" t="s">
        <v>928</v>
      </c>
      <c r="E341" s="14" t="s">
        <v>514</v>
      </c>
      <c r="F341" s="14" t="s">
        <v>515</v>
      </c>
      <c r="G341" s="14" t="s">
        <v>962</v>
      </c>
      <c r="H341" s="14" t="s">
        <v>926</v>
      </c>
      <c r="I341" s="14" t="s">
        <v>516</v>
      </c>
      <c r="J341" s="14" t="s">
        <v>961</v>
      </c>
      <c r="K341" s="138"/>
      <c r="L341" s="493"/>
      <c r="M341" s="493"/>
      <c r="N341" s="22"/>
      <c r="O341" s="7"/>
      <c r="P341" s="7"/>
      <c r="Q341" s="7"/>
      <c r="R341" s="7"/>
      <c r="S341" s="7"/>
      <c r="T341" s="7"/>
    </row>
    <row r="342" spans="1:20" hidden="1" x14ac:dyDescent="0.3">
      <c r="A342" s="7"/>
      <c r="C342" s="17" t="str">
        <f>C286</f>
        <v>Лікар-лаборант</v>
      </c>
      <c r="D342" s="73">
        <f>D286</f>
        <v>10799.43</v>
      </c>
      <c r="E342" s="78">
        <f>D342*12</f>
        <v>129593.16</v>
      </c>
      <c r="F342" s="73">
        <f>F286</f>
        <v>8307.26</v>
      </c>
      <c r="G342" s="73">
        <f>G286</f>
        <v>4153.63</v>
      </c>
      <c r="H342" s="78">
        <f>E342+F342+G342</f>
        <v>142054.05000000002</v>
      </c>
      <c r="I342" s="17">
        <v>1807.2</v>
      </c>
      <c r="J342" s="16">
        <f>ROUND((H342/I342)/60,2)</f>
        <v>1.31</v>
      </c>
      <c r="K342" s="140"/>
      <c r="L342" s="493"/>
      <c r="M342" s="493"/>
      <c r="N342" s="22"/>
      <c r="O342" s="7"/>
      <c r="P342" s="7"/>
      <c r="Q342" s="7"/>
      <c r="R342" s="7"/>
      <c r="S342" s="7"/>
      <c r="T342" s="7"/>
    </row>
    <row r="343" spans="1:20" hidden="1" x14ac:dyDescent="0.3">
      <c r="A343" s="7"/>
      <c r="C343" s="17" t="str">
        <f>C287</f>
        <v>Лаборант клінічної лабораторії</v>
      </c>
      <c r="D343" s="73">
        <f>D287</f>
        <v>7871.18</v>
      </c>
      <c r="E343" s="78">
        <f>D343*12</f>
        <v>94454.16</v>
      </c>
      <c r="F343" s="73">
        <f>F287</f>
        <v>6054.75</v>
      </c>
      <c r="G343" s="73">
        <f>G287</f>
        <v>3027.375</v>
      </c>
      <c r="H343" s="78">
        <f>E343+F343+G343</f>
        <v>103536.285</v>
      </c>
      <c r="I343" s="17">
        <v>1807.2</v>
      </c>
      <c r="J343" s="16">
        <f>ROUND((H343/I343)/60,2)</f>
        <v>0.95</v>
      </c>
      <c r="K343" s="140"/>
      <c r="L343" s="493"/>
      <c r="M343" s="493"/>
      <c r="N343" s="22"/>
      <c r="O343" s="7"/>
      <c r="P343" s="7"/>
      <c r="Q343" s="7"/>
      <c r="R343" s="7"/>
      <c r="S343" s="7"/>
      <c r="T343" s="7"/>
    </row>
    <row r="344" spans="1:20" hidden="1" x14ac:dyDescent="0.3">
      <c r="A344" s="7"/>
      <c r="K344" s="130"/>
      <c r="L344" s="493"/>
      <c r="M344" s="493"/>
      <c r="N344" s="22"/>
      <c r="O344" s="7"/>
      <c r="P344" s="7"/>
      <c r="Q344" s="7"/>
      <c r="R344" s="7"/>
      <c r="S344" s="7"/>
      <c r="T344" s="7"/>
    </row>
    <row r="345" spans="1:20" hidden="1" x14ac:dyDescent="0.3">
      <c r="A345" s="7"/>
      <c r="C345" s="13" t="s">
        <v>929</v>
      </c>
      <c r="D345" s="14" t="s">
        <v>961</v>
      </c>
      <c r="E345" s="14" t="s">
        <v>930</v>
      </c>
      <c r="F345" s="14" t="s">
        <v>931</v>
      </c>
      <c r="K345" s="130"/>
      <c r="L345" s="493"/>
      <c r="M345" s="493"/>
      <c r="N345" s="22"/>
      <c r="O345" s="7"/>
      <c r="P345" s="7"/>
      <c r="Q345" s="7"/>
      <c r="R345" s="7"/>
      <c r="S345" s="7"/>
      <c r="T345" s="7"/>
    </row>
    <row r="346" spans="1:20" hidden="1" x14ac:dyDescent="0.3">
      <c r="A346" s="7"/>
      <c r="C346" s="15" t="str">
        <f>C342</f>
        <v>Лікар-лаборант</v>
      </c>
      <c r="D346" s="78">
        <f>J342</f>
        <v>1.31</v>
      </c>
      <c r="E346" s="73">
        <v>10</v>
      </c>
      <c r="F346" s="299">
        <f>ROUND(D346*E346,2)</f>
        <v>13.1</v>
      </c>
      <c r="K346" s="130"/>
      <c r="L346" s="493"/>
      <c r="M346" s="493"/>
      <c r="N346" s="22"/>
      <c r="O346" s="7"/>
      <c r="P346" s="7"/>
      <c r="Q346" s="7"/>
      <c r="R346" s="7"/>
      <c r="S346" s="7"/>
      <c r="T346" s="7"/>
    </row>
    <row r="347" spans="1:20" hidden="1" x14ac:dyDescent="0.3">
      <c r="A347" s="7"/>
      <c r="C347" s="15" t="str">
        <f>C343</f>
        <v>Лаборант клінічної лабораторії</v>
      </c>
      <c r="D347" s="78">
        <f>J343</f>
        <v>0.95</v>
      </c>
      <c r="E347" s="73">
        <v>5</v>
      </c>
      <c r="F347" s="299">
        <f>ROUND(D347*E347,2)</f>
        <v>4.75</v>
      </c>
      <c r="K347" s="130"/>
      <c r="L347" s="493"/>
      <c r="M347" s="493"/>
      <c r="N347" s="22"/>
      <c r="O347" s="7"/>
      <c r="P347" s="7"/>
      <c r="Q347" s="7"/>
      <c r="R347" s="7"/>
      <c r="S347" s="7"/>
      <c r="T347" s="7"/>
    </row>
    <row r="348" spans="1:20" hidden="1" x14ac:dyDescent="0.3">
      <c r="A348" s="7"/>
      <c r="D348" s="19"/>
      <c r="E348" s="74" t="s">
        <v>1016</v>
      </c>
      <c r="K348" s="130"/>
      <c r="L348" s="493"/>
      <c r="M348" s="493"/>
      <c r="N348" s="22"/>
      <c r="O348" s="7"/>
      <c r="P348" s="7"/>
      <c r="Q348" s="7"/>
      <c r="R348" s="7"/>
      <c r="S348" s="7"/>
      <c r="T348" s="7"/>
    </row>
    <row r="349" spans="1:20" hidden="1" x14ac:dyDescent="0.3">
      <c r="A349" s="7"/>
      <c r="C349" s="17" t="s">
        <v>933</v>
      </c>
      <c r="D349" s="78">
        <f>F346+F347</f>
        <v>17.850000000000001</v>
      </c>
      <c r="E349" s="300">
        <v>0.22</v>
      </c>
      <c r="F349" s="301">
        <f>ROUND(D349*E349,2)</f>
        <v>3.93</v>
      </c>
      <c r="K349" s="130"/>
      <c r="L349" s="493"/>
      <c r="M349" s="493"/>
      <c r="N349" s="22"/>
      <c r="O349" s="7"/>
      <c r="P349" s="7"/>
      <c r="Q349" s="7"/>
      <c r="R349" s="7"/>
      <c r="S349" s="7"/>
      <c r="T349" s="7"/>
    </row>
    <row r="350" spans="1:20" hidden="1" x14ac:dyDescent="0.3">
      <c r="A350" s="7"/>
      <c r="K350" s="130"/>
      <c r="L350" s="493"/>
      <c r="M350" s="493"/>
      <c r="N350" s="22"/>
      <c r="O350" s="7"/>
      <c r="P350" s="7"/>
      <c r="Q350" s="7"/>
      <c r="R350" s="7"/>
      <c r="S350" s="7"/>
      <c r="T350" s="7"/>
    </row>
    <row r="351" spans="1:20" hidden="1" x14ac:dyDescent="0.3">
      <c r="A351" s="7"/>
      <c r="C351" s="12" t="s">
        <v>946</v>
      </c>
      <c r="D351" s="227"/>
      <c r="E351" s="227"/>
      <c r="F351" s="298">
        <f>G363</f>
        <v>5.5</v>
      </c>
      <c r="G351" s="227" t="s">
        <v>971</v>
      </c>
      <c r="K351" s="130"/>
      <c r="L351" s="493"/>
      <c r="M351" s="493"/>
      <c r="N351" s="22"/>
      <c r="O351" s="7"/>
      <c r="P351" s="7"/>
      <c r="Q351" s="7"/>
      <c r="R351" s="7"/>
      <c r="S351" s="7"/>
      <c r="T351" s="7"/>
    </row>
    <row r="352" spans="1:20" hidden="1" x14ac:dyDescent="0.3">
      <c r="A352" s="7"/>
      <c r="K352" s="130"/>
      <c r="L352" s="493"/>
      <c r="M352" s="493"/>
      <c r="N352" s="22"/>
      <c r="O352" s="7"/>
      <c r="P352" s="7"/>
      <c r="Q352" s="7"/>
      <c r="R352" s="7"/>
      <c r="S352" s="7"/>
      <c r="T352" s="7"/>
    </row>
    <row r="353" spans="1:20" ht="27.6" hidden="1" x14ac:dyDescent="0.3">
      <c r="A353" s="7"/>
      <c r="B353" s="82" t="s">
        <v>991</v>
      </c>
      <c r="C353" s="83" t="s">
        <v>986</v>
      </c>
      <c r="D353" s="83" t="s">
        <v>987</v>
      </c>
      <c r="E353" s="83" t="s">
        <v>988</v>
      </c>
      <c r="F353" s="83" t="s">
        <v>989</v>
      </c>
      <c r="G353" s="82" t="s">
        <v>990</v>
      </c>
      <c r="K353" s="130"/>
      <c r="L353" s="493"/>
      <c r="M353" s="493"/>
      <c r="N353" s="22"/>
      <c r="O353" s="7"/>
      <c r="P353" s="7"/>
      <c r="Q353" s="7"/>
      <c r="R353" s="7"/>
      <c r="S353" s="7"/>
      <c r="T353" s="7"/>
    </row>
    <row r="354" spans="1:20" hidden="1" x14ac:dyDescent="0.3">
      <c r="A354" s="7"/>
      <c r="B354" s="84">
        <v>1</v>
      </c>
      <c r="C354" s="85" t="s">
        <v>1073</v>
      </c>
      <c r="D354" s="86" t="s">
        <v>944</v>
      </c>
      <c r="E354" s="87">
        <f>'МЕДИЧНІ М'!E203</f>
        <v>120</v>
      </c>
      <c r="F354" s="86">
        <v>1000</v>
      </c>
      <c r="G354" s="88">
        <f>ROUND(E354/F354,2)</f>
        <v>0.12</v>
      </c>
      <c r="K354" s="130"/>
      <c r="L354" s="493"/>
      <c r="M354" s="493"/>
      <c r="N354" s="22"/>
      <c r="O354" s="7"/>
      <c r="P354" s="7"/>
      <c r="Q354" s="7"/>
      <c r="R354" s="7"/>
      <c r="S354" s="7"/>
      <c r="T354" s="7"/>
    </row>
    <row r="355" spans="1:20" hidden="1" x14ac:dyDescent="0.3">
      <c r="A355" s="7"/>
      <c r="B355" s="73">
        <f>B354+1</f>
        <v>2</v>
      </c>
      <c r="C355" s="79" t="s">
        <v>1034</v>
      </c>
      <c r="D355" s="75" t="s">
        <v>974</v>
      </c>
      <c r="E355" s="87">
        <f>'МЕДИЧНІ М'!E201</f>
        <v>39.299999999999997</v>
      </c>
      <c r="F355" s="86">
        <v>400</v>
      </c>
      <c r="G355" s="88">
        <f>ROUND(E355/F355,2)</f>
        <v>0.1</v>
      </c>
      <c r="K355" s="130"/>
      <c r="L355" s="493"/>
      <c r="M355" s="493"/>
      <c r="N355" s="22"/>
      <c r="O355" s="7"/>
      <c r="P355" s="7"/>
      <c r="Q355" s="7"/>
      <c r="R355" s="7"/>
      <c r="S355" s="7"/>
      <c r="T355" s="7"/>
    </row>
    <row r="356" spans="1:20" hidden="1" x14ac:dyDescent="0.3">
      <c r="A356" s="7"/>
      <c r="B356" s="73">
        <f t="shared" ref="B356:B362" si="9">B355+1</f>
        <v>3</v>
      </c>
      <c r="C356" s="79" t="s">
        <v>984</v>
      </c>
      <c r="D356" s="76" t="s">
        <v>941</v>
      </c>
      <c r="E356" s="87">
        <f>'МЕДИЧНІ М'!E213</f>
        <v>62.32</v>
      </c>
      <c r="F356" s="77">
        <v>1000</v>
      </c>
      <c r="G356" s="88">
        <f>ROUND(E356/F356,2)</f>
        <v>0.06</v>
      </c>
      <c r="K356" s="130"/>
      <c r="L356" s="493"/>
      <c r="M356" s="493"/>
      <c r="N356" s="22"/>
      <c r="O356" s="7"/>
      <c r="P356" s="7"/>
      <c r="Q356" s="7"/>
      <c r="R356" s="7"/>
      <c r="S356" s="7"/>
      <c r="T356" s="7"/>
    </row>
    <row r="357" spans="1:20" hidden="1" x14ac:dyDescent="0.3">
      <c r="A357" s="7"/>
      <c r="B357" s="73">
        <f t="shared" si="9"/>
        <v>4</v>
      </c>
      <c r="C357" s="79" t="s">
        <v>936</v>
      </c>
      <c r="D357" s="76" t="s">
        <v>937</v>
      </c>
      <c r="E357" s="87">
        <f>'МЕДИЧНІ М'!E204</f>
        <v>0.3</v>
      </c>
      <c r="F357" s="77">
        <v>1</v>
      </c>
      <c r="G357" s="88">
        <f>ROUND(E357*F357,2)</f>
        <v>0.3</v>
      </c>
      <c r="K357" s="130"/>
      <c r="L357" s="493"/>
      <c r="M357" s="493"/>
      <c r="N357" s="22"/>
      <c r="O357" s="7"/>
      <c r="P357" s="7"/>
      <c r="Q357" s="7"/>
      <c r="R357" s="7"/>
      <c r="S357" s="7"/>
      <c r="T357" s="7"/>
    </row>
    <row r="358" spans="1:20" hidden="1" x14ac:dyDescent="0.3">
      <c r="A358" s="7"/>
      <c r="B358" s="73">
        <f t="shared" si="9"/>
        <v>5</v>
      </c>
      <c r="C358" s="79" t="s">
        <v>934</v>
      </c>
      <c r="D358" s="76" t="s">
        <v>941</v>
      </c>
      <c r="E358" s="87">
        <f>'МЕДИЧНІ М'!E210</f>
        <v>2.8</v>
      </c>
      <c r="F358" s="86">
        <v>10</v>
      </c>
      <c r="G358" s="88">
        <f>ROUND(E358/F358,2)</f>
        <v>0.28000000000000003</v>
      </c>
      <c r="K358" s="130"/>
      <c r="L358" s="493"/>
      <c r="M358" s="493"/>
      <c r="N358" s="22"/>
      <c r="O358" s="7"/>
      <c r="P358" s="7"/>
      <c r="Q358" s="7"/>
      <c r="R358" s="7"/>
      <c r="S358" s="7"/>
      <c r="T358" s="7"/>
    </row>
    <row r="359" spans="1:20" hidden="1" x14ac:dyDescent="0.3">
      <c r="A359" s="7"/>
      <c r="B359" s="73">
        <f t="shared" si="9"/>
        <v>6</v>
      </c>
      <c r="C359" s="27" t="s">
        <v>940</v>
      </c>
      <c r="D359" s="28" t="s">
        <v>941</v>
      </c>
      <c r="E359" s="87">
        <f>'МЕДИЧНІ М'!E202</f>
        <v>2</v>
      </c>
      <c r="F359" s="28">
        <v>1.6</v>
      </c>
      <c r="G359" s="28">
        <f>ROUND(E359*F359,2)</f>
        <v>3.2</v>
      </c>
      <c r="K359" s="130"/>
      <c r="L359" s="493"/>
      <c r="M359" s="493"/>
      <c r="N359" s="22"/>
      <c r="O359" s="7"/>
      <c r="P359" s="7"/>
      <c r="Q359" s="7"/>
      <c r="R359" s="7"/>
      <c r="S359" s="7"/>
      <c r="T359" s="7"/>
    </row>
    <row r="360" spans="1:20" hidden="1" x14ac:dyDescent="0.3">
      <c r="A360" s="7"/>
      <c r="B360" s="73">
        <f t="shared" si="9"/>
        <v>7</v>
      </c>
      <c r="C360" s="27" t="s">
        <v>943</v>
      </c>
      <c r="D360" s="28" t="s">
        <v>944</v>
      </c>
      <c r="E360" s="87">
        <f>'МЕДИЧНІ М'!E198</f>
        <v>6.72</v>
      </c>
      <c r="F360" s="28">
        <v>0.14000000000000001</v>
      </c>
      <c r="G360" s="28">
        <f>ROUND(E360*F360,2)</f>
        <v>0.94</v>
      </c>
      <c r="K360" s="130"/>
      <c r="L360" s="493"/>
      <c r="M360" s="493"/>
      <c r="N360" s="22"/>
      <c r="O360" s="7"/>
      <c r="P360" s="7"/>
      <c r="Q360" s="7"/>
      <c r="R360" s="7"/>
      <c r="S360" s="7"/>
      <c r="T360" s="7"/>
    </row>
    <row r="361" spans="1:20" hidden="1" x14ac:dyDescent="0.3">
      <c r="A361" s="7"/>
      <c r="B361" s="73">
        <f t="shared" si="9"/>
        <v>8</v>
      </c>
      <c r="C361" s="27" t="s">
        <v>942</v>
      </c>
      <c r="D361" s="75" t="s">
        <v>974</v>
      </c>
      <c r="E361" s="87">
        <f>'МЕДИЧНІ М'!E215</f>
        <v>24.6</v>
      </c>
      <c r="F361" s="77">
        <v>100</v>
      </c>
      <c r="G361" s="78">
        <f>ROUND(E361/F361,2)</f>
        <v>0.25</v>
      </c>
      <c r="K361" s="130"/>
      <c r="L361" s="493"/>
      <c r="M361" s="493"/>
      <c r="N361" s="22"/>
      <c r="O361" s="7"/>
      <c r="P361" s="7"/>
      <c r="Q361" s="7"/>
      <c r="R361" s="7"/>
      <c r="S361" s="7"/>
      <c r="T361" s="7"/>
    </row>
    <row r="362" spans="1:20" hidden="1" x14ac:dyDescent="0.3">
      <c r="A362" s="7"/>
      <c r="B362" s="73">
        <f t="shared" si="9"/>
        <v>9</v>
      </c>
      <c r="C362" s="27" t="s">
        <v>1124</v>
      </c>
      <c r="D362" s="28" t="s">
        <v>944</v>
      </c>
      <c r="E362" s="87">
        <f>'МЕДИЧНІ М'!E200</f>
        <v>0.5</v>
      </c>
      <c r="F362" s="81">
        <v>0.5</v>
      </c>
      <c r="G362" s="28">
        <f>ROUND(E362*F362,2)</f>
        <v>0.25</v>
      </c>
      <c r="K362" s="130"/>
      <c r="L362" s="493"/>
      <c r="M362" s="493"/>
      <c r="N362" s="22"/>
      <c r="O362" s="7"/>
      <c r="P362" s="7"/>
      <c r="Q362" s="7"/>
      <c r="R362" s="7"/>
      <c r="S362" s="7"/>
      <c r="T362" s="7"/>
    </row>
    <row r="363" spans="1:20" hidden="1" x14ac:dyDescent="0.3">
      <c r="A363" s="7"/>
      <c r="B363" s="1012" t="s">
        <v>945</v>
      </c>
      <c r="C363" s="1013"/>
      <c r="D363" s="1013"/>
      <c r="E363" s="1013"/>
      <c r="F363" s="1014"/>
      <c r="G363" s="572">
        <f>SUM(G354:G362)</f>
        <v>5.5</v>
      </c>
      <c r="K363" s="130"/>
      <c r="L363" s="493"/>
      <c r="M363" s="493"/>
      <c r="N363" s="22"/>
      <c r="O363" s="7"/>
      <c r="P363" s="7"/>
      <c r="Q363" s="7"/>
      <c r="R363" s="7"/>
      <c r="S363" s="7"/>
      <c r="T363" s="7"/>
    </row>
    <row r="364" spans="1:20" hidden="1" x14ac:dyDescent="0.3">
      <c r="A364" s="7"/>
      <c r="K364" s="130"/>
      <c r="L364" s="493"/>
      <c r="M364" s="493"/>
      <c r="N364" s="22"/>
      <c r="O364" s="7"/>
      <c r="P364" s="7"/>
      <c r="Q364" s="7"/>
      <c r="R364" s="7"/>
      <c r="S364" s="7"/>
      <c r="T364" s="7"/>
    </row>
    <row r="365" spans="1:20" hidden="1" x14ac:dyDescent="0.3">
      <c r="A365" s="7"/>
      <c r="C365" s="12" t="s">
        <v>968</v>
      </c>
      <c r="D365" s="227"/>
      <c r="E365" s="227"/>
      <c r="F365" s="298">
        <f>H368</f>
        <v>0.6</v>
      </c>
      <c r="G365" s="227" t="s">
        <v>971</v>
      </c>
      <c r="K365" s="130"/>
      <c r="L365" s="493"/>
      <c r="M365" s="493"/>
      <c r="N365" s="22"/>
      <c r="O365" s="7"/>
      <c r="P365" s="7"/>
      <c r="Q365" s="7"/>
      <c r="R365" s="7"/>
      <c r="S365" s="7"/>
      <c r="T365" s="7"/>
    </row>
    <row r="366" spans="1:20" hidden="1" x14ac:dyDescent="0.3">
      <c r="A366" s="7"/>
      <c r="C366" s="22"/>
      <c r="D366" s="36"/>
      <c r="E366" s="36"/>
      <c r="F366" s="302"/>
      <c r="G366" s="36"/>
      <c r="K366" s="130"/>
      <c r="L366" s="493"/>
      <c r="M366" s="493"/>
      <c r="N366" s="22"/>
      <c r="O366" s="7"/>
      <c r="P366" s="7"/>
      <c r="Q366" s="7"/>
      <c r="R366" s="7"/>
      <c r="S366" s="7"/>
      <c r="T366" s="7"/>
    </row>
    <row r="367" spans="1:20" ht="27.6" hidden="1" x14ac:dyDescent="0.3">
      <c r="A367" s="7"/>
      <c r="C367" s="14" t="s">
        <v>513</v>
      </c>
      <c r="D367" s="14" t="s">
        <v>969</v>
      </c>
      <c r="E367" s="14" t="s">
        <v>516</v>
      </c>
      <c r="F367" s="14" t="s">
        <v>970</v>
      </c>
      <c r="G367" s="14" t="s">
        <v>930</v>
      </c>
      <c r="H367" s="14" t="s">
        <v>961</v>
      </c>
      <c r="K367" s="130"/>
      <c r="L367" s="493"/>
      <c r="M367" s="493"/>
      <c r="N367" s="22"/>
      <c r="O367" s="7"/>
      <c r="P367" s="7"/>
      <c r="Q367" s="7"/>
      <c r="R367" s="7"/>
      <c r="S367" s="7"/>
      <c r="T367" s="7"/>
    </row>
    <row r="368" spans="1:20" hidden="1" x14ac:dyDescent="0.3">
      <c r="A368" s="7"/>
      <c r="C368" s="27" t="s">
        <v>1090</v>
      </c>
      <c r="D368" s="73">
        <f>АМОРТИЗАЦІЯ!C5</f>
        <v>34445.759999999995</v>
      </c>
      <c r="E368" s="73">
        <v>13679.5</v>
      </c>
      <c r="F368" s="73">
        <f>ROUND((D368/E368)/60,2)</f>
        <v>0.04</v>
      </c>
      <c r="G368" s="73">
        <f>E347+E346</f>
        <v>15</v>
      </c>
      <c r="H368" s="78">
        <f>ROUND(F368*G368,2)</f>
        <v>0.6</v>
      </c>
      <c r="I368" s="38"/>
      <c r="K368" s="130"/>
      <c r="L368" s="493"/>
      <c r="M368" s="493"/>
      <c r="N368" s="22"/>
      <c r="O368" s="7"/>
      <c r="P368" s="7"/>
      <c r="Q368" s="7"/>
      <c r="R368" s="7"/>
      <c r="S368" s="7"/>
      <c r="T368" s="7"/>
    </row>
    <row r="369" spans="1:20" hidden="1" x14ac:dyDescent="0.3">
      <c r="A369" s="7"/>
      <c r="K369" s="130"/>
      <c r="L369" s="493"/>
      <c r="M369" s="493"/>
      <c r="N369" s="22"/>
      <c r="O369" s="7"/>
      <c r="P369" s="7"/>
      <c r="Q369" s="7"/>
      <c r="R369" s="7"/>
      <c r="S369" s="7"/>
      <c r="T369" s="7"/>
    </row>
    <row r="370" spans="1:20" hidden="1" x14ac:dyDescent="0.3">
      <c r="A370" s="7"/>
      <c r="C370" s="12" t="s">
        <v>948</v>
      </c>
      <c r="D370" s="227"/>
      <c r="E370" s="227"/>
      <c r="F370" s="298">
        <f>H383</f>
        <v>1.9500000000000002</v>
      </c>
      <c r="G370" s="227" t="s">
        <v>971</v>
      </c>
      <c r="K370" s="130"/>
      <c r="L370" s="493"/>
      <c r="M370" s="493"/>
      <c r="N370" s="22"/>
      <c r="O370" s="7"/>
      <c r="P370" s="7"/>
      <c r="Q370" s="7"/>
      <c r="R370" s="7"/>
      <c r="S370" s="7"/>
      <c r="T370" s="7"/>
    </row>
    <row r="371" spans="1:20" hidden="1" x14ac:dyDescent="0.3">
      <c r="A371" s="7"/>
      <c r="C371" s="22"/>
      <c r="D371" s="36"/>
      <c r="E371" s="36"/>
      <c r="F371" s="302"/>
      <c r="K371" s="130"/>
      <c r="L371" s="493"/>
      <c r="M371" s="493"/>
      <c r="N371" s="22"/>
      <c r="O371" s="7"/>
      <c r="P371" s="7"/>
      <c r="Q371" s="7"/>
      <c r="R371" s="7"/>
      <c r="S371" s="7"/>
      <c r="T371" s="7"/>
    </row>
    <row r="372" spans="1:20" ht="27.6" hidden="1" x14ac:dyDescent="0.3">
      <c r="A372" s="7"/>
      <c r="C372" s="14" t="s">
        <v>948</v>
      </c>
      <c r="D372" s="14" t="s">
        <v>1110</v>
      </c>
      <c r="E372" s="14" t="s">
        <v>516</v>
      </c>
      <c r="F372" s="14" t="s">
        <v>954</v>
      </c>
      <c r="G372" s="14" t="s">
        <v>930</v>
      </c>
      <c r="H372" s="14" t="s">
        <v>1111</v>
      </c>
      <c r="K372" s="130"/>
      <c r="L372" s="493"/>
      <c r="M372" s="493"/>
      <c r="N372" s="22"/>
      <c r="O372" s="7"/>
      <c r="P372" s="7"/>
      <c r="Q372" s="7"/>
      <c r="R372" s="7"/>
      <c r="S372" s="7"/>
      <c r="T372" s="7"/>
    </row>
    <row r="373" spans="1:20" hidden="1" x14ac:dyDescent="0.3">
      <c r="A373" s="7"/>
      <c r="C373" s="1009" t="str">
        <f>C342</f>
        <v>Лікар-лаборант</v>
      </c>
      <c r="D373" s="1010"/>
      <c r="E373" s="1010"/>
      <c r="F373" s="1010"/>
      <c r="G373" s="1010"/>
      <c r="H373" s="1011"/>
      <c r="K373" s="130"/>
      <c r="L373" s="493"/>
      <c r="M373" s="493"/>
      <c r="N373" s="22"/>
      <c r="O373" s="7"/>
      <c r="P373" s="7"/>
      <c r="Q373" s="7"/>
      <c r="R373" s="7"/>
      <c r="S373" s="7"/>
      <c r="T373" s="7"/>
    </row>
    <row r="374" spans="1:20" hidden="1" x14ac:dyDescent="0.3">
      <c r="A374" s="7"/>
      <c r="C374" s="17" t="s">
        <v>951</v>
      </c>
      <c r="D374" s="221">
        <f>D319</f>
        <v>12188.608008565312</v>
      </c>
      <c r="E374" s="73">
        <f>I342</f>
        <v>1807.2</v>
      </c>
      <c r="F374" s="73">
        <f>ROUND((D374/E374)/60,2)</f>
        <v>0.11</v>
      </c>
      <c r="G374" s="73">
        <f>E346</f>
        <v>10</v>
      </c>
      <c r="H374" s="78">
        <f>ROUND(F374*G374,2)</f>
        <v>1.1000000000000001</v>
      </c>
      <c r="K374" s="130"/>
      <c r="L374" s="493"/>
      <c r="M374" s="493"/>
      <c r="N374" s="22"/>
      <c r="O374" s="7"/>
      <c r="P374" s="7"/>
      <c r="Q374" s="7"/>
      <c r="R374" s="7"/>
      <c r="S374" s="7"/>
      <c r="T374" s="7"/>
    </row>
    <row r="375" spans="1:20" hidden="1" x14ac:dyDescent="0.3">
      <c r="A375" s="7"/>
      <c r="C375" s="17" t="s">
        <v>952</v>
      </c>
      <c r="D375" s="221">
        <f>D320</f>
        <v>53.149721627408987</v>
      </c>
      <c r="E375" s="73">
        <f>I342</f>
        <v>1807.2</v>
      </c>
      <c r="F375" s="73">
        <f>ROUND((D375/E375)/60,2)</f>
        <v>0</v>
      </c>
      <c r="G375" s="73">
        <f>E346</f>
        <v>10</v>
      </c>
      <c r="H375" s="78">
        <f>ROUND(F375*G375,2)</f>
        <v>0</v>
      </c>
      <c r="K375" s="130"/>
      <c r="L375" s="493"/>
      <c r="M375" s="493"/>
      <c r="N375" s="22"/>
      <c r="O375" s="7"/>
      <c r="P375" s="7"/>
      <c r="Q375" s="7"/>
      <c r="R375" s="7"/>
      <c r="S375" s="7"/>
      <c r="T375" s="7"/>
    </row>
    <row r="376" spans="1:20" hidden="1" x14ac:dyDescent="0.3">
      <c r="A376" s="7"/>
      <c r="C376" s="17" t="s">
        <v>953</v>
      </c>
      <c r="D376" s="221">
        <f>D321</f>
        <v>374.98368308351178</v>
      </c>
      <c r="E376" s="73">
        <f>I342</f>
        <v>1807.2</v>
      </c>
      <c r="F376" s="73">
        <f>ROUND((D376/E376)/60,2)</f>
        <v>0</v>
      </c>
      <c r="G376" s="73">
        <f>E346</f>
        <v>10</v>
      </c>
      <c r="H376" s="78">
        <f>ROUND(F376*G376,2)</f>
        <v>0</v>
      </c>
      <c r="K376" s="130"/>
      <c r="L376" s="493"/>
      <c r="M376" s="493"/>
      <c r="N376" s="22"/>
      <c r="O376" s="7"/>
      <c r="P376" s="7"/>
      <c r="Q376" s="7"/>
      <c r="R376" s="7"/>
      <c r="S376" s="7"/>
      <c r="T376" s="7"/>
    </row>
    <row r="377" spans="1:20" hidden="1" x14ac:dyDescent="0.3">
      <c r="A377" s="7"/>
      <c r="C377" s="17" t="s">
        <v>1109</v>
      </c>
      <c r="D377" s="221">
        <f>D322</f>
        <v>1686.0389293361886</v>
      </c>
      <c r="E377" s="73">
        <f>I342</f>
        <v>1807.2</v>
      </c>
      <c r="F377" s="73">
        <f>ROUND((D377/E377)/60,2)</f>
        <v>0.02</v>
      </c>
      <c r="G377" s="73">
        <f>E346</f>
        <v>10</v>
      </c>
      <c r="H377" s="78">
        <f>ROUND(F377*G377,2)</f>
        <v>0.2</v>
      </c>
      <c r="K377" s="130"/>
      <c r="L377" s="493"/>
      <c r="M377" s="493"/>
      <c r="N377" s="22"/>
      <c r="O377" s="7"/>
      <c r="P377" s="7"/>
      <c r="Q377" s="7"/>
      <c r="R377" s="7"/>
      <c r="S377" s="7"/>
      <c r="T377" s="7"/>
    </row>
    <row r="378" spans="1:20" hidden="1" x14ac:dyDescent="0.3">
      <c r="A378" s="7"/>
      <c r="C378" s="1009" t="str">
        <f>C343</f>
        <v>Лаборант клінічної лабораторії</v>
      </c>
      <c r="D378" s="1010"/>
      <c r="E378" s="1010"/>
      <c r="F378" s="1010"/>
      <c r="G378" s="1010"/>
      <c r="H378" s="1011"/>
      <c r="K378" s="130"/>
      <c r="L378" s="493"/>
      <c r="M378" s="493"/>
      <c r="N378" s="22"/>
      <c r="O378" s="7"/>
      <c r="P378" s="7"/>
      <c r="Q378" s="7"/>
      <c r="R378" s="7"/>
      <c r="S378" s="7"/>
      <c r="T378" s="7"/>
    </row>
    <row r="379" spans="1:20" hidden="1" x14ac:dyDescent="0.3">
      <c r="A379" s="7"/>
      <c r="C379" s="17" t="s">
        <v>951</v>
      </c>
      <c r="D379" s="221">
        <f>D374</f>
        <v>12188.608008565312</v>
      </c>
      <c r="E379" s="73">
        <f>I343</f>
        <v>1807.2</v>
      </c>
      <c r="F379" s="73">
        <f>ROUND((D379/E379)/60,2)</f>
        <v>0.11</v>
      </c>
      <c r="G379" s="73">
        <f>E347</f>
        <v>5</v>
      </c>
      <c r="H379" s="78">
        <f>ROUND(F379*G379,2)</f>
        <v>0.55000000000000004</v>
      </c>
      <c r="K379" s="130"/>
      <c r="L379" s="493"/>
      <c r="M379" s="493"/>
      <c r="N379" s="22"/>
      <c r="O379" s="7"/>
      <c r="P379" s="7"/>
      <c r="Q379" s="7"/>
      <c r="R379" s="7"/>
      <c r="S379" s="7"/>
      <c r="T379" s="7"/>
    </row>
    <row r="380" spans="1:20" hidden="1" x14ac:dyDescent="0.3">
      <c r="A380" s="7"/>
      <c r="C380" s="17" t="s">
        <v>952</v>
      </c>
      <c r="D380" s="221">
        <f>D375</f>
        <v>53.149721627408987</v>
      </c>
      <c r="E380" s="73">
        <f>I343</f>
        <v>1807.2</v>
      </c>
      <c r="F380" s="73">
        <f>ROUND((D380/E380)/60,2)</f>
        <v>0</v>
      </c>
      <c r="G380" s="73">
        <f>E347</f>
        <v>5</v>
      </c>
      <c r="H380" s="78">
        <f>ROUND(F380*G380,2)</f>
        <v>0</v>
      </c>
      <c r="K380" s="130"/>
      <c r="L380" s="493"/>
      <c r="M380" s="493"/>
      <c r="N380" s="22"/>
      <c r="O380" s="7"/>
      <c r="P380" s="7"/>
      <c r="Q380" s="7"/>
      <c r="R380" s="7"/>
      <c r="S380" s="7"/>
      <c r="T380" s="7"/>
    </row>
    <row r="381" spans="1:20" hidden="1" x14ac:dyDescent="0.3">
      <c r="A381" s="7"/>
      <c r="C381" s="17" t="s">
        <v>953</v>
      </c>
      <c r="D381" s="221">
        <f>D376</f>
        <v>374.98368308351178</v>
      </c>
      <c r="E381" s="73">
        <f>I343</f>
        <v>1807.2</v>
      </c>
      <c r="F381" s="73">
        <f>ROUND((D381/E381)/60,2)</f>
        <v>0</v>
      </c>
      <c r="G381" s="73">
        <f>E347</f>
        <v>5</v>
      </c>
      <c r="H381" s="78">
        <f>ROUND(F381*G381,2)</f>
        <v>0</v>
      </c>
      <c r="K381" s="130"/>
      <c r="L381" s="493"/>
      <c r="M381" s="493"/>
      <c r="N381" s="22"/>
      <c r="O381" s="7"/>
      <c r="P381" s="7"/>
      <c r="Q381" s="7"/>
      <c r="R381" s="7"/>
      <c r="S381" s="7"/>
      <c r="T381" s="7"/>
    </row>
    <row r="382" spans="1:20" hidden="1" x14ac:dyDescent="0.3">
      <c r="A382" s="7"/>
      <c r="C382" s="17" t="s">
        <v>1109</v>
      </c>
      <c r="D382" s="221">
        <f>D377</f>
        <v>1686.0389293361886</v>
      </c>
      <c r="E382" s="73">
        <f>I343</f>
        <v>1807.2</v>
      </c>
      <c r="F382" s="73">
        <f>ROUND((D382/E382)/60,2)</f>
        <v>0.02</v>
      </c>
      <c r="G382" s="73">
        <f>E347</f>
        <v>5</v>
      </c>
      <c r="H382" s="78">
        <f>ROUND(F382*G382,2)</f>
        <v>0.1</v>
      </c>
      <c r="K382" s="130"/>
      <c r="L382" s="493"/>
      <c r="M382" s="493"/>
      <c r="N382" s="22"/>
      <c r="O382" s="7"/>
      <c r="P382" s="7"/>
      <c r="Q382" s="7"/>
      <c r="R382" s="7"/>
      <c r="S382" s="7"/>
      <c r="T382" s="7"/>
    </row>
    <row r="383" spans="1:20" hidden="1" x14ac:dyDescent="0.3">
      <c r="A383" s="7"/>
      <c r="C383" s="1012" t="s">
        <v>957</v>
      </c>
      <c r="D383" s="1013"/>
      <c r="E383" s="1013"/>
      <c r="F383" s="1013"/>
      <c r="G383" s="1014"/>
      <c r="H383" s="299">
        <f>SUM(H374:H382)</f>
        <v>1.9500000000000002</v>
      </c>
      <c r="K383" s="130"/>
      <c r="L383" s="493"/>
      <c r="M383" s="493"/>
      <c r="N383" s="22"/>
      <c r="O383" s="7"/>
      <c r="P383" s="7"/>
      <c r="Q383" s="7"/>
      <c r="R383" s="7"/>
      <c r="S383" s="7"/>
      <c r="T383" s="7"/>
    </row>
    <row r="384" spans="1:20" hidden="1" x14ac:dyDescent="0.3">
      <c r="A384" s="7"/>
      <c r="K384" s="130"/>
      <c r="L384" s="493"/>
      <c r="M384" s="493"/>
      <c r="N384" s="22"/>
      <c r="O384" s="7"/>
      <c r="P384" s="7"/>
      <c r="Q384" s="7"/>
      <c r="R384" s="7"/>
      <c r="S384" s="7"/>
      <c r="T384" s="7"/>
    </row>
    <row r="385" spans="1:20" hidden="1" x14ac:dyDescent="0.3">
      <c r="A385" s="7"/>
      <c r="C385" s="1015" t="s">
        <v>959</v>
      </c>
      <c r="D385" s="1015"/>
      <c r="E385" s="1015"/>
      <c r="F385" s="1015"/>
      <c r="G385" s="1015"/>
      <c r="H385" s="334">
        <f>F339+F351+F370+F365</f>
        <v>29.830000000000002</v>
      </c>
      <c r="K385" s="130"/>
      <c r="L385" s="493"/>
      <c r="M385" s="493"/>
      <c r="N385" s="22"/>
      <c r="O385" s="7"/>
      <c r="P385" s="7"/>
      <c r="Q385" s="7"/>
      <c r="R385" s="7"/>
      <c r="S385" s="7"/>
      <c r="T385" s="7"/>
    </row>
    <row r="386" spans="1:20" hidden="1" x14ac:dyDescent="0.3">
      <c r="A386" s="7"/>
      <c r="C386" s="33"/>
      <c r="D386" s="33"/>
      <c r="E386" s="33"/>
      <c r="F386" s="33"/>
      <c r="G386" s="33"/>
      <c r="H386" s="335"/>
      <c r="K386" s="130"/>
      <c r="L386" s="493"/>
      <c r="M386" s="493"/>
      <c r="N386" s="22"/>
      <c r="O386" s="7"/>
      <c r="P386" s="7"/>
      <c r="Q386" s="7"/>
      <c r="R386" s="7"/>
      <c r="S386" s="7"/>
      <c r="T386" s="7"/>
    </row>
    <row r="387" spans="1:20" hidden="1" x14ac:dyDescent="0.3">
      <c r="A387" s="7"/>
      <c r="C387" s="1015" t="s">
        <v>960</v>
      </c>
      <c r="D387" s="1015"/>
      <c r="E387" s="1015"/>
      <c r="F387" s="1015"/>
      <c r="G387" s="1015"/>
      <c r="H387" s="334">
        <f>ROUND(H385,0)</f>
        <v>30</v>
      </c>
      <c r="K387" s="130"/>
      <c r="L387" s="493"/>
      <c r="M387" s="493"/>
      <c r="N387" s="22"/>
      <c r="O387" s="7"/>
      <c r="P387" s="7"/>
      <c r="Q387" s="7"/>
      <c r="R387" s="7"/>
      <c r="S387" s="7"/>
      <c r="T387" s="7"/>
    </row>
    <row r="388" spans="1:20" hidden="1" x14ac:dyDescent="0.3">
      <c r="A388" s="7"/>
      <c r="K388" s="130"/>
      <c r="L388" s="493"/>
      <c r="M388" s="493"/>
      <c r="N388" s="22"/>
      <c r="O388" s="7"/>
      <c r="P388" s="7"/>
      <c r="Q388" s="7"/>
      <c r="R388" s="7"/>
      <c r="S388" s="7"/>
      <c r="T388" s="7"/>
    </row>
    <row r="389" spans="1:20" s="54" customFormat="1" ht="19.8" hidden="1" x14ac:dyDescent="0.4">
      <c r="A389" s="53"/>
      <c r="B389" s="1016" t="s">
        <v>958</v>
      </c>
      <c r="C389" s="1016"/>
      <c r="D389" s="1016"/>
      <c r="E389" s="1016"/>
      <c r="F389" s="1016"/>
      <c r="G389" s="1016"/>
      <c r="H389" s="1016"/>
      <c r="I389" s="1016"/>
      <c r="J389" s="1016"/>
      <c r="K389" s="137"/>
      <c r="L389" s="493"/>
      <c r="M389" s="493"/>
      <c r="N389" s="70"/>
      <c r="O389" s="53"/>
      <c r="P389" s="53"/>
      <c r="Q389" s="53"/>
      <c r="R389" s="53"/>
      <c r="S389" s="53"/>
      <c r="T389" s="53"/>
    </row>
    <row r="390" spans="1:20" s="54" customFormat="1" ht="4.5" hidden="1" customHeight="1" x14ac:dyDescent="0.4">
      <c r="A390" s="53"/>
      <c r="B390" s="53"/>
      <c r="C390" s="53"/>
      <c r="D390" s="225"/>
      <c r="E390" s="225"/>
      <c r="F390" s="225"/>
      <c r="G390" s="225"/>
      <c r="H390" s="225"/>
      <c r="I390" s="53"/>
      <c r="J390" s="53"/>
      <c r="K390" s="132"/>
      <c r="L390" s="493"/>
      <c r="M390" s="493"/>
      <c r="N390" s="70"/>
      <c r="O390" s="53"/>
      <c r="P390" s="53"/>
      <c r="Q390" s="53"/>
      <c r="R390" s="53"/>
      <c r="S390" s="53"/>
      <c r="T390" s="53"/>
    </row>
    <row r="391" spans="1:20" s="54" customFormat="1" ht="35.25" hidden="1" customHeight="1" x14ac:dyDescent="0.4">
      <c r="A391" s="53"/>
      <c r="B391" s="50" t="s">
        <v>181</v>
      </c>
      <c r="C391" s="1017" t="str">
        <f>M15</f>
        <v>Обстеження на загальний білок</v>
      </c>
      <c r="D391" s="1017"/>
      <c r="E391" s="1017"/>
      <c r="F391" s="296">
        <f>H442</f>
        <v>46</v>
      </c>
      <c r="G391" s="296" t="s">
        <v>971</v>
      </c>
      <c r="H391" s="225"/>
      <c r="I391" s="53"/>
      <c r="J391" s="53"/>
      <c r="K391" s="132"/>
      <c r="L391" s="493"/>
      <c r="M391" s="493"/>
      <c r="N391" s="70"/>
      <c r="O391" s="53"/>
      <c r="P391" s="53"/>
      <c r="Q391" s="53"/>
      <c r="R391" s="53"/>
      <c r="S391" s="53"/>
      <c r="T391" s="53"/>
    </row>
    <row r="392" spans="1:20" hidden="1" x14ac:dyDescent="0.3">
      <c r="A392" s="7"/>
      <c r="K392" s="130"/>
      <c r="L392" s="493"/>
      <c r="M392" s="493"/>
      <c r="N392" s="22"/>
      <c r="O392" s="7"/>
      <c r="P392" s="7"/>
      <c r="Q392" s="7"/>
      <c r="R392" s="7"/>
      <c r="S392" s="7"/>
      <c r="T392" s="7"/>
    </row>
    <row r="393" spans="1:20" hidden="1" x14ac:dyDescent="0.3">
      <c r="A393" s="7"/>
      <c r="C393" s="1018" t="s">
        <v>932</v>
      </c>
      <c r="D393" s="1018"/>
      <c r="E393" s="297"/>
      <c r="F393" s="298">
        <f>F400+F403+F401</f>
        <v>35.44</v>
      </c>
      <c r="G393" s="227" t="s">
        <v>971</v>
      </c>
      <c r="K393" s="130"/>
      <c r="L393" s="493"/>
      <c r="M393" s="493"/>
      <c r="N393" s="22"/>
      <c r="O393" s="7"/>
      <c r="P393" s="7"/>
      <c r="Q393" s="7"/>
      <c r="R393" s="7"/>
      <c r="S393" s="7"/>
      <c r="T393" s="7"/>
    </row>
    <row r="394" spans="1:20" hidden="1" x14ac:dyDescent="0.3">
      <c r="A394" s="7"/>
      <c r="K394" s="130"/>
      <c r="L394" s="493"/>
      <c r="M394" s="493"/>
      <c r="N394" s="22"/>
      <c r="O394" s="7"/>
      <c r="P394" s="7"/>
      <c r="Q394" s="7"/>
      <c r="R394" s="7"/>
      <c r="S394" s="7"/>
      <c r="T394" s="7"/>
    </row>
    <row r="395" spans="1:20" ht="27.6" hidden="1" x14ac:dyDescent="0.3">
      <c r="A395" s="7"/>
      <c r="C395" s="13" t="s">
        <v>929</v>
      </c>
      <c r="D395" s="14" t="s">
        <v>928</v>
      </c>
      <c r="E395" s="14" t="s">
        <v>514</v>
      </c>
      <c r="F395" s="14" t="s">
        <v>515</v>
      </c>
      <c r="G395" s="14" t="s">
        <v>962</v>
      </c>
      <c r="H395" s="14" t="s">
        <v>926</v>
      </c>
      <c r="I395" s="14" t="s">
        <v>516</v>
      </c>
      <c r="J395" s="14" t="s">
        <v>961</v>
      </c>
      <c r="K395" s="138"/>
      <c r="L395" s="493"/>
      <c r="M395" s="493"/>
      <c r="N395" s="22"/>
      <c r="O395" s="7"/>
      <c r="P395" s="7"/>
      <c r="Q395" s="7"/>
      <c r="R395" s="7"/>
      <c r="S395" s="7"/>
      <c r="T395" s="7"/>
    </row>
    <row r="396" spans="1:20" hidden="1" x14ac:dyDescent="0.3">
      <c r="A396" s="7"/>
      <c r="C396" s="17" t="str">
        <f>C342</f>
        <v>Лікар-лаборант</v>
      </c>
      <c r="D396" s="73">
        <f>D342</f>
        <v>10799.43</v>
      </c>
      <c r="E396" s="78">
        <f>D396*12</f>
        <v>129593.16</v>
      </c>
      <c r="F396" s="73">
        <f>F342</f>
        <v>8307.26</v>
      </c>
      <c r="G396" s="73">
        <f>G342</f>
        <v>4153.63</v>
      </c>
      <c r="H396" s="78">
        <f>E396+F396+G396</f>
        <v>142054.05000000002</v>
      </c>
      <c r="I396" s="17">
        <v>1807.2</v>
      </c>
      <c r="J396" s="16">
        <f>ROUND((H396/I396)/60,2)</f>
        <v>1.31</v>
      </c>
      <c r="K396" s="140"/>
      <c r="L396" s="493"/>
      <c r="M396" s="493"/>
      <c r="N396" s="22"/>
      <c r="O396" s="7"/>
      <c r="P396" s="7"/>
      <c r="Q396" s="7"/>
      <c r="R396" s="7"/>
      <c r="S396" s="7"/>
      <c r="T396" s="7"/>
    </row>
    <row r="397" spans="1:20" hidden="1" x14ac:dyDescent="0.3">
      <c r="A397" s="7"/>
      <c r="C397" s="17" t="str">
        <f>C343</f>
        <v>Лаборант клінічної лабораторії</v>
      </c>
      <c r="D397" s="73">
        <f>D343</f>
        <v>7871.18</v>
      </c>
      <c r="E397" s="78">
        <f>D397*12</f>
        <v>94454.16</v>
      </c>
      <c r="F397" s="73">
        <f>F343</f>
        <v>6054.75</v>
      </c>
      <c r="G397" s="73">
        <f>G343</f>
        <v>3027.375</v>
      </c>
      <c r="H397" s="78">
        <f>E397+F397+G397</f>
        <v>103536.285</v>
      </c>
      <c r="I397" s="17">
        <v>1807.2</v>
      </c>
      <c r="J397" s="16">
        <f>ROUND((H397/I397)/60,2)</f>
        <v>0.95</v>
      </c>
      <c r="K397" s="140"/>
      <c r="L397" s="493"/>
      <c r="M397" s="493"/>
      <c r="N397" s="22"/>
      <c r="O397" s="7"/>
      <c r="P397" s="7"/>
      <c r="Q397" s="7"/>
      <c r="R397" s="7"/>
      <c r="S397" s="7"/>
      <c r="T397" s="7"/>
    </row>
    <row r="398" spans="1:20" hidden="1" x14ac:dyDescent="0.3">
      <c r="A398" s="7"/>
      <c r="K398" s="130"/>
      <c r="L398" s="493"/>
      <c r="M398" s="493"/>
      <c r="N398" s="22"/>
      <c r="O398" s="7"/>
      <c r="P398" s="7"/>
      <c r="Q398" s="7"/>
      <c r="R398" s="7"/>
      <c r="S398" s="7"/>
      <c r="T398" s="7"/>
    </row>
    <row r="399" spans="1:20" hidden="1" x14ac:dyDescent="0.3">
      <c r="A399" s="7"/>
      <c r="C399" s="13" t="s">
        <v>929</v>
      </c>
      <c r="D399" s="14" t="s">
        <v>961</v>
      </c>
      <c r="E399" s="14" t="s">
        <v>930</v>
      </c>
      <c r="F399" s="14" t="s">
        <v>931</v>
      </c>
      <c r="K399" s="130"/>
      <c r="L399" s="493"/>
      <c r="M399" s="493"/>
      <c r="N399" s="22"/>
      <c r="O399" s="7"/>
      <c r="P399" s="7"/>
      <c r="Q399" s="7"/>
      <c r="R399" s="7"/>
      <c r="S399" s="7"/>
      <c r="T399" s="7"/>
    </row>
    <row r="400" spans="1:20" hidden="1" x14ac:dyDescent="0.3">
      <c r="A400" s="7"/>
      <c r="C400" s="15" t="str">
        <f>C396</f>
        <v>Лікар-лаборант</v>
      </c>
      <c r="D400" s="78">
        <f>J396</f>
        <v>1.31</v>
      </c>
      <c r="E400" s="73">
        <v>20</v>
      </c>
      <c r="F400" s="299">
        <f>ROUND(D400*E400,2)</f>
        <v>26.2</v>
      </c>
      <c r="K400" s="130"/>
      <c r="L400" s="493"/>
      <c r="M400" s="493"/>
      <c r="N400" s="22"/>
      <c r="O400" s="7"/>
      <c r="P400" s="7"/>
      <c r="Q400" s="7"/>
      <c r="R400" s="7"/>
      <c r="S400" s="7"/>
      <c r="T400" s="7"/>
    </row>
    <row r="401" spans="1:20" hidden="1" x14ac:dyDescent="0.3">
      <c r="A401" s="7"/>
      <c r="C401" s="15" t="str">
        <f>C397</f>
        <v>Лаборант клінічної лабораторії</v>
      </c>
      <c r="D401" s="78">
        <f>J397</f>
        <v>0.95</v>
      </c>
      <c r="E401" s="73">
        <v>3</v>
      </c>
      <c r="F401" s="299">
        <f>ROUND(D401*E401,2)</f>
        <v>2.85</v>
      </c>
      <c r="K401" s="130"/>
      <c r="L401" s="493"/>
      <c r="M401" s="493"/>
      <c r="N401" s="22"/>
      <c r="O401" s="7"/>
      <c r="P401" s="7"/>
      <c r="Q401" s="7"/>
      <c r="R401" s="7"/>
      <c r="S401" s="7"/>
      <c r="T401" s="7"/>
    </row>
    <row r="402" spans="1:20" hidden="1" x14ac:dyDescent="0.3">
      <c r="A402" s="7"/>
      <c r="D402" s="19"/>
      <c r="E402" s="74" t="s">
        <v>1016</v>
      </c>
      <c r="K402" s="130"/>
      <c r="L402" s="493"/>
      <c r="M402" s="493"/>
      <c r="N402" s="22"/>
      <c r="O402" s="7"/>
      <c r="P402" s="7"/>
      <c r="Q402" s="7"/>
      <c r="R402" s="7"/>
      <c r="S402" s="7"/>
      <c r="T402" s="7"/>
    </row>
    <row r="403" spans="1:20" hidden="1" x14ac:dyDescent="0.3">
      <c r="A403" s="7"/>
      <c r="C403" s="17" t="s">
        <v>933</v>
      </c>
      <c r="D403" s="78">
        <f>F400+F401</f>
        <v>29.05</v>
      </c>
      <c r="E403" s="300">
        <v>0.22</v>
      </c>
      <c r="F403" s="301">
        <f>ROUND(D403*E403,2)</f>
        <v>6.39</v>
      </c>
      <c r="K403" s="130"/>
      <c r="L403" s="493"/>
      <c r="M403" s="493"/>
      <c r="N403" s="22"/>
      <c r="O403" s="7"/>
      <c r="P403" s="7"/>
      <c r="Q403" s="7"/>
      <c r="R403" s="7"/>
      <c r="S403" s="7"/>
      <c r="T403" s="7"/>
    </row>
    <row r="404" spans="1:20" hidden="1" x14ac:dyDescent="0.3">
      <c r="A404" s="7"/>
      <c r="K404" s="130"/>
      <c r="L404" s="493"/>
      <c r="M404" s="493"/>
      <c r="N404" s="22"/>
      <c r="O404" s="7"/>
      <c r="P404" s="7"/>
      <c r="Q404" s="7"/>
      <c r="R404" s="7"/>
      <c r="S404" s="7"/>
      <c r="T404" s="7"/>
    </row>
    <row r="405" spans="1:20" hidden="1" x14ac:dyDescent="0.3">
      <c r="A405" s="7"/>
      <c r="C405" s="12" t="s">
        <v>946</v>
      </c>
      <c r="D405" s="227"/>
      <c r="E405" s="227"/>
      <c r="F405" s="227">
        <f>G418</f>
        <v>6.91</v>
      </c>
      <c r="G405" s="227" t="s">
        <v>971</v>
      </c>
      <c r="K405" s="130"/>
      <c r="L405" s="493"/>
      <c r="M405" s="493"/>
      <c r="N405" s="22"/>
      <c r="O405" s="7"/>
      <c r="P405" s="7"/>
      <c r="Q405" s="7"/>
      <c r="R405" s="7"/>
      <c r="S405" s="7"/>
      <c r="T405" s="7"/>
    </row>
    <row r="406" spans="1:20" hidden="1" x14ac:dyDescent="0.3">
      <c r="A406" s="7"/>
      <c r="K406" s="130"/>
      <c r="L406" s="493"/>
      <c r="M406" s="493"/>
      <c r="N406" s="22"/>
      <c r="O406" s="7"/>
      <c r="P406" s="7"/>
      <c r="Q406" s="7"/>
      <c r="R406" s="7"/>
      <c r="S406" s="7"/>
      <c r="T406" s="7"/>
    </row>
    <row r="407" spans="1:20" ht="27.6" hidden="1" x14ac:dyDescent="0.3">
      <c r="A407" s="7"/>
      <c r="B407" s="82" t="s">
        <v>991</v>
      </c>
      <c r="C407" s="83" t="s">
        <v>986</v>
      </c>
      <c r="D407" s="83" t="s">
        <v>987</v>
      </c>
      <c r="E407" s="83" t="s">
        <v>988</v>
      </c>
      <c r="F407" s="83" t="s">
        <v>989</v>
      </c>
      <c r="G407" s="82" t="s">
        <v>990</v>
      </c>
      <c r="K407" s="130"/>
      <c r="L407" s="493"/>
      <c r="M407" s="493"/>
      <c r="N407" s="22"/>
      <c r="O407" s="7"/>
      <c r="P407" s="7"/>
      <c r="Q407" s="7"/>
      <c r="R407" s="7"/>
      <c r="S407" s="7"/>
      <c r="T407" s="7"/>
    </row>
    <row r="408" spans="1:20" hidden="1" x14ac:dyDescent="0.3">
      <c r="A408" s="7"/>
      <c r="B408" s="84">
        <v>1</v>
      </c>
      <c r="C408" s="85" t="s">
        <v>196</v>
      </c>
      <c r="D408" s="86" t="s">
        <v>1045</v>
      </c>
      <c r="E408" s="87">
        <f>'МЕДИЧНІ М'!E205</f>
        <v>225</v>
      </c>
      <c r="F408" s="86">
        <v>500</v>
      </c>
      <c r="G408" s="78">
        <f>ROUND(E408/F408,2)</f>
        <v>0.45</v>
      </c>
      <c r="K408" s="130"/>
      <c r="L408" s="493"/>
      <c r="M408" s="493"/>
      <c r="N408" s="22"/>
      <c r="O408" s="7"/>
      <c r="P408" s="7"/>
      <c r="Q408" s="7"/>
      <c r="R408" s="7"/>
      <c r="S408" s="7"/>
      <c r="T408" s="7"/>
    </row>
    <row r="409" spans="1:20" hidden="1" x14ac:dyDescent="0.3">
      <c r="A409" s="7"/>
      <c r="B409" s="84">
        <f>1+B408</f>
        <v>2</v>
      </c>
      <c r="C409" s="79" t="s">
        <v>981</v>
      </c>
      <c r="D409" s="76" t="s">
        <v>941</v>
      </c>
      <c r="E409" s="87">
        <f>'МЕДИЧНІ М'!E209</f>
        <v>0.6</v>
      </c>
      <c r="F409" s="77">
        <v>1</v>
      </c>
      <c r="G409" s="88">
        <f>ROUND(E409*F409,2)</f>
        <v>0.6</v>
      </c>
      <c r="K409" s="130"/>
      <c r="L409" s="493"/>
      <c r="M409" s="493"/>
      <c r="N409" s="22"/>
      <c r="O409" s="7"/>
      <c r="P409" s="7"/>
      <c r="Q409" s="7"/>
      <c r="R409" s="7"/>
      <c r="S409" s="7"/>
      <c r="T409" s="7"/>
    </row>
    <row r="410" spans="1:20" hidden="1" x14ac:dyDescent="0.3">
      <c r="A410" s="7"/>
      <c r="B410" s="84">
        <f t="shared" ref="B410:B417" si="10">1+B409</f>
        <v>3</v>
      </c>
      <c r="C410" s="79" t="s">
        <v>936</v>
      </c>
      <c r="D410" s="76" t="s">
        <v>937</v>
      </c>
      <c r="E410" s="87">
        <f>'МЕДИЧНІ М'!E204</f>
        <v>0.3</v>
      </c>
      <c r="F410" s="77">
        <v>1</v>
      </c>
      <c r="G410" s="88">
        <f>ROUND(E410*F410,2)</f>
        <v>0.3</v>
      </c>
      <c r="K410" s="130"/>
      <c r="L410" s="493"/>
      <c r="M410" s="493"/>
      <c r="N410" s="22"/>
      <c r="O410" s="7"/>
      <c r="P410" s="7"/>
      <c r="Q410" s="7"/>
      <c r="R410" s="7"/>
      <c r="S410" s="7"/>
      <c r="T410" s="7"/>
    </row>
    <row r="411" spans="1:20" hidden="1" x14ac:dyDescent="0.3">
      <c r="A411" s="7"/>
      <c r="B411" s="84">
        <f t="shared" si="10"/>
        <v>4</v>
      </c>
      <c r="C411" s="79" t="s">
        <v>201</v>
      </c>
      <c r="D411" s="76" t="s">
        <v>941</v>
      </c>
      <c r="E411" s="87">
        <f>'МЕДИЧНІ М'!E221</f>
        <v>0.9</v>
      </c>
      <c r="F411" s="77">
        <v>1</v>
      </c>
      <c r="G411" s="88">
        <f>ROUND(E411*F411,2)</f>
        <v>0.9</v>
      </c>
      <c r="K411" s="130"/>
      <c r="L411" s="493"/>
      <c r="M411" s="493"/>
      <c r="N411" s="22"/>
      <c r="O411" s="7"/>
      <c r="P411" s="7"/>
      <c r="Q411" s="7"/>
      <c r="R411" s="7"/>
      <c r="S411" s="7"/>
      <c r="T411" s="7"/>
    </row>
    <row r="412" spans="1:20" hidden="1" x14ac:dyDescent="0.3">
      <c r="A412" s="7"/>
      <c r="B412" s="84">
        <f t="shared" si="10"/>
        <v>5</v>
      </c>
      <c r="C412" s="27" t="s">
        <v>942</v>
      </c>
      <c r="D412" s="78" t="s">
        <v>974</v>
      </c>
      <c r="E412" s="87">
        <f>'МЕДИЧНІ М'!E215</f>
        <v>24.6</v>
      </c>
      <c r="F412" s="77">
        <v>100</v>
      </c>
      <c r="G412" s="78">
        <f>ROUND(E412/F412,2)</f>
        <v>0.25</v>
      </c>
      <c r="K412" s="130"/>
      <c r="L412" s="493"/>
      <c r="M412" s="493"/>
      <c r="N412" s="22"/>
      <c r="O412" s="7"/>
      <c r="P412" s="7"/>
      <c r="Q412" s="7"/>
      <c r="R412" s="7"/>
      <c r="S412" s="7"/>
      <c r="T412" s="7"/>
    </row>
    <row r="413" spans="1:20" hidden="1" x14ac:dyDescent="0.3">
      <c r="A413" s="7"/>
      <c r="B413" s="84">
        <f t="shared" si="10"/>
        <v>6</v>
      </c>
      <c r="C413" s="79" t="s">
        <v>934</v>
      </c>
      <c r="D413" s="76" t="s">
        <v>941</v>
      </c>
      <c r="E413" s="87">
        <f>'МЕДИЧНІ М'!E210</f>
        <v>2.8</v>
      </c>
      <c r="F413" s="86">
        <v>10</v>
      </c>
      <c r="G413" s="88">
        <f>ROUND(E413/F413,2)</f>
        <v>0.28000000000000003</v>
      </c>
      <c r="K413" s="130"/>
      <c r="L413" s="493"/>
      <c r="M413" s="493"/>
      <c r="N413" s="22"/>
      <c r="O413" s="7"/>
      <c r="P413" s="7"/>
      <c r="Q413" s="7"/>
      <c r="R413" s="7"/>
      <c r="S413" s="7"/>
      <c r="T413" s="7"/>
    </row>
    <row r="414" spans="1:20" hidden="1" x14ac:dyDescent="0.3">
      <c r="A414" s="7"/>
      <c r="B414" s="84">
        <f t="shared" si="10"/>
        <v>7</v>
      </c>
      <c r="C414" s="27" t="s">
        <v>200</v>
      </c>
      <c r="D414" s="76" t="s">
        <v>944</v>
      </c>
      <c r="E414" s="87">
        <f>'МЕДИЧНІ М'!E198</f>
        <v>6.72</v>
      </c>
      <c r="F414" s="86">
        <v>100</v>
      </c>
      <c r="G414" s="88">
        <f>ROUND(E414/F414,2)</f>
        <v>7.0000000000000007E-2</v>
      </c>
      <c r="K414" s="130"/>
      <c r="L414" s="493"/>
      <c r="M414" s="493"/>
      <c r="N414" s="22"/>
      <c r="O414" s="7"/>
      <c r="P414" s="7"/>
      <c r="Q414" s="7"/>
      <c r="R414" s="7"/>
      <c r="S414" s="7"/>
      <c r="T414" s="7"/>
    </row>
    <row r="415" spans="1:20" hidden="1" x14ac:dyDescent="0.3">
      <c r="A415" s="7"/>
      <c r="B415" s="84">
        <f t="shared" si="10"/>
        <v>8</v>
      </c>
      <c r="C415" s="79" t="s">
        <v>982</v>
      </c>
      <c r="D415" s="76" t="s">
        <v>941</v>
      </c>
      <c r="E415" s="87">
        <f>'МЕДИЧНІ М'!E208</f>
        <v>11</v>
      </c>
      <c r="F415" s="77">
        <v>100</v>
      </c>
      <c r="G415" s="88">
        <f>ROUND(E415/F415,2)</f>
        <v>0.11</v>
      </c>
      <c r="K415" s="130"/>
      <c r="L415" s="493"/>
      <c r="M415" s="493"/>
      <c r="N415" s="22"/>
      <c r="O415" s="7"/>
      <c r="P415" s="7"/>
      <c r="Q415" s="7"/>
      <c r="R415" s="7"/>
      <c r="S415" s="7"/>
      <c r="T415" s="7"/>
    </row>
    <row r="416" spans="1:20" hidden="1" x14ac:dyDescent="0.3">
      <c r="A416" s="7"/>
      <c r="B416" s="84">
        <f t="shared" si="10"/>
        <v>9</v>
      </c>
      <c r="C416" s="27" t="s">
        <v>940</v>
      </c>
      <c r="D416" s="28" t="s">
        <v>941</v>
      </c>
      <c r="E416" s="87">
        <f>'МЕДИЧНІ М'!E202</f>
        <v>2</v>
      </c>
      <c r="F416" s="28">
        <v>1.85</v>
      </c>
      <c r="G416" s="28">
        <f>ROUND(E416*F416,2)</f>
        <v>3.7</v>
      </c>
      <c r="K416" s="130"/>
      <c r="L416" s="493"/>
      <c r="M416" s="493"/>
      <c r="N416" s="22"/>
      <c r="O416" s="7"/>
      <c r="P416" s="7"/>
      <c r="Q416" s="7"/>
      <c r="R416" s="7"/>
      <c r="S416" s="7"/>
      <c r="T416" s="7"/>
    </row>
    <row r="417" spans="1:20" hidden="1" x14ac:dyDescent="0.3">
      <c r="A417" s="7"/>
      <c r="B417" s="84">
        <f t="shared" si="10"/>
        <v>10</v>
      </c>
      <c r="C417" s="27" t="s">
        <v>1124</v>
      </c>
      <c r="D417" s="28" t="s">
        <v>944</v>
      </c>
      <c r="E417" s="87">
        <f>'МЕДИЧНІ М'!E200</f>
        <v>0.5</v>
      </c>
      <c r="F417" s="81">
        <v>0.5</v>
      </c>
      <c r="G417" s="28">
        <f>ROUND(E417*F417,2)</f>
        <v>0.25</v>
      </c>
      <c r="K417" s="130"/>
      <c r="L417" s="493"/>
      <c r="M417" s="493"/>
      <c r="N417" s="22"/>
      <c r="O417" s="7"/>
      <c r="P417" s="7"/>
      <c r="Q417" s="7"/>
      <c r="R417" s="7"/>
      <c r="S417" s="7"/>
      <c r="T417" s="7"/>
    </row>
    <row r="418" spans="1:20" hidden="1" x14ac:dyDescent="0.3">
      <c r="A418" s="7"/>
      <c r="B418" s="1012" t="s">
        <v>945</v>
      </c>
      <c r="C418" s="1013"/>
      <c r="D418" s="1013"/>
      <c r="E418" s="1013"/>
      <c r="F418" s="1014"/>
      <c r="G418" s="572">
        <f>SUM(G408:G417)</f>
        <v>6.91</v>
      </c>
      <c r="K418" s="130"/>
      <c r="L418" s="493"/>
      <c r="M418" s="493"/>
      <c r="N418" s="22"/>
      <c r="O418" s="7"/>
      <c r="P418" s="7"/>
      <c r="Q418" s="7"/>
      <c r="R418" s="7"/>
      <c r="S418" s="7"/>
      <c r="T418" s="7"/>
    </row>
    <row r="419" spans="1:20" hidden="1" x14ac:dyDescent="0.3">
      <c r="A419" s="7"/>
      <c r="K419" s="130"/>
      <c r="L419" s="493"/>
      <c r="M419" s="493"/>
      <c r="N419" s="22"/>
      <c r="O419" s="7"/>
      <c r="P419" s="7"/>
      <c r="Q419" s="7"/>
      <c r="R419" s="7"/>
      <c r="S419" s="7"/>
      <c r="T419" s="7"/>
    </row>
    <row r="420" spans="1:20" hidden="1" x14ac:dyDescent="0.3">
      <c r="A420" s="7"/>
      <c r="C420" s="12" t="s">
        <v>968</v>
      </c>
      <c r="D420" s="227"/>
      <c r="E420" s="227"/>
      <c r="F420" s="298">
        <f>H423</f>
        <v>0.92</v>
      </c>
      <c r="G420" s="227" t="s">
        <v>971</v>
      </c>
      <c r="K420" s="130"/>
      <c r="L420" s="493"/>
      <c r="M420" s="493"/>
      <c r="N420" s="22"/>
      <c r="O420" s="7"/>
      <c r="P420" s="7"/>
      <c r="Q420" s="7"/>
      <c r="R420" s="7"/>
      <c r="S420" s="7"/>
      <c r="T420" s="7"/>
    </row>
    <row r="421" spans="1:20" ht="4.5" hidden="1" customHeight="1" x14ac:dyDescent="0.3">
      <c r="A421" s="7"/>
      <c r="C421" s="22"/>
      <c r="D421" s="36"/>
      <c r="E421" s="36"/>
      <c r="F421" s="302"/>
      <c r="G421" s="36"/>
      <c r="K421" s="130"/>
      <c r="L421" s="493"/>
      <c r="M421" s="493"/>
      <c r="N421" s="22"/>
      <c r="O421" s="7"/>
      <c r="P421" s="7"/>
      <c r="Q421" s="7"/>
      <c r="R421" s="7"/>
      <c r="S421" s="7"/>
      <c r="T421" s="7"/>
    </row>
    <row r="422" spans="1:20" ht="27.6" hidden="1" x14ac:dyDescent="0.3">
      <c r="A422" s="7"/>
      <c r="C422" s="14" t="s">
        <v>513</v>
      </c>
      <c r="D422" s="14" t="s">
        <v>969</v>
      </c>
      <c r="E422" s="14" t="s">
        <v>516</v>
      </c>
      <c r="F422" s="14" t="s">
        <v>970</v>
      </c>
      <c r="G422" s="14" t="s">
        <v>930</v>
      </c>
      <c r="H422" s="14" t="s">
        <v>961</v>
      </c>
      <c r="K422" s="130"/>
      <c r="L422" s="493"/>
      <c r="M422" s="493"/>
      <c r="N422" s="22"/>
      <c r="O422" s="7"/>
      <c r="P422" s="7"/>
      <c r="Q422" s="7"/>
      <c r="R422" s="7"/>
      <c r="S422" s="7"/>
      <c r="T422" s="7"/>
    </row>
    <row r="423" spans="1:20" hidden="1" x14ac:dyDescent="0.3">
      <c r="A423" s="7"/>
      <c r="C423" s="27" t="s">
        <v>1090</v>
      </c>
      <c r="D423" s="73">
        <f>АМОРТИЗАЦІЯ!C5</f>
        <v>34445.759999999995</v>
      </c>
      <c r="E423" s="73">
        <v>13679.5</v>
      </c>
      <c r="F423" s="73">
        <f>ROUND((D423/E423)/60,2)</f>
        <v>0.04</v>
      </c>
      <c r="G423" s="73">
        <f>E401+E400</f>
        <v>23</v>
      </c>
      <c r="H423" s="78">
        <f>ROUND(F423*G423,2)</f>
        <v>0.92</v>
      </c>
      <c r="I423" s="38"/>
      <c r="K423" s="130"/>
      <c r="L423" s="493"/>
      <c r="M423" s="493"/>
      <c r="N423" s="22"/>
      <c r="O423" s="7"/>
      <c r="P423" s="7"/>
      <c r="Q423" s="7"/>
      <c r="R423" s="7"/>
      <c r="S423" s="7"/>
      <c r="T423" s="7"/>
    </row>
    <row r="424" spans="1:20" hidden="1" x14ac:dyDescent="0.3">
      <c r="A424" s="7"/>
      <c r="K424" s="130"/>
      <c r="L424" s="493"/>
      <c r="M424" s="493"/>
      <c r="N424" s="22"/>
      <c r="O424" s="7"/>
      <c r="P424" s="7"/>
      <c r="Q424" s="7"/>
      <c r="R424" s="7"/>
      <c r="S424" s="7"/>
      <c r="T424" s="7"/>
    </row>
    <row r="425" spans="1:20" hidden="1" x14ac:dyDescent="0.3">
      <c r="A425" s="7"/>
      <c r="C425" s="12" t="s">
        <v>948</v>
      </c>
      <c r="D425" s="227"/>
      <c r="E425" s="227"/>
      <c r="F425" s="298">
        <f>H438</f>
        <v>2.99</v>
      </c>
      <c r="G425" s="227" t="s">
        <v>971</v>
      </c>
      <c r="K425" s="130"/>
      <c r="L425" s="493"/>
      <c r="M425" s="493"/>
      <c r="N425" s="22"/>
      <c r="O425" s="7"/>
      <c r="P425" s="7"/>
      <c r="Q425" s="7"/>
      <c r="R425" s="7"/>
      <c r="S425" s="7"/>
      <c r="T425" s="7"/>
    </row>
    <row r="426" spans="1:20" ht="7.5" hidden="1" customHeight="1" x14ac:dyDescent="0.3">
      <c r="A426" s="7"/>
      <c r="C426" s="22"/>
      <c r="D426" s="36"/>
      <c r="E426" s="36"/>
      <c r="F426" s="302"/>
      <c r="K426" s="130"/>
      <c r="L426" s="493"/>
      <c r="M426" s="493"/>
      <c r="N426" s="22"/>
      <c r="O426" s="7"/>
      <c r="P426" s="7"/>
      <c r="Q426" s="7"/>
      <c r="R426" s="7"/>
      <c r="S426" s="7"/>
      <c r="T426" s="7"/>
    </row>
    <row r="427" spans="1:20" ht="27.6" hidden="1" x14ac:dyDescent="0.3">
      <c r="A427" s="7"/>
      <c r="C427" s="14" t="s">
        <v>948</v>
      </c>
      <c r="D427" s="14" t="s">
        <v>1110</v>
      </c>
      <c r="E427" s="14" t="s">
        <v>516</v>
      </c>
      <c r="F427" s="14" t="s">
        <v>954</v>
      </c>
      <c r="G427" s="14" t="s">
        <v>930</v>
      </c>
      <c r="H427" s="14" t="s">
        <v>1111</v>
      </c>
      <c r="K427" s="130"/>
      <c r="L427" s="493"/>
      <c r="M427" s="493"/>
      <c r="N427" s="22"/>
      <c r="O427" s="7"/>
      <c r="P427" s="7"/>
      <c r="Q427" s="7"/>
      <c r="R427" s="7"/>
      <c r="S427" s="7"/>
      <c r="T427" s="7"/>
    </row>
    <row r="428" spans="1:20" hidden="1" x14ac:dyDescent="0.3">
      <c r="A428" s="7"/>
      <c r="C428" s="1009" t="str">
        <f>C396</f>
        <v>Лікар-лаборант</v>
      </c>
      <c r="D428" s="1010"/>
      <c r="E428" s="1010"/>
      <c r="F428" s="1010"/>
      <c r="G428" s="1010"/>
      <c r="H428" s="1011"/>
      <c r="K428" s="130"/>
      <c r="L428" s="493"/>
      <c r="M428" s="493"/>
      <c r="N428" s="22"/>
      <c r="O428" s="7"/>
      <c r="P428" s="7"/>
      <c r="Q428" s="7"/>
      <c r="R428" s="7"/>
      <c r="S428" s="7"/>
      <c r="T428" s="7"/>
    </row>
    <row r="429" spans="1:20" hidden="1" x14ac:dyDescent="0.3">
      <c r="A429" s="7"/>
      <c r="C429" s="17" t="s">
        <v>951</v>
      </c>
      <c r="D429" s="221">
        <f>D374</f>
        <v>12188.608008565312</v>
      </c>
      <c r="E429" s="73">
        <f>I396</f>
        <v>1807.2</v>
      </c>
      <c r="F429" s="73">
        <f>ROUND((D429/E429)/60,2)</f>
        <v>0.11</v>
      </c>
      <c r="G429" s="73">
        <f>E400</f>
        <v>20</v>
      </c>
      <c r="H429" s="78">
        <f>ROUND(F429*G429,2)</f>
        <v>2.2000000000000002</v>
      </c>
      <c r="K429" s="130"/>
      <c r="L429" s="493"/>
      <c r="M429" s="493"/>
      <c r="N429" s="22"/>
      <c r="O429" s="7"/>
      <c r="P429" s="7"/>
      <c r="Q429" s="7"/>
      <c r="R429" s="7"/>
      <c r="S429" s="7"/>
      <c r="T429" s="7"/>
    </row>
    <row r="430" spans="1:20" hidden="1" x14ac:dyDescent="0.3">
      <c r="A430" s="7"/>
      <c r="C430" s="17" t="s">
        <v>952</v>
      </c>
      <c r="D430" s="221">
        <f>D375</f>
        <v>53.149721627408987</v>
      </c>
      <c r="E430" s="73">
        <f>I396</f>
        <v>1807.2</v>
      </c>
      <c r="F430" s="73">
        <f>ROUND((D430/E430)/60,2)</f>
        <v>0</v>
      </c>
      <c r="G430" s="73">
        <f>E400</f>
        <v>20</v>
      </c>
      <c r="H430" s="78">
        <f>ROUND(F430*G430,2)</f>
        <v>0</v>
      </c>
      <c r="K430" s="130"/>
      <c r="L430" s="493"/>
      <c r="M430" s="493"/>
      <c r="N430" s="22"/>
      <c r="O430" s="7"/>
      <c r="P430" s="7"/>
      <c r="Q430" s="7"/>
      <c r="R430" s="7"/>
      <c r="S430" s="7"/>
      <c r="T430" s="7"/>
    </row>
    <row r="431" spans="1:20" hidden="1" x14ac:dyDescent="0.3">
      <c r="A431" s="7"/>
      <c r="C431" s="17" t="s">
        <v>953</v>
      </c>
      <c r="D431" s="221">
        <f>D376</f>
        <v>374.98368308351178</v>
      </c>
      <c r="E431" s="73">
        <f>I396</f>
        <v>1807.2</v>
      </c>
      <c r="F431" s="73">
        <f>ROUND((D431/E431)/60,2)</f>
        <v>0</v>
      </c>
      <c r="G431" s="73">
        <f>E400</f>
        <v>20</v>
      </c>
      <c r="H431" s="78">
        <f>ROUND(F431*G431,2)</f>
        <v>0</v>
      </c>
      <c r="K431" s="130"/>
      <c r="L431" s="493"/>
      <c r="M431" s="493"/>
      <c r="N431" s="22"/>
      <c r="O431" s="7"/>
      <c r="P431" s="7"/>
      <c r="Q431" s="7"/>
      <c r="R431" s="7"/>
      <c r="S431" s="7"/>
      <c r="T431" s="7"/>
    </row>
    <row r="432" spans="1:20" hidden="1" x14ac:dyDescent="0.3">
      <c r="A432" s="7"/>
      <c r="C432" s="17" t="s">
        <v>1109</v>
      </c>
      <c r="D432" s="221">
        <f>D377</f>
        <v>1686.0389293361886</v>
      </c>
      <c r="E432" s="73">
        <f>I396</f>
        <v>1807.2</v>
      </c>
      <c r="F432" s="73">
        <f>ROUND((D432/E432)/60,2)</f>
        <v>0.02</v>
      </c>
      <c r="G432" s="73">
        <f>E400</f>
        <v>20</v>
      </c>
      <c r="H432" s="78">
        <f>ROUND(F432*G432,2)</f>
        <v>0.4</v>
      </c>
      <c r="K432" s="130"/>
      <c r="L432" s="493"/>
      <c r="M432" s="493"/>
      <c r="N432" s="22"/>
      <c r="O432" s="7"/>
      <c r="P432" s="7"/>
      <c r="Q432" s="7"/>
      <c r="R432" s="7"/>
      <c r="S432" s="7"/>
      <c r="T432" s="7"/>
    </row>
    <row r="433" spans="1:20" hidden="1" x14ac:dyDescent="0.3">
      <c r="A433" s="7"/>
      <c r="C433" s="1009" t="str">
        <f>C397</f>
        <v>Лаборант клінічної лабораторії</v>
      </c>
      <c r="D433" s="1010"/>
      <c r="E433" s="1010"/>
      <c r="F433" s="1010"/>
      <c r="G433" s="1010"/>
      <c r="H433" s="1011"/>
      <c r="K433" s="130"/>
      <c r="L433" s="493"/>
      <c r="M433" s="493"/>
      <c r="N433" s="22"/>
      <c r="O433" s="7"/>
      <c r="P433" s="7"/>
      <c r="Q433" s="7"/>
      <c r="R433" s="7"/>
      <c r="S433" s="7"/>
      <c r="T433" s="7"/>
    </row>
    <row r="434" spans="1:20" hidden="1" x14ac:dyDescent="0.3">
      <c r="A434" s="7"/>
      <c r="C434" s="17" t="s">
        <v>951</v>
      </c>
      <c r="D434" s="221">
        <f>D379</f>
        <v>12188.608008565312</v>
      </c>
      <c r="E434" s="73">
        <f>I397</f>
        <v>1807.2</v>
      </c>
      <c r="F434" s="73">
        <f>ROUND((D434/E434)/60,2)</f>
        <v>0.11</v>
      </c>
      <c r="G434" s="73">
        <f>E401</f>
        <v>3</v>
      </c>
      <c r="H434" s="78">
        <f>ROUND(F434*G434,2)</f>
        <v>0.33</v>
      </c>
      <c r="K434" s="130"/>
      <c r="L434" s="493"/>
      <c r="M434" s="493"/>
      <c r="N434" s="22"/>
      <c r="O434" s="7"/>
      <c r="P434" s="7"/>
      <c r="Q434" s="7"/>
      <c r="R434" s="7"/>
      <c r="S434" s="7"/>
      <c r="T434" s="7"/>
    </row>
    <row r="435" spans="1:20" hidden="1" x14ac:dyDescent="0.3">
      <c r="A435" s="7"/>
      <c r="C435" s="17" t="s">
        <v>952</v>
      </c>
      <c r="D435" s="221">
        <f>D380</f>
        <v>53.149721627408987</v>
      </c>
      <c r="E435" s="73">
        <f>I397</f>
        <v>1807.2</v>
      </c>
      <c r="F435" s="73">
        <f>ROUND((D435/E435)/60,2)</f>
        <v>0</v>
      </c>
      <c r="G435" s="73">
        <f>E401</f>
        <v>3</v>
      </c>
      <c r="H435" s="78">
        <f>ROUND(F435*G435,2)</f>
        <v>0</v>
      </c>
      <c r="K435" s="130"/>
      <c r="L435" s="493"/>
      <c r="M435" s="493"/>
      <c r="N435" s="22"/>
      <c r="O435" s="7"/>
      <c r="P435" s="7"/>
      <c r="Q435" s="7"/>
      <c r="R435" s="7"/>
      <c r="S435" s="7"/>
      <c r="T435" s="7"/>
    </row>
    <row r="436" spans="1:20" hidden="1" x14ac:dyDescent="0.3">
      <c r="A436" s="7"/>
      <c r="C436" s="17" t="s">
        <v>953</v>
      </c>
      <c r="D436" s="221">
        <f>D381</f>
        <v>374.98368308351178</v>
      </c>
      <c r="E436" s="73">
        <f>I397</f>
        <v>1807.2</v>
      </c>
      <c r="F436" s="73">
        <f>ROUND((D436/E436)/60,2)</f>
        <v>0</v>
      </c>
      <c r="G436" s="73">
        <f>E401</f>
        <v>3</v>
      </c>
      <c r="H436" s="78">
        <f>ROUND(F436*G436,2)</f>
        <v>0</v>
      </c>
      <c r="K436" s="130"/>
      <c r="L436" s="493"/>
      <c r="M436" s="493"/>
      <c r="N436" s="22"/>
      <c r="O436" s="7"/>
      <c r="P436" s="7"/>
      <c r="Q436" s="7"/>
      <c r="R436" s="7"/>
      <c r="S436" s="7"/>
      <c r="T436" s="7"/>
    </row>
    <row r="437" spans="1:20" hidden="1" x14ac:dyDescent="0.3">
      <c r="A437" s="7"/>
      <c r="C437" s="17" t="s">
        <v>1109</v>
      </c>
      <c r="D437" s="221">
        <f>D382</f>
        <v>1686.0389293361886</v>
      </c>
      <c r="E437" s="73">
        <f>I397</f>
        <v>1807.2</v>
      </c>
      <c r="F437" s="73">
        <f>ROUND((D437/E437)/60,2)</f>
        <v>0.02</v>
      </c>
      <c r="G437" s="73">
        <f>E401</f>
        <v>3</v>
      </c>
      <c r="H437" s="78">
        <f>ROUND(F437*G437,2)</f>
        <v>0.06</v>
      </c>
      <c r="K437" s="130"/>
      <c r="L437" s="493"/>
      <c r="M437" s="493"/>
      <c r="N437" s="22"/>
      <c r="O437" s="7"/>
      <c r="P437" s="7"/>
      <c r="Q437" s="7"/>
      <c r="R437" s="7"/>
      <c r="S437" s="7"/>
      <c r="T437" s="7"/>
    </row>
    <row r="438" spans="1:20" hidden="1" x14ac:dyDescent="0.3">
      <c r="A438" s="7"/>
      <c r="C438" s="1012" t="s">
        <v>957</v>
      </c>
      <c r="D438" s="1013"/>
      <c r="E438" s="1013"/>
      <c r="F438" s="1013"/>
      <c r="G438" s="1014"/>
      <c r="H438" s="299">
        <f>SUM(H429:H437)</f>
        <v>2.99</v>
      </c>
      <c r="K438" s="130"/>
      <c r="L438" s="493"/>
      <c r="M438" s="493"/>
      <c r="N438" s="22"/>
      <c r="O438" s="7"/>
      <c r="P438" s="7"/>
      <c r="Q438" s="7"/>
      <c r="R438" s="7"/>
      <c r="S438" s="7"/>
      <c r="T438" s="7"/>
    </row>
    <row r="439" spans="1:20" ht="8.25" hidden="1" customHeight="1" x14ac:dyDescent="0.3">
      <c r="A439" s="7"/>
      <c r="K439" s="130"/>
      <c r="L439" s="493"/>
      <c r="M439" s="493"/>
      <c r="N439" s="22"/>
      <c r="O439" s="7"/>
      <c r="P439" s="7"/>
      <c r="Q439" s="7"/>
      <c r="R439" s="7"/>
      <c r="S439" s="7"/>
      <c r="T439" s="7"/>
    </row>
    <row r="440" spans="1:20" hidden="1" x14ac:dyDescent="0.3">
      <c r="A440" s="7"/>
      <c r="C440" s="1015" t="s">
        <v>959</v>
      </c>
      <c r="D440" s="1015"/>
      <c r="E440" s="1015"/>
      <c r="F440" s="1015"/>
      <c r="G440" s="1015"/>
      <c r="H440" s="334">
        <f>F393+F405+F425+F420</f>
        <v>46.26</v>
      </c>
      <c r="K440" s="130"/>
      <c r="L440" s="493"/>
      <c r="M440" s="493"/>
      <c r="N440" s="22"/>
      <c r="O440" s="7"/>
      <c r="P440" s="7"/>
      <c r="Q440" s="7"/>
      <c r="R440" s="7"/>
      <c r="S440" s="7"/>
      <c r="T440" s="7"/>
    </row>
    <row r="441" spans="1:20" ht="12.75" hidden="1" customHeight="1" x14ac:dyDescent="0.3">
      <c r="A441" s="7"/>
      <c r="C441" s="33"/>
      <c r="D441" s="33"/>
      <c r="E441" s="33"/>
      <c r="F441" s="33"/>
      <c r="G441" s="33"/>
      <c r="H441" s="335"/>
      <c r="K441" s="130"/>
      <c r="L441" s="493"/>
      <c r="M441" s="493"/>
      <c r="N441" s="22"/>
      <c r="O441" s="7"/>
      <c r="P441" s="7"/>
      <c r="Q441" s="7"/>
      <c r="R441" s="7"/>
      <c r="S441" s="7"/>
      <c r="T441" s="7"/>
    </row>
    <row r="442" spans="1:20" hidden="1" x14ac:dyDescent="0.3">
      <c r="A442" s="7"/>
      <c r="C442" s="1015" t="s">
        <v>960</v>
      </c>
      <c r="D442" s="1015"/>
      <c r="E442" s="1015"/>
      <c r="F442" s="1015"/>
      <c r="G442" s="1015"/>
      <c r="H442" s="334">
        <f>ROUND(H440,0)</f>
        <v>46</v>
      </c>
      <c r="K442" s="130"/>
      <c r="L442" s="493"/>
      <c r="M442" s="493"/>
      <c r="N442" s="22"/>
      <c r="O442" s="7"/>
      <c r="P442" s="7"/>
      <c r="Q442" s="7"/>
      <c r="R442" s="7"/>
      <c r="S442" s="7"/>
      <c r="T442" s="7"/>
    </row>
    <row r="443" spans="1:20" hidden="1" x14ac:dyDescent="0.3">
      <c r="A443" s="7"/>
      <c r="K443" s="130"/>
      <c r="L443" s="493"/>
      <c r="M443" s="493"/>
      <c r="N443" s="22"/>
      <c r="O443" s="7"/>
      <c r="P443" s="7"/>
      <c r="Q443" s="7"/>
      <c r="R443" s="7"/>
      <c r="S443" s="7"/>
      <c r="T443" s="7"/>
    </row>
    <row r="444" spans="1:20" ht="18.600000000000001" hidden="1" x14ac:dyDescent="0.3">
      <c r="B444" s="1016" t="s">
        <v>958</v>
      </c>
      <c r="C444" s="1016"/>
      <c r="D444" s="1016"/>
      <c r="E444" s="1016"/>
      <c r="F444" s="1016"/>
      <c r="G444" s="1016"/>
      <c r="H444" s="1016"/>
      <c r="I444" s="1016"/>
      <c r="J444" s="1016"/>
    </row>
    <row r="445" spans="1:20" ht="19.2" hidden="1" x14ac:dyDescent="0.35">
      <c r="B445" s="53"/>
      <c r="C445" s="53"/>
      <c r="D445" s="225"/>
      <c r="E445" s="225"/>
      <c r="F445" s="225"/>
      <c r="G445" s="225"/>
      <c r="H445" s="225"/>
      <c r="I445" s="53"/>
      <c r="J445" s="53"/>
    </row>
    <row r="446" spans="1:20" ht="19.2" hidden="1" x14ac:dyDescent="0.35">
      <c r="B446" s="50" t="s">
        <v>187</v>
      </c>
      <c r="C446" s="1017" t="str">
        <f>M16</f>
        <v>Аналіз крові на LE - клітини</v>
      </c>
      <c r="D446" s="1017"/>
      <c r="E446" s="1017"/>
      <c r="F446" s="296">
        <f>H501</f>
        <v>82</v>
      </c>
      <c r="G446" s="296" t="s">
        <v>971</v>
      </c>
      <c r="H446" s="225"/>
      <c r="I446" s="53"/>
      <c r="J446" s="53"/>
    </row>
    <row r="447" spans="1:20" hidden="1" x14ac:dyDescent="0.3"/>
    <row r="448" spans="1:20" hidden="1" x14ac:dyDescent="0.3">
      <c r="C448" s="1018" t="s">
        <v>932</v>
      </c>
      <c r="D448" s="1018"/>
      <c r="E448" s="297"/>
      <c r="F448" s="298">
        <f>F455+F458+F456</f>
        <v>69.67</v>
      </c>
      <c r="G448" s="227" t="s">
        <v>971</v>
      </c>
    </row>
    <row r="449" spans="2:12" hidden="1" x14ac:dyDescent="0.3"/>
    <row r="450" spans="2:12" ht="27.6" hidden="1" x14ac:dyDescent="0.3">
      <c r="C450" s="13" t="s">
        <v>929</v>
      </c>
      <c r="D450" s="14" t="s">
        <v>928</v>
      </c>
      <c r="E450" s="14" t="s">
        <v>514</v>
      </c>
      <c r="F450" s="14" t="s">
        <v>515</v>
      </c>
      <c r="G450" s="14" t="s">
        <v>962</v>
      </c>
      <c r="H450" s="14" t="s">
        <v>926</v>
      </c>
      <c r="I450" s="14" t="s">
        <v>516</v>
      </c>
      <c r="J450" s="14" t="s">
        <v>961</v>
      </c>
    </row>
    <row r="451" spans="2:12" hidden="1" x14ac:dyDescent="0.3">
      <c r="C451" s="17" t="str">
        <f>C9</f>
        <v>Лікар-лаборант</v>
      </c>
      <c r="D451" s="78">
        <f>D9</f>
        <v>10799.43</v>
      </c>
      <c r="E451" s="78">
        <f>D451*12</f>
        <v>129593.16</v>
      </c>
      <c r="F451" s="78">
        <f>F9</f>
        <v>8307.26</v>
      </c>
      <c r="G451" s="78">
        <f>G9</f>
        <v>4153.63</v>
      </c>
      <c r="H451" s="78">
        <f>E451+F451+G451</f>
        <v>142054.05000000002</v>
      </c>
      <c r="I451" s="17">
        <v>1807.2</v>
      </c>
      <c r="J451" s="16">
        <f>ROUND((H451/I451)/60,2)</f>
        <v>1.31</v>
      </c>
    </row>
    <row r="452" spans="2:12" hidden="1" x14ac:dyDescent="0.3">
      <c r="C452" s="17" t="str">
        <f>C10</f>
        <v>Лаборант клінічної лабораторії</v>
      </c>
      <c r="D452" s="78">
        <f>D10</f>
        <v>7871.18</v>
      </c>
      <c r="E452" s="78">
        <f>D452*12</f>
        <v>94454.16</v>
      </c>
      <c r="F452" s="78">
        <f>F10</f>
        <v>6054.75</v>
      </c>
      <c r="G452" s="78">
        <f>G10</f>
        <v>3027.375</v>
      </c>
      <c r="H452" s="78">
        <f>E452+F452+G452</f>
        <v>103536.285</v>
      </c>
      <c r="I452" s="17">
        <v>1807.2</v>
      </c>
      <c r="J452" s="16">
        <f>ROUND((H452/I452)/60,2)</f>
        <v>0.95</v>
      </c>
    </row>
    <row r="453" spans="2:12" hidden="1" x14ac:dyDescent="0.3"/>
    <row r="454" spans="2:12" hidden="1" x14ac:dyDescent="0.3">
      <c r="C454" s="13" t="s">
        <v>929</v>
      </c>
      <c r="D454" s="14" t="s">
        <v>961</v>
      </c>
      <c r="E454" s="14" t="s">
        <v>930</v>
      </c>
      <c r="F454" s="14" t="s">
        <v>931</v>
      </c>
    </row>
    <row r="455" spans="2:12" hidden="1" x14ac:dyDescent="0.3">
      <c r="C455" s="15" t="str">
        <f>C451</f>
        <v>Лікар-лаборант</v>
      </c>
      <c r="D455" s="78">
        <f>J451</f>
        <v>1.31</v>
      </c>
      <c r="E455" s="228">
        <v>42.5</v>
      </c>
      <c r="F455" s="299">
        <f>ROUND(D455*E455,2)</f>
        <v>55.68</v>
      </c>
      <c r="L455" s="551"/>
    </row>
    <row r="456" spans="2:12" hidden="1" x14ac:dyDescent="0.3">
      <c r="C456" s="15" t="str">
        <f>C452</f>
        <v>Лаборант клінічної лабораторії</v>
      </c>
      <c r="D456" s="78">
        <f>J452</f>
        <v>0.95</v>
      </c>
      <c r="E456" s="228">
        <v>1.5</v>
      </c>
      <c r="F456" s="299">
        <f>ROUND(D456*E456,2)</f>
        <v>1.43</v>
      </c>
    </row>
    <row r="457" spans="2:12" hidden="1" x14ac:dyDescent="0.3">
      <c r="D457" s="19"/>
      <c r="E457" s="74" t="s">
        <v>1016</v>
      </c>
    </row>
    <row r="458" spans="2:12" hidden="1" x14ac:dyDescent="0.3">
      <c r="C458" s="17" t="s">
        <v>933</v>
      </c>
      <c r="D458" s="78">
        <f>F455+F456</f>
        <v>57.11</v>
      </c>
      <c r="E458" s="300">
        <v>0.22</v>
      </c>
      <c r="F458" s="301">
        <f>ROUND(D458*E458,2)</f>
        <v>12.56</v>
      </c>
    </row>
    <row r="459" spans="2:12" hidden="1" x14ac:dyDescent="0.3"/>
    <row r="460" spans="2:12" hidden="1" x14ac:dyDescent="0.3">
      <c r="C460" s="12" t="s">
        <v>946</v>
      </c>
      <c r="D460" s="227"/>
      <c r="E460" s="227"/>
      <c r="F460" s="227">
        <f>G477</f>
        <v>4.42</v>
      </c>
      <c r="G460" s="227" t="s">
        <v>971</v>
      </c>
    </row>
    <row r="461" spans="2:12" hidden="1" x14ac:dyDescent="0.3"/>
    <row r="462" spans="2:12" hidden="1" x14ac:dyDescent="0.3">
      <c r="B462" s="82" t="s">
        <v>991</v>
      </c>
      <c r="C462" s="83" t="s">
        <v>986</v>
      </c>
      <c r="D462" s="83" t="s">
        <v>1112</v>
      </c>
      <c r="E462" s="83" t="s">
        <v>988</v>
      </c>
      <c r="F462" s="83" t="s">
        <v>1113</v>
      </c>
      <c r="G462" s="82" t="s">
        <v>988</v>
      </c>
    </row>
    <row r="463" spans="2:12" hidden="1" x14ac:dyDescent="0.3">
      <c r="B463" s="73">
        <v>1</v>
      </c>
      <c r="C463" s="79" t="s">
        <v>1039</v>
      </c>
      <c r="D463" s="75" t="s">
        <v>977</v>
      </c>
      <c r="E463" s="75">
        <f>'МЕДИЧНІ М'!E206</f>
        <v>52</v>
      </c>
      <c r="F463" s="86">
        <v>800</v>
      </c>
      <c r="G463" s="88">
        <f t="shared" ref="G463:G469" si="11">ROUND(E463/F463,2)</f>
        <v>7.0000000000000007E-2</v>
      </c>
    </row>
    <row r="464" spans="2:12" hidden="1" x14ac:dyDescent="0.3">
      <c r="B464" s="73">
        <f>1+B463</f>
        <v>2</v>
      </c>
      <c r="C464" s="79" t="s">
        <v>982</v>
      </c>
      <c r="D464" s="76" t="s">
        <v>941</v>
      </c>
      <c r="E464" s="76">
        <f>'МЕДИЧНІ М'!E208</f>
        <v>11</v>
      </c>
      <c r="F464" s="77">
        <v>100</v>
      </c>
      <c r="G464" s="88">
        <f>ROUND(E464/F464,2)</f>
        <v>0.11</v>
      </c>
    </row>
    <row r="465" spans="2:7" hidden="1" x14ac:dyDescent="0.3">
      <c r="B465" s="73">
        <f t="shared" ref="B465:B476" si="12">B464+1</f>
        <v>3</v>
      </c>
      <c r="C465" s="79" t="s">
        <v>1034</v>
      </c>
      <c r="D465" s="75" t="s">
        <v>974</v>
      </c>
      <c r="E465" s="75">
        <f>'МЕДИЧНІ М'!E201</f>
        <v>39.299999999999997</v>
      </c>
      <c r="F465" s="86">
        <v>400</v>
      </c>
      <c r="G465" s="88">
        <f>ROUND(E465/F465,2)</f>
        <v>0.1</v>
      </c>
    </row>
    <row r="466" spans="2:7" hidden="1" x14ac:dyDescent="0.3">
      <c r="B466" s="73">
        <f t="shared" si="12"/>
        <v>4</v>
      </c>
      <c r="C466" s="488" t="s">
        <v>934</v>
      </c>
      <c r="D466" s="76" t="s">
        <v>941</v>
      </c>
      <c r="E466" s="76">
        <f>'МЕДИЧНІ М'!E210</f>
        <v>2.8</v>
      </c>
      <c r="F466" s="86">
        <v>10</v>
      </c>
      <c r="G466" s="88">
        <f t="shared" si="11"/>
        <v>0.28000000000000003</v>
      </c>
    </row>
    <row r="467" spans="2:7" hidden="1" x14ac:dyDescent="0.3">
      <c r="B467" s="73">
        <f t="shared" si="12"/>
        <v>5</v>
      </c>
      <c r="C467" s="27" t="s">
        <v>942</v>
      </c>
      <c r="D467" s="75" t="s">
        <v>974</v>
      </c>
      <c r="E467" s="76">
        <f>'МЕДИЧНІ М'!E215</f>
        <v>24.6</v>
      </c>
      <c r="F467" s="77">
        <v>100</v>
      </c>
      <c r="G467" s="78">
        <f t="shared" si="11"/>
        <v>0.25</v>
      </c>
    </row>
    <row r="468" spans="2:7" hidden="1" x14ac:dyDescent="0.3">
      <c r="B468" s="73">
        <f t="shared" si="12"/>
        <v>6</v>
      </c>
      <c r="C468" s="488" t="s">
        <v>936</v>
      </c>
      <c r="D468" s="76" t="s">
        <v>937</v>
      </c>
      <c r="E468" s="76">
        <f>'МЕДИЧНІ М'!E204</f>
        <v>0.3</v>
      </c>
      <c r="F468" s="77">
        <v>1</v>
      </c>
      <c r="G468" s="78">
        <f t="shared" si="11"/>
        <v>0.3</v>
      </c>
    </row>
    <row r="469" spans="2:7" hidden="1" x14ac:dyDescent="0.3">
      <c r="B469" s="73">
        <f t="shared" si="12"/>
        <v>7</v>
      </c>
      <c r="C469" s="488" t="s">
        <v>201</v>
      </c>
      <c r="D469" s="76" t="s">
        <v>941</v>
      </c>
      <c r="E469" s="76">
        <f>'МЕДИЧНІ М'!E221</f>
        <v>0.9</v>
      </c>
      <c r="F469" s="77">
        <v>1</v>
      </c>
      <c r="G469" s="78">
        <f t="shared" si="11"/>
        <v>0.9</v>
      </c>
    </row>
    <row r="470" spans="2:7" hidden="1" x14ac:dyDescent="0.3">
      <c r="B470" s="73">
        <f t="shared" si="12"/>
        <v>8</v>
      </c>
      <c r="C470" s="488" t="s">
        <v>981</v>
      </c>
      <c r="D470" s="76" t="s">
        <v>941</v>
      </c>
      <c r="E470" s="76">
        <f>'МЕДИЧНІ М'!E209</f>
        <v>0.6</v>
      </c>
      <c r="F470" s="77">
        <v>1</v>
      </c>
      <c r="G470" s="88">
        <f>ROUND(E470*F470,2)</f>
        <v>0.6</v>
      </c>
    </row>
    <row r="471" spans="2:7" hidden="1" x14ac:dyDescent="0.3">
      <c r="B471" s="73">
        <f t="shared" si="12"/>
        <v>9</v>
      </c>
      <c r="C471" s="488" t="s">
        <v>1042</v>
      </c>
      <c r="D471" s="78" t="s">
        <v>974</v>
      </c>
      <c r="E471" s="78">
        <f>'МЕДИЧНІ М'!E218</f>
        <v>214</v>
      </c>
      <c r="F471" s="84">
        <v>1000</v>
      </c>
      <c r="G471" s="88">
        <f>ROUND(E471/F471,2)</f>
        <v>0.21</v>
      </c>
    </row>
    <row r="472" spans="2:7" hidden="1" x14ac:dyDescent="0.3">
      <c r="B472" s="73">
        <f t="shared" si="12"/>
        <v>10</v>
      </c>
      <c r="C472" s="488" t="s">
        <v>1043</v>
      </c>
      <c r="D472" s="78" t="s">
        <v>974</v>
      </c>
      <c r="E472" s="78">
        <f>'МЕДИЧНІ М'!E217</f>
        <v>120</v>
      </c>
      <c r="F472" s="84">
        <v>1000</v>
      </c>
      <c r="G472" s="88">
        <f>ROUND(E472/F472,2)</f>
        <v>0.12</v>
      </c>
    </row>
    <row r="473" spans="2:7" hidden="1" x14ac:dyDescent="0.3">
      <c r="B473" s="73">
        <f t="shared" si="12"/>
        <v>11</v>
      </c>
      <c r="C473" s="488" t="s">
        <v>984</v>
      </c>
      <c r="D473" s="76" t="s">
        <v>941</v>
      </c>
      <c r="E473" s="76">
        <f>'МЕДИЧНІ М'!E213</f>
        <v>62.32</v>
      </c>
      <c r="F473" s="77">
        <v>1000</v>
      </c>
      <c r="G473" s="88">
        <f>ROUND(E473/F473,2)</f>
        <v>0.06</v>
      </c>
    </row>
    <row r="474" spans="2:7" hidden="1" x14ac:dyDescent="0.3">
      <c r="B474" s="73">
        <f t="shared" si="12"/>
        <v>12</v>
      </c>
      <c r="C474" s="27" t="s">
        <v>943</v>
      </c>
      <c r="D474" s="76" t="s">
        <v>944</v>
      </c>
      <c r="E474" s="76">
        <f>'МЕДИЧНІ М'!E198</f>
        <v>6.72</v>
      </c>
      <c r="F474" s="86">
        <v>100</v>
      </c>
      <c r="G474" s="88">
        <f>ROUND(E474/F474,2)</f>
        <v>7.0000000000000007E-2</v>
      </c>
    </row>
    <row r="475" spans="2:7" hidden="1" x14ac:dyDescent="0.3">
      <c r="B475" s="73">
        <f t="shared" si="12"/>
        <v>13</v>
      </c>
      <c r="C475" s="27" t="s">
        <v>940</v>
      </c>
      <c r="D475" s="28" t="s">
        <v>941</v>
      </c>
      <c r="E475" s="81">
        <f>'МЕДИЧНІ М'!E202</f>
        <v>2</v>
      </c>
      <c r="F475" s="28">
        <v>0.55000000000000004</v>
      </c>
      <c r="G475" s="28">
        <f>ROUND(E475*F475,2)</f>
        <v>1.1000000000000001</v>
      </c>
    </row>
    <row r="476" spans="2:7" hidden="1" x14ac:dyDescent="0.3">
      <c r="B476" s="73">
        <f t="shared" si="12"/>
        <v>14</v>
      </c>
      <c r="C476" s="27" t="s">
        <v>1124</v>
      </c>
      <c r="D476" s="28" t="s">
        <v>944</v>
      </c>
      <c r="E476" s="81">
        <f>'МЕДИЧНІ М'!E200</f>
        <v>0.5</v>
      </c>
      <c r="F476" s="81">
        <v>0.5</v>
      </c>
      <c r="G476" s="28">
        <f>ROUND(E476*F476,2)</f>
        <v>0.25</v>
      </c>
    </row>
    <row r="477" spans="2:7" hidden="1" x14ac:dyDescent="0.3">
      <c r="B477" s="1012" t="s">
        <v>945</v>
      </c>
      <c r="C477" s="1013"/>
      <c r="D477" s="1013"/>
      <c r="E477" s="1013"/>
      <c r="F477" s="1014"/>
      <c r="G477" s="572">
        <f>SUM(G463:G476)</f>
        <v>4.42</v>
      </c>
    </row>
    <row r="478" spans="2:7" hidden="1" x14ac:dyDescent="0.3"/>
    <row r="479" spans="2:7" hidden="1" x14ac:dyDescent="0.3">
      <c r="C479" s="12" t="s">
        <v>968</v>
      </c>
      <c r="D479" s="227"/>
      <c r="E479" s="227"/>
      <c r="F479" s="298">
        <f>H482</f>
        <v>1.76</v>
      </c>
      <c r="G479" s="227" t="s">
        <v>971</v>
      </c>
    </row>
    <row r="480" spans="2:7" hidden="1" x14ac:dyDescent="0.3">
      <c r="C480" s="22"/>
      <c r="D480" s="36"/>
      <c r="E480" s="36"/>
      <c r="F480" s="302"/>
      <c r="G480" s="36"/>
    </row>
    <row r="481" spans="3:9" ht="27.6" hidden="1" x14ac:dyDescent="0.3">
      <c r="C481" s="14" t="s">
        <v>513</v>
      </c>
      <c r="D481" s="14" t="s">
        <v>1114</v>
      </c>
      <c r="E481" s="14" t="s">
        <v>516</v>
      </c>
      <c r="F481" s="14" t="s">
        <v>970</v>
      </c>
      <c r="G481" s="14" t="s">
        <v>930</v>
      </c>
      <c r="H481" s="14" t="s">
        <v>961</v>
      </c>
    </row>
    <row r="482" spans="3:9" hidden="1" x14ac:dyDescent="0.3">
      <c r="C482" s="27" t="s">
        <v>1090</v>
      </c>
      <c r="D482" s="73">
        <f>АМОРТИЗАЦІЯ!C5</f>
        <v>34445.759999999995</v>
      </c>
      <c r="E482" s="73">
        <v>13679.5</v>
      </c>
      <c r="F482" s="73">
        <f>ROUND((D482/E482)/60,2)</f>
        <v>0.04</v>
      </c>
      <c r="G482" s="73">
        <f>E456+E455</f>
        <v>44</v>
      </c>
      <c r="H482" s="78">
        <f>ROUND(F482*G482,2)</f>
        <v>1.76</v>
      </c>
      <c r="I482" s="38"/>
    </row>
    <row r="483" spans="3:9" hidden="1" x14ac:dyDescent="0.3"/>
    <row r="484" spans="3:9" hidden="1" x14ac:dyDescent="0.3">
      <c r="C484" s="12" t="s">
        <v>948</v>
      </c>
      <c r="D484" s="227"/>
      <c r="E484" s="227"/>
      <c r="F484" s="298">
        <f>H497</f>
        <v>5.7299999999999995</v>
      </c>
      <c r="G484" s="227" t="s">
        <v>971</v>
      </c>
    </row>
    <row r="485" spans="3:9" hidden="1" x14ac:dyDescent="0.3">
      <c r="C485" s="22"/>
      <c r="D485" s="36"/>
      <c r="E485" s="36"/>
      <c r="F485" s="302"/>
    </row>
    <row r="486" spans="3:9" ht="27.6" hidden="1" x14ac:dyDescent="0.3">
      <c r="C486" s="14" t="s">
        <v>948</v>
      </c>
      <c r="D486" s="14" t="s">
        <v>1110</v>
      </c>
      <c r="E486" s="14" t="s">
        <v>516</v>
      </c>
      <c r="F486" s="14" t="s">
        <v>954</v>
      </c>
      <c r="G486" s="14" t="s">
        <v>930</v>
      </c>
      <c r="H486" s="14" t="s">
        <v>1111</v>
      </c>
    </row>
    <row r="487" spans="3:9" hidden="1" x14ac:dyDescent="0.3">
      <c r="C487" s="1009" t="str">
        <f>C451</f>
        <v>Лікар-лаборант</v>
      </c>
      <c r="D487" s="1010"/>
      <c r="E487" s="1010"/>
      <c r="F487" s="1010"/>
      <c r="G487" s="1010"/>
      <c r="H487" s="1011"/>
    </row>
    <row r="488" spans="3:9" hidden="1" x14ac:dyDescent="0.3">
      <c r="C488" s="17" t="s">
        <v>951</v>
      </c>
      <c r="D488" s="221">
        <f>D40</f>
        <v>12188.608008565312</v>
      </c>
      <c r="E488" s="73">
        <f>I451</f>
        <v>1807.2</v>
      </c>
      <c r="F488" s="73">
        <f>ROUND((D488/E488)/60,2)</f>
        <v>0.11</v>
      </c>
      <c r="G488" s="73">
        <f>E455</f>
        <v>42.5</v>
      </c>
      <c r="H488" s="78">
        <f>ROUND(F488*G488,2)</f>
        <v>4.68</v>
      </c>
    </row>
    <row r="489" spans="3:9" hidden="1" x14ac:dyDescent="0.3">
      <c r="C489" s="17" t="s">
        <v>952</v>
      </c>
      <c r="D489" s="221">
        <f>D41</f>
        <v>53.149721627408987</v>
      </c>
      <c r="E489" s="73">
        <f>I451</f>
        <v>1807.2</v>
      </c>
      <c r="F489" s="73">
        <f>ROUND((D489/E489)/60,2)</f>
        <v>0</v>
      </c>
      <c r="G489" s="73">
        <f>E455</f>
        <v>42.5</v>
      </c>
      <c r="H489" s="78">
        <f>ROUND(F489*G489,2)</f>
        <v>0</v>
      </c>
    </row>
    <row r="490" spans="3:9" hidden="1" x14ac:dyDescent="0.3">
      <c r="C490" s="17" t="s">
        <v>953</v>
      </c>
      <c r="D490" s="221">
        <f>D42</f>
        <v>374.98368308351178</v>
      </c>
      <c r="E490" s="73">
        <f>I451</f>
        <v>1807.2</v>
      </c>
      <c r="F490" s="73">
        <f>ROUND((D490/E490)/60,2)</f>
        <v>0</v>
      </c>
      <c r="G490" s="73">
        <f>E455</f>
        <v>42.5</v>
      </c>
      <c r="H490" s="78">
        <f>ROUND(F490*G490,2)</f>
        <v>0</v>
      </c>
    </row>
    <row r="491" spans="3:9" hidden="1" x14ac:dyDescent="0.3">
      <c r="C491" s="17" t="s">
        <v>1109</v>
      </c>
      <c r="D491" s="221">
        <f>D43</f>
        <v>1686.0389293361886</v>
      </c>
      <c r="E491" s="73">
        <f>I451</f>
        <v>1807.2</v>
      </c>
      <c r="F491" s="73">
        <f>ROUND((D491/E491)/60,2)</f>
        <v>0.02</v>
      </c>
      <c r="G491" s="73">
        <f>E455</f>
        <v>42.5</v>
      </c>
      <c r="H491" s="78">
        <f>ROUND(F491*G491,2)</f>
        <v>0.85</v>
      </c>
    </row>
    <row r="492" spans="3:9" hidden="1" x14ac:dyDescent="0.3">
      <c r="C492" s="1009" t="str">
        <f>C452</f>
        <v>Лаборант клінічної лабораторії</v>
      </c>
      <c r="D492" s="1010"/>
      <c r="E492" s="1010"/>
      <c r="F492" s="1010"/>
      <c r="G492" s="1010"/>
      <c r="H492" s="1011"/>
    </row>
    <row r="493" spans="3:9" hidden="1" x14ac:dyDescent="0.3">
      <c r="C493" s="17" t="s">
        <v>951</v>
      </c>
      <c r="D493" s="221">
        <f>D488</f>
        <v>12188.608008565312</v>
      </c>
      <c r="E493" s="73">
        <f>I452</f>
        <v>1807.2</v>
      </c>
      <c r="F493" s="73">
        <f>ROUND((D493/E493)/60,2)</f>
        <v>0.11</v>
      </c>
      <c r="G493" s="73">
        <f>E456</f>
        <v>1.5</v>
      </c>
      <c r="H493" s="78">
        <f>ROUND(F493*G493,2)</f>
        <v>0.17</v>
      </c>
    </row>
    <row r="494" spans="3:9" hidden="1" x14ac:dyDescent="0.3">
      <c r="C494" s="17" t="s">
        <v>952</v>
      </c>
      <c r="D494" s="221">
        <f>D489</f>
        <v>53.149721627408987</v>
      </c>
      <c r="E494" s="73">
        <f>I452</f>
        <v>1807.2</v>
      </c>
      <c r="F494" s="73">
        <f>ROUND((D494/E494)/60,2)</f>
        <v>0</v>
      </c>
      <c r="G494" s="73">
        <f>E456</f>
        <v>1.5</v>
      </c>
      <c r="H494" s="78">
        <f>ROUND(F494*G494,2)</f>
        <v>0</v>
      </c>
    </row>
    <row r="495" spans="3:9" hidden="1" x14ac:dyDescent="0.3">
      <c r="C495" s="17" t="s">
        <v>953</v>
      </c>
      <c r="D495" s="221">
        <f>D490</f>
        <v>374.98368308351178</v>
      </c>
      <c r="E495" s="73">
        <f>I452</f>
        <v>1807.2</v>
      </c>
      <c r="F495" s="73">
        <f>ROUND((D495/E495)/60,2)</f>
        <v>0</v>
      </c>
      <c r="G495" s="73">
        <f>E456</f>
        <v>1.5</v>
      </c>
      <c r="H495" s="78">
        <f>ROUND(F495*G495,2)</f>
        <v>0</v>
      </c>
    </row>
    <row r="496" spans="3:9" hidden="1" x14ac:dyDescent="0.3">
      <c r="C496" s="17" t="s">
        <v>1109</v>
      </c>
      <c r="D496" s="221">
        <f>D491</f>
        <v>1686.0389293361886</v>
      </c>
      <c r="E496" s="73">
        <f>I452</f>
        <v>1807.2</v>
      </c>
      <c r="F496" s="73">
        <f>ROUND((D496/E496)/60,2)</f>
        <v>0.02</v>
      </c>
      <c r="G496" s="73">
        <f>E456</f>
        <v>1.5</v>
      </c>
      <c r="H496" s="78">
        <f>ROUND(F496*G496,2)</f>
        <v>0.03</v>
      </c>
    </row>
    <row r="497" spans="2:11" hidden="1" x14ac:dyDescent="0.3">
      <c r="C497" s="1012" t="s">
        <v>957</v>
      </c>
      <c r="D497" s="1013"/>
      <c r="E497" s="1013"/>
      <c r="F497" s="1013"/>
      <c r="G497" s="1014"/>
      <c r="H497" s="299">
        <f>SUM(H488:H496)</f>
        <v>5.7299999999999995</v>
      </c>
    </row>
    <row r="498" spans="2:11" hidden="1" x14ac:dyDescent="0.3"/>
    <row r="499" spans="2:11" hidden="1" x14ac:dyDescent="0.3">
      <c r="C499" s="1015" t="s">
        <v>959</v>
      </c>
      <c r="D499" s="1015"/>
      <c r="E499" s="1015"/>
      <c r="F499" s="1015"/>
      <c r="G499" s="1015"/>
      <c r="H499" s="334">
        <f>F448+F460+F484+F479</f>
        <v>81.580000000000013</v>
      </c>
    </row>
    <row r="500" spans="2:11" hidden="1" x14ac:dyDescent="0.3">
      <c r="C500" s="33"/>
      <c r="D500" s="33"/>
      <c r="E500" s="33"/>
      <c r="F500" s="33"/>
      <c r="G500" s="33"/>
      <c r="H500" s="335"/>
    </row>
    <row r="501" spans="2:11" hidden="1" x14ac:dyDescent="0.3">
      <c r="C501" s="1015" t="s">
        <v>960</v>
      </c>
      <c r="D501" s="1015"/>
      <c r="E501" s="1015"/>
      <c r="F501" s="1015"/>
      <c r="G501" s="1015"/>
      <c r="H501" s="334">
        <f>ROUND(H499,0)</f>
        <v>82</v>
      </c>
    </row>
    <row r="502" spans="2:11" hidden="1" x14ac:dyDescent="0.3"/>
    <row r="503" spans="2:11" ht="18.600000000000001" hidden="1" x14ac:dyDescent="0.3">
      <c r="B503" s="1016" t="s">
        <v>958</v>
      </c>
      <c r="C503" s="1016"/>
      <c r="D503" s="1016"/>
      <c r="E503" s="1016"/>
      <c r="F503" s="1016"/>
      <c r="G503" s="1016"/>
      <c r="H503" s="1016"/>
      <c r="I503" s="1016"/>
      <c r="J503" s="1016"/>
    </row>
    <row r="504" spans="2:11" ht="19.2" hidden="1" x14ac:dyDescent="0.35">
      <c r="B504" s="53"/>
      <c r="C504" s="53"/>
      <c r="D504" s="225"/>
      <c r="E504" s="225"/>
      <c r="F504" s="225"/>
      <c r="G504" s="225"/>
      <c r="H504" s="225"/>
      <c r="I504" s="53"/>
      <c r="J504" s="53"/>
    </row>
    <row r="505" spans="2:11" ht="19.2" hidden="1" x14ac:dyDescent="0.35">
      <c r="B505" s="50" t="s">
        <v>316</v>
      </c>
      <c r="C505" s="1017" t="str">
        <f>M17</f>
        <v>СРБ (С- реактивний білок) (кількісні результати)</v>
      </c>
      <c r="D505" s="1017"/>
      <c r="E505" s="1017"/>
      <c r="F505" s="296">
        <f>H556</f>
        <v>143</v>
      </c>
      <c r="G505" s="296" t="s">
        <v>971</v>
      </c>
      <c r="H505" s="225"/>
      <c r="I505" s="53"/>
      <c r="J505" s="53"/>
      <c r="K505" s="561">
        <f>F505-G522</f>
        <v>43</v>
      </c>
    </row>
    <row r="506" spans="2:11" hidden="1" x14ac:dyDescent="0.3"/>
    <row r="507" spans="2:11" hidden="1" x14ac:dyDescent="0.3">
      <c r="C507" s="1018" t="s">
        <v>932</v>
      </c>
      <c r="D507" s="1018"/>
      <c r="E507" s="297"/>
      <c r="F507" s="298">
        <f>F514+F517+F515</f>
        <v>32.370000000000005</v>
      </c>
      <c r="G507" s="227" t="s">
        <v>971</v>
      </c>
    </row>
    <row r="508" spans="2:11" hidden="1" x14ac:dyDescent="0.3"/>
    <row r="509" spans="2:11" ht="27.6" hidden="1" x14ac:dyDescent="0.3">
      <c r="C509" s="13" t="s">
        <v>929</v>
      </c>
      <c r="D509" s="14" t="s">
        <v>928</v>
      </c>
      <c r="E509" s="14" t="s">
        <v>514</v>
      </c>
      <c r="F509" s="14" t="s">
        <v>515</v>
      </c>
      <c r="G509" s="14" t="s">
        <v>962</v>
      </c>
      <c r="H509" s="14" t="s">
        <v>926</v>
      </c>
      <c r="I509" s="14" t="s">
        <v>516</v>
      </c>
      <c r="J509" s="14" t="s">
        <v>961</v>
      </c>
    </row>
    <row r="510" spans="2:11" hidden="1" x14ac:dyDescent="0.3">
      <c r="C510" s="17" t="str">
        <f>C451</f>
        <v>Лікар-лаборант</v>
      </c>
      <c r="D510" s="73">
        <f>D451</f>
        <v>10799.43</v>
      </c>
      <c r="E510" s="78">
        <f>D510*12</f>
        <v>129593.16</v>
      </c>
      <c r="F510" s="73">
        <f>F451</f>
        <v>8307.26</v>
      </c>
      <c r="G510" s="73">
        <f>G451</f>
        <v>4153.63</v>
      </c>
      <c r="H510" s="78">
        <f>E510+F510+G510</f>
        <v>142054.05000000002</v>
      </c>
      <c r="I510" s="17">
        <v>1807.2</v>
      </c>
      <c r="J510" s="16">
        <f>ROUND((H510/I510)/60,2)</f>
        <v>1.31</v>
      </c>
    </row>
    <row r="511" spans="2:11" hidden="1" x14ac:dyDescent="0.3">
      <c r="C511" s="17" t="str">
        <f>C452</f>
        <v>Лаборант клінічної лабораторії</v>
      </c>
      <c r="D511" s="73">
        <f>D452</f>
        <v>7871.18</v>
      </c>
      <c r="E511" s="78">
        <f>D511*12</f>
        <v>94454.16</v>
      </c>
      <c r="F511" s="73">
        <f>F452</f>
        <v>6054.75</v>
      </c>
      <c r="G511" s="73">
        <f>G452</f>
        <v>3027.375</v>
      </c>
      <c r="H511" s="78">
        <f>E511+F511+G511</f>
        <v>103536.285</v>
      </c>
      <c r="I511" s="17">
        <v>1807.2</v>
      </c>
      <c r="J511" s="16">
        <f>ROUND((H511/I511)/60,2)</f>
        <v>0.95</v>
      </c>
    </row>
    <row r="512" spans="2:11" hidden="1" x14ac:dyDescent="0.3"/>
    <row r="513" spans="2:7" hidden="1" x14ac:dyDescent="0.3">
      <c r="C513" s="13" t="s">
        <v>929</v>
      </c>
      <c r="D513" s="14" t="s">
        <v>961</v>
      </c>
      <c r="E513" s="14" t="s">
        <v>930</v>
      </c>
      <c r="F513" s="14" t="s">
        <v>931</v>
      </c>
    </row>
    <row r="514" spans="2:7" hidden="1" x14ac:dyDescent="0.3">
      <c r="C514" s="15" t="str">
        <f>C510</f>
        <v>Лікар-лаборант</v>
      </c>
      <c r="D514" s="78">
        <f>J510</f>
        <v>1.31</v>
      </c>
      <c r="E514" s="73">
        <f>10+3</f>
        <v>13</v>
      </c>
      <c r="F514" s="299">
        <f>ROUND(D514*E514,2)</f>
        <v>17.03</v>
      </c>
    </row>
    <row r="515" spans="2:7" hidden="1" x14ac:dyDescent="0.3">
      <c r="C515" s="15" t="str">
        <f>C511</f>
        <v>Лаборант клінічної лабораторії</v>
      </c>
      <c r="D515" s="78">
        <f>J511</f>
        <v>0.95</v>
      </c>
      <c r="E515" s="73">
        <f>10</f>
        <v>10</v>
      </c>
      <c r="F515" s="299">
        <f>ROUND(D515*E515,2)</f>
        <v>9.5</v>
      </c>
    </row>
    <row r="516" spans="2:7" hidden="1" x14ac:dyDescent="0.3">
      <c r="D516" s="19"/>
      <c r="E516" s="74" t="s">
        <v>1016</v>
      </c>
    </row>
    <row r="517" spans="2:7" hidden="1" x14ac:dyDescent="0.3">
      <c r="C517" s="17" t="s">
        <v>933</v>
      </c>
      <c r="D517" s="78">
        <f>F514+F515</f>
        <v>26.53</v>
      </c>
      <c r="E517" s="300">
        <v>0.22</v>
      </c>
      <c r="F517" s="301">
        <f>ROUND(D517*E517,2)</f>
        <v>5.84</v>
      </c>
    </row>
    <row r="518" spans="2:7" hidden="1" x14ac:dyDescent="0.3"/>
    <row r="519" spans="2:7" hidden="1" x14ac:dyDescent="0.3">
      <c r="C519" s="12" t="s">
        <v>946</v>
      </c>
      <c r="D519" s="227"/>
      <c r="E519" s="227"/>
      <c r="F519" s="227">
        <f>G532</f>
        <v>107.33999999999999</v>
      </c>
      <c r="G519" s="227" t="s">
        <v>971</v>
      </c>
    </row>
    <row r="520" spans="2:7" hidden="1" x14ac:dyDescent="0.3"/>
    <row r="521" spans="2:7" hidden="1" x14ac:dyDescent="0.3">
      <c r="B521" s="82" t="s">
        <v>991</v>
      </c>
      <c r="C521" s="83" t="s">
        <v>986</v>
      </c>
      <c r="D521" s="83" t="s">
        <v>1112</v>
      </c>
      <c r="E521" s="83" t="s">
        <v>988</v>
      </c>
      <c r="F521" s="83" t="s">
        <v>1113</v>
      </c>
      <c r="G521" s="82" t="s">
        <v>988</v>
      </c>
    </row>
    <row r="522" spans="2:7" hidden="1" x14ac:dyDescent="0.3">
      <c r="B522" s="73">
        <v>1</v>
      </c>
      <c r="C522" s="79" t="str">
        <f>'МЕДИЧНІ М'!B222</f>
        <v>Тест-система для визначення СРБ</v>
      </c>
      <c r="D522" s="75" t="s">
        <v>941</v>
      </c>
      <c r="E522" s="75">
        <f>'МЕДИЧНІ М'!F222</f>
        <v>100</v>
      </c>
      <c r="F522" s="86">
        <v>1</v>
      </c>
      <c r="G522" s="88">
        <f>ROUND(E522/F522,2)</f>
        <v>100</v>
      </c>
    </row>
    <row r="523" spans="2:7" hidden="1" x14ac:dyDescent="0.3">
      <c r="B523" s="73">
        <f>1+B522</f>
        <v>2</v>
      </c>
      <c r="C523" s="79" t="str">
        <f>'МЕДИЧНІ М'!B235</f>
        <v>Наконечник для лабораторних дозаторів</v>
      </c>
      <c r="D523" s="75" t="s">
        <v>941</v>
      </c>
      <c r="E523" s="75">
        <f>'МЕДИЧНІ М'!E235</f>
        <v>115</v>
      </c>
      <c r="F523" s="86">
        <v>1000</v>
      </c>
      <c r="G523" s="88">
        <f>ROUND(E523/F523,2)</f>
        <v>0.12</v>
      </c>
    </row>
    <row r="524" spans="2:7" hidden="1" x14ac:dyDescent="0.3">
      <c r="B524" s="73">
        <f t="shared" ref="B524:B531" si="13">1+B523</f>
        <v>3</v>
      </c>
      <c r="C524" s="27" t="s">
        <v>943</v>
      </c>
      <c r="D524" s="75" t="s">
        <v>941</v>
      </c>
      <c r="E524" s="76">
        <f>'МЕДИЧНІ М'!E198</f>
        <v>6.72</v>
      </c>
      <c r="F524" s="77">
        <v>100</v>
      </c>
      <c r="G524" s="78">
        <f>ROUND(E524/F524,2)</f>
        <v>7.0000000000000007E-2</v>
      </c>
    </row>
    <row r="525" spans="2:7" hidden="1" x14ac:dyDescent="0.3">
      <c r="B525" s="73">
        <f t="shared" si="13"/>
        <v>4</v>
      </c>
      <c r="C525" s="489" t="s">
        <v>1124</v>
      </c>
      <c r="D525" s="76" t="s">
        <v>937</v>
      </c>
      <c r="E525" s="76">
        <f>'МЕДИЧНІ М'!E200</f>
        <v>0.5</v>
      </c>
      <c r="F525" s="77">
        <v>0.5</v>
      </c>
      <c r="G525" s="78">
        <f>ROUND(E525/F525,2)</f>
        <v>1</v>
      </c>
    </row>
    <row r="526" spans="2:7" hidden="1" x14ac:dyDescent="0.3">
      <c r="B526" s="73">
        <f t="shared" si="13"/>
        <v>5</v>
      </c>
      <c r="C526" s="489" t="s">
        <v>940</v>
      </c>
      <c r="D526" s="76" t="s">
        <v>941</v>
      </c>
      <c r="E526" s="76">
        <f>'МЕДИЧНІ М'!E202</f>
        <v>2</v>
      </c>
      <c r="F526" s="28">
        <v>0.5</v>
      </c>
      <c r="G526" s="81">
        <f>ROUND(E526*F526,2)</f>
        <v>1</v>
      </c>
    </row>
    <row r="527" spans="2:7" hidden="1" x14ac:dyDescent="0.3">
      <c r="B527" s="73">
        <f t="shared" si="13"/>
        <v>6</v>
      </c>
      <c r="C527" s="488" t="s">
        <v>936</v>
      </c>
      <c r="D527" s="76" t="s">
        <v>937</v>
      </c>
      <c r="E527" s="76">
        <f>'МЕДИЧНІ М'!E204</f>
        <v>0.3</v>
      </c>
      <c r="F527" s="77">
        <v>2</v>
      </c>
      <c r="G527" s="88">
        <f>ROUND(E527*F527,2)</f>
        <v>0.6</v>
      </c>
    </row>
    <row r="528" spans="2:7" hidden="1" x14ac:dyDescent="0.3">
      <c r="B528" s="73">
        <f t="shared" si="13"/>
        <v>7</v>
      </c>
      <c r="C528" s="488" t="s">
        <v>981</v>
      </c>
      <c r="D528" s="76" t="s">
        <v>941</v>
      </c>
      <c r="E528" s="76">
        <f>'МЕДИЧНІ М'!E209</f>
        <v>0.6</v>
      </c>
      <c r="F528" s="77">
        <v>1</v>
      </c>
      <c r="G528" s="88">
        <f>ROUND(E528/F528,2)</f>
        <v>0.6</v>
      </c>
    </row>
    <row r="529" spans="2:18" hidden="1" x14ac:dyDescent="0.3">
      <c r="B529" s="73">
        <f t="shared" si="13"/>
        <v>8</v>
      </c>
      <c r="C529" s="488" t="s">
        <v>934</v>
      </c>
      <c r="D529" s="76" t="s">
        <v>941</v>
      </c>
      <c r="E529" s="76">
        <f>'МЕДИЧНІ М'!E210</f>
        <v>2.8</v>
      </c>
      <c r="F529" s="86">
        <v>1</v>
      </c>
      <c r="G529" s="88">
        <f>ROUND(E529/F529,2)</f>
        <v>2.8</v>
      </c>
    </row>
    <row r="530" spans="2:18" hidden="1" x14ac:dyDescent="0.3">
      <c r="B530" s="73">
        <f t="shared" si="13"/>
        <v>9</v>
      </c>
      <c r="C530" s="27" t="s">
        <v>942</v>
      </c>
      <c r="D530" s="28" t="s">
        <v>974</v>
      </c>
      <c r="E530" s="81">
        <f>'МЕДИЧНІ М'!E215</f>
        <v>24.6</v>
      </c>
      <c r="F530" s="28">
        <v>100</v>
      </c>
      <c r="G530" s="81">
        <f>ROUND(E530/F530,2)</f>
        <v>0.25</v>
      </c>
    </row>
    <row r="531" spans="2:18" hidden="1" x14ac:dyDescent="0.3">
      <c r="B531" s="73">
        <f t="shared" si="13"/>
        <v>10</v>
      </c>
      <c r="C531" s="161" t="s">
        <v>201</v>
      </c>
      <c r="D531" s="28" t="s">
        <v>941</v>
      </c>
      <c r="E531" s="81">
        <f>'МЕДИЧНІ М'!E221</f>
        <v>0.9</v>
      </c>
      <c r="F531" s="81">
        <v>1</v>
      </c>
      <c r="G531" s="81">
        <f>ROUND(E531*F531,2)</f>
        <v>0.9</v>
      </c>
    </row>
    <row r="532" spans="2:18" hidden="1" x14ac:dyDescent="0.3">
      <c r="B532" s="1012" t="s">
        <v>945</v>
      </c>
      <c r="C532" s="1013"/>
      <c r="D532" s="1013"/>
      <c r="E532" s="1013"/>
      <c r="F532" s="1014"/>
      <c r="G532" s="572">
        <f>SUM(G522:G531)</f>
        <v>107.33999999999999</v>
      </c>
    </row>
    <row r="533" spans="2:18" hidden="1" x14ac:dyDescent="0.3"/>
    <row r="534" spans="2:18" hidden="1" x14ac:dyDescent="0.3">
      <c r="C534" s="12" t="s">
        <v>968</v>
      </c>
      <c r="D534" s="227"/>
      <c r="E534" s="227"/>
      <c r="F534" s="298">
        <f>H537</f>
        <v>0.46</v>
      </c>
      <c r="G534" s="227" t="s">
        <v>971</v>
      </c>
    </row>
    <row r="535" spans="2:18" hidden="1" x14ac:dyDescent="0.3">
      <c r="C535" s="22"/>
      <c r="D535" s="36"/>
      <c r="E535" s="36"/>
      <c r="F535" s="302"/>
      <c r="G535" s="36"/>
    </row>
    <row r="536" spans="2:18" ht="27.6" hidden="1" x14ac:dyDescent="0.3">
      <c r="C536" s="14" t="s">
        <v>513</v>
      </c>
      <c r="D536" s="14" t="s">
        <v>1114</v>
      </c>
      <c r="E536" s="14" t="s">
        <v>516</v>
      </c>
      <c r="F536" s="14" t="s">
        <v>970</v>
      </c>
      <c r="G536" s="14" t="s">
        <v>930</v>
      </c>
      <c r="H536" s="14" t="s">
        <v>961</v>
      </c>
    </row>
    <row r="537" spans="2:18" s="516" customFormat="1" hidden="1" x14ac:dyDescent="0.3">
      <c r="B537" s="554"/>
      <c r="C537" s="552" t="str">
        <f>АМОРТИЗАЦІЯ!B70</f>
        <v>LS-1100 Аналізатор імунофлуоресцентний</v>
      </c>
      <c r="D537" s="573">
        <f>АМОРТИЗАЦІЯ!C70</f>
        <v>6500</v>
      </c>
      <c r="E537" s="531">
        <v>6500</v>
      </c>
      <c r="F537" s="531">
        <f>ROUND((D537/E537)/60,2)</f>
        <v>0.02</v>
      </c>
      <c r="G537" s="531">
        <f>E515+E514</f>
        <v>23</v>
      </c>
      <c r="H537" s="573">
        <f>ROUND(F537*G537,2)</f>
        <v>0.46</v>
      </c>
      <c r="I537" s="555"/>
      <c r="J537" s="554"/>
      <c r="K537" s="556"/>
      <c r="L537" s="557"/>
      <c r="M537" s="557"/>
      <c r="N537" s="558"/>
      <c r="O537" s="558"/>
      <c r="P537" s="558"/>
      <c r="Q537" s="558"/>
      <c r="R537" s="558"/>
    </row>
    <row r="538" spans="2:18" hidden="1" x14ac:dyDescent="0.3"/>
    <row r="539" spans="2:18" hidden="1" x14ac:dyDescent="0.3">
      <c r="C539" s="12" t="s">
        <v>948</v>
      </c>
      <c r="D539" s="227"/>
      <c r="E539" s="227"/>
      <c r="F539" s="298">
        <f>H552</f>
        <v>2.99</v>
      </c>
      <c r="G539" s="227" t="s">
        <v>971</v>
      </c>
    </row>
    <row r="540" spans="2:18" hidden="1" x14ac:dyDescent="0.3">
      <c r="C540" s="22"/>
      <c r="D540" s="36"/>
      <c r="E540" s="36"/>
      <c r="F540" s="302"/>
    </row>
    <row r="541" spans="2:18" ht="27.6" hidden="1" x14ac:dyDescent="0.3">
      <c r="C541" s="14" t="s">
        <v>948</v>
      </c>
      <c r="D541" s="14" t="s">
        <v>1110</v>
      </c>
      <c r="E541" s="14" t="s">
        <v>516</v>
      </c>
      <c r="F541" s="14" t="s">
        <v>954</v>
      </c>
      <c r="G541" s="14" t="s">
        <v>930</v>
      </c>
      <c r="H541" s="14" t="s">
        <v>1111</v>
      </c>
    </row>
    <row r="542" spans="2:18" hidden="1" x14ac:dyDescent="0.3">
      <c r="C542" s="1009" t="str">
        <f>C510</f>
        <v>Лікар-лаборант</v>
      </c>
      <c r="D542" s="1010"/>
      <c r="E542" s="1010"/>
      <c r="F542" s="1010"/>
      <c r="G542" s="1010"/>
      <c r="H542" s="1011"/>
    </row>
    <row r="543" spans="2:18" hidden="1" x14ac:dyDescent="0.3">
      <c r="C543" s="17" t="s">
        <v>951</v>
      </c>
      <c r="D543" s="221">
        <f>D488</f>
        <v>12188.608008565312</v>
      </c>
      <c r="E543" s="73">
        <f>I510</f>
        <v>1807.2</v>
      </c>
      <c r="F543" s="73">
        <f>ROUND((D543/E543)/60,2)</f>
        <v>0.11</v>
      </c>
      <c r="G543" s="73">
        <f>E514</f>
        <v>13</v>
      </c>
      <c r="H543" s="78">
        <f>ROUND(F543*G543,2)</f>
        <v>1.43</v>
      </c>
    </row>
    <row r="544" spans="2:18" hidden="1" x14ac:dyDescent="0.3">
      <c r="C544" s="17" t="s">
        <v>952</v>
      </c>
      <c r="D544" s="221">
        <f>D489</f>
        <v>53.149721627408987</v>
      </c>
      <c r="E544" s="73">
        <f>I510</f>
        <v>1807.2</v>
      </c>
      <c r="F544" s="73">
        <f>ROUND((D544/E544)/60,2)</f>
        <v>0</v>
      </c>
      <c r="G544" s="73">
        <f>E514</f>
        <v>13</v>
      </c>
      <c r="H544" s="78">
        <f>ROUND(F544*G544,2)</f>
        <v>0</v>
      </c>
    </row>
    <row r="545" spans="2:11" hidden="1" x14ac:dyDescent="0.3">
      <c r="C545" s="17" t="s">
        <v>953</v>
      </c>
      <c r="D545" s="221">
        <f>D490</f>
        <v>374.98368308351178</v>
      </c>
      <c r="E545" s="73">
        <f>I510</f>
        <v>1807.2</v>
      </c>
      <c r="F545" s="73">
        <f>ROUND((D545/E545)/60,2)</f>
        <v>0</v>
      </c>
      <c r="G545" s="73">
        <f>E514</f>
        <v>13</v>
      </c>
      <c r="H545" s="78">
        <f>ROUND(F545*G545,2)</f>
        <v>0</v>
      </c>
    </row>
    <row r="546" spans="2:11" hidden="1" x14ac:dyDescent="0.3">
      <c r="C546" s="17" t="s">
        <v>1109</v>
      </c>
      <c r="D546" s="221">
        <f>D491</f>
        <v>1686.0389293361886</v>
      </c>
      <c r="E546" s="73">
        <f>I510</f>
        <v>1807.2</v>
      </c>
      <c r="F546" s="73">
        <f>ROUND((D546/E546)/60,2)</f>
        <v>0.02</v>
      </c>
      <c r="G546" s="73">
        <f>E514</f>
        <v>13</v>
      </c>
      <c r="H546" s="78">
        <f>ROUND(F546*G546,2)</f>
        <v>0.26</v>
      </c>
    </row>
    <row r="547" spans="2:11" hidden="1" x14ac:dyDescent="0.3">
      <c r="C547" s="1009" t="str">
        <f>C511</f>
        <v>Лаборант клінічної лабораторії</v>
      </c>
      <c r="D547" s="1010"/>
      <c r="E547" s="1010"/>
      <c r="F547" s="1010"/>
      <c r="G547" s="1010"/>
      <c r="H547" s="1011"/>
    </row>
    <row r="548" spans="2:11" hidden="1" x14ac:dyDescent="0.3">
      <c r="C548" s="17" t="s">
        <v>951</v>
      </c>
      <c r="D548" s="221">
        <f>D543</f>
        <v>12188.608008565312</v>
      </c>
      <c r="E548" s="73">
        <f>I511</f>
        <v>1807.2</v>
      </c>
      <c r="F548" s="73">
        <f>ROUND((D548/E548)/60,2)</f>
        <v>0.11</v>
      </c>
      <c r="G548" s="73">
        <f>E515</f>
        <v>10</v>
      </c>
      <c r="H548" s="78">
        <f>ROUND(F548*G548,2)</f>
        <v>1.1000000000000001</v>
      </c>
    </row>
    <row r="549" spans="2:11" hidden="1" x14ac:dyDescent="0.3">
      <c r="C549" s="17" t="s">
        <v>952</v>
      </c>
      <c r="D549" s="221">
        <f>D544</f>
        <v>53.149721627408987</v>
      </c>
      <c r="E549" s="73">
        <f>I511</f>
        <v>1807.2</v>
      </c>
      <c r="F549" s="73">
        <f>ROUND((D549/E549)/60,2)</f>
        <v>0</v>
      </c>
      <c r="G549" s="73">
        <f>E515</f>
        <v>10</v>
      </c>
      <c r="H549" s="78">
        <f>ROUND(F549*G549,2)</f>
        <v>0</v>
      </c>
    </row>
    <row r="550" spans="2:11" hidden="1" x14ac:dyDescent="0.3">
      <c r="C550" s="17" t="s">
        <v>953</v>
      </c>
      <c r="D550" s="221">
        <f>D545</f>
        <v>374.98368308351178</v>
      </c>
      <c r="E550" s="73">
        <f>I511</f>
        <v>1807.2</v>
      </c>
      <c r="F550" s="73">
        <f>ROUND((D550/E550)/60,2)</f>
        <v>0</v>
      </c>
      <c r="G550" s="73">
        <f>E515</f>
        <v>10</v>
      </c>
      <c r="H550" s="78">
        <f>ROUND(F550*G550,2)</f>
        <v>0</v>
      </c>
    </row>
    <row r="551" spans="2:11" hidden="1" x14ac:dyDescent="0.3">
      <c r="C551" s="17" t="s">
        <v>1109</v>
      </c>
      <c r="D551" s="221">
        <f>D546</f>
        <v>1686.0389293361886</v>
      </c>
      <c r="E551" s="73">
        <f>I511</f>
        <v>1807.2</v>
      </c>
      <c r="F551" s="73">
        <f>ROUND((D551/E551)/60,2)</f>
        <v>0.02</v>
      </c>
      <c r="G551" s="73">
        <f>E515</f>
        <v>10</v>
      </c>
      <c r="H551" s="78">
        <f>ROUND(F551*G551,2)</f>
        <v>0.2</v>
      </c>
    </row>
    <row r="552" spans="2:11" hidden="1" x14ac:dyDescent="0.3">
      <c r="C552" s="1012" t="s">
        <v>957</v>
      </c>
      <c r="D552" s="1013"/>
      <c r="E552" s="1013"/>
      <c r="F552" s="1013"/>
      <c r="G552" s="1014"/>
      <c r="H552" s="299">
        <f>SUM(H543:H551)</f>
        <v>2.99</v>
      </c>
    </row>
    <row r="553" spans="2:11" hidden="1" x14ac:dyDescent="0.3"/>
    <row r="554" spans="2:11" hidden="1" x14ac:dyDescent="0.3">
      <c r="C554" s="1015" t="s">
        <v>959</v>
      </c>
      <c r="D554" s="1015"/>
      <c r="E554" s="1015"/>
      <c r="F554" s="1015"/>
      <c r="G554" s="1015"/>
      <c r="H554" s="334">
        <f>F507+F519+F539+F534</f>
        <v>143.16</v>
      </c>
    </row>
    <row r="555" spans="2:11" hidden="1" x14ac:dyDescent="0.3">
      <c r="C555" s="33"/>
      <c r="D555" s="33"/>
      <c r="E555" s="33"/>
      <c r="F555" s="33"/>
      <c r="G555" s="33"/>
      <c r="H555" s="335"/>
    </row>
    <row r="556" spans="2:11" hidden="1" x14ac:dyDescent="0.3">
      <c r="C556" s="1015" t="s">
        <v>960</v>
      </c>
      <c r="D556" s="1015"/>
      <c r="E556" s="1015"/>
      <c r="F556" s="1015"/>
      <c r="G556" s="1015"/>
      <c r="H556" s="334">
        <f>ROUND(H554,0)</f>
        <v>143</v>
      </c>
    </row>
    <row r="557" spans="2:11" hidden="1" x14ac:dyDescent="0.3"/>
    <row r="558" spans="2:11" ht="18.600000000000001" hidden="1" x14ac:dyDescent="0.3">
      <c r="B558" s="1016" t="s">
        <v>958</v>
      </c>
      <c r="C558" s="1016"/>
      <c r="D558" s="1016"/>
      <c r="E558" s="1016"/>
      <c r="F558" s="1016"/>
      <c r="G558" s="1016"/>
      <c r="H558" s="1016"/>
      <c r="I558" s="1016"/>
      <c r="J558" s="1016"/>
    </row>
    <row r="559" spans="2:11" ht="19.2" hidden="1" x14ac:dyDescent="0.35">
      <c r="B559" s="53"/>
      <c r="C559" s="53"/>
      <c r="D559" s="225"/>
      <c r="E559" s="225"/>
      <c r="F559" s="225"/>
      <c r="G559" s="225"/>
      <c r="H559" s="225"/>
      <c r="I559" s="53"/>
      <c r="J559" s="53"/>
    </row>
    <row r="560" spans="2:11" ht="19.2" hidden="1" x14ac:dyDescent="0.35">
      <c r="B560" s="50" t="s">
        <v>317</v>
      </c>
      <c r="C560" s="1017" t="str">
        <f>M18</f>
        <v>Прокальцитонін (кількісні результати)</v>
      </c>
      <c r="D560" s="1017"/>
      <c r="E560" s="1017"/>
      <c r="F560" s="296">
        <f>H611</f>
        <v>335</v>
      </c>
      <c r="G560" s="296" t="s">
        <v>971</v>
      </c>
      <c r="H560" s="225"/>
      <c r="I560" s="53"/>
      <c r="J560" s="53"/>
      <c r="K560" s="561">
        <f>F560-G577</f>
        <v>55</v>
      </c>
    </row>
    <row r="561" spans="2:10" hidden="1" x14ac:dyDescent="0.3"/>
    <row r="562" spans="2:10" hidden="1" x14ac:dyDescent="0.3">
      <c r="C562" s="1018" t="s">
        <v>932</v>
      </c>
      <c r="D562" s="1018"/>
      <c r="E562" s="297"/>
      <c r="F562" s="298">
        <f>F569+F572+F570</f>
        <v>43.55</v>
      </c>
      <c r="G562" s="227" t="s">
        <v>971</v>
      </c>
    </row>
    <row r="563" spans="2:10" hidden="1" x14ac:dyDescent="0.3"/>
    <row r="564" spans="2:10" ht="27.6" hidden="1" x14ac:dyDescent="0.3">
      <c r="C564" s="13" t="s">
        <v>929</v>
      </c>
      <c r="D564" s="14" t="s">
        <v>928</v>
      </c>
      <c r="E564" s="14" t="s">
        <v>514</v>
      </c>
      <c r="F564" s="14" t="s">
        <v>515</v>
      </c>
      <c r="G564" s="14" t="s">
        <v>962</v>
      </c>
      <c r="H564" s="14" t="s">
        <v>926</v>
      </c>
      <c r="I564" s="14" t="s">
        <v>516</v>
      </c>
      <c r="J564" s="14" t="s">
        <v>961</v>
      </c>
    </row>
    <row r="565" spans="2:10" hidden="1" x14ac:dyDescent="0.3">
      <c r="C565" s="17" t="str">
        <f>C510</f>
        <v>Лікар-лаборант</v>
      </c>
      <c r="D565" s="73">
        <f>D510</f>
        <v>10799.43</v>
      </c>
      <c r="E565" s="78">
        <f>D565*12</f>
        <v>129593.16</v>
      </c>
      <c r="F565" s="73">
        <f>F510</f>
        <v>8307.26</v>
      </c>
      <c r="G565" s="73">
        <f>G510</f>
        <v>4153.63</v>
      </c>
      <c r="H565" s="78">
        <f>E565+F565+G565</f>
        <v>142054.05000000002</v>
      </c>
      <c r="I565" s="17">
        <v>1807.2</v>
      </c>
      <c r="J565" s="16">
        <f>ROUND((H565/I565)/60,2)</f>
        <v>1.31</v>
      </c>
    </row>
    <row r="566" spans="2:10" hidden="1" x14ac:dyDescent="0.3">
      <c r="C566" s="17" t="str">
        <f>C511</f>
        <v>Лаборант клінічної лабораторії</v>
      </c>
      <c r="D566" s="73">
        <f>D511</f>
        <v>7871.18</v>
      </c>
      <c r="E566" s="78">
        <f>D566*12</f>
        <v>94454.16</v>
      </c>
      <c r="F566" s="73">
        <f>F511</f>
        <v>6054.75</v>
      </c>
      <c r="G566" s="73">
        <f>G511</f>
        <v>3027.375</v>
      </c>
      <c r="H566" s="78">
        <f>E566+F566+G566</f>
        <v>103536.285</v>
      </c>
      <c r="I566" s="17">
        <v>1807.2</v>
      </c>
      <c r="J566" s="16">
        <f>ROUND((H566/I566)/60,2)</f>
        <v>0.95</v>
      </c>
    </row>
    <row r="567" spans="2:10" hidden="1" x14ac:dyDescent="0.3"/>
    <row r="568" spans="2:10" hidden="1" x14ac:dyDescent="0.3">
      <c r="C568" s="13" t="s">
        <v>929</v>
      </c>
      <c r="D568" s="14" t="s">
        <v>961</v>
      </c>
      <c r="E568" s="14" t="s">
        <v>930</v>
      </c>
      <c r="F568" s="14" t="s">
        <v>931</v>
      </c>
    </row>
    <row r="569" spans="2:10" hidden="1" x14ac:dyDescent="0.3">
      <c r="C569" s="15" t="str">
        <f>C565</f>
        <v>Лікар-лаборант</v>
      </c>
      <c r="D569" s="78">
        <f>J565</f>
        <v>1.31</v>
      </c>
      <c r="E569" s="73">
        <f>10+10</f>
        <v>20</v>
      </c>
      <c r="F569" s="299">
        <f>ROUND(D569*E569,2)</f>
        <v>26.2</v>
      </c>
    </row>
    <row r="570" spans="2:10" hidden="1" x14ac:dyDescent="0.3">
      <c r="C570" s="15" t="str">
        <f>C566</f>
        <v>Лаборант клінічної лабораторії</v>
      </c>
      <c r="D570" s="78">
        <f>J566</f>
        <v>0.95</v>
      </c>
      <c r="E570" s="73">
        <f>5+5</f>
        <v>10</v>
      </c>
      <c r="F570" s="299">
        <f>ROUND(D570*E570,2)</f>
        <v>9.5</v>
      </c>
    </row>
    <row r="571" spans="2:10" hidden="1" x14ac:dyDescent="0.3">
      <c r="D571" s="19"/>
      <c r="E571" s="74" t="s">
        <v>1016</v>
      </c>
    </row>
    <row r="572" spans="2:10" hidden="1" x14ac:dyDescent="0.3">
      <c r="C572" s="17" t="s">
        <v>933</v>
      </c>
      <c r="D572" s="78">
        <f>F569+F570</f>
        <v>35.700000000000003</v>
      </c>
      <c r="E572" s="300">
        <v>0.22</v>
      </c>
      <c r="F572" s="301">
        <f>ROUND(D572*E572,2)</f>
        <v>7.85</v>
      </c>
    </row>
    <row r="573" spans="2:10" hidden="1" x14ac:dyDescent="0.3"/>
    <row r="574" spans="2:10" hidden="1" x14ac:dyDescent="0.3">
      <c r="C574" s="12" t="s">
        <v>946</v>
      </c>
      <c r="D574" s="227"/>
      <c r="E574" s="227"/>
      <c r="F574" s="227">
        <f>G587</f>
        <v>287.34000000000003</v>
      </c>
      <c r="G574" s="227" t="s">
        <v>971</v>
      </c>
    </row>
    <row r="575" spans="2:10" hidden="1" x14ac:dyDescent="0.3"/>
    <row r="576" spans="2:10" hidden="1" x14ac:dyDescent="0.3">
      <c r="B576" s="82" t="s">
        <v>991</v>
      </c>
      <c r="C576" s="83" t="s">
        <v>986</v>
      </c>
      <c r="D576" s="83" t="s">
        <v>1112</v>
      </c>
      <c r="E576" s="83" t="s">
        <v>988</v>
      </c>
      <c r="F576" s="83" t="s">
        <v>1113</v>
      </c>
      <c r="G576" s="82" t="s">
        <v>988</v>
      </c>
    </row>
    <row r="577" spans="2:18" hidden="1" x14ac:dyDescent="0.3">
      <c r="B577" s="73">
        <v>1</v>
      </c>
      <c r="C577" s="79" t="str">
        <f>'МЕДИЧНІ М'!B223</f>
        <v>Тест-система для визначення прокальцитоніну</v>
      </c>
      <c r="D577" s="75" t="s">
        <v>941</v>
      </c>
      <c r="E577" s="75">
        <f>'МЕДИЧНІ М'!F223</f>
        <v>280</v>
      </c>
      <c r="F577" s="86">
        <v>1</v>
      </c>
      <c r="G577" s="88">
        <f>ROUND(E577/F577,2)</f>
        <v>280</v>
      </c>
      <c r="L577" s="560"/>
    </row>
    <row r="578" spans="2:18" hidden="1" x14ac:dyDescent="0.3">
      <c r="B578" s="73">
        <f>1+B577</f>
        <v>2</v>
      </c>
      <c r="C578" s="79" t="str">
        <f t="shared" ref="C578:E586" si="14">C523</f>
        <v>Наконечник для лабораторних дозаторів</v>
      </c>
      <c r="D578" s="559" t="str">
        <f t="shared" si="14"/>
        <v>шт</v>
      </c>
      <c r="E578" s="559">
        <f t="shared" si="14"/>
        <v>115</v>
      </c>
      <c r="F578" s="86">
        <v>1000</v>
      </c>
      <c r="G578" s="88">
        <f>ROUND(E578/F578,2)</f>
        <v>0.12</v>
      </c>
    </row>
    <row r="579" spans="2:18" hidden="1" x14ac:dyDescent="0.3">
      <c r="B579" s="73">
        <f t="shared" ref="B579:B586" si="15">1+B578</f>
        <v>3</v>
      </c>
      <c r="C579" s="79" t="str">
        <f t="shared" si="14"/>
        <v>Вата</v>
      </c>
      <c r="D579" s="559" t="str">
        <f t="shared" si="14"/>
        <v>шт</v>
      </c>
      <c r="E579" s="559">
        <f t="shared" si="14"/>
        <v>6.72</v>
      </c>
      <c r="F579" s="77">
        <v>100</v>
      </c>
      <c r="G579" s="78">
        <f>ROUND(E579/F579,2)</f>
        <v>7.0000000000000007E-2</v>
      </c>
    </row>
    <row r="580" spans="2:18" hidden="1" x14ac:dyDescent="0.3">
      <c r="B580" s="73">
        <f t="shared" si="15"/>
        <v>4</v>
      </c>
      <c r="C580" s="79" t="str">
        <f t="shared" si="14"/>
        <v>Деззасоби</v>
      </c>
      <c r="D580" s="559" t="str">
        <f t="shared" si="14"/>
        <v>мл</v>
      </c>
      <c r="E580" s="559">
        <f t="shared" si="14"/>
        <v>0.5</v>
      </c>
      <c r="F580" s="77">
        <v>0.5</v>
      </c>
      <c r="G580" s="78">
        <f>ROUND(E580/F580,2)</f>
        <v>1</v>
      </c>
    </row>
    <row r="581" spans="2:18" hidden="1" x14ac:dyDescent="0.3">
      <c r="B581" s="73">
        <f t="shared" si="15"/>
        <v>5</v>
      </c>
      <c r="C581" s="79" t="str">
        <f t="shared" si="14"/>
        <v>Маска на резинці, стерильна.</v>
      </c>
      <c r="D581" s="559" t="str">
        <f t="shared" si="14"/>
        <v>шт</v>
      </c>
      <c r="E581" s="559">
        <f t="shared" si="14"/>
        <v>2</v>
      </c>
      <c r="F581" s="28">
        <v>0.5</v>
      </c>
      <c r="G581" s="81">
        <f>ROUND(E581*F581,2)</f>
        <v>1</v>
      </c>
    </row>
    <row r="582" spans="2:18" hidden="1" x14ac:dyDescent="0.3">
      <c r="B582" s="73">
        <f t="shared" si="15"/>
        <v>6</v>
      </c>
      <c r="C582" s="79" t="str">
        <f t="shared" si="14"/>
        <v>Мікрасепт</v>
      </c>
      <c r="D582" s="559" t="str">
        <f t="shared" si="14"/>
        <v>мл</v>
      </c>
      <c r="E582" s="559">
        <f t="shared" si="14"/>
        <v>0.3</v>
      </c>
      <c r="F582" s="77">
        <v>2</v>
      </c>
      <c r="G582" s="88">
        <f>ROUND(E582*F582,2)</f>
        <v>0.6</v>
      </c>
    </row>
    <row r="583" spans="2:18" hidden="1" x14ac:dyDescent="0.3">
      <c r="B583" s="73">
        <f t="shared" si="15"/>
        <v>7</v>
      </c>
      <c r="C583" s="79" t="str">
        <f t="shared" si="14"/>
        <v>Пробірка</v>
      </c>
      <c r="D583" s="559" t="str">
        <f t="shared" si="14"/>
        <v>шт</v>
      </c>
      <c r="E583" s="559">
        <f t="shared" si="14"/>
        <v>0.6</v>
      </c>
      <c r="F583" s="77">
        <v>1</v>
      </c>
      <c r="G583" s="88">
        <f>ROUND(E583/F583,2)</f>
        <v>0.6</v>
      </c>
    </row>
    <row r="584" spans="2:18" hidden="1" x14ac:dyDescent="0.3">
      <c r="B584" s="73">
        <f t="shared" si="15"/>
        <v>8</v>
      </c>
      <c r="C584" s="79" t="str">
        <f t="shared" si="14"/>
        <v>Рукавиці н/с</v>
      </c>
      <c r="D584" s="559" t="str">
        <f t="shared" si="14"/>
        <v>шт</v>
      </c>
      <c r="E584" s="559">
        <f t="shared" si="14"/>
        <v>2.8</v>
      </c>
      <c r="F584" s="86">
        <v>1</v>
      </c>
      <c r="G584" s="88">
        <f>ROUND(E584/F584,2)</f>
        <v>2.8</v>
      </c>
    </row>
    <row r="585" spans="2:18" hidden="1" x14ac:dyDescent="0.3">
      <c r="B585" s="73">
        <f t="shared" si="15"/>
        <v>9</v>
      </c>
      <c r="C585" s="79" t="str">
        <f t="shared" si="14"/>
        <v xml:space="preserve">Спирт 70% 100мл </v>
      </c>
      <c r="D585" s="559" t="str">
        <f t="shared" si="14"/>
        <v>фл</v>
      </c>
      <c r="E585" s="559">
        <f t="shared" si="14"/>
        <v>24.6</v>
      </c>
      <c r="F585" s="28">
        <v>100</v>
      </c>
      <c r="G585" s="81">
        <f>ROUND(E585/F585,2)</f>
        <v>0.25</v>
      </c>
    </row>
    <row r="586" spans="2:18" hidden="1" x14ac:dyDescent="0.3">
      <c r="B586" s="73">
        <f t="shared" si="15"/>
        <v>10</v>
      </c>
      <c r="C586" s="79" t="str">
        <f t="shared" si="14"/>
        <v>Шприц 5 мл</v>
      </c>
      <c r="D586" s="559" t="str">
        <f t="shared" si="14"/>
        <v>шт</v>
      </c>
      <c r="E586" s="559">
        <f t="shared" si="14"/>
        <v>0.9</v>
      </c>
      <c r="F586" s="81">
        <v>1</v>
      </c>
      <c r="G586" s="81">
        <f>ROUND(E586*F586,2)</f>
        <v>0.9</v>
      </c>
    </row>
    <row r="587" spans="2:18" hidden="1" x14ac:dyDescent="0.3">
      <c r="B587" s="1012" t="s">
        <v>945</v>
      </c>
      <c r="C587" s="1013"/>
      <c r="D587" s="1013"/>
      <c r="E587" s="1013"/>
      <c r="F587" s="1014"/>
      <c r="G587" s="572">
        <f>SUM(G577:G586)</f>
        <v>287.34000000000003</v>
      </c>
    </row>
    <row r="588" spans="2:18" hidden="1" x14ac:dyDescent="0.3"/>
    <row r="589" spans="2:18" hidden="1" x14ac:dyDescent="0.3">
      <c r="C589" s="12" t="s">
        <v>968</v>
      </c>
      <c r="D589" s="227"/>
      <c r="E589" s="227"/>
      <c r="F589" s="298">
        <f>H592</f>
        <v>0.6</v>
      </c>
      <c r="G589" s="227" t="s">
        <v>971</v>
      </c>
    </row>
    <row r="590" spans="2:18" hidden="1" x14ac:dyDescent="0.3">
      <c r="C590" s="22"/>
      <c r="D590" s="36"/>
      <c r="E590" s="36"/>
      <c r="F590" s="302"/>
      <c r="G590" s="36"/>
    </row>
    <row r="591" spans="2:18" ht="27.6" hidden="1" x14ac:dyDescent="0.3">
      <c r="C591" s="14" t="s">
        <v>513</v>
      </c>
      <c r="D591" s="14" t="s">
        <v>1114</v>
      </c>
      <c r="E591" s="14" t="s">
        <v>516</v>
      </c>
      <c r="F591" s="14" t="s">
        <v>970</v>
      </c>
      <c r="G591" s="14" t="s">
        <v>930</v>
      </c>
      <c r="H591" s="14" t="s">
        <v>961</v>
      </c>
    </row>
    <row r="592" spans="2:18" s="516" customFormat="1" hidden="1" x14ac:dyDescent="0.3">
      <c r="B592" s="554"/>
      <c r="C592" s="552" t="str">
        <f>C537</f>
        <v>LS-1100 Аналізатор імунофлуоресцентний</v>
      </c>
      <c r="D592" s="574">
        <f>D537</f>
        <v>6500</v>
      </c>
      <c r="E592" s="531">
        <v>6500</v>
      </c>
      <c r="F592" s="531">
        <f>ROUND((D592/E592)/60,2)</f>
        <v>0.02</v>
      </c>
      <c r="G592" s="531">
        <f>E570+E569</f>
        <v>30</v>
      </c>
      <c r="H592" s="573">
        <f>ROUND(F592*G592,2)</f>
        <v>0.6</v>
      </c>
      <c r="I592" s="555"/>
      <c r="J592" s="554"/>
      <c r="K592" s="556"/>
      <c r="L592" s="557"/>
      <c r="M592" s="557"/>
      <c r="N592" s="558"/>
      <c r="O592" s="558"/>
      <c r="P592" s="558"/>
      <c r="Q592" s="558"/>
      <c r="R592" s="558"/>
    </row>
    <row r="593" spans="3:8" hidden="1" x14ac:dyDescent="0.3"/>
    <row r="594" spans="3:8" hidden="1" x14ac:dyDescent="0.3">
      <c r="C594" s="12" t="s">
        <v>948</v>
      </c>
      <c r="D594" s="227"/>
      <c r="E594" s="227"/>
      <c r="F594" s="298">
        <f>H607</f>
        <v>3.9000000000000004</v>
      </c>
      <c r="G594" s="227" t="s">
        <v>971</v>
      </c>
    </row>
    <row r="595" spans="3:8" hidden="1" x14ac:dyDescent="0.3">
      <c r="C595" s="22"/>
      <c r="D595" s="36"/>
      <c r="E595" s="36"/>
      <c r="F595" s="302"/>
    </row>
    <row r="596" spans="3:8" ht="27.6" hidden="1" x14ac:dyDescent="0.3">
      <c r="C596" s="14" t="s">
        <v>948</v>
      </c>
      <c r="D596" s="14" t="s">
        <v>1110</v>
      </c>
      <c r="E596" s="14" t="s">
        <v>516</v>
      </c>
      <c r="F596" s="14" t="s">
        <v>954</v>
      </c>
      <c r="G596" s="14" t="s">
        <v>930</v>
      </c>
      <c r="H596" s="14" t="s">
        <v>1111</v>
      </c>
    </row>
    <row r="597" spans="3:8" hidden="1" x14ac:dyDescent="0.3">
      <c r="C597" s="1009" t="str">
        <f>C565</f>
        <v>Лікар-лаборант</v>
      </c>
      <c r="D597" s="1010"/>
      <c r="E597" s="1010"/>
      <c r="F597" s="1010"/>
      <c r="G597" s="1010"/>
      <c r="H597" s="1011"/>
    </row>
    <row r="598" spans="3:8" hidden="1" x14ac:dyDescent="0.3">
      <c r="C598" s="17" t="s">
        <v>951</v>
      </c>
      <c r="D598" s="221">
        <f>D543</f>
        <v>12188.608008565312</v>
      </c>
      <c r="E598" s="73">
        <f>I565</f>
        <v>1807.2</v>
      </c>
      <c r="F598" s="73">
        <f>ROUND((D598/E598)/60,2)</f>
        <v>0.11</v>
      </c>
      <c r="G598" s="73">
        <f>E569</f>
        <v>20</v>
      </c>
      <c r="H598" s="78">
        <f>ROUND(F598*G598,2)</f>
        <v>2.2000000000000002</v>
      </c>
    </row>
    <row r="599" spans="3:8" hidden="1" x14ac:dyDescent="0.3">
      <c r="C599" s="17" t="s">
        <v>952</v>
      </c>
      <c r="D599" s="221">
        <f>D544</f>
        <v>53.149721627408987</v>
      </c>
      <c r="E599" s="73">
        <f>I565</f>
        <v>1807.2</v>
      </c>
      <c r="F599" s="73">
        <f>ROUND((D599/E599)/60,2)</f>
        <v>0</v>
      </c>
      <c r="G599" s="73">
        <f>E569</f>
        <v>20</v>
      </c>
      <c r="H599" s="78">
        <f>ROUND(F599*G599,2)</f>
        <v>0</v>
      </c>
    </row>
    <row r="600" spans="3:8" hidden="1" x14ac:dyDescent="0.3">
      <c r="C600" s="17" t="s">
        <v>953</v>
      </c>
      <c r="D600" s="221">
        <f>D545</f>
        <v>374.98368308351178</v>
      </c>
      <c r="E600" s="73">
        <f>I565</f>
        <v>1807.2</v>
      </c>
      <c r="F600" s="73">
        <f>ROUND((D600/E600)/60,2)</f>
        <v>0</v>
      </c>
      <c r="G600" s="73">
        <f>E569</f>
        <v>20</v>
      </c>
      <c r="H600" s="78">
        <f>ROUND(F600*G600,2)</f>
        <v>0</v>
      </c>
    </row>
    <row r="601" spans="3:8" hidden="1" x14ac:dyDescent="0.3">
      <c r="C601" s="17" t="s">
        <v>1109</v>
      </c>
      <c r="D601" s="221">
        <f>D546</f>
        <v>1686.0389293361886</v>
      </c>
      <c r="E601" s="73">
        <f>I565</f>
        <v>1807.2</v>
      </c>
      <c r="F601" s="73">
        <f>ROUND((D601/E601)/60,2)</f>
        <v>0.02</v>
      </c>
      <c r="G601" s="73">
        <f>E569</f>
        <v>20</v>
      </c>
      <c r="H601" s="78">
        <f>ROUND(F601*G601,2)</f>
        <v>0.4</v>
      </c>
    </row>
    <row r="602" spans="3:8" hidden="1" x14ac:dyDescent="0.3">
      <c r="C602" s="1009" t="str">
        <f>C566</f>
        <v>Лаборант клінічної лабораторії</v>
      </c>
      <c r="D602" s="1010"/>
      <c r="E602" s="1010"/>
      <c r="F602" s="1010"/>
      <c r="G602" s="1010"/>
      <c r="H602" s="1011"/>
    </row>
    <row r="603" spans="3:8" hidden="1" x14ac:dyDescent="0.3">
      <c r="C603" s="17" t="s">
        <v>951</v>
      </c>
      <c r="D603" s="221">
        <f>D598</f>
        <v>12188.608008565312</v>
      </c>
      <c r="E603" s="73">
        <f>I566</f>
        <v>1807.2</v>
      </c>
      <c r="F603" s="73">
        <f>ROUND((D603/E603)/60,2)</f>
        <v>0.11</v>
      </c>
      <c r="G603" s="73">
        <f>E570</f>
        <v>10</v>
      </c>
      <c r="H603" s="78">
        <f>ROUND(F603*G603,2)</f>
        <v>1.1000000000000001</v>
      </c>
    </row>
    <row r="604" spans="3:8" hidden="1" x14ac:dyDescent="0.3">
      <c r="C604" s="17" t="s">
        <v>952</v>
      </c>
      <c r="D604" s="221">
        <f>D599</f>
        <v>53.149721627408987</v>
      </c>
      <c r="E604" s="73">
        <f>I566</f>
        <v>1807.2</v>
      </c>
      <c r="F604" s="73">
        <f>ROUND((D604/E604)/60,2)</f>
        <v>0</v>
      </c>
      <c r="G604" s="73">
        <f>E570</f>
        <v>10</v>
      </c>
      <c r="H604" s="78">
        <f>ROUND(F604*G604,2)</f>
        <v>0</v>
      </c>
    </row>
    <row r="605" spans="3:8" hidden="1" x14ac:dyDescent="0.3">
      <c r="C605" s="17" t="s">
        <v>953</v>
      </c>
      <c r="D605" s="221">
        <f>D600</f>
        <v>374.98368308351178</v>
      </c>
      <c r="E605" s="73">
        <f>I566</f>
        <v>1807.2</v>
      </c>
      <c r="F605" s="73">
        <f>ROUND((D605/E605)/60,2)</f>
        <v>0</v>
      </c>
      <c r="G605" s="73">
        <f>E570</f>
        <v>10</v>
      </c>
      <c r="H605" s="78">
        <f>ROUND(F605*G605,2)</f>
        <v>0</v>
      </c>
    </row>
    <row r="606" spans="3:8" hidden="1" x14ac:dyDescent="0.3">
      <c r="C606" s="17" t="s">
        <v>1109</v>
      </c>
      <c r="D606" s="221">
        <f>D601</f>
        <v>1686.0389293361886</v>
      </c>
      <c r="E606" s="73">
        <f>I566</f>
        <v>1807.2</v>
      </c>
      <c r="F606" s="73">
        <f>ROUND((D606/E606)/60,2)</f>
        <v>0.02</v>
      </c>
      <c r="G606" s="73">
        <f>E570</f>
        <v>10</v>
      </c>
      <c r="H606" s="78">
        <f>ROUND(F606*G606,2)</f>
        <v>0.2</v>
      </c>
    </row>
    <row r="607" spans="3:8" hidden="1" x14ac:dyDescent="0.3">
      <c r="C607" s="1012" t="s">
        <v>957</v>
      </c>
      <c r="D607" s="1013"/>
      <c r="E607" s="1013"/>
      <c r="F607" s="1013"/>
      <c r="G607" s="1014"/>
      <c r="H607" s="299">
        <f>SUM(H598:H606)</f>
        <v>3.9000000000000004</v>
      </c>
    </row>
    <row r="608" spans="3:8" hidden="1" x14ac:dyDescent="0.3"/>
    <row r="609" spans="2:11" hidden="1" x14ac:dyDescent="0.3">
      <c r="C609" s="1015" t="s">
        <v>959</v>
      </c>
      <c r="D609" s="1015"/>
      <c r="E609" s="1015"/>
      <c r="F609" s="1015"/>
      <c r="G609" s="1015"/>
      <c r="H609" s="334">
        <f>F562+F574+F594+F589</f>
        <v>335.39000000000004</v>
      </c>
    </row>
    <row r="610" spans="2:11" hidden="1" x14ac:dyDescent="0.3">
      <c r="C610" s="33"/>
      <c r="D610" s="33"/>
      <c r="E610" s="33"/>
      <c r="F610" s="33"/>
      <c r="G610" s="33"/>
      <c r="H610" s="335"/>
    </row>
    <row r="611" spans="2:11" hidden="1" x14ac:dyDescent="0.3">
      <c r="C611" s="1015" t="s">
        <v>960</v>
      </c>
      <c r="D611" s="1015"/>
      <c r="E611" s="1015"/>
      <c r="F611" s="1015"/>
      <c r="G611" s="1015"/>
      <c r="H611" s="334">
        <f>ROUND(H609,0)</f>
        <v>335</v>
      </c>
    </row>
    <row r="612" spans="2:11" hidden="1" x14ac:dyDescent="0.3"/>
    <row r="613" spans="2:11" ht="18.600000000000001" hidden="1" x14ac:dyDescent="0.3">
      <c r="B613" s="1016" t="s">
        <v>958</v>
      </c>
      <c r="C613" s="1016"/>
      <c r="D613" s="1016"/>
      <c r="E613" s="1016"/>
      <c r="F613" s="1016"/>
      <c r="G613" s="1016"/>
      <c r="H613" s="1016"/>
      <c r="I613" s="1016"/>
      <c r="J613" s="1016"/>
    </row>
    <row r="614" spans="2:11" ht="19.2" hidden="1" x14ac:dyDescent="0.35">
      <c r="B614" s="53"/>
      <c r="C614" s="53"/>
      <c r="D614" s="225"/>
      <c r="E614" s="225"/>
      <c r="F614" s="225"/>
      <c r="G614" s="225"/>
      <c r="H614" s="225"/>
      <c r="I614" s="53"/>
      <c r="J614" s="53"/>
    </row>
    <row r="615" spans="2:11" ht="19.2" hidden="1" x14ac:dyDescent="0.35">
      <c r="B615" s="50" t="s">
        <v>318</v>
      </c>
      <c r="C615" s="1017" t="str">
        <f>M19</f>
        <v>D - димер (кількісні результати)</v>
      </c>
      <c r="D615" s="1017"/>
      <c r="E615" s="1017"/>
      <c r="F615" s="296">
        <f>H666</f>
        <v>240</v>
      </c>
      <c r="G615" s="296" t="s">
        <v>971</v>
      </c>
      <c r="H615" s="225"/>
      <c r="I615" s="53"/>
      <c r="J615" s="53"/>
      <c r="K615" s="561">
        <f>F615-G632</f>
        <v>55</v>
      </c>
    </row>
    <row r="616" spans="2:11" hidden="1" x14ac:dyDescent="0.3"/>
    <row r="617" spans="2:11" hidden="1" x14ac:dyDescent="0.3">
      <c r="C617" s="1018" t="s">
        <v>932</v>
      </c>
      <c r="D617" s="1018"/>
      <c r="E617" s="297"/>
      <c r="F617" s="298">
        <f>F624+F627+F625</f>
        <v>43.55</v>
      </c>
      <c r="G617" s="227" t="s">
        <v>971</v>
      </c>
    </row>
    <row r="618" spans="2:11" hidden="1" x14ac:dyDescent="0.3"/>
    <row r="619" spans="2:11" ht="27.6" hidden="1" x14ac:dyDescent="0.3">
      <c r="C619" s="13" t="s">
        <v>929</v>
      </c>
      <c r="D619" s="14" t="s">
        <v>928</v>
      </c>
      <c r="E619" s="14" t="s">
        <v>514</v>
      </c>
      <c r="F619" s="14" t="s">
        <v>515</v>
      </c>
      <c r="G619" s="14" t="s">
        <v>962</v>
      </c>
      <c r="H619" s="14" t="s">
        <v>926</v>
      </c>
      <c r="I619" s="14" t="s">
        <v>516</v>
      </c>
      <c r="J619" s="14" t="s">
        <v>961</v>
      </c>
    </row>
    <row r="620" spans="2:11" hidden="1" x14ac:dyDescent="0.3">
      <c r="C620" s="17" t="str">
        <f>C565</f>
        <v>Лікар-лаборант</v>
      </c>
      <c r="D620" s="73">
        <f>D565</f>
        <v>10799.43</v>
      </c>
      <c r="E620" s="78">
        <f>D620*12</f>
        <v>129593.16</v>
      </c>
      <c r="F620" s="73">
        <f>F565</f>
        <v>8307.26</v>
      </c>
      <c r="G620" s="73">
        <f>G565</f>
        <v>4153.63</v>
      </c>
      <c r="H620" s="78">
        <f>E620+F620+G620</f>
        <v>142054.05000000002</v>
      </c>
      <c r="I620" s="17">
        <v>1807.2</v>
      </c>
      <c r="J620" s="16">
        <f>ROUND((H620/I620)/60,2)</f>
        <v>1.31</v>
      </c>
    </row>
    <row r="621" spans="2:11" hidden="1" x14ac:dyDescent="0.3">
      <c r="C621" s="17" t="str">
        <f>C566</f>
        <v>Лаборант клінічної лабораторії</v>
      </c>
      <c r="D621" s="73">
        <f>D566</f>
        <v>7871.18</v>
      </c>
      <c r="E621" s="78">
        <f>D621*12</f>
        <v>94454.16</v>
      </c>
      <c r="F621" s="73">
        <f>F566</f>
        <v>6054.75</v>
      </c>
      <c r="G621" s="73">
        <f>G566</f>
        <v>3027.375</v>
      </c>
      <c r="H621" s="78">
        <f>E621+F621+G621</f>
        <v>103536.285</v>
      </c>
      <c r="I621" s="17">
        <v>1807.2</v>
      </c>
      <c r="J621" s="16">
        <f>ROUND((H621/I621)/60,2)</f>
        <v>0.95</v>
      </c>
    </row>
    <row r="622" spans="2:11" hidden="1" x14ac:dyDescent="0.3"/>
    <row r="623" spans="2:11" hidden="1" x14ac:dyDescent="0.3">
      <c r="C623" s="13" t="s">
        <v>929</v>
      </c>
      <c r="D623" s="14" t="s">
        <v>961</v>
      </c>
      <c r="E623" s="14" t="s">
        <v>930</v>
      </c>
      <c r="F623" s="14" t="s">
        <v>931</v>
      </c>
    </row>
    <row r="624" spans="2:11" hidden="1" x14ac:dyDescent="0.3">
      <c r="C624" s="15" t="str">
        <f>C620</f>
        <v>Лікар-лаборант</v>
      </c>
      <c r="D624" s="78">
        <f>J620</f>
        <v>1.31</v>
      </c>
      <c r="E624" s="73">
        <f>10+10</f>
        <v>20</v>
      </c>
      <c r="F624" s="299">
        <f>ROUND(D624*E624,2)</f>
        <v>26.2</v>
      </c>
    </row>
    <row r="625" spans="2:12" hidden="1" x14ac:dyDescent="0.3">
      <c r="C625" s="15" t="str">
        <f>C621</f>
        <v>Лаборант клінічної лабораторії</v>
      </c>
      <c r="D625" s="78">
        <f>J621</f>
        <v>0.95</v>
      </c>
      <c r="E625" s="73">
        <f>5+5</f>
        <v>10</v>
      </c>
      <c r="F625" s="299">
        <f>ROUND(D625*E625,2)</f>
        <v>9.5</v>
      </c>
    </row>
    <row r="626" spans="2:12" hidden="1" x14ac:dyDescent="0.3">
      <c r="D626" s="19"/>
      <c r="E626" s="74" t="s">
        <v>1016</v>
      </c>
    </row>
    <row r="627" spans="2:12" hidden="1" x14ac:dyDescent="0.3">
      <c r="C627" s="17" t="s">
        <v>933</v>
      </c>
      <c r="D627" s="78">
        <f>F624+F625</f>
        <v>35.700000000000003</v>
      </c>
      <c r="E627" s="300">
        <v>0.22</v>
      </c>
      <c r="F627" s="301">
        <f>ROUND(D627*E627,2)</f>
        <v>7.85</v>
      </c>
    </row>
    <row r="628" spans="2:12" hidden="1" x14ac:dyDescent="0.3"/>
    <row r="629" spans="2:12" hidden="1" x14ac:dyDescent="0.3">
      <c r="C629" s="12" t="s">
        <v>946</v>
      </c>
      <c r="D629" s="227"/>
      <c r="E629" s="227"/>
      <c r="F629" s="227">
        <f>G642</f>
        <v>192.34</v>
      </c>
      <c r="G629" s="227" t="s">
        <v>971</v>
      </c>
    </row>
    <row r="630" spans="2:12" hidden="1" x14ac:dyDescent="0.3"/>
    <row r="631" spans="2:12" hidden="1" x14ac:dyDescent="0.3">
      <c r="B631" s="82" t="s">
        <v>991</v>
      </c>
      <c r="C631" s="83" t="s">
        <v>986</v>
      </c>
      <c r="D631" s="83" t="s">
        <v>1112</v>
      </c>
      <c r="E631" s="83" t="s">
        <v>988</v>
      </c>
      <c r="F631" s="83" t="s">
        <v>1113</v>
      </c>
      <c r="G631" s="82" t="s">
        <v>988</v>
      </c>
    </row>
    <row r="632" spans="2:12" hidden="1" x14ac:dyDescent="0.3">
      <c r="B632" s="73">
        <v>1</v>
      </c>
      <c r="C632" s="79" t="str">
        <f>'МЕДИЧНІ М'!B224</f>
        <v>Тест-система для визначення D - димеру</v>
      </c>
      <c r="D632" s="75" t="s">
        <v>941</v>
      </c>
      <c r="E632" s="75">
        <f>'МЕДИЧНІ М'!F224</f>
        <v>185</v>
      </c>
      <c r="F632" s="86">
        <v>1</v>
      </c>
      <c r="G632" s="88">
        <f>ROUND(E632/F632,2)</f>
        <v>185</v>
      </c>
      <c r="L632" s="560"/>
    </row>
    <row r="633" spans="2:12" hidden="1" x14ac:dyDescent="0.3">
      <c r="B633" s="73">
        <f>1+B632</f>
        <v>2</v>
      </c>
      <c r="C633" s="79" t="str">
        <f t="shared" ref="C633:E641" si="16">C578</f>
        <v>Наконечник для лабораторних дозаторів</v>
      </c>
      <c r="D633" s="559" t="str">
        <f t="shared" si="16"/>
        <v>шт</v>
      </c>
      <c r="E633" s="559">
        <f t="shared" si="16"/>
        <v>115</v>
      </c>
      <c r="F633" s="86">
        <v>1000</v>
      </c>
      <c r="G633" s="88">
        <f>ROUND(E633/F633,2)</f>
        <v>0.12</v>
      </c>
    </row>
    <row r="634" spans="2:12" hidden="1" x14ac:dyDescent="0.3">
      <c r="B634" s="73">
        <f t="shared" ref="B634:B641" si="17">1+B633</f>
        <v>3</v>
      </c>
      <c r="C634" s="79" t="str">
        <f t="shared" si="16"/>
        <v>Вата</v>
      </c>
      <c r="D634" s="559" t="str">
        <f t="shared" si="16"/>
        <v>шт</v>
      </c>
      <c r="E634" s="559">
        <f t="shared" si="16"/>
        <v>6.72</v>
      </c>
      <c r="F634" s="77">
        <v>100</v>
      </c>
      <c r="G634" s="78">
        <f>ROUND(E634/F634,2)</f>
        <v>7.0000000000000007E-2</v>
      </c>
    </row>
    <row r="635" spans="2:12" hidden="1" x14ac:dyDescent="0.3">
      <c r="B635" s="73">
        <f t="shared" si="17"/>
        <v>4</v>
      </c>
      <c r="C635" s="79" t="str">
        <f t="shared" si="16"/>
        <v>Деззасоби</v>
      </c>
      <c r="D635" s="559" t="str">
        <f t="shared" si="16"/>
        <v>мл</v>
      </c>
      <c r="E635" s="559">
        <f t="shared" si="16"/>
        <v>0.5</v>
      </c>
      <c r="F635" s="77">
        <v>0.5</v>
      </c>
      <c r="G635" s="78">
        <f>ROUND(E635/F635,2)</f>
        <v>1</v>
      </c>
    </row>
    <row r="636" spans="2:12" hidden="1" x14ac:dyDescent="0.3">
      <c r="B636" s="73">
        <f t="shared" si="17"/>
        <v>5</v>
      </c>
      <c r="C636" s="79" t="str">
        <f t="shared" si="16"/>
        <v>Маска на резинці, стерильна.</v>
      </c>
      <c r="D636" s="559" t="str">
        <f t="shared" si="16"/>
        <v>шт</v>
      </c>
      <c r="E636" s="559">
        <f t="shared" si="16"/>
        <v>2</v>
      </c>
      <c r="F636" s="28">
        <v>0.5</v>
      </c>
      <c r="G636" s="81">
        <f>ROUND(E636*F636,2)</f>
        <v>1</v>
      </c>
    </row>
    <row r="637" spans="2:12" hidden="1" x14ac:dyDescent="0.3">
      <c r="B637" s="73">
        <f t="shared" si="17"/>
        <v>6</v>
      </c>
      <c r="C637" s="79" t="str">
        <f t="shared" si="16"/>
        <v>Мікрасепт</v>
      </c>
      <c r="D637" s="559" t="str">
        <f t="shared" si="16"/>
        <v>мл</v>
      </c>
      <c r="E637" s="559">
        <f t="shared" si="16"/>
        <v>0.3</v>
      </c>
      <c r="F637" s="77">
        <v>2</v>
      </c>
      <c r="G637" s="88">
        <f>ROUND(E637*F637,2)</f>
        <v>0.6</v>
      </c>
    </row>
    <row r="638" spans="2:12" hidden="1" x14ac:dyDescent="0.3">
      <c r="B638" s="73">
        <f t="shared" si="17"/>
        <v>7</v>
      </c>
      <c r="C638" s="79" t="str">
        <f t="shared" si="16"/>
        <v>Пробірка</v>
      </c>
      <c r="D638" s="559" t="str">
        <f t="shared" si="16"/>
        <v>шт</v>
      </c>
      <c r="E638" s="559">
        <f t="shared" si="16"/>
        <v>0.6</v>
      </c>
      <c r="F638" s="77">
        <v>1</v>
      </c>
      <c r="G638" s="88">
        <f>ROUND(E638/F638,2)</f>
        <v>0.6</v>
      </c>
    </row>
    <row r="639" spans="2:12" hidden="1" x14ac:dyDescent="0.3">
      <c r="B639" s="73">
        <f t="shared" si="17"/>
        <v>8</v>
      </c>
      <c r="C639" s="79" t="str">
        <f t="shared" si="16"/>
        <v>Рукавиці н/с</v>
      </c>
      <c r="D639" s="559" t="str">
        <f t="shared" si="16"/>
        <v>шт</v>
      </c>
      <c r="E639" s="559">
        <f t="shared" si="16"/>
        <v>2.8</v>
      </c>
      <c r="F639" s="86">
        <v>1</v>
      </c>
      <c r="G639" s="88">
        <f>ROUND(E639/F639,2)</f>
        <v>2.8</v>
      </c>
    </row>
    <row r="640" spans="2:12" hidden="1" x14ac:dyDescent="0.3">
      <c r="B640" s="73">
        <f t="shared" si="17"/>
        <v>9</v>
      </c>
      <c r="C640" s="79" t="str">
        <f t="shared" si="16"/>
        <v xml:space="preserve">Спирт 70% 100мл </v>
      </c>
      <c r="D640" s="559" t="str">
        <f t="shared" si="16"/>
        <v>фл</v>
      </c>
      <c r="E640" s="559">
        <f t="shared" si="16"/>
        <v>24.6</v>
      </c>
      <c r="F640" s="28">
        <v>100</v>
      </c>
      <c r="G640" s="81">
        <f>ROUND(E640/F640,2)</f>
        <v>0.25</v>
      </c>
    </row>
    <row r="641" spans="2:18" hidden="1" x14ac:dyDescent="0.3">
      <c r="B641" s="73">
        <f t="shared" si="17"/>
        <v>10</v>
      </c>
      <c r="C641" s="79" t="str">
        <f t="shared" si="16"/>
        <v>Шприц 5 мл</v>
      </c>
      <c r="D641" s="559" t="str">
        <f t="shared" si="16"/>
        <v>шт</v>
      </c>
      <c r="E641" s="559">
        <f t="shared" si="16"/>
        <v>0.9</v>
      </c>
      <c r="F641" s="81">
        <v>1</v>
      </c>
      <c r="G641" s="81">
        <f>ROUND(E641*F641,2)</f>
        <v>0.9</v>
      </c>
    </row>
    <row r="642" spans="2:18" hidden="1" x14ac:dyDescent="0.3">
      <c r="B642" s="1012" t="s">
        <v>945</v>
      </c>
      <c r="C642" s="1013"/>
      <c r="D642" s="1013"/>
      <c r="E642" s="1013"/>
      <c r="F642" s="1014"/>
      <c r="G642" s="572">
        <f>SUM(G632:G641)</f>
        <v>192.34</v>
      </c>
    </row>
    <row r="643" spans="2:18" hidden="1" x14ac:dyDescent="0.3"/>
    <row r="644" spans="2:18" hidden="1" x14ac:dyDescent="0.3">
      <c r="C644" s="12" t="s">
        <v>968</v>
      </c>
      <c r="D644" s="227"/>
      <c r="E644" s="227"/>
      <c r="F644" s="298">
        <f>H647</f>
        <v>0.6</v>
      </c>
      <c r="G644" s="227" t="s">
        <v>971</v>
      </c>
    </row>
    <row r="645" spans="2:18" hidden="1" x14ac:dyDescent="0.3">
      <c r="C645" s="22"/>
      <c r="D645" s="36"/>
      <c r="E645" s="36"/>
      <c r="F645" s="302"/>
      <c r="G645" s="36"/>
    </row>
    <row r="646" spans="2:18" ht="27.6" hidden="1" x14ac:dyDescent="0.3">
      <c r="C646" s="14" t="s">
        <v>513</v>
      </c>
      <c r="D646" s="14" t="s">
        <v>1114</v>
      </c>
      <c r="E646" s="14" t="s">
        <v>516</v>
      </c>
      <c r="F646" s="14" t="s">
        <v>970</v>
      </c>
      <c r="G646" s="14" t="s">
        <v>930</v>
      </c>
      <c r="H646" s="14" t="s">
        <v>961</v>
      </c>
    </row>
    <row r="647" spans="2:18" s="516" customFormat="1" hidden="1" x14ac:dyDescent="0.3">
      <c r="B647" s="554"/>
      <c r="C647" s="552" t="str">
        <f>C592</f>
        <v>LS-1100 Аналізатор імунофлуоресцентний</v>
      </c>
      <c r="D647" s="574">
        <f>D592</f>
        <v>6500</v>
      </c>
      <c r="E647" s="531">
        <v>6500</v>
      </c>
      <c r="F647" s="531">
        <f>ROUND((D647/E647)/60,2)</f>
        <v>0.02</v>
      </c>
      <c r="G647" s="531">
        <f>E625+E624</f>
        <v>30</v>
      </c>
      <c r="H647" s="573">
        <f>ROUND(F647*G647,2)</f>
        <v>0.6</v>
      </c>
      <c r="I647" s="555"/>
      <c r="J647" s="554"/>
      <c r="K647" s="556"/>
      <c r="L647" s="557"/>
      <c r="M647" s="557"/>
      <c r="N647" s="558"/>
      <c r="O647" s="558"/>
      <c r="P647" s="558"/>
      <c r="Q647" s="558"/>
      <c r="R647" s="558"/>
    </row>
    <row r="648" spans="2:18" hidden="1" x14ac:dyDescent="0.3"/>
    <row r="649" spans="2:18" hidden="1" x14ac:dyDescent="0.3">
      <c r="C649" s="12" t="s">
        <v>948</v>
      </c>
      <c r="D649" s="227"/>
      <c r="E649" s="227"/>
      <c r="F649" s="298">
        <f>H662</f>
        <v>3.9000000000000004</v>
      </c>
      <c r="G649" s="227" t="s">
        <v>971</v>
      </c>
    </row>
    <row r="650" spans="2:18" hidden="1" x14ac:dyDescent="0.3">
      <c r="C650" s="22"/>
      <c r="D650" s="36"/>
      <c r="E650" s="36"/>
      <c r="F650" s="302"/>
    </row>
    <row r="651" spans="2:18" ht="27.6" hidden="1" x14ac:dyDescent="0.3">
      <c r="C651" s="14" t="s">
        <v>948</v>
      </c>
      <c r="D651" s="14" t="s">
        <v>1110</v>
      </c>
      <c r="E651" s="14" t="s">
        <v>516</v>
      </c>
      <c r="F651" s="14" t="s">
        <v>954</v>
      </c>
      <c r="G651" s="14" t="s">
        <v>930</v>
      </c>
      <c r="H651" s="14" t="s">
        <v>1111</v>
      </c>
    </row>
    <row r="652" spans="2:18" hidden="1" x14ac:dyDescent="0.3">
      <c r="C652" s="1009" t="str">
        <f>C620</f>
        <v>Лікар-лаборант</v>
      </c>
      <c r="D652" s="1010"/>
      <c r="E652" s="1010"/>
      <c r="F652" s="1010"/>
      <c r="G652" s="1010"/>
      <c r="H652" s="1011"/>
    </row>
    <row r="653" spans="2:18" hidden="1" x14ac:dyDescent="0.3">
      <c r="C653" s="17" t="s">
        <v>951</v>
      </c>
      <c r="D653" s="221">
        <f>D598</f>
        <v>12188.608008565312</v>
      </c>
      <c r="E653" s="73">
        <f>I620</f>
        <v>1807.2</v>
      </c>
      <c r="F653" s="73">
        <f>ROUND((D653/E653)/60,2)</f>
        <v>0.11</v>
      </c>
      <c r="G653" s="73">
        <f>E624</f>
        <v>20</v>
      </c>
      <c r="H653" s="78">
        <f>ROUND(F653*G653,2)</f>
        <v>2.2000000000000002</v>
      </c>
    </row>
    <row r="654" spans="2:18" hidden="1" x14ac:dyDescent="0.3">
      <c r="C654" s="17" t="s">
        <v>952</v>
      </c>
      <c r="D654" s="221">
        <f>D599</f>
        <v>53.149721627408987</v>
      </c>
      <c r="E654" s="73">
        <f>I620</f>
        <v>1807.2</v>
      </c>
      <c r="F654" s="73">
        <f>ROUND((D654/E654)/60,2)</f>
        <v>0</v>
      </c>
      <c r="G654" s="73">
        <f>E624</f>
        <v>20</v>
      </c>
      <c r="H654" s="78">
        <f>ROUND(F654*G654,2)</f>
        <v>0</v>
      </c>
    </row>
    <row r="655" spans="2:18" hidden="1" x14ac:dyDescent="0.3">
      <c r="C655" s="17" t="s">
        <v>953</v>
      </c>
      <c r="D655" s="221">
        <f>D600</f>
        <v>374.98368308351178</v>
      </c>
      <c r="E655" s="73">
        <f>I620</f>
        <v>1807.2</v>
      </c>
      <c r="F655" s="73">
        <f>ROUND((D655/E655)/60,2)</f>
        <v>0</v>
      </c>
      <c r="G655" s="73">
        <f>E624</f>
        <v>20</v>
      </c>
      <c r="H655" s="78">
        <f>ROUND(F655*G655,2)</f>
        <v>0</v>
      </c>
    </row>
    <row r="656" spans="2:18" hidden="1" x14ac:dyDescent="0.3">
      <c r="C656" s="17" t="s">
        <v>1109</v>
      </c>
      <c r="D656" s="221">
        <f>D601</f>
        <v>1686.0389293361886</v>
      </c>
      <c r="E656" s="73">
        <f>I620</f>
        <v>1807.2</v>
      </c>
      <c r="F656" s="73">
        <f>ROUND((D656/E656)/60,2)</f>
        <v>0.02</v>
      </c>
      <c r="G656" s="73">
        <f>E624</f>
        <v>20</v>
      </c>
      <c r="H656" s="78">
        <f>ROUND(F656*G656,2)</f>
        <v>0.4</v>
      </c>
    </row>
    <row r="657" spans="2:11" hidden="1" x14ac:dyDescent="0.3">
      <c r="C657" s="1009" t="str">
        <f>C621</f>
        <v>Лаборант клінічної лабораторії</v>
      </c>
      <c r="D657" s="1010"/>
      <c r="E657" s="1010"/>
      <c r="F657" s="1010"/>
      <c r="G657" s="1010"/>
      <c r="H657" s="1011"/>
    </row>
    <row r="658" spans="2:11" hidden="1" x14ac:dyDescent="0.3">
      <c r="C658" s="17" t="s">
        <v>951</v>
      </c>
      <c r="D658" s="221">
        <f>D653</f>
        <v>12188.608008565312</v>
      </c>
      <c r="E658" s="73">
        <f>I621</f>
        <v>1807.2</v>
      </c>
      <c r="F658" s="73">
        <f>ROUND((D658/E658)/60,2)</f>
        <v>0.11</v>
      </c>
      <c r="G658" s="73">
        <f>E625</f>
        <v>10</v>
      </c>
      <c r="H658" s="78">
        <f>ROUND(F658*G658,2)</f>
        <v>1.1000000000000001</v>
      </c>
    </row>
    <row r="659" spans="2:11" hidden="1" x14ac:dyDescent="0.3">
      <c r="C659" s="17" t="s">
        <v>952</v>
      </c>
      <c r="D659" s="221">
        <f>D654</f>
        <v>53.149721627408987</v>
      </c>
      <c r="E659" s="73">
        <f>I621</f>
        <v>1807.2</v>
      </c>
      <c r="F659" s="73">
        <f>ROUND((D659/E659)/60,2)</f>
        <v>0</v>
      </c>
      <c r="G659" s="73">
        <f>E625</f>
        <v>10</v>
      </c>
      <c r="H659" s="78">
        <f>ROUND(F659*G659,2)</f>
        <v>0</v>
      </c>
    </row>
    <row r="660" spans="2:11" hidden="1" x14ac:dyDescent="0.3">
      <c r="C660" s="17" t="s">
        <v>953</v>
      </c>
      <c r="D660" s="221">
        <f>D655</f>
        <v>374.98368308351178</v>
      </c>
      <c r="E660" s="73">
        <f>I621</f>
        <v>1807.2</v>
      </c>
      <c r="F660" s="73">
        <f>ROUND((D660/E660)/60,2)</f>
        <v>0</v>
      </c>
      <c r="G660" s="73">
        <f>E625</f>
        <v>10</v>
      </c>
      <c r="H660" s="78">
        <f>ROUND(F660*G660,2)</f>
        <v>0</v>
      </c>
    </row>
    <row r="661" spans="2:11" hidden="1" x14ac:dyDescent="0.3">
      <c r="C661" s="17" t="s">
        <v>1109</v>
      </c>
      <c r="D661" s="221">
        <f>D656</f>
        <v>1686.0389293361886</v>
      </c>
      <c r="E661" s="73">
        <f>I621</f>
        <v>1807.2</v>
      </c>
      <c r="F661" s="73">
        <f>ROUND((D661/E661)/60,2)</f>
        <v>0.02</v>
      </c>
      <c r="G661" s="73">
        <f>E625</f>
        <v>10</v>
      </c>
      <c r="H661" s="78">
        <f>ROUND(F661*G661,2)</f>
        <v>0.2</v>
      </c>
    </row>
    <row r="662" spans="2:11" hidden="1" x14ac:dyDescent="0.3">
      <c r="C662" s="1012" t="s">
        <v>957</v>
      </c>
      <c r="D662" s="1013"/>
      <c r="E662" s="1013"/>
      <c r="F662" s="1013"/>
      <c r="G662" s="1014"/>
      <c r="H662" s="299">
        <f>SUM(H653:H661)</f>
        <v>3.9000000000000004</v>
      </c>
    </row>
    <row r="663" spans="2:11" hidden="1" x14ac:dyDescent="0.3"/>
    <row r="664" spans="2:11" hidden="1" x14ac:dyDescent="0.3">
      <c r="C664" s="1015" t="s">
        <v>959</v>
      </c>
      <c r="D664" s="1015"/>
      <c r="E664" s="1015"/>
      <c r="F664" s="1015"/>
      <c r="G664" s="1015"/>
      <c r="H664" s="334">
        <f>F617+F629+F649+F644</f>
        <v>240.39</v>
      </c>
    </row>
    <row r="665" spans="2:11" hidden="1" x14ac:dyDescent="0.3">
      <c r="C665" s="33"/>
      <c r="D665" s="33"/>
      <c r="E665" s="33"/>
      <c r="F665" s="33"/>
      <c r="G665" s="33"/>
      <c r="H665" s="335"/>
    </row>
    <row r="666" spans="2:11" hidden="1" x14ac:dyDescent="0.3">
      <c r="C666" s="1015" t="s">
        <v>960</v>
      </c>
      <c r="D666" s="1015"/>
      <c r="E666" s="1015"/>
      <c r="F666" s="1015"/>
      <c r="G666" s="1015"/>
      <c r="H666" s="334">
        <f>ROUND(H664,0)</f>
        <v>240</v>
      </c>
    </row>
    <row r="667" spans="2:11" hidden="1" x14ac:dyDescent="0.3"/>
    <row r="668" spans="2:11" hidden="1" x14ac:dyDescent="0.3"/>
    <row r="669" spans="2:11" ht="18.600000000000001" hidden="1" x14ac:dyDescent="0.3">
      <c r="B669" s="1016" t="s">
        <v>958</v>
      </c>
      <c r="C669" s="1016"/>
      <c r="D669" s="1016"/>
      <c r="E669" s="1016"/>
      <c r="F669" s="1016"/>
      <c r="G669" s="1016"/>
      <c r="H669" s="1016"/>
      <c r="I669" s="1016"/>
      <c r="J669" s="1016"/>
    </row>
    <row r="670" spans="2:11" ht="19.2" hidden="1" x14ac:dyDescent="0.35">
      <c r="B670" s="53"/>
      <c r="C670" s="53"/>
      <c r="D670" s="225"/>
      <c r="E670" s="225"/>
      <c r="F670" s="225"/>
      <c r="G670" s="225"/>
      <c r="H670" s="225"/>
      <c r="I670" s="53"/>
      <c r="J670" s="53"/>
    </row>
    <row r="671" spans="2:11" ht="19.2" hidden="1" x14ac:dyDescent="0.35">
      <c r="B671" s="50" t="s">
        <v>319</v>
      </c>
      <c r="C671" s="1017" t="str">
        <f>M20</f>
        <v>Вітамін D ( 25 - OH - D3 ) (кількісні результати)</v>
      </c>
      <c r="D671" s="1017"/>
      <c r="E671" s="1017"/>
      <c r="F671" s="296">
        <f>H722</f>
        <v>343</v>
      </c>
      <c r="G671" s="296" t="s">
        <v>971</v>
      </c>
      <c r="H671" s="225"/>
      <c r="I671" s="53"/>
      <c r="J671" s="53"/>
      <c r="K671" s="561">
        <f>F671-G688</f>
        <v>73</v>
      </c>
    </row>
    <row r="672" spans="2:11" hidden="1" x14ac:dyDescent="0.3"/>
    <row r="673" spans="2:12" hidden="1" x14ac:dyDescent="0.3">
      <c r="C673" s="1018" t="s">
        <v>932</v>
      </c>
      <c r="D673" s="1018"/>
      <c r="E673" s="297"/>
      <c r="F673" s="298">
        <f>F680+F683+F681</f>
        <v>59.54</v>
      </c>
      <c r="G673" s="227" t="s">
        <v>971</v>
      </c>
    </row>
    <row r="674" spans="2:12" hidden="1" x14ac:dyDescent="0.3"/>
    <row r="675" spans="2:12" ht="27.6" hidden="1" x14ac:dyDescent="0.3">
      <c r="C675" s="13" t="s">
        <v>929</v>
      </c>
      <c r="D675" s="14" t="s">
        <v>928</v>
      </c>
      <c r="E675" s="14" t="s">
        <v>514</v>
      </c>
      <c r="F675" s="14" t="s">
        <v>515</v>
      </c>
      <c r="G675" s="14" t="s">
        <v>962</v>
      </c>
      <c r="H675" s="14" t="s">
        <v>926</v>
      </c>
      <c r="I675" s="14" t="s">
        <v>516</v>
      </c>
      <c r="J675" s="14" t="s">
        <v>961</v>
      </c>
    </row>
    <row r="676" spans="2:12" hidden="1" x14ac:dyDescent="0.3">
      <c r="C676" s="17" t="str">
        <f>C620</f>
        <v>Лікар-лаборант</v>
      </c>
      <c r="D676" s="73">
        <f>D620</f>
        <v>10799.43</v>
      </c>
      <c r="E676" s="78">
        <f>D676*12</f>
        <v>129593.16</v>
      </c>
      <c r="F676" s="73">
        <f>F620</f>
        <v>8307.26</v>
      </c>
      <c r="G676" s="73">
        <f>G620</f>
        <v>4153.63</v>
      </c>
      <c r="H676" s="78">
        <f>E676+F676+G676</f>
        <v>142054.05000000002</v>
      </c>
      <c r="I676" s="17">
        <v>1807.2</v>
      </c>
      <c r="J676" s="16">
        <f>ROUND((H676/I676)/60,2)</f>
        <v>1.31</v>
      </c>
    </row>
    <row r="677" spans="2:12" hidden="1" x14ac:dyDescent="0.3">
      <c r="C677" s="17" t="str">
        <f>C621</f>
        <v>Лаборант клінічної лабораторії</v>
      </c>
      <c r="D677" s="73">
        <f>D621</f>
        <v>7871.18</v>
      </c>
      <c r="E677" s="78">
        <f>D677*12</f>
        <v>94454.16</v>
      </c>
      <c r="F677" s="73">
        <f>F621</f>
        <v>6054.75</v>
      </c>
      <c r="G677" s="73">
        <f>G621</f>
        <v>3027.375</v>
      </c>
      <c r="H677" s="78">
        <f>E677+F677+G677</f>
        <v>103536.285</v>
      </c>
      <c r="I677" s="17">
        <v>1807.2</v>
      </c>
      <c r="J677" s="16">
        <f>ROUND((H677/I677)/60,2)</f>
        <v>0.95</v>
      </c>
    </row>
    <row r="678" spans="2:12" hidden="1" x14ac:dyDescent="0.3"/>
    <row r="679" spans="2:12" hidden="1" x14ac:dyDescent="0.3">
      <c r="C679" s="13" t="s">
        <v>929</v>
      </c>
      <c r="D679" s="14" t="s">
        <v>961</v>
      </c>
      <c r="E679" s="14" t="s">
        <v>930</v>
      </c>
      <c r="F679" s="14" t="s">
        <v>931</v>
      </c>
    </row>
    <row r="680" spans="2:12" hidden="1" x14ac:dyDescent="0.3">
      <c r="C680" s="15" t="str">
        <f>C676</f>
        <v>Лікар-лаборант</v>
      </c>
      <c r="D680" s="78">
        <f>J676</f>
        <v>1.31</v>
      </c>
      <c r="E680" s="73">
        <f>10+10+10</f>
        <v>30</v>
      </c>
      <c r="F680" s="299">
        <f>ROUND(D680*E680,2)</f>
        <v>39.299999999999997</v>
      </c>
    </row>
    <row r="681" spans="2:12" hidden="1" x14ac:dyDescent="0.3">
      <c r="C681" s="15" t="str">
        <f>C677</f>
        <v>Лаборант клінічної лабораторії</v>
      </c>
      <c r="D681" s="78">
        <f>J677</f>
        <v>0.95</v>
      </c>
      <c r="E681" s="73">
        <f>5+5</f>
        <v>10</v>
      </c>
      <c r="F681" s="299">
        <f>ROUND(D681*E681,2)</f>
        <v>9.5</v>
      </c>
    </row>
    <row r="682" spans="2:12" hidden="1" x14ac:dyDescent="0.3">
      <c r="D682" s="19"/>
      <c r="E682" s="74" t="s">
        <v>1016</v>
      </c>
    </row>
    <row r="683" spans="2:12" hidden="1" x14ac:dyDescent="0.3">
      <c r="C683" s="17" t="s">
        <v>933</v>
      </c>
      <c r="D683" s="78">
        <f>F680+F681</f>
        <v>48.8</v>
      </c>
      <c r="E683" s="300">
        <v>0.22</v>
      </c>
      <c r="F683" s="301">
        <f>ROUND(D683*E683,2)</f>
        <v>10.74</v>
      </c>
    </row>
    <row r="684" spans="2:12" hidden="1" x14ac:dyDescent="0.3"/>
    <row r="685" spans="2:12" hidden="1" x14ac:dyDescent="0.3">
      <c r="C685" s="12" t="s">
        <v>946</v>
      </c>
      <c r="D685" s="227"/>
      <c r="E685" s="227"/>
      <c r="F685" s="227">
        <f>G698</f>
        <v>277.34000000000003</v>
      </c>
      <c r="G685" s="227" t="s">
        <v>971</v>
      </c>
    </row>
    <row r="686" spans="2:12" hidden="1" x14ac:dyDescent="0.3"/>
    <row r="687" spans="2:12" hidden="1" x14ac:dyDescent="0.3">
      <c r="B687" s="82" t="s">
        <v>991</v>
      </c>
      <c r="C687" s="83" t="s">
        <v>986</v>
      </c>
      <c r="D687" s="83" t="s">
        <v>1112</v>
      </c>
      <c r="E687" s="83" t="s">
        <v>988</v>
      </c>
      <c r="F687" s="83" t="s">
        <v>1113</v>
      </c>
      <c r="G687" s="82" t="s">
        <v>988</v>
      </c>
    </row>
    <row r="688" spans="2:12" hidden="1" x14ac:dyDescent="0.3">
      <c r="B688" s="73">
        <v>1</v>
      </c>
      <c r="C688" s="79" t="str">
        <f>'МЕДИЧНІ М'!B225</f>
        <v>Тест-система для визначення вітаміну D</v>
      </c>
      <c r="D688" s="75" t="s">
        <v>941</v>
      </c>
      <c r="E688" s="75">
        <f>'МЕДИЧНІ М'!F225</f>
        <v>270</v>
      </c>
      <c r="F688" s="86">
        <v>1</v>
      </c>
      <c r="G688" s="88">
        <f>ROUND(E688/F688,2)</f>
        <v>270</v>
      </c>
      <c r="L688" s="560"/>
    </row>
    <row r="689" spans="2:18" hidden="1" x14ac:dyDescent="0.3">
      <c r="B689" s="73">
        <f>1+B688</f>
        <v>2</v>
      </c>
      <c r="C689" s="79" t="str">
        <f>C633</f>
        <v>Наконечник для лабораторних дозаторів</v>
      </c>
      <c r="D689" s="559" t="str">
        <f>D633</f>
        <v>шт</v>
      </c>
      <c r="E689" s="559">
        <f>E633</f>
        <v>115</v>
      </c>
      <c r="F689" s="559">
        <f>F633</f>
        <v>1000</v>
      </c>
      <c r="G689" s="88">
        <f>ROUND(E689/F689,2)</f>
        <v>0.12</v>
      </c>
    </row>
    <row r="690" spans="2:18" hidden="1" x14ac:dyDescent="0.3">
      <c r="B690" s="73">
        <f t="shared" ref="B690:B697" si="18">1+B689</f>
        <v>3</v>
      </c>
      <c r="C690" s="79" t="str">
        <f t="shared" ref="C690:F697" si="19">C634</f>
        <v>Вата</v>
      </c>
      <c r="D690" s="559" t="str">
        <f t="shared" si="19"/>
        <v>шт</v>
      </c>
      <c r="E690" s="559">
        <f t="shared" si="19"/>
        <v>6.72</v>
      </c>
      <c r="F690" s="559">
        <f t="shared" si="19"/>
        <v>100</v>
      </c>
      <c r="G690" s="78">
        <f>ROUND(E690/F690,2)</f>
        <v>7.0000000000000007E-2</v>
      </c>
    </row>
    <row r="691" spans="2:18" hidden="1" x14ac:dyDescent="0.3">
      <c r="B691" s="73">
        <f t="shared" si="18"/>
        <v>4</v>
      </c>
      <c r="C691" s="79" t="str">
        <f t="shared" si="19"/>
        <v>Деззасоби</v>
      </c>
      <c r="D691" s="559" t="str">
        <f t="shared" si="19"/>
        <v>мл</v>
      </c>
      <c r="E691" s="559">
        <f t="shared" si="19"/>
        <v>0.5</v>
      </c>
      <c r="F691" s="559">
        <f t="shared" si="19"/>
        <v>0.5</v>
      </c>
      <c r="G691" s="78">
        <f>ROUND(E691/F691,2)</f>
        <v>1</v>
      </c>
    </row>
    <row r="692" spans="2:18" hidden="1" x14ac:dyDescent="0.3">
      <c r="B692" s="73">
        <f t="shared" si="18"/>
        <v>5</v>
      </c>
      <c r="C692" s="79" t="str">
        <f t="shared" si="19"/>
        <v>Маска на резинці, стерильна.</v>
      </c>
      <c r="D692" s="559" t="str">
        <f t="shared" si="19"/>
        <v>шт</v>
      </c>
      <c r="E692" s="559">
        <f t="shared" si="19"/>
        <v>2</v>
      </c>
      <c r="F692" s="559">
        <f t="shared" si="19"/>
        <v>0.5</v>
      </c>
      <c r="G692" s="81">
        <f>ROUND(E692*F692,2)</f>
        <v>1</v>
      </c>
    </row>
    <row r="693" spans="2:18" hidden="1" x14ac:dyDescent="0.3">
      <c r="B693" s="73">
        <f t="shared" si="18"/>
        <v>6</v>
      </c>
      <c r="C693" s="79" t="str">
        <f t="shared" si="19"/>
        <v>Мікрасепт</v>
      </c>
      <c r="D693" s="559" t="str">
        <f t="shared" si="19"/>
        <v>мл</v>
      </c>
      <c r="E693" s="559">
        <f t="shared" si="19"/>
        <v>0.3</v>
      </c>
      <c r="F693" s="559">
        <f t="shared" si="19"/>
        <v>2</v>
      </c>
      <c r="G693" s="88">
        <f>ROUND(E693*F693,2)</f>
        <v>0.6</v>
      </c>
    </row>
    <row r="694" spans="2:18" hidden="1" x14ac:dyDescent="0.3">
      <c r="B694" s="73">
        <f t="shared" si="18"/>
        <v>7</v>
      </c>
      <c r="C694" s="79" t="str">
        <f t="shared" si="19"/>
        <v>Пробірка</v>
      </c>
      <c r="D694" s="559" t="str">
        <f t="shared" si="19"/>
        <v>шт</v>
      </c>
      <c r="E694" s="559">
        <f t="shared" si="19"/>
        <v>0.6</v>
      </c>
      <c r="F694" s="559">
        <f t="shared" si="19"/>
        <v>1</v>
      </c>
      <c r="G694" s="88">
        <f>ROUND(E694/F694,2)</f>
        <v>0.6</v>
      </c>
    </row>
    <row r="695" spans="2:18" hidden="1" x14ac:dyDescent="0.3">
      <c r="B695" s="73">
        <f t="shared" si="18"/>
        <v>8</v>
      </c>
      <c r="C695" s="79" t="str">
        <f t="shared" si="19"/>
        <v>Рукавиці н/с</v>
      </c>
      <c r="D695" s="559" t="str">
        <f t="shared" si="19"/>
        <v>шт</v>
      </c>
      <c r="E695" s="559">
        <f t="shared" si="19"/>
        <v>2.8</v>
      </c>
      <c r="F695" s="559">
        <f t="shared" si="19"/>
        <v>1</v>
      </c>
      <c r="G695" s="88">
        <f>ROUND(E695/F695,2)</f>
        <v>2.8</v>
      </c>
    </row>
    <row r="696" spans="2:18" hidden="1" x14ac:dyDescent="0.3">
      <c r="B696" s="73">
        <f t="shared" si="18"/>
        <v>9</v>
      </c>
      <c r="C696" s="79" t="str">
        <f t="shared" si="19"/>
        <v xml:space="preserve">Спирт 70% 100мл </v>
      </c>
      <c r="D696" s="559" t="str">
        <f t="shared" si="19"/>
        <v>фл</v>
      </c>
      <c r="E696" s="559">
        <f t="shared" si="19"/>
        <v>24.6</v>
      </c>
      <c r="F696" s="559">
        <f t="shared" si="19"/>
        <v>100</v>
      </c>
      <c r="G696" s="81">
        <f>ROUND(E696/F696,2)</f>
        <v>0.25</v>
      </c>
    </row>
    <row r="697" spans="2:18" hidden="1" x14ac:dyDescent="0.3">
      <c r="B697" s="73">
        <f t="shared" si="18"/>
        <v>10</v>
      </c>
      <c r="C697" s="79" t="str">
        <f t="shared" si="19"/>
        <v>Шприц 5 мл</v>
      </c>
      <c r="D697" s="559" t="str">
        <f t="shared" si="19"/>
        <v>шт</v>
      </c>
      <c r="E697" s="559">
        <f t="shared" si="19"/>
        <v>0.9</v>
      </c>
      <c r="F697" s="559">
        <f t="shared" si="19"/>
        <v>1</v>
      </c>
      <c r="G697" s="81">
        <f>ROUND(E697*F697,2)</f>
        <v>0.9</v>
      </c>
    </row>
    <row r="698" spans="2:18" hidden="1" x14ac:dyDescent="0.3">
      <c r="B698" s="1012" t="s">
        <v>945</v>
      </c>
      <c r="C698" s="1013"/>
      <c r="D698" s="1013"/>
      <c r="E698" s="1013"/>
      <c r="F698" s="1014"/>
      <c r="G698" s="572">
        <f>SUM(G688:G697)</f>
        <v>277.34000000000003</v>
      </c>
    </row>
    <row r="699" spans="2:18" hidden="1" x14ac:dyDescent="0.3"/>
    <row r="700" spans="2:18" hidden="1" x14ac:dyDescent="0.3">
      <c r="C700" s="12" t="s">
        <v>968</v>
      </c>
      <c r="D700" s="227"/>
      <c r="E700" s="227"/>
      <c r="F700" s="298">
        <f>H703</f>
        <v>0.8</v>
      </c>
      <c r="G700" s="227" t="s">
        <v>971</v>
      </c>
    </row>
    <row r="701" spans="2:18" hidden="1" x14ac:dyDescent="0.3">
      <c r="C701" s="22"/>
      <c r="D701" s="36"/>
      <c r="E701" s="36"/>
      <c r="F701" s="302"/>
      <c r="G701" s="36"/>
    </row>
    <row r="702" spans="2:18" ht="27.6" hidden="1" x14ac:dyDescent="0.3">
      <c r="C702" s="14" t="s">
        <v>513</v>
      </c>
      <c r="D702" s="14" t="s">
        <v>1114</v>
      </c>
      <c r="E702" s="14" t="s">
        <v>516</v>
      </c>
      <c r="F702" s="14" t="s">
        <v>970</v>
      </c>
      <c r="G702" s="14" t="s">
        <v>930</v>
      </c>
      <c r="H702" s="14" t="s">
        <v>961</v>
      </c>
    </row>
    <row r="703" spans="2:18" s="516" customFormat="1" hidden="1" x14ac:dyDescent="0.3">
      <c r="B703" s="554"/>
      <c r="C703" s="552" t="str">
        <f>C647</f>
        <v>LS-1100 Аналізатор імунофлуоресцентний</v>
      </c>
      <c r="D703" s="574">
        <f>D647</f>
        <v>6500</v>
      </c>
      <c r="E703" s="531">
        <v>6500</v>
      </c>
      <c r="F703" s="531">
        <f>ROUND((D703/E703)/60,2)</f>
        <v>0.02</v>
      </c>
      <c r="G703" s="531">
        <f>E681+E680</f>
        <v>40</v>
      </c>
      <c r="H703" s="573">
        <f>ROUND(F703*G703,2)</f>
        <v>0.8</v>
      </c>
      <c r="I703" s="555"/>
      <c r="J703" s="554"/>
      <c r="K703" s="556"/>
      <c r="L703" s="557"/>
      <c r="M703" s="557"/>
      <c r="N703" s="558"/>
      <c r="O703" s="558"/>
      <c r="P703" s="558"/>
      <c r="Q703" s="558"/>
      <c r="R703" s="558"/>
    </row>
    <row r="704" spans="2:18" hidden="1" x14ac:dyDescent="0.3"/>
    <row r="705" spans="3:8" hidden="1" x14ac:dyDescent="0.3">
      <c r="C705" s="12" t="s">
        <v>948</v>
      </c>
      <c r="D705" s="227"/>
      <c r="E705" s="227"/>
      <c r="F705" s="298">
        <f>H718</f>
        <v>5.2</v>
      </c>
      <c r="G705" s="227" t="s">
        <v>971</v>
      </c>
    </row>
    <row r="706" spans="3:8" hidden="1" x14ac:dyDescent="0.3">
      <c r="C706" s="22"/>
      <c r="D706" s="36"/>
      <c r="E706" s="36"/>
      <c r="F706" s="302"/>
    </row>
    <row r="707" spans="3:8" ht="27.6" hidden="1" x14ac:dyDescent="0.3">
      <c r="C707" s="14" t="s">
        <v>948</v>
      </c>
      <c r="D707" s="14" t="s">
        <v>1110</v>
      </c>
      <c r="E707" s="14" t="s">
        <v>516</v>
      </c>
      <c r="F707" s="14" t="s">
        <v>954</v>
      </c>
      <c r="G707" s="14" t="s">
        <v>930</v>
      </c>
      <c r="H707" s="14" t="s">
        <v>1111</v>
      </c>
    </row>
    <row r="708" spans="3:8" hidden="1" x14ac:dyDescent="0.3">
      <c r="C708" s="1009" t="str">
        <f>C676</f>
        <v>Лікар-лаборант</v>
      </c>
      <c r="D708" s="1010"/>
      <c r="E708" s="1010"/>
      <c r="F708" s="1010"/>
      <c r="G708" s="1010"/>
      <c r="H708" s="1011"/>
    </row>
    <row r="709" spans="3:8" hidden="1" x14ac:dyDescent="0.3">
      <c r="C709" s="17" t="s">
        <v>951</v>
      </c>
      <c r="D709" s="221">
        <f>D653</f>
        <v>12188.608008565312</v>
      </c>
      <c r="E709" s="73">
        <f>I676</f>
        <v>1807.2</v>
      </c>
      <c r="F709" s="73">
        <f>ROUND((D709/E709)/60,2)</f>
        <v>0.11</v>
      </c>
      <c r="G709" s="73">
        <f>E680</f>
        <v>30</v>
      </c>
      <c r="H709" s="78">
        <f>ROUND(F709*G709,2)</f>
        <v>3.3</v>
      </c>
    </row>
    <row r="710" spans="3:8" hidden="1" x14ac:dyDescent="0.3">
      <c r="C710" s="17" t="s">
        <v>952</v>
      </c>
      <c r="D710" s="221">
        <f>D654</f>
        <v>53.149721627408987</v>
      </c>
      <c r="E710" s="73">
        <f>I676</f>
        <v>1807.2</v>
      </c>
      <c r="F710" s="73">
        <f>ROUND((D710/E710)/60,2)</f>
        <v>0</v>
      </c>
      <c r="G710" s="73">
        <f>E680</f>
        <v>30</v>
      </c>
      <c r="H710" s="78">
        <f>ROUND(F710*G710,2)</f>
        <v>0</v>
      </c>
    </row>
    <row r="711" spans="3:8" hidden="1" x14ac:dyDescent="0.3">
      <c r="C711" s="17" t="s">
        <v>953</v>
      </c>
      <c r="D711" s="221">
        <f>D655</f>
        <v>374.98368308351178</v>
      </c>
      <c r="E711" s="73">
        <f>I676</f>
        <v>1807.2</v>
      </c>
      <c r="F711" s="73">
        <f>ROUND((D711/E711)/60,2)</f>
        <v>0</v>
      </c>
      <c r="G711" s="73">
        <f>E680</f>
        <v>30</v>
      </c>
      <c r="H711" s="78">
        <f>ROUND(F711*G711,2)</f>
        <v>0</v>
      </c>
    </row>
    <row r="712" spans="3:8" hidden="1" x14ac:dyDescent="0.3">
      <c r="C712" s="17" t="s">
        <v>1109</v>
      </c>
      <c r="D712" s="221">
        <f>D656</f>
        <v>1686.0389293361886</v>
      </c>
      <c r="E712" s="73">
        <f>I676</f>
        <v>1807.2</v>
      </c>
      <c r="F712" s="73">
        <f>ROUND((D712/E712)/60,2)</f>
        <v>0.02</v>
      </c>
      <c r="G712" s="73">
        <f>E680</f>
        <v>30</v>
      </c>
      <c r="H712" s="78">
        <f>ROUND(F712*G712,2)</f>
        <v>0.6</v>
      </c>
    </row>
    <row r="713" spans="3:8" hidden="1" x14ac:dyDescent="0.3">
      <c r="C713" s="1009" t="str">
        <f>C677</f>
        <v>Лаборант клінічної лабораторії</v>
      </c>
      <c r="D713" s="1010"/>
      <c r="E713" s="1010"/>
      <c r="F713" s="1010"/>
      <c r="G713" s="1010"/>
      <c r="H713" s="1011"/>
    </row>
    <row r="714" spans="3:8" hidden="1" x14ac:dyDescent="0.3">
      <c r="C714" s="17" t="s">
        <v>951</v>
      </c>
      <c r="D714" s="221">
        <f>D709</f>
        <v>12188.608008565312</v>
      </c>
      <c r="E714" s="73">
        <f>I677</f>
        <v>1807.2</v>
      </c>
      <c r="F714" s="73">
        <f>ROUND((D714/E714)/60,2)</f>
        <v>0.11</v>
      </c>
      <c r="G714" s="73">
        <f>E681</f>
        <v>10</v>
      </c>
      <c r="H714" s="78">
        <f>ROUND(F714*G714,2)</f>
        <v>1.1000000000000001</v>
      </c>
    </row>
    <row r="715" spans="3:8" hidden="1" x14ac:dyDescent="0.3">
      <c r="C715" s="17" t="s">
        <v>952</v>
      </c>
      <c r="D715" s="221">
        <f>D710</f>
        <v>53.149721627408987</v>
      </c>
      <c r="E715" s="73">
        <f>I677</f>
        <v>1807.2</v>
      </c>
      <c r="F715" s="73">
        <f>ROUND((D715/E715)/60,2)</f>
        <v>0</v>
      </c>
      <c r="G715" s="73">
        <f>E681</f>
        <v>10</v>
      </c>
      <c r="H715" s="78">
        <f>ROUND(F715*G715,2)</f>
        <v>0</v>
      </c>
    </row>
    <row r="716" spans="3:8" hidden="1" x14ac:dyDescent="0.3">
      <c r="C716" s="17" t="s">
        <v>953</v>
      </c>
      <c r="D716" s="221">
        <f>D711</f>
        <v>374.98368308351178</v>
      </c>
      <c r="E716" s="73">
        <f>I677</f>
        <v>1807.2</v>
      </c>
      <c r="F716" s="73">
        <f>ROUND((D716/E716)/60,2)</f>
        <v>0</v>
      </c>
      <c r="G716" s="73">
        <f>E681</f>
        <v>10</v>
      </c>
      <c r="H716" s="78">
        <f>ROUND(F716*G716,2)</f>
        <v>0</v>
      </c>
    </row>
    <row r="717" spans="3:8" hidden="1" x14ac:dyDescent="0.3">
      <c r="C717" s="17" t="s">
        <v>1109</v>
      </c>
      <c r="D717" s="221">
        <f>D712</f>
        <v>1686.0389293361886</v>
      </c>
      <c r="E717" s="73">
        <f>I677</f>
        <v>1807.2</v>
      </c>
      <c r="F717" s="73">
        <f>ROUND((D717/E717)/60,2)</f>
        <v>0.02</v>
      </c>
      <c r="G717" s="73">
        <f>E681</f>
        <v>10</v>
      </c>
      <c r="H717" s="78">
        <f>ROUND(F717*G717,2)</f>
        <v>0.2</v>
      </c>
    </row>
    <row r="718" spans="3:8" hidden="1" x14ac:dyDescent="0.3">
      <c r="C718" s="1012" t="s">
        <v>957</v>
      </c>
      <c r="D718" s="1013"/>
      <c r="E718" s="1013"/>
      <c r="F718" s="1013"/>
      <c r="G718" s="1014"/>
      <c r="H718" s="299">
        <f>SUM(H709:H717)</f>
        <v>5.2</v>
      </c>
    </row>
    <row r="719" spans="3:8" hidden="1" x14ac:dyDescent="0.3"/>
    <row r="720" spans="3:8" hidden="1" x14ac:dyDescent="0.3">
      <c r="C720" s="1015" t="s">
        <v>959</v>
      </c>
      <c r="D720" s="1015"/>
      <c r="E720" s="1015"/>
      <c r="F720" s="1015"/>
      <c r="G720" s="1015"/>
      <c r="H720" s="334">
        <f>F673+F685+F705+F700</f>
        <v>342.88000000000005</v>
      </c>
    </row>
    <row r="721" spans="2:11" hidden="1" x14ac:dyDescent="0.3">
      <c r="C721" s="33"/>
      <c r="D721" s="33"/>
      <c r="E721" s="33"/>
      <c r="F721" s="33"/>
      <c r="G721" s="33"/>
      <c r="H721" s="335"/>
    </row>
    <row r="722" spans="2:11" hidden="1" x14ac:dyDescent="0.3">
      <c r="C722" s="1015" t="s">
        <v>960</v>
      </c>
      <c r="D722" s="1015"/>
      <c r="E722" s="1015"/>
      <c r="F722" s="1015"/>
      <c r="G722" s="1015"/>
      <c r="H722" s="334">
        <f>ROUND(H720,0)</f>
        <v>343</v>
      </c>
    </row>
    <row r="723" spans="2:11" hidden="1" x14ac:dyDescent="0.3"/>
    <row r="724" spans="2:11" hidden="1" x14ac:dyDescent="0.3"/>
    <row r="725" spans="2:11" ht="18.600000000000001" hidden="1" x14ac:dyDescent="0.3">
      <c r="B725" s="1016" t="s">
        <v>958</v>
      </c>
      <c r="C725" s="1016"/>
      <c r="D725" s="1016"/>
      <c r="E725" s="1016"/>
      <c r="F725" s="1016"/>
      <c r="G725" s="1016"/>
      <c r="H725" s="1016"/>
      <c r="I725" s="1016"/>
      <c r="J725" s="1016"/>
    </row>
    <row r="726" spans="2:11" ht="19.2" hidden="1" x14ac:dyDescent="0.35">
      <c r="B726" s="53"/>
      <c r="C726" s="53"/>
      <c r="D726" s="225"/>
      <c r="E726" s="225"/>
      <c r="F726" s="225"/>
      <c r="G726" s="225"/>
      <c r="H726" s="225"/>
      <c r="I726" s="53"/>
      <c r="J726" s="53"/>
    </row>
    <row r="727" spans="2:11" ht="19.2" hidden="1" x14ac:dyDescent="0.35">
      <c r="B727" s="50" t="s">
        <v>320</v>
      </c>
      <c r="C727" s="1017" t="str">
        <f>M21</f>
        <v>ТТГ (тиреотропний гормон ) (кількісні результати)</v>
      </c>
      <c r="D727" s="1017"/>
      <c r="E727" s="1017"/>
      <c r="F727" s="296">
        <f>H778</f>
        <v>169</v>
      </c>
      <c r="G727" s="296" t="s">
        <v>971</v>
      </c>
      <c r="H727" s="225"/>
      <c r="I727" s="53"/>
      <c r="J727" s="53"/>
      <c r="K727" s="561">
        <f>F727-G744</f>
        <v>64</v>
      </c>
    </row>
    <row r="728" spans="2:11" hidden="1" x14ac:dyDescent="0.3"/>
    <row r="729" spans="2:11" hidden="1" x14ac:dyDescent="0.3">
      <c r="C729" s="1018" t="s">
        <v>932</v>
      </c>
      <c r="D729" s="1018"/>
      <c r="E729" s="297"/>
      <c r="F729" s="298">
        <f>F736+F739+F737</f>
        <v>51.55</v>
      </c>
      <c r="G729" s="227" t="s">
        <v>971</v>
      </c>
    </row>
    <row r="730" spans="2:11" hidden="1" x14ac:dyDescent="0.3"/>
    <row r="731" spans="2:11" ht="27.6" hidden="1" x14ac:dyDescent="0.3">
      <c r="C731" s="13" t="s">
        <v>929</v>
      </c>
      <c r="D731" s="14" t="s">
        <v>928</v>
      </c>
      <c r="E731" s="14" t="s">
        <v>514</v>
      </c>
      <c r="F731" s="14" t="s">
        <v>515</v>
      </c>
      <c r="G731" s="14" t="s">
        <v>962</v>
      </c>
      <c r="H731" s="14" t="s">
        <v>926</v>
      </c>
      <c r="I731" s="14" t="s">
        <v>516</v>
      </c>
      <c r="J731" s="14" t="s">
        <v>961</v>
      </c>
    </row>
    <row r="732" spans="2:11" hidden="1" x14ac:dyDescent="0.3">
      <c r="C732" s="17" t="str">
        <f>C676</f>
        <v>Лікар-лаборант</v>
      </c>
      <c r="D732" s="73">
        <f>D676</f>
        <v>10799.43</v>
      </c>
      <c r="E732" s="78">
        <f>D732*12</f>
        <v>129593.16</v>
      </c>
      <c r="F732" s="73">
        <f>F676</f>
        <v>8307.26</v>
      </c>
      <c r="G732" s="73">
        <f>G676</f>
        <v>4153.63</v>
      </c>
      <c r="H732" s="78">
        <f>E732+F732+G732</f>
        <v>142054.05000000002</v>
      </c>
      <c r="I732" s="17">
        <v>1807.2</v>
      </c>
      <c r="J732" s="16">
        <f>ROUND((H732/I732)/60,2)</f>
        <v>1.31</v>
      </c>
    </row>
    <row r="733" spans="2:11" hidden="1" x14ac:dyDescent="0.3">
      <c r="C733" s="17" t="str">
        <f>C677</f>
        <v>Лаборант клінічної лабораторії</v>
      </c>
      <c r="D733" s="73">
        <f>D677</f>
        <v>7871.18</v>
      </c>
      <c r="E733" s="78">
        <f>D733*12</f>
        <v>94454.16</v>
      </c>
      <c r="F733" s="73">
        <f>F677</f>
        <v>6054.75</v>
      </c>
      <c r="G733" s="73">
        <f>G677</f>
        <v>3027.375</v>
      </c>
      <c r="H733" s="78">
        <f>E733+F733+G733</f>
        <v>103536.285</v>
      </c>
      <c r="I733" s="17">
        <v>1807.2</v>
      </c>
      <c r="J733" s="16">
        <f>ROUND((H733/I733)/60,2)</f>
        <v>0.95</v>
      </c>
    </row>
    <row r="734" spans="2:11" hidden="1" x14ac:dyDescent="0.3"/>
    <row r="735" spans="2:11" hidden="1" x14ac:dyDescent="0.3">
      <c r="C735" s="13" t="s">
        <v>929</v>
      </c>
      <c r="D735" s="14" t="s">
        <v>961</v>
      </c>
      <c r="E735" s="14" t="s">
        <v>930</v>
      </c>
      <c r="F735" s="14" t="s">
        <v>931</v>
      </c>
    </row>
    <row r="736" spans="2:11" hidden="1" x14ac:dyDescent="0.3">
      <c r="C736" s="15" t="str">
        <f>C732</f>
        <v>Лікар-лаборант</v>
      </c>
      <c r="D736" s="78">
        <f>J732</f>
        <v>1.31</v>
      </c>
      <c r="E736" s="73">
        <f>10+15</f>
        <v>25</v>
      </c>
      <c r="F736" s="299">
        <f>ROUND(D736*E736,2)</f>
        <v>32.75</v>
      </c>
    </row>
    <row r="737" spans="2:12" hidden="1" x14ac:dyDescent="0.3">
      <c r="C737" s="15" t="str">
        <f>C733</f>
        <v>Лаборант клінічної лабораторії</v>
      </c>
      <c r="D737" s="78">
        <f>J733</f>
        <v>0.95</v>
      </c>
      <c r="E737" s="73">
        <f>5+5</f>
        <v>10</v>
      </c>
      <c r="F737" s="299">
        <f>ROUND(D737*E737,2)</f>
        <v>9.5</v>
      </c>
    </row>
    <row r="738" spans="2:12" hidden="1" x14ac:dyDescent="0.3">
      <c r="D738" s="19"/>
      <c r="E738" s="74" t="s">
        <v>1016</v>
      </c>
    </row>
    <row r="739" spans="2:12" hidden="1" x14ac:dyDescent="0.3">
      <c r="C739" s="17" t="s">
        <v>933</v>
      </c>
      <c r="D739" s="78">
        <f>F736+F737</f>
        <v>42.25</v>
      </c>
      <c r="E739" s="300">
        <v>0.22</v>
      </c>
      <c r="F739" s="301">
        <f>ROUND(D739*E739,2)</f>
        <v>9.3000000000000007</v>
      </c>
    </row>
    <row r="740" spans="2:12" hidden="1" x14ac:dyDescent="0.3"/>
    <row r="741" spans="2:12" hidden="1" x14ac:dyDescent="0.3">
      <c r="C741" s="12" t="s">
        <v>946</v>
      </c>
      <c r="D741" s="227"/>
      <c r="E741" s="227"/>
      <c r="F741" s="227">
        <f>G754</f>
        <v>112.33999999999999</v>
      </c>
      <c r="G741" s="227" t="s">
        <v>971</v>
      </c>
    </row>
    <row r="742" spans="2:12" hidden="1" x14ac:dyDescent="0.3"/>
    <row r="743" spans="2:12" hidden="1" x14ac:dyDescent="0.3">
      <c r="B743" s="82" t="s">
        <v>991</v>
      </c>
      <c r="C743" s="83" t="s">
        <v>986</v>
      </c>
      <c r="D743" s="83" t="s">
        <v>1112</v>
      </c>
      <c r="E743" s="83" t="s">
        <v>988</v>
      </c>
      <c r="F743" s="83" t="s">
        <v>1113</v>
      </c>
      <c r="G743" s="82" t="s">
        <v>988</v>
      </c>
    </row>
    <row r="744" spans="2:12" hidden="1" x14ac:dyDescent="0.3">
      <c r="B744" s="73">
        <v>1</v>
      </c>
      <c r="C744" s="79" t="str">
        <f>'МЕДИЧНІ М'!B226</f>
        <v>Тест-система для визначення ТТГ</v>
      </c>
      <c r="D744" s="75" t="s">
        <v>941</v>
      </c>
      <c r="E744" s="75">
        <f>'МЕДИЧНІ М'!F226</f>
        <v>105</v>
      </c>
      <c r="F744" s="86">
        <v>1</v>
      </c>
      <c r="G744" s="88">
        <f>ROUND(E744/F744,2)</f>
        <v>105</v>
      </c>
      <c r="L744" s="560"/>
    </row>
    <row r="745" spans="2:12" hidden="1" x14ac:dyDescent="0.3">
      <c r="B745" s="73">
        <f>1+B744</f>
        <v>2</v>
      </c>
      <c r="C745" s="79" t="str">
        <f t="shared" ref="C745:F753" si="20">C689</f>
        <v>Наконечник для лабораторних дозаторів</v>
      </c>
      <c r="D745" s="559" t="str">
        <f t="shared" si="20"/>
        <v>шт</v>
      </c>
      <c r="E745" s="559">
        <f t="shared" si="20"/>
        <v>115</v>
      </c>
      <c r="F745" s="559">
        <f t="shared" si="20"/>
        <v>1000</v>
      </c>
      <c r="G745" s="88">
        <f>ROUND(E745/F745,2)</f>
        <v>0.12</v>
      </c>
    </row>
    <row r="746" spans="2:12" hidden="1" x14ac:dyDescent="0.3">
      <c r="B746" s="73">
        <f t="shared" ref="B746:B753" si="21">1+B745</f>
        <v>3</v>
      </c>
      <c r="C746" s="79" t="str">
        <f t="shared" si="20"/>
        <v>Вата</v>
      </c>
      <c r="D746" s="559" t="str">
        <f t="shared" si="20"/>
        <v>шт</v>
      </c>
      <c r="E746" s="559">
        <f t="shared" si="20"/>
        <v>6.72</v>
      </c>
      <c r="F746" s="559">
        <f t="shared" si="20"/>
        <v>100</v>
      </c>
      <c r="G746" s="78">
        <f>ROUND(E746/F746,2)</f>
        <v>7.0000000000000007E-2</v>
      </c>
    </row>
    <row r="747" spans="2:12" hidden="1" x14ac:dyDescent="0.3">
      <c r="B747" s="73">
        <f t="shared" si="21"/>
        <v>4</v>
      </c>
      <c r="C747" s="79" t="str">
        <f t="shared" si="20"/>
        <v>Деззасоби</v>
      </c>
      <c r="D747" s="559" t="str">
        <f t="shared" si="20"/>
        <v>мл</v>
      </c>
      <c r="E747" s="559">
        <f t="shared" si="20"/>
        <v>0.5</v>
      </c>
      <c r="F747" s="559">
        <f t="shared" si="20"/>
        <v>0.5</v>
      </c>
      <c r="G747" s="78">
        <f>ROUND(E747/F747,2)</f>
        <v>1</v>
      </c>
    </row>
    <row r="748" spans="2:12" hidden="1" x14ac:dyDescent="0.3">
      <c r="B748" s="73">
        <f t="shared" si="21"/>
        <v>5</v>
      </c>
      <c r="C748" s="79" t="str">
        <f t="shared" si="20"/>
        <v>Маска на резинці, стерильна.</v>
      </c>
      <c r="D748" s="559" t="str">
        <f t="shared" si="20"/>
        <v>шт</v>
      </c>
      <c r="E748" s="559">
        <f t="shared" si="20"/>
        <v>2</v>
      </c>
      <c r="F748" s="559">
        <f t="shared" si="20"/>
        <v>0.5</v>
      </c>
      <c r="G748" s="81">
        <f>ROUND(E748*F748,2)</f>
        <v>1</v>
      </c>
    </row>
    <row r="749" spans="2:12" hidden="1" x14ac:dyDescent="0.3">
      <c r="B749" s="73">
        <f t="shared" si="21"/>
        <v>6</v>
      </c>
      <c r="C749" s="79" t="str">
        <f t="shared" si="20"/>
        <v>Мікрасепт</v>
      </c>
      <c r="D749" s="559" t="str">
        <f t="shared" si="20"/>
        <v>мл</v>
      </c>
      <c r="E749" s="559">
        <f t="shared" si="20"/>
        <v>0.3</v>
      </c>
      <c r="F749" s="559">
        <f t="shared" si="20"/>
        <v>2</v>
      </c>
      <c r="G749" s="88">
        <f>ROUND(E749*F749,2)</f>
        <v>0.6</v>
      </c>
    </row>
    <row r="750" spans="2:12" hidden="1" x14ac:dyDescent="0.3">
      <c r="B750" s="73">
        <f t="shared" si="21"/>
        <v>7</v>
      </c>
      <c r="C750" s="79" t="str">
        <f t="shared" si="20"/>
        <v>Пробірка</v>
      </c>
      <c r="D750" s="559" t="str">
        <f t="shared" si="20"/>
        <v>шт</v>
      </c>
      <c r="E750" s="559">
        <f t="shared" si="20"/>
        <v>0.6</v>
      </c>
      <c r="F750" s="559">
        <f t="shared" si="20"/>
        <v>1</v>
      </c>
      <c r="G750" s="88">
        <f>ROUND(E750/F750,2)</f>
        <v>0.6</v>
      </c>
    </row>
    <row r="751" spans="2:12" hidden="1" x14ac:dyDescent="0.3">
      <c r="B751" s="73">
        <f t="shared" si="21"/>
        <v>8</v>
      </c>
      <c r="C751" s="79" t="str">
        <f t="shared" si="20"/>
        <v>Рукавиці н/с</v>
      </c>
      <c r="D751" s="559" t="str">
        <f t="shared" si="20"/>
        <v>шт</v>
      </c>
      <c r="E751" s="559">
        <f t="shared" si="20"/>
        <v>2.8</v>
      </c>
      <c r="F751" s="559">
        <f t="shared" si="20"/>
        <v>1</v>
      </c>
      <c r="G751" s="88">
        <f>ROUND(E751/F751,2)</f>
        <v>2.8</v>
      </c>
    </row>
    <row r="752" spans="2:12" hidden="1" x14ac:dyDescent="0.3">
      <c r="B752" s="73">
        <f t="shared" si="21"/>
        <v>9</v>
      </c>
      <c r="C752" s="79" t="str">
        <f t="shared" si="20"/>
        <v xml:space="preserve">Спирт 70% 100мл </v>
      </c>
      <c r="D752" s="559" t="str">
        <f t="shared" si="20"/>
        <v>фл</v>
      </c>
      <c r="E752" s="559">
        <f t="shared" si="20"/>
        <v>24.6</v>
      </c>
      <c r="F752" s="559">
        <f t="shared" si="20"/>
        <v>100</v>
      </c>
      <c r="G752" s="81">
        <f>ROUND(E752/F752,2)</f>
        <v>0.25</v>
      </c>
    </row>
    <row r="753" spans="2:18" hidden="1" x14ac:dyDescent="0.3">
      <c r="B753" s="73">
        <f t="shared" si="21"/>
        <v>10</v>
      </c>
      <c r="C753" s="79" t="str">
        <f t="shared" si="20"/>
        <v>Шприц 5 мл</v>
      </c>
      <c r="D753" s="559" t="str">
        <f t="shared" si="20"/>
        <v>шт</v>
      </c>
      <c r="E753" s="559">
        <f t="shared" si="20"/>
        <v>0.9</v>
      </c>
      <c r="F753" s="559">
        <f t="shared" si="20"/>
        <v>1</v>
      </c>
      <c r="G753" s="81">
        <f>ROUND(E753*F753,2)</f>
        <v>0.9</v>
      </c>
    </row>
    <row r="754" spans="2:18" hidden="1" x14ac:dyDescent="0.3">
      <c r="B754" s="1012" t="s">
        <v>945</v>
      </c>
      <c r="C754" s="1013"/>
      <c r="D754" s="1013"/>
      <c r="E754" s="1013"/>
      <c r="F754" s="1014"/>
      <c r="G754" s="572">
        <f>SUM(G744:G753)</f>
        <v>112.33999999999999</v>
      </c>
    </row>
    <row r="755" spans="2:18" hidden="1" x14ac:dyDescent="0.3"/>
    <row r="756" spans="2:18" hidden="1" x14ac:dyDescent="0.3">
      <c r="C756" s="12" t="s">
        <v>968</v>
      </c>
      <c r="D756" s="227"/>
      <c r="E756" s="227"/>
      <c r="F756" s="298">
        <f>H759</f>
        <v>0.7</v>
      </c>
      <c r="G756" s="227" t="s">
        <v>971</v>
      </c>
    </row>
    <row r="757" spans="2:18" hidden="1" x14ac:dyDescent="0.3">
      <c r="C757" s="22"/>
      <c r="D757" s="36"/>
      <c r="E757" s="36"/>
      <c r="F757" s="302"/>
      <c r="G757" s="36"/>
    </row>
    <row r="758" spans="2:18" ht="27.6" hidden="1" x14ac:dyDescent="0.3">
      <c r="C758" s="14" t="s">
        <v>513</v>
      </c>
      <c r="D758" s="14" t="s">
        <v>1114</v>
      </c>
      <c r="E758" s="14" t="s">
        <v>516</v>
      </c>
      <c r="F758" s="14" t="s">
        <v>970</v>
      </c>
      <c r="G758" s="14" t="s">
        <v>930</v>
      </c>
      <c r="H758" s="14" t="s">
        <v>961</v>
      </c>
    </row>
    <row r="759" spans="2:18" s="516" customFormat="1" hidden="1" x14ac:dyDescent="0.3">
      <c r="B759" s="554"/>
      <c r="C759" s="552" t="str">
        <f>C703</f>
        <v>LS-1100 Аналізатор імунофлуоресцентний</v>
      </c>
      <c r="D759" s="574">
        <f>D703</f>
        <v>6500</v>
      </c>
      <c r="E759" s="531">
        <v>6500</v>
      </c>
      <c r="F759" s="531">
        <f>ROUND((D759/E759)/60,2)</f>
        <v>0.02</v>
      </c>
      <c r="G759" s="531">
        <f>E737+E736</f>
        <v>35</v>
      </c>
      <c r="H759" s="573">
        <f>ROUND(F759*G759,2)</f>
        <v>0.7</v>
      </c>
      <c r="I759" s="555"/>
      <c r="J759" s="554"/>
      <c r="K759" s="556"/>
      <c r="L759" s="557"/>
      <c r="M759" s="557"/>
      <c r="N759" s="558"/>
      <c r="O759" s="558"/>
      <c r="P759" s="558"/>
      <c r="Q759" s="558"/>
      <c r="R759" s="558"/>
    </row>
    <row r="760" spans="2:18" hidden="1" x14ac:dyDescent="0.3"/>
    <row r="761" spans="2:18" hidden="1" x14ac:dyDescent="0.3">
      <c r="C761" s="12" t="s">
        <v>948</v>
      </c>
      <c r="D761" s="227"/>
      <c r="E761" s="227"/>
      <c r="F761" s="298">
        <f>H774</f>
        <v>4.55</v>
      </c>
      <c r="G761" s="227" t="s">
        <v>971</v>
      </c>
    </row>
    <row r="762" spans="2:18" hidden="1" x14ac:dyDescent="0.3">
      <c r="C762" s="22"/>
      <c r="D762" s="36"/>
      <c r="E762" s="36"/>
      <c r="F762" s="302"/>
    </row>
    <row r="763" spans="2:18" ht="27.6" hidden="1" x14ac:dyDescent="0.3">
      <c r="C763" s="14" t="s">
        <v>948</v>
      </c>
      <c r="D763" s="14" t="s">
        <v>1110</v>
      </c>
      <c r="E763" s="14" t="s">
        <v>516</v>
      </c>
      <c r="F763" s="14" t="s">
        <v>954</v>
      </c>
      <c r="G763" s="14" t="s">
        <v>930</v>
      </c>
      <c r="H763" s="14" t="s">
        <v>1111</v>
      </c>
    </row>
    <row r="764" spans="2:18" hidden="1" x14ac:dyDescent="0.3">
      <c r="C764" s="1009" t="str">
        <f>C732</f>
        <v>Лікар-лаборант</v>
      </c>
      <c r="D764" s="1010"/>
      <c r="E764" s="1010"/>
      <c r="F764" s="1010"/>
      <c r="G764" s="1010"/>
      <c r="H764" s="1011"/>
    </row>
    <row r="765" spans="2:18" hidden="1" x14ac:dyDescent="0.3">
      <c r="C765" s="17" t="s">
        <v>951</v>
      </c>
      <c r="D765" s="221">
        <f>D709</f>
        <v>12188.608008565312</v>
      </c>
      <c r="E765" s="73">
        <f>I732</f>
        <v>1807.2</v>
      </c>
      <c r="F765" s="73">
        <f>ROUND((D765/E765)/60,2)</f>
        <v>0.11</v>
      </c>
      <c r="G765" s="73">
        <f>E736</f>
        <v>25</v>
      </c>
      <c r="H765" s="78">
        <f>ROUND(F765*G765,2)</f>
        <v>2.75</v>
      </c>
    </row>
    <row r="766" spans="2:18" hidden="1" x14ac:dyDescent="0.3">
      <c r="C766" s="17" t="s">
        <v>952</v>
      </c>
      <c r="D766" s="221">
        <f>D710</f>
        <v>53.149721627408987</v>
      </c>
      <c r="E766" s="73">
        <f>I732</f>
        <v>1807.2</v>
      </c>
      <c r="F766" s="73">
        <f>ROUND((D766/E766)/60,2)</f>
        <v>0</v>
      </c>
      <c r="G766" s="73">
        <f>E736</f>
        <v>25</v>
      </c>
      <c r="H766" s="78">
        <f>ROUND(F766*G766,2)</f>
        <v>0</v>
      </c>
    </row>
    <row r="767" spans="2:18" hidden="1" x14ac:dyDescent="0.3">
      <c r="C767" s="17" t="s">
        <v>953</v>
      </c>
      <c r="D767" s="221">
        <f>D711</f>
        <v>374.98368308351178</v>
      </c>
      <c r="E767" s="73">
        <f>I732</f>
        <v>1807.2</v>
      </c>
      <c r="F767" s="73">
        <f>ROUND((D767/E767)/60,2)</f>
        <v>0</v>
      </c>
      <c r="G767" s="73">
        <f>E736</f>
        <v>25</v>
      </c>
      <c r="H767" s="78">
        <f>ROUND(F767*G767,2)</f>
        <v>0</v>
      </c>
    </row>
    <row r="768" spans="2:18" hidden="1" x14ac:dyDescent="0.3">
      <c r="C768" s="17" t="s">
        <v>1109</v>
      </c>
      <c r="D768" s="221">
        <f>D712</f>
        <v>1686.0389293361886</v>
      </c>
      <c r="E768" s="73">
        <f>I732</f>
        <v>1807.2</v>
      </c>
      <c r="F768" s="73">
        <f>ROUND((D768/E768)/60,2)</f>
        <v>0.02</v>
      </c>
      <c r="G768" s="73">
        <f>E736</f>
        <v>25</v>
      </c>
      <c r="H768" s="78">
        <f>ROUND(F768*G768,2)</f>
        <v>0.5</v>
      </c>
    </row>
    <row r="769" spans="2:11" hidden="1" x14ac:dyDescent="0.3">
      <c r="C769" s="1009" t="str">
        <f>C733</f>
        <v>Лаборант клінічної лабораторії</v>
      </c>
      <c r="D769" s="1010"/>
      <c r="E769" s="1010"/>
      <c r="F769" s="1010"/>
      <c r="G769" s="1010"/>
      <c r="H769" s="1011"/>
    </row>
    <row r="770" spans="2:11" hidden="1" x14ac:dyDescent="0.3">
      <c r="C770" s="17" t="s">
        <v>951</v>
      </c>
      <c r="D770" s="221">
        <f>D765</f>
        <v>12188.608008565312</v>
      </c>
      <c r="E770" s="73">
        <f>I733</f>
        <v>1807.2</v>
      </c>
      <c r="F770" s="73">
        <f>ROUND((D770/E770)/60,2)</f>
        <v>0.11</v>
      </c>
      <c r="G770" s="73">
        <f>E737</f>
        <v>10</v>
      </c>
      <c r="H770" s="78">
        <f>ROUND(F770*G770,2)</f>
        <v>1.1000000000000001</v>
      </c>
    </row>
    <row r="771" spans="2:11" hidden="1" x14ac:dyDescent="0.3">
      <c r="C771" s="17" t="s">
        <v>952</v>
      </c>
      <c r="D771" s="221">
        <f>D766</f>
        <v>53.149721627408987</v>
      </c>
      <c r="E771" s="73">
        <f>I733</f>
        <v>1807.2</v>
      </c>
      <c r="F771" s="73">
        <f>ROUND((D771/E771)/60,2)</f>
        <v>0</v>
      </c>
      <c r="G771" s="73">
        <f>E737</f>
        <v>10</v>
      </c>
      <c r="H771" s="78">
        <f>ROUND(F771*G771,2)</f>
        <v>0</v>
      </c>
    </row>
    <row r="772" spans="2:11" hidden="1" x14ac:dyDescent="0.3">
      <c r="C772" s="17" t="s">
        <v>953</v>
      </c>
      <c r="D772" s="221">
        <f>D767</f>
        <v>374.98368308351178</v>
      </c>
      <c r="E772" s="73">
        <f>I733</f>
        <v>1807.2</v>
      </c>
      <c r="F772" s="73">
        <f>ROUND((D772/E772)/60,2)</f>
        <v>0</v>
      </c>
      <c r="G772" s="73">
        <f>E737</f>
        <v>10</v>
      </c>
      <c r="H772" s="78">
        <f>ROUND(F772*G772,2)</f>
        <v>0</v>
      </c>
    </row>
    <row r="773" spans="2:11" hidden="1" x14ac:dyDescent="0.3">
      <c r="C773" s="17" t="s">
        <v>1109</v>
      </c>
      <c r="D773" s="221">
        <f>D768</f>
        <v>1686.0389293361886</v>
      </c>
      <c r="E773" s="73">
        <f>I733</f>
        <v>1807.2</v>
      </c>
      <c r="F773" s="73">
        <f>ROUND((D773/E773)/60,2)</f>
        <v>0.02</v>
      </c>
      <c r="G773" s="73">
        <f>E737</f>
        <v>10</v>
      </c>
      <c r="H773" s="78">
        <f>ROUND(F773*G773,2)</f>
        <v>0.2</v>
      </c>
    </row>
    <row r="774" spans="2:11" hidden="1" x14ac:dyDescent="0.3">
      <c r="C774" s="1012" t="s">
        <v>957</v>
      </c>
      <c r="D774" s="1013"/>
      <c r="E774" s="1013"/>
      <c r="F774" s="1013"/>
      <c r="G774" s="1014"/>
      <c r="H774" s="299">
        <f>SUM(H765:H773)</f>
        <v>4.55</v>
      </c>
    </row>
    <row r="775" spans="2:11" hidden="1" x14ac:dyDescent="0.3"/>
    <row r="776" spans="2:11" hidden="1" x14ac:dyDescent="0.3">
      <c r="C776" s="1015" t="s">
        <v>959</v>
      </c>
      <c r="D776" s="1015"/>
      <c r="E776" s="1015"/>
      <c r="F776" s="1015"/>
      <c r="G776" s="1015"/>
      <c r="H776" s="334">
        <f>F729+F741+F761+F756</f>
        <v>169.14</v>
      </c>
    </row>
    <row r="777" spans="2:11" hidden="1" x14ac:dyDescent="0.3">
      <c r="C777" s="33"/>
      <c r="D777" s="33"/>
      <c r="E777" s="33"/>
      <c r="F777" s="33"/>
      <c r="G777" s="33"/>
      <c r="H777" s="335"/>
    </row>
    <row r="778" spans="2:11" hidden="1" x14ac:dyDescent="0.3">
      <c r="C778" s="1015" t="s">
        <v>960</v>
      </c>
      <c r="D778" s="1015"/>
      <c r="E778" s="1015"/>
      <c r="F778" s="1015"/>
      <c r="G778" s="1015"/>
      <c r="H778" s="334">
        <f>ROUND(H776,0)</f>
        <v>169</v>
      </c>
    </row>
    <row r="779" spans="2:11" hidden="1" x14ac:dyDescent="0.3"/>
    <row r="780" spans="2:11" hidden="1" x14ac:dyDescent="0.3"/>
    <row r="781" spans="2:11" ht="18.600000000000001" hidden="1" x14ac:dyDescent="0.3">
      <c r="B781" s="1016" t="s">
        <v>958</v>
      </c>
      <c r="C781" s="1016"/>
      <c r="D781" s="1016"/>
      <c r="E781" s="1016"/>
      <c r="F781" s="1016"/>
      <c r="G781" s="1016"/>
      <c r="H781" s="1016"/>
      <c r="I781" s="1016"/>
      <c r="J781" s="1016"/>
    </row>
    <row r="782" spans="2:11" ht="19.2" hidden="1" x14ac:dyDescent="0.35">
      <c r="B782" s="53"/>
      <c r="C782" s="53"/>
      <c r="D782" s="225"/>
      <c r="E782" s="225"/>
      <c r="F782" s="225"/>
      <c r="G782" s="225"/>
      <c r="H782" s="225"/>
      <c r="I782" s="53"/>
      <c r="J782" s="53"/>
    </row>
    <row r="783" spans="2:11" ht="19.2" hidden="1" x14ac:dyDescent="0.35">
      <c r="B783" s="50" t="s">
        <v>321</v>
      </c>
      <c r="C783" s="1017" t="str">
        <f>M22</f>
        <v>Т3 (трийодтиронін) (кількісні результати)</v>
      </c>
      <c r="D783" s="1017"/>
      <c r="E783" s="1017"/>
      <c r="F783" s="296">
        <f>H834</f>
        <v>169</v>
      </c>
      <c r="G783" s="296" t="s">
        <v>971</v>
      </c>
      <c r="H783" s="225"/>
      <c r="I783" s="53"/>
      <c r="J783" s="53"/>
      <c r="K783" s="561">
        <f>F783-G800</f>
        <v>64</v>
      </c>
    </row>
    <row r="784" spans="2:11" hidden="1" x14ac:dyDescent="0.3"/>
    <row r="785" spans="2:12" hidden="1" x14ac:dyDescent="0.3">
      <c r="C785" s="1018" t="s">
        <v>932</v>
      </c>
      <c r="D785" s="1018"/>
      <c r="E785" s="297"/>
      <c r="F785" s="298">
        <f>F792+F795+F793</f>
        <v>51.55</v>
      </c>
      <c r="G785" s="227" t="s">
        <v>971</v>
      </c>
    </row>
    <row r="786" spans="2:12" hidden="1" x14ac:dyDescent="0.3"/>
    <row r="787" spans="2:12" ht="27.6" hidden="1" x14ac:dyDescent="0.3">
      <c r="C787" s="13" t="s">
        <v>929</v>
      </c>
      <c r="D787" s="14" t="s">
        <v>928</v>
      </c>
      <c r="E787" s="14" t="s">
        <v>514</v>
      </c>
      <c r="F787" s="14" t="s">
        <v>515</v>
      </c>
      <c r="G787" s="14" t="s">
        <v>962</v>
      </c>
      <c r="H787" s="14" t="s">
        <v>926</v>
      </c>
      <c r="I787" s="14" t="s">
        <v>516</v>
      </c>
      <c r="J787" s="14" t="s">
        <v>961</v>
      </c>
    </row>
    <row r="788" spans="2:12" hidden="1" x14ac:dyDescent="0.3">
      <c r="C788" s="17" t="str">
        <f>C732</f>
        <v>Лікар-лаборант</v>
      </c>
      <c r="D788" s="73">
        <f>D732</f>
        <v>10799.43</v>
      </c>
      <c r="E788" s="78">
        <f>D788*12</f>
        <v>129593.16</v>
      </c>
      <c r="F788" s="73">
        <f>F732</f>
        <v>8307.26</v>
      </c>
      <c r="G788" s="73">
        <f>G732</f>
        <v>4153.63</v>
      </c>
      <c r="H788" s="78">
        <f>E788+F788+G788</f>
        <v>142054.05000000002</v>
      </c>
      <c r="I788" s="17">
        <v>1807.2</v>
      </c>
      <c r="J788" s="16">
        <f>ROUND((H788/I788)/60,2)</f>
        <v>1.31</v>
      </c>
    </row>
    <row r="789" spans="2:12" hidden="1" x14ac:dyDescent="0.3">
      <c r="C789" s="17" t="str">
        <f>C733</f>
        <v>Лаборант клінічної лабораторії</v>
      </c>
      <c r="D789" s="73">
        <f>D733</f>
        <v>7871.18</v>
      </c>
      <c r="E789" s="78">
        <f>D789*12</f>
        <v>94454.16</v>
      </c>
      <c r="F789" s="73">
        <f>F733</f>
        <v>6054.75</v>
      </c>
      <c r="G789" s="73">
        <f>G733</f>
        <v>3027.375</v>
      </c>
      <c r="H789" s="78">
        <f>E789+F789+G789</f>
        <v>103536.285</v>
      </c>
      <c r="I789" s="17">
        <v>1807.2</v>
      </c>
      <c r="J789" s="16">
        <f>ROUND((H789/I789)/60,2)</f>
        <v>0.95</v>
      </c>
    </row>
    <row r="790" spans="2:12" hidden="1" x14ac:dyDescent="0.3"/>
    <row r="791" spans="2:12" hidden="1" x14ac:dyDescent="0.3">
      <c r="C791" s="13" t="s">
        <v>929</v>
      </c>
      <c r="D791" s="14" t="s">
        <v>961</v>
      </c>
      <c r="E791" s="14" t="s">
        <v>930</v>
      </c>
      <c r="F791" s="14" t="s">
        <v>931</v>
      </c>
    </row>
    <row r="792" spans="2:12" hidden="1" x14ac:dyDescent="0.3">
      <c r="C792" s="15" t="str">
        <f>C788</f>
        <v>Лікар-лаборант</v>
      </c>
      <c r="D792" s="78">
        <f>J788</f>
        <v>1.31</v>
      </c>
      <c r="E792" s="73">
        <f>10+15</f>
        <v>25</v>
      </c>
      <c r="F792" s="299">
        <f>ROUND(D792*E792,2)</f>
        <v>32.75</v>
      </c>
    </row>
    <row r="793" spans="2:12" hidden="1" x14ac:dyDescent="0.3">
      <c r="C793" s="15" t="str">
        <f>C789</f>
        <v>Лаборант клінічної лабораторії</v>
      </c>
      <c r="D793" s="78">
        <f>J789</f>
        <v>0.95</v>
      </c>
      <c r="E793" s="73">
        <f>5+5</f>
        <v>10</v>
      </c>
      <c r="F793" s="299">
        <f>ROUND(D793*E793,2)</f>
        <v>9.5</v>
      </c>
    </row>
    <row r="794" spans="2:12" hidden="1" x14ac:dyDescent="0.3">
      <c r="D794" s="19"/>
      <c r="E794" s="74" t="s">
        <v>1016</v>
      </c>
    </row>
    <row r="795" spans="2:12" hidden="1" x14ac:dyDescent="0.3">
      <c r="C795" s="17" t="s">
        <v>933</v>
      </c>
      <c r="D795" s="78">
        <f>F792+F793</f>
        <v>42.25</v>
      </c>
      <c r="E795" s="300">
        <v>0.22</v>
      </c>
      <c r="F795" s="301">
        <f>ROUND(D795*E795,2)</f>
        <v>9.3000000000000007</v>
      </c>
    </row>
    <row r="796" spans="2:12" hidden="1" x14ac:dyDescent="0.3"/>
    <row r="797" spans="2:12" hidden="1" x14ac:dyDescent="0.3">
      <c r="C797" s="12" t="s">
        <v>946</v>
      </c>
      <c r="D797" s="227"/>
      <c r="E797" s="227"/>
      <c r="F797" s="227">
        <f>G810</f>
        <v>112.33999999999999</v>
      </c>
      <c r="G797" s="227" t="s">
        <v>971</v>
      </c>
    </row>
    <row r="798" spans="2:12" hidden="1" x14ac:dyDescent="0.3"/>
    <row r="799" spans="2:12" hidden="1" x14ac:dyDescent="0.3">
      <c r="B799" s="82" t="s">
        <v>991</v>
      </c>
      <c r="C799" s="83" t="s">
        <v>986</v>
      </c>
      <c r="D799" s="83" t="s">
        <v>1112</v>
      </c>
      <c r="E799" s="83" t="s">
        <v>988</v>
      </c>
      <c r="F799" s="83" t="s">
        <v>1113</v>
      </c>
      <c r="G799" s="82" t="s">
        <v>988</v>
      </c>
    </row>
    <row r="800" spans="2:12" hidden="1" x14ac:dyDescent="0.3">
      <c r="B800" s="73">
        <v>1</v>
      </c>
      <c r="C800" s="79" t="str">
        <f>'МЕДИЧНІ М'!B227</f>
        <v>Тест-система для визначення ТЗ</v>
      </c>
      <c r="D800" s="75" t="s">
        <v>941</v>
      </c>
      <c r="E800" s="75">
        <f>'МЕДИЧНІ М'!F227</f>
        <v>105</v>
      </c>
      <c r="F800" s="86">
        <v>1</v>
      </c>
      <c r="G800" s="88">
        <f>ROUND(E800/F800,2)</f>
        <v>105</v>
      </c>
      <c r="L800" s="560"/>
    </row>
    <row r="801" spans="2:18" hidden="1" x14ac:dyDescent="0.3">
      <c r="B801" s="73">
        <f>1+B800</f>
        <v>2</v>
      </c>
      <c r="C801" s="79" t="str">
        <f t="shared" ref="C801:F809" si="22">C745</f>
        <v>Наконечник для лабораторних дозаторів</v>
      </c>
      <c r="D801" s="559" t="str">
        <f t="shared" si="22"/>
        <v>шт</v>
      </c>
      <c r="E801" s="559">
        <f t="shared" si="22"/>
        <v>115</v>
      </c>
      <c r="F801" s="559">
        <f t="shared" si="22"/>
        <v>1000</v>
      </c>
      <c r="G801" s="88">
        <f>ROUND(E801/F801,2)</f>
        <v>0.12</v>
      </c>
    </row>
    <row r="802" spans="2:18" hidden="1" x14ac:dyDescent="0.3">
      <c r="B802" s="73">
        <f t="shared" ref="B802:B809" si="23">1+B801</f>
        <v>3</v>
      </c>
      <c r="C802" s="79" t="str">
        <f t="shared" si="22"/>
        <v>Вата</v>
      </c>
      <c r="D802" s="559" t="str">
        <f t="shared" si="22"/>
        <v>шт</v>
      </c>
      <c r="E802" s="559">
        <f t="shared" si="22"/>
        <v>6.72</v>
      </c>
      <c r="F802" s="559">
        <f t="shared" si="22"/>
        <v>100</v>
      </c>
      <c r="G802" s="78">
        <f>ROUND(E802/F802,2)</f>
        <v>7.0000000000000007E-2</v>
      </c>
    </row>
    <row r="803" spans="2:18" hidden="1" x14ac:dyDescent="0.3">
      <c r="B803" s="73">
        <f t="shared" si="23"/>
        <v>4</v>
      </c>
      <c r="C803" s="79" t="str">
        <f t="shared" si="22"/>
        <v>Деззасоби</v>
      </c>
      <c r="D803" s="559" t="str">
        <f t="shared" si="22"/>
        <v>мл</v>
      </c>
      <c r="E803" s="559">
        <f t="shared" si="22"/>
        <v>0.5</v>
      </c>
      <c r="F803" s="559">
        <f t="shared" si="22"/>
        <v>0.5</v>
      </c>
      <c r="G803" s="78">
        <f>ROUND(E803/F803,2)</f>
        <v>1</v>
      </c>
    </row>
    <row r="804" spans="2:18" hidden="1" x14ac:dyDescent="0.3">
      <c r="B804" s="73">
        <f t="shared" si="23"/>
        <v>5</v>
      </c>
      <c r="C804" s="79" t="str">
        <f t="shared" si="22"/>
        <v>Маска на резинці, стерильна.</v>
      </c>
      <c r="D804" s="559" t="str">
        <f t="shared" si="22"/>
        <v>шт</v>
      </c>
      <c r="E804" s="559">
        <f t="shared" si="22"/>
        <v>2</v>
      </c>
      <c r="F804" s="559">
        <f t="shared" si="22"/>
        <v>0.5</v>
      </c>
      <c r="G804" s="81">
        <f>ROUND(E804*F804,2)</f>
        <v>1</v>
      </c>
    </row>
    <row r="805" spans="2:18" hidden="1" x14ac:dyDescent="0.3">
      <c r="B805" s="73">
        <f t="shared" si="23"/>
        <v>6</v>
      </c>
      <c r="C805" s="79" t="str">
        <f t="shared" si="22"/>
        <v>Мікрасепт</v>
      </c>
      <c r="D805" s="559" t="str">
        <f t="shared" si="22"/>
        <v>мл</v>
      </c>
      <c r="E805" s="559">
        <f t="shared" si="22"/>
        <v>0.3</v>
      </c>
      <c r="F805" s="559">
        <f t="shared" si="22"/>
        <v>2</v>
      </c>
      <c r="G805" s="88">
        <f>ROUND(E805*F805,2)</f>
        <v>0.6</v>
      </c>
    </row>
    <row r="806" spans="2:18" hidden="1" x14ac:dyDescent="0.3">
      <c r="B806" s="73">
        <f t="shared" si="23"/>
        <v>7</v>
      </c>
      <c r="C806" s="79" t="str">
        <f t="shared" si="22"/>
        <v>Пробірка</v>
      </c>
      <c r="D806" s="559" t="str">
        <f t="shared" si="22"/>
        <v>шт</v>
      </c>
      <c r="E806" s="559">
        <f t="shared" si="22"/>
        <v>0.6</v>
      </c>
      <c r="F806" s="559">
        <f t="shared" si="22"/>
        <v>1</v>
      </c>
      <c r="G806" s="88">
        <f>ROUND(E806/F806,2)</f>
        <v>0.6</v>
      </c>
    </row>
    <row r="807" spans="2:18" hidden="1" x14ac:dyDescent="0.3">
      <c r="B807" s="73">
        <f t="shared" si="23"/>
        <v>8</v>
      </c>
      <c r="C807" s="79" t="str">
        <f t="shared" si="22"/>
        <v>Рукавиці н/с</v>
      </c>
      <c r="D807" s="559" t="str">
        <f t="shared" si="22"/>
        <v>шт</v>
      </c>
      <c r="E807" s="559">
        <f t="shared" si="22"/>
        <v>2.8</v>
      </c>
      <c r="F807" s="559">
        <f t="shared" si="22"/>
        <v>1</v>
      </c>
      <c r="G807" s="88">
        <f>ROUND(E807/F807,2)</f>
        <v>2.8</v>
      </c>
    </row>
    <row r="808" spans="2:18" hidden="1" x14ac:dyDescent="0.3">
      <c r="B808" s="73">
        <f t="shared" si="23"/>
        <v>9</v>
      </c>
      <c r="C808" s="79" t="str">
        <f t="shared" si="22"/>
        <v xml:space="preserve">Спирт 70% 100мл </v>
      </c>
      <c r="D808" s="559" t="str">
        <f t="shared" si="22"/>
        <v>фл</v>
      </c>
      <c r="E808" s="559">
        <f t="shared" si="22"/>
        <v>24.6</v>
      </c>
      <c r="F808" s="559">
        <f t="shared" si="22"/>
        <v>100</v>
      </c>
      <c r="G808" s="81">
        <f>ROUND(E808/F808,2)</f>
        <v>0.25</v>
      </c>
    </row>
    <row r="809" spans="2:18" hidden="1" x14ac:dyDescent="0.3">
      <c r="B809" s="73">
        <f t="shared" si="23"/>
        <v>10</v>
      </c>
      <c r="C809" s="79" t="str">
        <f t="shared" si="22"/>
        <v>Шприц 5 мл</v>
      </c>
      <c r="D809" s="559" t="str">
        <f t="shared" si="22"/>
        <v>шт</v>
      </c>
      <c r="E809" s="559">
        <f t="shared" si="22"/>
        <v>0.9</v>
      </c>
      <c r="F809" s="559">
        <f t="shared" si="22"/>
        <v>1</v>
      </c>
      <c r="G809" s="81">
        <f>ROUND(E809*F809,2)</f>
        <v>0.9</v>
      </c>
    </row>
    <row r="810" spans="2:18" hidden="1" x14ac:dyDescent="0.3">
      <c r="B810" s="1012" t="s">
        <v>945</v>
      </c>
      <c r="C810" s="1013"/>
      <c r="D810" s="1013"/>
      <c r="E810" s="1013"/>
      <c r="F810" s="1014"/>
      <c r="G810" s="572">
        <f>SUM(G800:G809)</f>
        <v>112.33999999999999</v>
      </c>
    </row>
    <row r="811" spans="2:18" hidden="1" x14ac:dyDescent="0.3"/>
    <row r="812" spans="2:18" hidden="1" x14ac:dyDescent="0.3">
      <c r="C812" s="12" t="s">
        <v>968</v>
      </c>
      <c r="D812" s="227"/>
      <c r="E812" s="227"/>
      <c r="F812" s="298">
        <f>H815</f>
        <v>0.7</v>
      </c>
      <c r="G812" s="227" t="s">
        <v>971</v>
      </c>
    </row>
    <row r="813" spans="2:18" hidden="1" x14ac:dyDescent="0.3">
      <c r="C813" s="22"/>
      <c r="D813" s="36"/>
      <c r="E813" s="36"/>
      <c r="F813" s="302"/>
      <c r="G813" s="36"/>
    </row>
    <row r="814" spans="2:18" ht="27.6" hidden="1" x14ac:dyDescent="0.3">
      <c r="C814" s="14" t="s">
        <v>513</v>
      </c>
      <c r="D814" s="14" t="s">
        <v>1114</v>
      </c>
      <c r="E814" s="14" t="s">
        <v>516</v>
      </c>
      <c r="F814" s="14" t="s">
        <v>970</v>
      </c>
      <c r="G814" s="14" t="s">
        <v>930</v>
      </c>
      <c r="H814" s="14" t="s">
        <v>961</v>
      </c>
    </row>
    <row r="815" spans="2:18" s="516" customFormat="1" hidden="1" x14ac:dyDescent="0.3">
      <c r="B815" s="554"/>
      <c r="C815" s="552" t="str">
        <f>C759</f>
        <v>LS-1100 Аналізатор імунофлуоресцентний</v>
      </c>
      <c r="D815" s="574">
        <f>D759</f>
        <v>6500</v>
      </c>
      <c r="E815" s="531">
        <v>6500</v>
      </c>
      <c r="F815" s="531">
        <f>ROUND((D815/E815)/60,2)</f>
        <v>0.02</v>
      </c>
      <c r="G815" s="531">
        <f>E793+E792</f>
        <v>35</v>
      </c>
      <c r="H815" s="573">
        <f>ROUND(F815*G815,2)</f>
        <v>0.7</v>
      </c>
      <c r="I815" s="555"/>
      <c r="J815" s="554"/>
      <c r="K815" s="556"/>
      <c r="L815" s="557"/>
      <c r="M815" s="557"/>
      <c r="N815" s="558"/>
      <c r="O815" s="558"/>
      <c r="P815" s="558"/>
      <c r="Q815" s="558"/>
      <c r="R815" s="558"/>
    </row>
    <row r="816" spans="2:18" hidden="1" x14ac:dyDescent="0.3"/>
    <row r="817" spans="3:8" hidden="1" x14ac:dyDescent="0.3">
      <c r="C817" s="12" t="s">
        <v>948</v>
      </c>
      <c r="D817" s="227"/>
      <c r="E817" s="227"/>
      <c r="F817" s="298">
        <f>H830</f>
        <v>4.55</v>
      </c>
      <c r="G817" s="227" t="s">
        <v>971</v>
      </c>
    </row>
    <row r="818" spans="3:8" hidden="1" x14ac:dyDescent="0.3">
      <c r="C818" s="22"/>
      <c r="D818" s="36"/>
      <c r="E818" s="36"/>
      <c r="F818" s="302"/>
    </row>
    <row r="819" spans="3:8" ht="27.6" hidden="1" x14ac:dyDescent="0.3">
      <c r="C819" s="14" t="s">
        <v>948</v>
      </c>
      <c r="D819" s="14" t="s">
        <v>1110</v>
      </c>
      <c r="E819" s="14" t="s">
        <v>516</v>
      </c>
      <c r="F819" s="14" t="s">
        <v>954</v>
      </c>
      <c r="G819" s="14" t="s">
        <v>930</v>
      </c>
      <c r="H819" s="14" t="s">
        <v>1111</v>
      </c>
    </row>
    <row r="820" spans="3:8" hidden="1" x14ac:dyDescent="0.3">
      <c r="C820" s="1009" t="str">
        <f>C788</f>
        <v>Лікар-лаборант</v>
      </c>
      <c r="D820" s="1010"/>
      <c r="E820" s="1010"/>
      <c r="F820" s="1010"/>
      <c r="G820" s="1010"/>
      <c r="H820" s="1011"/>
    </row>
    <row r="821" spans="3:8" hidden="1" x14ac:dyDescent="0.3">
      <c r="C821" s="17" t="s">
        <v>951</v>
      </c>
      <c r="D821" s="221">
        <f>D765</f>
        <v>12188.608008565312</v>
      </c>
      <c r="E821" s="73">
        <f>I788</f>
        <v>1807.2</v>
      </c>
      <c r="F821" s="73">
        <f>ROUND((D821/E821)/60,2)</f>
        <v>0.11</v>
      </c>
      <c r="G821" s="73">
        <f>E792</f>
        <v>25</v>
      </c>
      <c r="H821" s="78">
        <f>ROUND(F821*G821,2)</f>
        <v>2.75</v>
      </c>
    </row>
    <row r="822" spans="3:8" hidden="1" x14ac:dyDescent="0.3">
      <c r="C822" s="17" t="s">
        <v>952</v>
      </c>
      <c r="D822" s="221">
        <f>D766</f>
        <v>53.149721627408987</v>
      </c>
      <c r="E822" s="73">
        <f>I788</f>
        <v>1807.2</v>
      </c>
      <c r="F822" s="73">
        <f>ROUND((D822/E822)/60,2)</f>
        <v>0</v>
      </c>
      <c r="G822" s="73">
        <f>E792</f>
        <v>25</v>
      </c>
      <c r="H822" s="78">
        <f>ROUND(F822*G822,2)</f>
        <v>0</v>
      </c>
    </row>
    <row r="823" spans="3:8" hidden="1" x14ac:dyDescent="0.3">
      <c r="C823" s="17" t="s">
        <v>953</v>
      </c>
      <c r="D823" s="221">
        <f>D767</f>
        <v>374.98368308351178</v>
      </c>
      <c r="E823" s="73">
        <f>I788</f>
        <v>1807.2</v>
      </c>
      <c r="F823" s="73">
        <f>ROUND((D823/E823)/60,2)</f>
        <v>0</v>
      </c>
      <c r="G823" s="73">
        <f>E792</f>
        <v>25</v>
      </c>
      <c r="H823" s="78">
        <f>ROUND(F823*G823,2)</f>
        <v>0</v>
      </c>
    </row>
    <row r="824" spans="3:8" hidden="1" x14ac:dyDescent="0.3">
      <c r="C824" s="17" t="s">
        <v>1109</v>
      </c>
      <c r="D824" s="221">
        <f>D768</f>
        <v>1686.0389293361886</v>
      </c>
      <c r="E824" s="73">
        <f>I788</f>
        <v>1807.2</v>
      </c>
      <c r="F824" s="73">
        <f>ROUND((D824/E824)/60,2)</f>
        <v>0.02</v>
      </c>
      <c r="G824" s="73">
        <f>E792</f>
        <v>25</v>
      </c>
      <c r="H824" s="78">
        <f>ROUND(F824*G824,2)</f>
        <v>0.5</v>
      </c>
    </row>
    <row r="825" spans="3:8" hidden="1" x14ac:dyDescent="0.3">
      <c r="C825" s="1009" t="str">
        <f>C789</f>
        <v>Лаборант клінічної лабораторії</v>
      </c>
      <c r="D825" s="1010"/>
      <c r="E825" s="1010"/>
      <c r="F825" s="1010"/>
      <c r="G825" s="1010"/>
      <c r="H825" s="1011"/>
    </row>
    <row r="826" spans="3:8" hidden="1" x14ac:dyDescent="0.3">
      <c r="C826" s="17" t="s">
        <v>951</v>
      </c>
      <c r="D826" s="221">
        <f>D821</f>
        <v>12188.608008565312</v>
      </c>
      <c r="E826" s="73">
        <f>I789</f>
        <v>1807.2</v>
      </c>
      <c r="F826" s="73">
        <f>ROUND((D826/E826)/60,2)</f>
        <v>0.11</v>
      </c>
      <c r="G826" s="73">
        <f>E793</f>
        <v>10</v>
      </c>
      <c r="H826" s="78">
        <f>ROUND(F826*G826,2)</f>
        <v>1.1000000000000001</v>
      </c>
    </row>
    <row r="827" spans="3:8" hidden="1" x14ac:dyDescent="0.3">
      <c r="C827" s="17" t="s">
        <v>952</v>
      </c>
      <c r="D827" s="221">
        <f>D822</f>
        <v>53.149721627408987</v>
      </c>
      <c r="E827" s="73">
        <f>I789</f>
        <v>1807.2</v>
      </c>
      <c r="F827" s="73">
        <f>ROUND((D827/E827)/60,2)</f>
        <v>0</v>
      </c>
      <c r="G827" s="73">
        <f>E793</f>
        <v>10</v>
      </c>
      <c r="H827" s="78">
        <f>ROUND(F827*G827,2)</f>
        <v>0</v>
      </c>
    </row>
    <row r="828" spans="3:8" hidden="1" x14ac:dyDescent="0.3">
      <c r="C828" s="17" t="s">
        <v>953</v>
      </c>
      <c r="D828" s="221">
        <f>D823</f>
        <v>374.98368308351178</v>
      </c>
      <c r="E828" s="73">
        <f>I789</f>
        <v>1807.2</v>
      </c>
      <c r="F828" s="73">
        <f>ROUND((D828/E828)/60,2)</f>
        <v>0</v>
      </c>
      <c r="G828" s="73">
        <f>E793</f>
        <v>10</v>
      </c>
      <c r="H828" s="78">
        <f>ROUND(F828*G828,2)</f>
        <v>0</v>
      </c>
    </row>
    <row r="829" spans="3:8" hidden="1" x14ac:dyDescent="0.3">
      <c r="C829" s="17" t="s">
        <v>1109</v>
      </c>
      <c r="D829" s="221">
        <f>D824</f>
        <v>1686.0389293361886</v>
      </c>
      <c r="E829" s="73">
        <f>I789</f>
        <v>1807.2</v>
      </c>
      <c r="F829" s="73">
        <f>ROUND((D829/E829)/60,2)</f>
        <v>0.02</v>
      </c>
      <c r="G829" s="73">
        <f>E793</f>
        <v>10</v>
      </c>
      <c r="H829" s="78">
        <f>ROUND(F829*G829,2)</f>
        <v>0.2</v>
      </c>
    </row>
    <row r="830" spans="3:8" hidden="1" x14ac:dyDescent="0.3">
      <c r="C830" s="1012" t="s">
        <v>957</v>
      </c>
      <c r="D830" s="1013"/>
      <c r="E830" s="1013"/>
      <c r="F830" s="1013"/>
      <c r="G830" s="1014"/>
      <c r="H830" s="299">
        <f>SUM(H821:H829)</f>
        <v>4.55</v>
      </c>
    </row>
    <row r="831" spans="3:8" hidden="1" x14ac:dyDescent="0.3"/>
    <row r="832" spans="3:8" hidden="1" x14ac:dyDescent="0.3">
      <c r="C832" s="1015" t="s">
        <v>959</v>
      </c>
      <c r="D832" s="1015"/>
      <c r="E832" s="1015"/>
      <c r="F832" s="1015"/>
      <c r="G832" s="1015"/>
      <c r="H832" s="334">
        <f>F785+F797+F817+F812</f>
        <v>169.14</v>
      </c>
    </row>
    <row r="833" spans="2:11" hidden="1" x14ac:dyDescent="0.3">
      <c r="C833" s="33"/>
      <c r="D833" s="33"/>
      <c r="E833" s="33"/>
      <c r="F833" s="33"/>
      <c r="G833" s="33"/>
      <c r="H833" s="335"/>
    </row>
    <row r="834" spans="2:11" hidden="1" x14ac:dyDescent="0.3">
      <c r="C834" s="1015" t="s">
        <v>960</v>
      </c>
      <c r="D834" s="1015"/>
      <c r="E834" s="1015"/>
      <c r="F834" s="1015"/>
      <c r="G834" s="1015"/>
      <c r="H834" s="334">
        <f>ROUND(H832,0)</f>
        <v>169</v>
      </c>
    </row>
    <row r="835" spans="2:11" hidden="1" x14ac:dyDescent="0.3"/>
    <row r="836" spans="2:11" hidden="1" x14ac:dyDescent="0.3"/>
    <row r="837" spans="2:11" ht="18.600000000000001" hidden="1" x14ac:dyDescent="0.3">
      <c r="B837" s="1016" t="s">
        <v>958</v>
      </c>
      <c r="C837" s="1016"/>
      <c r="D837" s="1016"/>
      <c r="E837" s="1016"/>
      <c r="F837" s="1016"/>
      <c r="G837" s="1016"/>
      <c r="H837" s="1016"/>
      <c r="I837" s="1016"/>
      <c r="J837" s="1016"/>
    </row>
    <row r="838" spans="2:11" ht="19.2" hidden="1" x14ac:dyDescent="0.35">
      <c r="B838" s="53"/>
      <c r="C838" s="53"/>
      <c r="D838" s="225"/>
      <c r="E838" s="225"/>
      <c r="F838" s="225"/>
      <c r="G838" s="225"/>
      <c r="H838" s="225"/>
      <c r="I838" s="53"/>
      <c r="J838" s="53"/>
    </row>
    <row r="839" spans="2:11" ht="19.2" hidden="1" x14ac:dyDescent="0.35">
      <c r="B839" s="50" t="s">
        <v>322</v>
      </c>
      <c r="C839" s="1017" t="str">
        <f>M23</f>
        <v>Т4 (тироксин) (кількісні результати)</v>
      </c>
      <c r="D839" s="1017"/>
      <c r="E839" s="1017"/>
      <c r="F839" s="296">
        <f>H890</f>
        <v>160</v>
      </c>
      <c r="G839" s="296" t="s">
        <v>971</v>
      </c>
      <c r="H839" s="225"/>
      <c r="I839" s="53"/>
      <c r="J839" s="53"/>
      <c r="K839" s="561">
        <f>F839-G856</f>
        <v>55</v>
      </c>
    </row>
    <row r="840" spans="2:11" hidden="1" x14ac:dyDescent="0.3"/>
    <row r="841" spans="2:11" hidden="1" x14ac:dyDescent="0.3">
      <c r="C841" s="1018" t="s">
        <v>932</v>
      </c>
      <c r="D841" s="1018"/>
      <c r="E841" s="297"/>
      <c r="F841" s="298">
        <f>F848+F851+F849</f>
        <v>43.55</v>
      </c>
      <c r="G841" s="227" t="s">
        <v>971</v>
      </c>
    </row>
    <row r="842" spans="2:11" hidden="1" x14ac:dyDescent="0.3"/>
    <row r="843" spans="2:11" ht="27.6" hidden="1" x14ac:dyDescent="0.3">
      <c r="C843" s="13" t="s">
        <v>929</v>
      </c>
      <c r="D843" s="14" t="s">
        <v>928</v>
      </c>
      <c r="E843" s="14" t="s">
        <v>514</v>
      </c>
      <c r="F843" s="14" t="s">
        <v>515</v>
      </c>
      <c r="G843" s="14" t="s">
        <v>962</v>
      </c>
      <c r="H843" s="14" t="s">
        <v>926</v>
      </c>
      <c r="I843" s="14" t="s">
        <v>516</v>
      </c>
      <c r="J843" s="14" t="s">
        <v>961</v>
      </c>
    </row>
    <row r="844" spans="2:11" hidden="1" x14ac:dyDescent="0.3">
      <c r="C844" s="17" t="str">
        <f>C788</f>
        <v>Лікар-лаборант</v>
      </c>
      <c r="D844" s="73">
        <f>D788</f>
        <v>10799.43</v>
      </c>
      <c r="E844" s="78">
        <f>D844*12</f>
        <v>129593.16</v>
      </c>
      <c r="F844" s="73">
        <f>F788</f>
        <v>8307.26</v>
      </c>
      <c r="G844" s="73">
        <f>G788</f>
        <v>4153.63</v>
      </c>
      <c r="H844" s="78">
        <f>E844+F844+G844</f>
        <v>142054.05000000002</v>
      </c>
      <c r="I844" s="17">
        <v>1807.2</v>
      </c>
      <c r="J844" s="16">
        <f>ROUND((H844/I844)/60,2)</f>
        <v>1.31</v>
      </c>
    </row>
    <row r="845" spans="2:11" hidden="1" x14ac:dyDescent="0.3">
      <c r="C845" s="17" t="str">
        <f>C789</f>
        <v>Лаборант клінічної лабораторії</v>
      </c>
      <c r="D845" s="73">
        <f>D789</f>
        <v>7871.18</v>
      </c>
      <c r="E845" s="78">
        <f>D845*12</f>
        <v>94454.16</v>
      </c>
      <c r="F845" s="73">
        <f>F789</f>
        <v>6054.75</v>
      </c>
      <c r="G845" s="73">
        <f>G789</f>
        <v>3027.375</v>
      </c>
      <c r="H845" s="78">
        <f>E845+F845+G845</f>
        <v>103536.285</v>
      </c>
      <c r="I845" s="17">
        <v>1807.2</v>
      </c>
      <c r="J845" s="16">
        <f>ROUND((H845/I845)/60,2)</f>
        <v>0.95</v>
      </c>
    </row>
    <row r="846" spans="2:11" hidden="1" x14ac:dyDescent="0.3"/>
    <row r="847" spans="2:11" hidden="1" x14ac:dyDescent="0.3">
      <c r="C847" s="13" t="s">
        <v>929</v>
      </c>
      <c r="D847" s="14" t="s">
        <v>961</v>
      </c>
      <c r="E847" s="14" t="s">
        <v>930</v>
      </c>
      <c r="F847" s="14" t="s">
        <v>931</v>
      </c>
    </row>
    <row r="848" spans="2:11" hidden="1" x14ac:dyDescent="0.3">
      <c r="C848" s="15" t="str">
        <f>C844</f>
        <v>Лікар-лаборант</v>
      </c>
      <c r="D848" s="78">
        <f>J844</f>
        <v>1.31</v>
      </c>
      <c r="E848" s="73">
        <f>10+10</f>
        <v>20</v>
      </c>
      <c r="F848" s="299">
        <f>ROUND(D848*E848,2)</f>
        <v>26.2</v>
      </c>
    </row>
    <row r="849" spans="2:12" hidden="1" x14ac:dyDescent="0.3">
      <c r="C849" s="15" t="str">
        <f>C845</f>
        <v>Лаборант клінічної лабораторії</v>
      </c>
      <c r="D849" s="78">
        <f>J845</f>
        <v>0.95</v>
      </c>
      <c r="E849" s="73">
        <f>5+5</f>
        <v>10</v>
      </c>
      <c r="F849" s="299">
        <f>ROUND(D849*E849,2)</f>
        <v>9.5</v>
      </c>
    </row>
    <row r="850" spans="2:12" hidden="1" x14ac:dyDescent="0.3">
      <c r="D850" s="19"/>
      <c r="E850" s="74" t="s">
        <v>1016</v>
      </c>
    </row>
    <row r="851" spans="2:12" hidden="1" x14ac:dyDescent="0.3">
      <c r="C851" s="17" t="s">
        <v>933</v>
      </c>
      <c r="D851" s="78">
        <f>F848+F849</f>
        <v>35.700000000000003</v>
      </c>
      <c r="E851" s="300">
        <v>0.22</v>
      </c>
      <c r="F851" s="301">
        <f>ROUND(D851*E851,2)</f>
        <v>7.85</v>
      </c>
    </row>
    <row r="852" spans="2:12" hidden="1" x14ac:dyDescent="0.3"/>
    <row r="853" spans="2:12" hidden="1" x14ac:dyDescent="0.3">
      <c r="C853" s="12" t="s">
        <v>946</v>
      </c>
      <c r="D853" s="227"/>
      <c r="E853" s="227"/>
      <c r="F853" s="227">
        <f>G866</f>
        <v>112.33999999999999</v>
      </c>
      <c r="G853" s="227" t="s">
        <v>971</v>
      </c>
    </row>
    <row r="854" spans="2:12" hidden="1" x14ac:dyDescent="0.3"/>
    <row r="855" spans="2:12" hidden="1" x14ac:dyDescent="0.3">
      <c r="B855" s="82" t="s">
        <v>991</v>
      </c>
      <c r="C855" s="83" t="s">
        <v>986</v>
      </c>
      <c r="D855" s="83" t="s">
        <v>1112</v>
      </c>
      <c r="E855" s="83" t="s">
        <v>988</v>
      </c>
      <c r="F855" s="83" t="s">
        <v>1113</v>
      </c>
      <c r="G855" s="82" t="s">
        <v>988</v>
      </c>
    </row>
    <row r="856" spans="2:12" hidden="1" x14ac:dyDescent="0.3">
      <c r="B856" s="73">
        <v>1</v>
      </c>
      <c r="C856" s="79" t="str">
        <f>'МЕДИЧНІ М'!B228</f>
        <v>Тест-система для визначення Т4</v>
      </c>
      <c r="D856" s="75" t="s">
        <v>941</v>
      </c>
      <c r="E856" s="75">
        <f>'МЕДИЧНІ М'!F228</f>
        <v>105</v>
      </c>
      <c r="F856" s="86">
        <v>1</v>
      </c>
      <c r="G856" s="88">
        <f>ROUND(E856/F856,2)</f>
        <v>105</v>
      </c>
      <c r="L856" s="560"/>
    </row>
    <row r="857" spans="2:12" hidden="1" x14ac:dyDescent="0.3">
      <c r="B857" s="73">
        <f>1+B856</f>
        <v>2</v>
      </c>
      <c r="C857" s="79" t="str">
        <f t="shared" ref="C857:F865" si="24">C801</f>
        <v>Наконечник для лабораторних дозаторів</v>
      </c>
      <c r="D857" s="559" t="str">
        <f t="shared" si="24"/>
        <v>шт</v>
      </c>
      <c r="E857" s="559">
        <f t="shared" si="24"/>
        <v>115</v>
      </c>
      <c r="F857" s="559">
        <f t="shared" si="24"/>
        <v>1000</v>
      </c>
      <c r="G857" s="88">
        <f>ROUND(E857/F857,2)</f>
        <v>0.12</v>
      </c>
    </row>
    <row r="858" spans="2:12" hidden="1" x14ac:dyDescent="0.3">
      <c r="B858" s="73">
        <f t="shared" ref="B858:B865" si="25">1+B857</f>
        <v>3</v>
      </c>
      <c r="C858" s="79" t="str">
        <f t="shared" si="24"/>
        <v>Вата</v>
      </c>
      <c r="D858" s="559" t="str">
        <f t="shared" si="24"/>
        <v>шт</v>
      </c>
      <c r="E858" s="559">
        <f t="shared" si="24"/>
        <v>6.72</v>
      </c>
      <c r="F858" s="559">
        <f t="shared" si="24"/>
        <v>100</v>
      </c>
      <c r="G858" s="78">
        <f>ROUND(E858/F858,2)</f>
        <v>7.0000000000000007E-2</v>
      </c>
    </row>
    <row r="859" spans="2:12" hidden="1" x14ac:dyDescent="0.3">
      <c r="B859" s="73">
        <f t="shared" si="25"/>
        <v>4</v>
      </c>
      <c r="C859" s="79" t="str">
        <f t="shared" si="24"/>
        <v>Деззасоби</v>
      </c>
      <c r="D859" s="559" t="str">
        <f t="shared" si="24"/>
        <v>мл</v>
      </c>
      <c r="E859" s="559">
        <f t="shared" si="24"/>
        <v>0.5</v>
      </c>
      <c r="F859" s="559">
        <f t="shared" si="24"/>
        <v>0.5</v>
      </c>
      <c r="G859" s="78">
        <f>ROUND(E859/F859,2)</f>
        <v>1</v>
      </c>
    </row>
    <row r="860" spans="2:12" hidden="1" x14ac:dyDescent="0.3">
      <c r="B860" s="73">
        <f t="shared" si="25"/>
        <v>5</v>
      </c>
      <c r="C860" s="79" t="str">
        <f t="shared" si="24"/>
        <v>Маска на резинці, стерильна.</v>
      </c>
      <c r="D860" s="559" t="str">
        <f t="shared" si="24"/>
        <v>шт</v>
      </c>
      <c r="E860" s="559">
        <f t="shared" si="24"/>
        <v>2</v>
      </c>
      <c r="F860" s="559">
        <f t="shared" si="24"/>
        <v>0.5</v>
      </c>
      <c r="G860" s="81">
        <f>ROUND(E860*F860,2)</f>
        <v>1</v>
      </c>
    </row>
    <row r="861" spans="2:12" hidden="1" x14ac:dyDescent="0.3">
      <c r="B861" s="73">
        <f t="shared" si="25"/>
        <v>6</v>
      </c>
      <c r="C861" s="79" t="str">
        <f t="shared" si="24"/>
        <v>Мікрасепт</v>
      </c>
      <c r="D861" s="559" t="str">
        <f t="shared" si="24"/>
        <v>мл</v>
      </c>
      <c r="E861" s="559">
        <f t="shared" si="24"/>
        <v>0.3</v>
      </c>
      <c r="F861" s="559">
        <f t="shared" si="24"/>
        <v>2</v>
      </c>
      <c r="G861" s="88">
        <f>ROUND(E861*F861,2)</f>
        <v>0.6</v>
      </c>
    </row>
    <row r="862" spans="2:12" hidden="1" x14ac:dyDescent="0.3">
      <c r="B862" s="73">
        <f t="shared" si="25"/>
        <v>7</v>
      </c>
      <c r="C862" s="79" t="str">
        <f t="shared" si="24"/>
        <v>Пробірка</v>
      </c>
      <c r="D862" s="559" t="str">
        <f t="shared" si="24"/>
        <v>шт</v>
      </c>
      <c r="E862" s="559">
        <f t="shared" si="24"/>
        <v>0.6</v>
      </c>
      <c r="F862" s="559">
        <f t="shared" si="24"/>
        <v>1</v>
      </c>
      <c r="G862" s="88">
        <f>ROUND(E862/F862,2)</f>
        <v>0.6</v>
      </c>
    </row>
    <row r="863" spans="2:12" hidden="1" x14ac:dyDescent="0.3">
      <c r="B863" s="73">
        <f t="shared" si="25"/>
        <v>8</v>
      </c>
      <c r="C863" s="79" t="str">
        <f t="shared" si="24"/>
        <v>Рукавиці н/с</v>
      </c>
      <c r="D863" s="559" t="str">
        <f t="shared" si="24"/>
        <v>шт</v>
      </c>
      <c r="E863" s="559">
        <f t="shared" si="24"/>
        <v>2.8</v>
      </c>
      <c r="F863" s="559">
        <f t="shared" si="24"/>
        <v>1</v>
      </c>
      <c r="G863" s="88">
        <f>ROUND(E863/F863,2)</f>
        <v>2.8</v>
      </c>
    </row>
    <row r="864" spans="2:12" hidden="1" x14ac:dyDescent="0.3">
      <c r="B864" s="73">
        <f t="shared" si="25"/>
        <v>9</v>
      </c>
      <c r="C864" s="79" t="str">
        <f t="shared" si="24"/>
        <v xml:space="preserve">Спирт 70% 100мл </v>
      </c>
      <c r="D864" s="559" t="str">
        <f t="shared" si="24"/>
        <v>фл</v>
      </c>
      <c r="E864" s="559">
        <f t="shared" si="24"/>
        <v>24.6</v>
      </c>
      <c r="F864" s="559">
        <f t="shared" si="24"/>
        <v>100</v>
      </c>
      <c r="G864" s="81">
        <f>ROUND(E864/F864,2)</f>
        <v>0.25</v>
      </c>
    </row>
    <row r="865" spans="2:18" hidden="1" x14ac:dyDescent="0.3">
      <c r="B865" s="73">
        <f t="shared" si="25"/>
        <v>10</v>
      </c>
      <c r="C865" s="79" t="str">
        <f t="shared" si="24"/>
        <v>Шприц 5 мл</v>
      </c>
      <c r="D865" s="559" t="str">
        <f t="shared" si="24"/>
        <v>шт</v>
      </c>
      <c r="E865" s="559">
        <f t="shared" si="24"/>
        <v>0.9</v>
      </c>
      <c r="F865" s="559">
        <f t="shared" si="24"/>
        <v>1</v>
      </c>
      <c r="G865" s="81">
        <f>ROUND(E865*F865,2)</f>
        <v>0.9</v>
      </c>
    </row>
    <row r="866" spans="2:18" hidden="1" x14ac:dyDescent="0.3">
      <c r="B866" s="1012" t="s">
        <v>945</v>
      </c>
      <c r="C866" s="1013"/>
      <c r="D866" s="1013"/>
      <c r="E866" s="1013"/>
      <c r="F866" s="1014"/>
      <c r="G866" s="572">
        <f>SUM(G856:G865)</f>
        <v>112.33999999999999</v>
      </c>
    </row>
    <row r="867" spans="2:18" hidden="1" x14ac:dyDescent="0.3"/>
    <row r="868" spans="2:18" hidden="1" x14ac:dyDescent="0.3">
      <c r="C868" s="12" t="s">
        <v>968</v>
      </c>
      <c r="D868" s="227"/>
      <c r="E868" s="227"/>
      <c r="F868" s="298">
        <f>H871</f>
        <v>0.6</v>
      </c>
      <c r="G868" s="227" t="s">
        <v>971</v>
      </c>
    </row>
    <row r="869" spans="2:18" hidden="1" x14ac:dyDescent="0.3">
      <c r="C869" s="22"/>
      <c r="D869" s="36"/>
      <c r="E869" s="36"/>
      <c r="F869" s="302"/>
      <c r="G869" s="36"/>
    </row>
    <row r="870" spans="2:18" ht="27.6" hidden="1" x14ac:dyDescent="0.3">
      <c r="C870" s="14" t="s">
        <v>513</v>
      </c>
      <c r="D870" s="14" t="s">
        <v>1114</v>
      </c>
      <c r="E870" s="14" t="s">
        <v>516</v>
      </c>
      <c r="F870" s="14" t="s">
        <v>970</v>
      </c>
      <c r="G870" s="14" t="s">
        <v>930</v>
      </c>
      <c r="H870" s="14" t="s">
        <v>961</v>
      </c>
    </row>
    <row r="871" spans="2:18" s="516" customFormat="1" hidden="1" x14ac:dyDescent="0.3">
      <c r="B871" s="554"/>
      <c r="C871" s="552" t="str">
        <f>C815</f>
        <v>LS-1100 Аналізатор імунофлуоресцентний</v>
      </c>
      <c r="D871" s="574">
        <f>D815</f>
        <v>6500</v>
      </c>
      <c r="E871" s="531">
        <v>6500</v>
      </c>
      <c r="F871" s="531">
        <f>ROUND((D871/E871)/60,2)</f>
        <v>0.02</v>
      </c>
      <c r="G871" s="531">
        <f>E849+E848</f>
        <v>30</v>
      </c>
      <c r="H871" s="573">
        <f>ROUND(F871*G871,2)</f>
        <v>0.6</v>
      </c>
      <c r="I871" s="555"/>
      <c r="J871" s="554"/>
      <c r="K871" s="556"/>
      <c r="L871" s="557"/>
      <c r="M871" s="557"/>
      <c r="N871" s="558"/>
      <c r="O871" s="558"/>
      <c r="P871" s="558"/>
      <c r="Q871" s="558"/>
      <c r="R871" s="558"/>
    </row>
    <row r="872" spans="2:18" hidden="1" x14ac:dyDescent="0.3"/>
    <row r="873" spans="2:18" hidden="1" x14ac:dyDescent="0.3">
      <c r="C873" s="12" t="s">
        <v>948</v>
      </c>
      <c r="D873" s="227"/>
      <c r="E873" s="227"/>
      <c r="F873" s="298">
        <f>H886</f>
        <v>3.9000000000000004</v>
      </c>
      <c r="G873" s="227" t="s">
        <v>971</v>
      </c>
    </row>
    <row r="874" spans="2:18" hidden="1" x14ac:dyDescent="0.3">
      <c r="C874" s="22"/>
      <c r="D874" s="36"/>
      <c r="E874" s="36"/>
      <c r="F874" s="302"/>
    </row>
    <row r="875" spans="2:18" ht="27.6" hidden="1" x14ac:dyDescent="0.3">
      <c r="C875" s="14" t="s">
        <v>948</v>
      </c>
      <c r="D875" s="14" t="s">
        <v>1110</v>
      </c>
      <c r="E875" s="14" t="s">
        <v>516</v>
      </c>
      <c r="F875" s="14" t="s">
        <v>954</v>
      </c>
      <c r="G875" s="14" t="s">
        <v>930</v>
      </c>
      <c r="H875" s="14" t="s">
        <v>1111</v>
      </c>
    </row>
    <row r="876" spans="2:18" hidden="1" x14ac:dyDescent="0.3">
      <c r="C876" s="1009" t="str">
        <f>C844</f>
        <v>Лікар-лаборант</v>
      </c>
      <c r="D876" s="1010"/>
      <c r="E876" s="1010"/>
      <c r="F876" s="1010"/>
      <c r="G876" s="1010"/>
      <c r="H876" s="1011"/>
    </row>
    <row r="877" spans="2:18" hidden="1" x14ac:dyDescent="0.3">
      <c r="C877" s="17" t="s">
        <v>951</v>
      </c>
      <c r="D877" s="221">
        <f>D821</f>
        <v>12188.608008565312</v>
      </c>
      <c r="E877" s="73">
        <f>I844</f>
        <v>1807.2</v>
      </c>
      <c r="F877" s="73">
        <f>ROUND((D877/E877)/60,2)</f>
        <v>0.11</v>
      </c>
      <c r="G877" s="73">
        <f>E848</f>
        <v>20</v>
      </c>
      <c r="H877" s="78">
        <f>ROUND(F877*G877,2)</f>
        <v>2.2000000000000002</v>
      </c>
    </row>
    <row r="878" spans="2:18" hidden="1" x14ac:dyDescent="0.3">
      <c r="C878" s="17" t="s">
        <v>952</v>
      </c>
      <c r="D878" s="221">
        <f>D822</f>
        <v>53.149721627408987</v>
      </c>
      <c r="E878" s="73">
        <f>I844</f>
        <v>1807.2</v>
      </c>
      <c r="F878" s="73">
        <f>ROUND((D878/E878)/60,2)</f>
        <v>0</v>
      </c>
      <c r="G878" s="73">
        <f>E848</f>
        <v>20</v>
      </c>
      <c r="H878" s="78">
        <f>ROUND(F878*G878,2)</f>
        <v>0</v>
      </c>
    </row>
    <row r="879" spans="2:18" hidden="1" x14ac:dyDescent="0.3">
      <c r="C879" s="17" t="s">
        <v>953</v>
      </c>
      <c r="D879" s="221">
        <f>D823</f>
        <v>374.98368308351178</v>
      </c>
      <c r="E879" s="73">
        <f>I844</f>
        <v>1807.2</v>
      </c>
      <c r="F879" s="73">
        <f>ROUND((D879/E879)/60,2)</f>
        <v>0</v>
      </c>
      <c r="G879" s="73">
        <f>E848</f>
        <v>20</v>
      </c>
      <c r="H879" s="78">
        <f>ROUND(F879*G879,2)</f>
        <v>0</v>
      </c>
    </row>
    <row r="880" spans="2:18" hidden="1" x14ac:dyDescent="0.3">
      <c r="C880" s="17" t="s">
        <v>1109</v>
      </c>
      <c r="D880" s="221">
        <f>D824</f>
        <v>1686.0389293361886</v>
      </c>
      <c r="E880" s="73">
        <f>I844</f>
        <v>1807.2</v>
      </c>
      <c r="F880" s="73">
        <f>ROUND((D880/E880)/60,2)</f>
        <v>0.02</v>
      </c>
      <c r="G880" s="73">
        <f>E848</f>
        <v>20</v>
      </c>
      <c r="H880" s="78">
        <f>ROUND(F880*G880,2)</f>
        <v>0.4</v>
      </c>
    </row>
    <row r="881" spans="2:11" hidden="1" x14ac:dyDescent="0.3">
      <c r="C881" s="1009" t="str">
        <f>C845</f>
        <v>Лаборант клінічної лабораторії</v>
      </c>
      <c r="D881" s="1010"/>
      <c r="E881" s="1010"/>
      <c r="F881" s="1010"/>
      <c r="G881" s="1010"/>
      <c r="H881" s="1011"/>
    </row>
    <row r="882" spans="2:11" hidden="1" x14ac:dyDescent="0.3">
      <c r="C882" s="17" t="s">
        <v>951</v>
      </c>
      <c r="D882" s="221">
        <f>D877</f>
        <v>12188.608008565312</v>
      </c>
      <c r="E882" s="73">
        <f>I845</f>
        <v>1807.2</v>
      </c>
      <c r="F882" s="73">
        <f>ROUND((D882/E882)/60,2)</f>
        <v>0.11</v>
      </c>
      <c r="G882" s="73">
        <f>E849</f>
        <v>10</v>
      </c>
      <c r="H882" s="78">
        <f>ROUND(F882*G882,2)</f>
        <v>1.1000000000000001</v>
      </c>
    </row>
    <row r="883" spans="2:11" hidden="1" x14ac:dyDescent="0.3">
      <c r="C883" s="17" t="s">
        <v>952</v>
      </c>
      <c r="D883" s="221">
        <f>D878</f>
        <v>53.149721627408987</v>
      </c>
      <c r="E883" s="73">
        <f>I845</f>
        <v>1807.2</v>
      </c>
      <c r="F883" s="73">
        <f>ROUND((D883/E883)/60,2)</f>
        <v>0</v>
      </c>
      <c r="G883" s="73">
        <f>E849</f>
        <v>10</v>
      </c>
      <c r="H883" s="78">
        <f>ROUND(F883*G883,2)</f>
        <v>0</v>
      </c>
    </row>
    <row r="884" spans="2:11" hidden="1" x14ac:dyDescent="0.3">
      <c r="C884" s="17" t="s">
        <v>953</v>
      </c>
      <c r="D884" s="221">
        <f>D879</f>
        <v>374.98368308351178</v>
      </c>
      <c r="E884" s="73">
        <f>I845</f>
        <v>1807.2</v>
      </c>
      <c r="F884" s="73">
        <f>ROUND((D884/E884)/60,2)</f>
        <v>0</v>
      </c>
      <c r="G884" s="73">
        <f>E849</f>
        <v>10</v>
      </c>
      <c r="H884" s="78">
        <f>ROUND(F884*G884,2)</f>
        <v>0</v>
      </c>
    </row>
    <row r="885" spans="2:11" hidden="1" x14ac:dyDescent="0.3">
      <c r="C885" s="17" t="s">
        <v>1109</v>
      </c>
      <c r="D885" s="221">
        <f>D880</f>
        <v>1686.0389293361886</v>
      </c>
      <c r="E885" s="73">
        <f>I845</f>
        <v>1807.2</v>
      </c>
      <c r="F885" s="73">
        <f>ROUND((D885/E885)/60,2)</f>
        <v>0.02</v>
      </c>
      <c r="G885" s="73">
        <f>E849</f>
        <v>10</v>
      </c>
      <c r="H885" s="78">
        <f>ROUND(F885*G885,2)</f>
        <v>0.2</v>
      </c>
    </row>
    <row r="886" spans="2:11" hidden="1" x14ac:dyDescent="0.3">
      <c r="C886" s="1012" t="s">
        <v>957</v>
      </c>
      <c r="D886" s="1013"/>
      <c r="E886" s="1013"/>
      <c r="F886" s="1013"/>
      <c r="G886" s="1014"/>
      <c r="H886" s="299">
        <f>SUM(H877:H885)</f>
        <v>3.9000000000000004</v>
      </c>
    </row>
    <row r="887" spans="2:11" hidden="1" x14ac:dyDescent="0.3"/>
    <row r="888" spans="2:11" hidden="1" x14ac:dyDescent="0.3">
      <c r="C888" s="1015" t="s">
        <v>959</v>
      </c>
      <c r="D888" s="1015"/>
      <c r="E888" s="1015"/>
      <c r="F888" s="1015"/>
      <c r="G888" s="1015"/>
      <c r="H888" s="334">
        <f>F841+F853+F873+F868</f>
        <v>160.38999999999999</v>
      </c>
    </row>
    <row r="889" spans="2:11" hidden="1" x14ac:dyDescent="0.3">
      <c r="C889" s="33"/>
      <c r="D889" s="33"/>
      <c r="E889" s="33"/>
      <c r="F889" s="33"/>
      <c r="G889" s="33"/>
      <c r="H889" s="335"/>
    </row>
    <row r="890" spans="2:11" hidden="1" x14ac:dyDescent="0.3">
      <c r="C890" s="1015" t="s">
        <v>960</v>
      </c>
      <c r="D890" s="1015"/>
      <c r="E890" s="1015"/>
      <c r="F890" s="1015"/>
      <c r="G890" s="1015"/>
      <c r="H890" s="334">
        <f>ROUND(H888,0)</f>
        <v>160</v>
      </c>
    </row>
    <row r="891" spans="2:11" hidden="1" x14ac:dyDescent="0.3"/>
    <row r="892" spans="2:11" hidden="1" x14ac:dyDescent="0.3"/>
    <row r="893" spans="2:11" ht="18.600000000000001" hidden="1" x14ac:dyDescent="0.3">
      <c r="B893" s="1016" t="s">
        <v>958</v>
      </c>
      <c r="C893" s="1016"/>
      <c r="D893" s="1016"/>
      <c r="E893" s="1016"/>
      <c r="F893" s="1016"/>
      <c r="G893" s="1016"/>
      <c r="H893" s="1016"/>
      <c r="I893" s="1016"/>
      <c r="J893" s="1016"/>
    </row>
    <row r="894" spans="2:11" ht="19.2" hidden="1" x14ac:dyDescent="0.35">
      <c r="B894" s="53"/>
      <c r="C894" s="53"/>
      <c r="D894" s="225"/>
      <c r="E894" s="225"/>
      <c r="F894" s="225"/>
      <c r="G894" s="225"/>
      <c r="H894" s="225"/>
      <c r="I894" s="53"/>
      <c r="J894" s="53"/>
    </row>
    <row r="895" spans="2:11" ht="40.5" hidden="1" customHeight="1" x14ac:dyDescent="0.35">
      <c r="B895" s="50" t="s">
        <v>323</v>
      </c>
      <c r="C895" s="1017" t="str">
        <f>M24</f>
        <v>ХГЛ (хоріонічний гонадотропін людини) (кількісні результати)</v>
      </c>
      <c r="D895" s="1017"/>
      <c r="E895" s="1017"/>
      <c r="F895" s="296">
        <f>H946</f>
        <v>169</v>
      </c>
      <c r="G895" s="296" t="s">
        <v>971</v>
      </c>
      <c r="H895" s="225"/>
      <c r="I895" s="53"/>
      <c r="J895" s="53"/>
      <c r="K895" s="561">
        <f>F895-G912</f>
        <v>64</v>
      </c>
    </row>
    <row r="896" spans="2:11" hidden="1" x14ac:dyDescent="0.3"/>
    <row r="897" spans="2:12" hidden="1" x14ac:dyDescent="0.3">
      <c r="C897" s="1018" t="s">
        <v>932</v>
      </c>
      <c r="D897" s="1018"/>
      <c r="E897" s="297"/>
      <c r="F897" s="298">
        <f>F904+F907+F905</f>
        <v>51.55</v>
      </c>
      <c r="G897" s="227" t="s">
        <v>971</v>
      </c>
    </row>
    <row r="898" spans="2:12" hidden="1" x14ac:dyDescent="0.3"/>
    <row r="899" spans="2:12" ht="27.6" hidden="1" x14ac:dyDescent="0.3">
      <c r="C899" s="13" t="s">
        <v>929</v>
      </c>
      <c r="D899" s="14" t="s">
        <v>928</v>
      </c>
      <c r="E899" s="14" t="s">
        <v>514</v>
      </c>
      <c r="F899" s="14" t="s">
        <v>515</v>
      </c>
      <c r="G899" s="14" t="s">
        <v>962</v>
      </c>
      <c r="H899" s="14" t="s">
        <v>926</v>
      </c>
      <c r="I899" s="14" t="s">
        <v>516</v>
      </c>
      <c r="J899" s="14" t="s">
        <v>961</v>
      </c>
    </row>
    <row r="900" spans="2:12" hidden="1" x14ac:dyDescent="0.3">
      <c r="C900" s="17" t="str">
        <f>C844</f>
        <v>Лікар-лаборант</v>
      </c>
      <c r="D900" s="73">
        <f>D844</f>
        <v>10799.43</v>
      </c>
      <c r="E900" s="78">
        <f>D900*12</f>
        <v>129593.16</v>
      </c>
      <c r="F900" s="73">
        <f>F844</f>
        <v>8307.26</v>
      </c>
      <c r="G900" s="73">
        <f>G844</f>
        <v>4153.63</v>
      </c>
      <c r="H900" s="78">
        <f>E900+F900+G900</f>
        <v>142054.05000000002</v>
      </c>
      <c r="I900" s="17">
        <v>1807.2</v>
      </c>
      <c r="J900" s="16">
        <f>ROUND((H900/I900)/60,2)</f>
        <v>1.31</v>
      </c>
    </row>
    <row r="901" spans="2:12" hidden="1" x14ac:dyDescent="0.3">
      <c r="C901" s="17" t="str">
        <f>C845</f>
        <v>Лаборант клінічної лабораторії</v>
      </c>
      <c r="D901" s="73">
        <f>D845</f>
        <v>7871.18</v>
      </c>
      <c r="E901" s="78">
        <f>D901*12</f>
        <v>94454.16</v>
      </c>
      <c r="F901" s="73">
        <f>F845</f>
        <v>6054.75</v>
      </c>
      <c r="G901" s="73">
        <f>G845</f>
        <v>3027.375</v>
      </c>
      <c r="H901" s="78">
        <f>E901+F901+G901</f>
        <v>103536.285</v>
      </c>
      <c r="I901" s="17">
        <v>1807.2</v>
      </c>
      <c r="J901" s="16">
        <f>ROUND((H901/I901)/60,2)</f>
        <v>0.95</v>
      </c>
    </row>
    <row r="902" spans="2:12" hidden="1" x14ac:dyDescent="0.3"/>
    <row r="903" spans="2:12" hidden="1" x14ac:dyDescent="0.3">
      <c r="C903" s="13" t="s">
        <v>929</v>
      </c>
      <c r="D903" s="14" t="s">
        <v>961</v>
      </c>
      <c r="E903" s="14" t="s">
        <v>930</v>
      </c>
      <c r="F903" s="14" t="s">
        <v>931</v>
      </c>
    </row>
    <row r="904" spans="2:12" hidden="1" x14ac:dyDescent="0.3">
      <c r="C904" s="15" t="str">
        <f>C900</f>
        <v>Лікар-лаборант</v>
      </c>
      <c r="D904" s="78">
        <f>J900</f>
        <v>1.31</v>
      </c>
      <c r="E904" s="73">
        <f>10+15</f>
        <v>25</v>
      </c>
      <c r="F904" s="299">
        <f>ROUND(D904*E904,2)</f>
        <v>32.75</v>
      </c>
    </row>
    <row r="905" spans="2:12" hidden="1" x14ac:dyDescent="0.3">
      <c r="C905" s="15" t="str">
        <f>C901</f>
        <v>Лаборант клінічної лабораторії</v>
      </c>
      <c r="D905" s="78">
        <f>J901</f>
        <v>0.95</v>
      </c>
      <c r="E905" s="73">
        <f>5+5</f>
        <v>10</v>
      </c>
      <c r="F905" s="299">
        <f>ROUND(D905*E905,2)</f>
        <v>9.5</v>
      </c>
    </row>
    <row r="906" spans="2:12" hidden="1" x14ac:dyDescent="0.3">
      <c r="D906" s="19"/>
      <c r="E906" s="74" t="s">
        <v>1016</v>
      </c>
    </row>
    <row r="907" spans="2:12" hidden="1" x14ac:dyDescent="0.3">
      <c r="C907" s="17" t="s">
        <v>933</v>
      </c>
      <c r="D907" s="78">
        <f>F904+F905</f>
        <v>42.25</v>
      </c>
      <c r="E907" s="300">
        <v>0.22</v>
      </c>
      <c r="F907" s="301">
        <f>ROUND(D907*E907,2)</f>
        <v>9.3000000000000007</v>
      </c>
    </row>
    <row r="908" spans="2:12" hidden="1" x14ac:dyDescent="0.3"/>
    <row r="909" spans="2:12" hidden="1" x14ac:dyDescent="0.3">
      <c r="C909" s="12" t="s">
        <v>946</v>
      </c>
      <c r="D909" s="227"/>
      <c r="E909" s="227"/>
      <c r="F909" s="227">
        <f>G922</f>
        <v>112.33999999999999</v>
      </c>
      <c r="G909" s="227" t="s">
        <v>971</v>
      </c>
    </row>
    <row r="910" spans="2:12" hidden="1" x14ac:dyDescent="0.3"/>
    <row r="911" spans="2:12" hidden="1" x14ac:dyDescent="0.3">
      <c r="B911" s="82" t="s">
        <v>991</v>
      </c>
      <c r="C911" s="83" t="s">
        <v>986</v>
      </c>
      <c r="D911" s="83" t="s">
        <v>1112</v>
      </c>
      <c r="E911" s="83" t="s">
        <v>988</v>
      </c>
      <c r="F911" s="83" t="s">
        <v>1113</v>
      </c>
      <c r="G911" s="82" t="s">
        <v>988</v>
      </c>
    </row>
    <row r="912" spans="2:12" hidden="1" x14ac:dyDescent="0.3">
      <c r="B912" s="73">
        <v>1</v>
      </c>
      <c r="C912" s="79" t="str">
        <f>'МЕДИЧНІ М'!B229</f>
        <v>Тест-система для визначення ХГЛ</v>
      </c>
      <c r="D912" s="75" t="s">
        <v>941</v>
      </c>
      <c r="E912" s="75">
        <f>'МЕДИЧНІ М'!F229</f>
        <v>105</v>
      </c>
      <c r="F912" s="86">
        <v>1</v>
      </c>
      <c r="G912" s="88">
        <f>ROUND(E912/F912,2)</f>
        <v>105</v>
      </c>
      <c r="L912" s="560"/>
    </row>
    <row r="913" spans="2:18" hidden="1" x14ac:dyDescent="0.3">
      <c r="B913" s="73">
        <f>1+B912</f>
        <v>2</v>
      </c>
      <c r="C913" s="79" t="str">
        <f t="shared" ref="C913:F921" si="26">C857</f>
        <v>Наконечник для лабораторних дозаторів</v>
      </c>
      <c r="D913" s="559" t="str">
        <f t="shared" si="26"/>
        <v>шт</v>
      </c>
      <c r="E913" s="559">
        <f t="shared" si="26"/>
        <v>115</v>
      </c>
      <c r="F913" s="559">
        <f t="shared" si="26"/>
        <v>1000</v>
      </c>
      <c r="G913" s="88">
        <f>ROUND(E913/F913,2)</f>
        <v>0.12</v>
      </c>
    </row>
    <row r="914" spans="2:18" hidden="1" x14ac:dyDescent="0.3">
      <c r="B914" s="73">
        <f t="shared" ref="B914:B921" si="27">1+B913</f>
        <v>3</v>
      </c>
      <c r="C914" s="79" t="str">
        <f t="shared" si="26"/>
        <v>Вата</v>
      </c>
      <c r="D914" s="559" t="str">
        <f t="shared" si="26"/>
        <v>шт</v>
      </c>
      <c r="E914" s="559">
        <f t="shared" si="26"/>
        <v>6.72</v>
      </c>
      <c r="F914" s="559">
        <f t="shared" si="26"/>
        <v>100</v>
      </c>
      <c r="G914" s="78">
        <f>ROUND(E914/F914,2)</f>
        <v>7.0000000000000007E-2</v>
      </c>
    </row>
    <row r="915" spans="2:18" hidden="1" x14ac:dyDescent="0.3">
      <c r="B915" s="73">
        <f t="shared" si="27"/>
        <v>4</v>
      </c>
      <c r="C915" s="79" t="str">
        <f t="shared" si="26"/>
        <v>Деззасоби</v>
      </c>
      <c r="D915" s="559" t="str">
        <f t="shared" si="26"/>
        <v>мл</v>
      </c>
      <c r="E915" s="559">
        <f t="shared" si="26"/>
        <v>0.5</v>
      </c>
      <c r="F915" s="559">
        <f t="shared" si="26"/>
        <v>0.5</v>
      </c>
      <c r="G915" s="78">
        <f>ROUND(E915/F915,2)</f>
        <v>1</v>
      </c>
    </row>
    <row r="916" spans="2:18" hidden="1" x14ac:dyDescent="0.3">
      <c r="B916" s="73">
        <f t="shared" si="27"/>
        <v>5</v>
      </c>
      <c r="C916" s="79" t="str">
        <f t="shared" si="26"/>
        <v>Маска на резинці, стерильна.</v>
      </c>
      <c r="D916" s="559" t="str">
        <f t="shared" si="26"/>
        <v>шт</v>
      </c>
      <c r="E916" s="559">
        <f t="shared" si="26"/>
        <v>2</v>
      </c>
      <c r="F916" s="559">
        <f t="shared" si="26"/>
        <v>0.5</v>
      </c>
      <c r="G916" s="81">
        <f>ROUND(E916*F916,2)</f>
        <v>1</v>
      </c>
    </row>
    <row r="917" spans="2:18" hidden="1" x14ac:dyDescent="0.3">
      <c r="B917" s="73">
        <f t="shared" si="27"/>
        <v>6</v>
      </c>
      <c r="C917" s="79" t="str">
        <f t="shared" si="26"/>
        <v>Мікрасепт</v>
      </c>
      <c r="D917" s="559" t="str">
        <f t="shared" si="26"/>
        <v>мл</v>
      </c>
      <c r="E917" s="559">
        <f t="shared" si="26"/>
        <v>0.3</v>
      </c>
      <c r="F917" s="559">
        <f t="shared" si="26"/>
        <v>2</v>
      </c>
      <c r="G917" s="88">
        <f>ROUND(E917*F917,2)</f>
        <v>0.6</v>
      </c>
    </row>
    <row r="918" spans="2:18" hidden="1" x14ac:dyDescent="0.3">
      <c r="B918" s="73">
        <f t="shared" si="27"/>
        <v>7</v>
      </c>
      <c r="C918" s="79" t="str">
        <f t="shared" si="26"/>
        <v>Пробірка</v>
      </c>
      <c r="D918" s="559" t="str">
        <f t="shared" si="26"/>
        <v>шт</v>
      </c>
      <c r="E918" s="559">
        <f t="shared" si="26"/>
        <v>0.6</v>
      </c>
      <c r="F918" s="559">
        <f t="shared" si="26"/>
        <v>1</v>
      </c>
      <c r="G918" s="88">
        <f>ROUND(E918/F918,2)</f>
        <v>0.6</v>
      </c>
    </row>
    <row r="919" spans="2:18" hidden="1" x14ac:dyDescent="0.3">
      <c r="B919" s="73">
        <f t="shared" si="27"/>
        <v>8</v>
      </c>
      <c r="C919" s="79" t="str">
        <f t="shared" si="26"/>
        <v>Рукавиці н/с</v>
      </c>
      <c r="D919" s="559" t="str">
        <f t="shared" si="26"/>
        <v>шт</v>
      </c>
      <c r="E919" s="559">
        <f t="shared" si="26"/>
        <v>2.8</v>
      </c>
      <c r="F919" s="559">
        <f t="shared" si="26"/>
        <v>1</v>
      </c>
      <c r="G919" s="88">
        <f>ROUND(E919/F919,2)</f>
        <v>2.8</v>
      </c>
    </row>
    <row r="920" spans="2:18" hidden="1" x14ac:dyDescent="0.3">
      <c r="B920" s="73">
        <f t="shared" si="27"/>
        <v>9</v>
      </c>
      <c r="C920" s="79" t="str">
        <f t="shared" si="26"/>
        <v xml:space="preserve">Спирт 70% 100мл </v>
      </c>
      <c r="D920" s="559" t="str">
        <f t="shared" si="26"/>
        <v>фл</v>
      </c>
      <c r="E920" s="559">
        <f t="shared" si="26"/>
        <v>24.6</v>
      </c>
      <c r="F920" s="559">
        <f t="shared" si="26"/>
        <v>100</v>
      </c>
      <c r="G920" s="81">
        <f>ROUND(E920/F920,2)</f>
        <v>0.25</v>
      </c>
    </row>
    <row r="921" spans="2:18" hidden="1" x14ac:dyDescent="0.3">
      <c r="B921" s="73">
        <f t="shared" si="27"/>
        <v>10</v>
      </c>
      <c r="C921" s="79" t="str">
        <f t="shared" si="26"/>
        <v>Шприц 5 мл</v>
      </c>
      <c r="D921" s="559" t="str">
        <f t="shared" si="26"/>
        <v>шт</v>
      </c>
      <c r="E921" s="559">
        <f t="shared" si="26"/>
        <v>0.9</v>
      </c>
      <c r="F921" s="559">
        <f t="shared" si="26"/>
        <v>1</v>
      </c>
      <c r="G921" s="81">
        <f>ROUND(E921*F921,2)</f>
        <v>0.9</v>
      </c>
    </row>
    <row r="922" spans="2:18" hidden="1" x14ac:dyDescent="0.3">
      <c r="B922" s="1012" t="s">
        <v>945</v>
      </c>
      <c r="C922" s="1013"/>
      <c r="D922" s="1013"/>
      <c r="E922" s="1013"/>
      <c r="F922" s="1014"/>
      <c r="G922" s="572">
        <f>SUM(G912:G921)</f>
        <v>112.33999999999999</v>
      </c>
    </row>
    <row r="923" spans="2:18" hidden="1" x14ac:dyDescent="0.3"/>
    <row r="924" spans="2:18" hidden="1" x14ac:dyDescent="0.3">
      <c r="C924" s="12" t="s">
        <v>968</v>
      </c>
      <c r="D924" s="227"/>
      <c r="E924" s="227"/>
      <c r="F924" s="298">
        <f>H927</f>
        <v>0.7</v>
      </c>
      <c r="G924" s="227" t="s">
        <v>971</v>
      </c>
    </row>
    <row r="925" spans="2:18" hidden="1" x14ac:dyDescent="0.3">
      <c r="C925" s="22"/>
      <c r="D925" s="36"/>
      <c r="E925" s="36"/>
      <c r="F925" s="302"/>
      <c r="G925" s="36"/>
    </row>
    <row r="926" spans="2:18" ht="27.6" hidden="1" x14ac:dyDescent="0.3">
      <c r="C926" s="14" t="s">
        <v>513</v>
      </c>
      <c r="D926" s="14" t="s">
        <v>1114</v>
      </c>
      <c r="E926" s="14" t="s">
        <v>516</v>
      </c>
      <c r="F926" s="14" t="s">
        <v>970</v>
      </c>
      <c r="G926" s="14" t="s">
        <v>930</v>
      </c>
      <c r="H926" s="14" t="s">
        <v>961</v>
      </c>
    </row>
    <row r="927" spans="2:18" s="516" customFormat="1" hidden="1" x14ac:dyDescent="0.3">
      <c r="B927" s="554"/>
      <c r="C927" s="552" t="str">
        <f>C871</f>
        <v>LS-1100 Аналізатор імунофлуоресцентний</v>
      </c>
      <c r="D927" s="574">
        <f>D871</f>
        <v>6500</v>
      </c>
      <c r="E927" s="531">
        <v>6500</v>
      </c>
      <c r="F927" s="531">
        <f>ROUND((D927/E927)/60,2)</f>
        <v>0.02</v>
      </c>
      <c r="G927" s="531">
        <f>E905+E904</f>
        <v>35</v>
      </c>
      <c r="H927" s="573">
        <f>ROUND(F927*G927,2)</f>
        <v>0.7</v>
      </c>
      <c r="I927" s="555"/>
      <c r="J927" s="554"/>
      <c r="K927" s="556"/>
      <c r="L927" s="557"/>
      <c r="M927" s="557"/>
      <c r="N927" s="558"/>
      <c r="O927" s="558"/>
      <c r="P927" s="558"/>
      <c r="Q927" s="558"/>
      <c r="R927" s="558"/>
    </row>
    <row r="928" spans="2:18" hidden="1" x14ac:dyDescent="0.3"/>
    <row r="929" spans="3:8" hidden="1" x14ac:dyDescent="0.3">
      <c r="C929" s="12" t="s">
        <v>948</v>
      </c>
      <c r="D929" s="227"/>
      <c r="E929" s="227"/>
      <c r="F929" s="298">
        <f>H942</f>
        <v>4.55</v>
      </c>
      <c r="G929" s="227" t="s">
        <v>971</v>
      </c>
    </row>
    <row r="930" spans="3:8" hidden="1" x14ac:dyDescent="0.3">
      <c r="C930" s="22"/>
      <c r="D930" s="36"/>
      <c r="E930" s="36"/>
      <c r="F930" s="302"/>
    </row>
    <row r="931" spans="3:8" ht="27.6" hidden="1" x14ac:dyDescent="0.3">
      <c r="C931" s="14" t="s">
        <v>948</v>
      </c>
      <c r="D931" s="14" t="s">
        <v>1110</v>
      </c>
      <c r="E931" s="14" t="s">
        <v>516</v>
      </c>
      <c r="F931" s="14" t="s">
        <v>954</v>
      </c>
      <c r="G931" s="14" t="s">
        <v>930</v>
      </c>
      <c r="H931" s="14" t="s">
        <v>1111</v>
      </c>
    </row>
    <row r="932" spans="3:8" hidden="1" x14ac:dyDescent="0.3">
      <c r="C932" s="1009" t="str">
        <f>C900</f>
        <v>Лікар-лаборант</v>
      </c>
      <c r="D932" s="1010"/>
      <c r="E932" s="1010"/>
      <c r="F932" s="1010"/>
      <c r="G932" s="1010"/>
      <c r="H932" s="1011"/>
    </row>
    <row r="933" spans="3:8" hidden="1" x14ac:dyDescent="0.3">
      <c r="C933" s="17" t="s">
        <v>951</v>
      </c>
      <c r="D933" s="221">
        <f>D877</f>
        <v>12188.608008565312</v>
      </c>
      <c r="E933" s="73">
        <f>I900</f>
        <v>1807.2</v>
      </c>
      <c r="F933" s="73">
        <f>ROUND((D933/E933)/60,2)</f>
        <v>0.11</v>
      </c>
      <c r="G933" s="73">
        <f>E904</f>
        <v>25</v>
      </c>
      <c r="H933" s="78">
        <f>ROUND(F933*G933,2)</f>
        <v>2.75</v>
      </c>
    </row>
    <row r="934" spans="3:8" hidden="1" x14ac:dyDescent="0.3">
      <c r="C934" s="17" t="s">
        <v>952</v>
      </c>
      <c r="D934" s="221">
        <f>D878</f>
        <v>53.149721627408987</v>
      </c>
      <c r="E934" s="73">
        <f>I900</f>
        <v>1807.2</v>
      </c>
      <c r="F934" s="73">
        <f>ROUND((D934/E934)/60,2)</f>
        <v>0</v>
      </c>
      <c r="G934" s="73">
        <f>E904</f>
        <v>25</v>
      </c>
      <c r="H934" s="78">
        <f>ROUND(F934*G934,2)</f>
        <v>0</v>
      </c>
    </row>
    <row r="935" spans="3:8" hidden="1" x14ac:dyDescent="0.3">
      <c r="C935" s="17" t="s">
        <v>953</v>
      </c>
      <c r="D935" s="221">
        <f>D879</f>
        <v>374.98368308351178</v>
      </c>
      <c r="E935" s="73">
        <f>I900</f>
        <v>1807.2</v>
      </c>
      <c r="F935" s="73">
        <f>ROUND((D935/E935)/60,2)</f>
        <v>0</v>
      </c>
      <c r="G935" s="73">
        <f>E904</f>
        <v>25</v>
      </c>
      <c r="H935" s="78">
        <f>ROUND(F935*G935,2)</f>
        <v>0</v>
      </c>
    </row>
    <row r="936" spans="3:8" hidden="1" x14ac:dyDescent="0.3">
      <c r="C936" s="17" t="s">
        <v>1109</v>
      </c>
      <c r="D936" s="221">
        <f>D880</f>
        <v>1686.0389293361886</v>
      </c>
      <c r="E936" s="73">
        <f>I900</f>
        <v>1807.2</v>
      </c>
      <c r="F936" s="73">
        <f>ROUND((D936/E936)/60,2)</f>
        <v>0.02</v>
      </c>
      <c r="G936" s="73">
        <f>E904</f>
        <v>25</v>
      </c>
      <c r="H936" s="78">
        <f>ROUND(F936*G936,2)</f>
        <v>0.5</v>
      </c>
    </row>
    <row r="937" spans="3:8" hidden="1" x14ac:dyDescent="0.3">
      <c r="C937" s="1009" t="str">
        <f>C901</f>
        <v>Лаборант клінічної лабораторії</v>
      </c>
      <c r="D937" s="1010"/>
      <c r="E937" s="1010"/>
      <c r="F937" s="1010"/>
      <c r="G937" s="1010"/>
      <c r="H937" s="1011"/>
    </row>
    <row r="938" spans="3:8" hidden="1" x14ac:dyDescent="0.3">
      <c r="C938" s="17" t="s">
        <v>951</v>
      </c>
      <c r="D938" s="221">
        <f>D933</f>
        <v>12188.608008565312</v>
      </c>
      <c r="E938" s="73">
        <f>I901</f>
        <v>1807.2</v>
      </c>
      <c r="F938" s="73">
        <f>ROUND((D938/E938)/60,2)</f>
        <v>0.11</v>
      </c>
      <c r="G938" s="73">
        <f>E905</f>
        <v>10</v>
      </c>
      <c r="H938" s="78">
        <f>ROUND(F938*G938,2)</f>
        <v>1.1000000000000001</v>
      </c>
    </row>
    <row r="939" spans="3:8" hidden="1" x14ac:dyDescent="0.3">
      <c r="C939" s="17" t="s">
        <v>952</v>
      </c>
      <c r="D939" s="221">
        <f>D934</f>
        <v>53.149721627408987</v>
      </c>
      <c r="E939" s="73">
        <f>I901</f>
        <v>1807.2</v>
      </c>
      <c r="F939" s="73">
        <f>ROUND((D939/E939)/60,2)</f>
        <v>0</v>
      </c>
      <c r="G939" s="73">
        <f>E905</f>
        <v>10</v>
      </c>
      <c r="H939" s="78">
        <f>ROUND(F939*G939,2)</f>
        <v>0</v>
      </c>
    </row>
    <row r="940" spans="3:8" hidden="1" x14ac:dyDescent="0.3">
      <c r="C940" s="17" t="s">
        <v>953</v>
      </c>
      <c r="D940" s="221">
        <f>D935</f>
        <v>374.98368308351178</v>
      </c>
      <c r="E940" s="73">
        <f>I901</f>
        <v>1807.2</v>
      </c>
      <c r="F940" s="73">
        <f>ROUND((D940/E940)/60,2)</f>
        <v>0</v>
      </c>
      <c r="G940" s="73">
        <f>E905</f>
        <v>10</v>
      </c>
      <c r="H940" s="78">
        <f>ROUND(F940*G940,2)</f>
        <v>0</v>
      </c>
    </row>
    <row r="941" spans="3:8" hidden="1" x14ac:dyDescent="0.3">
      <c r="C941" s="17" t="s">
        <v>1109</v>
      </c>
      <c r="D941" s="221">
        <f>D936</f>
        <v>1686.0389293361886</v>
      </c>
      <c r="E941" s="73">
        <f>I901</f>
        <v>1807.2</v>
      </c>
      <c r="F941" s="73">
        <f>ROUND((D941/E941)/60,2)</f>
        <v>0.02</v>
      </c>
      <c r="G941" s="73">
        <f>E905</f>
        <v>10</v>
      </c>
      <c r="H941" s="78">
        <f>ROUND(F941*G941,2)</f>
        <v>0.2</v>
      </c>
    </row>
    <row r="942" spans="3:8" hidden="1" x14ac:dyDescent="0.3">
      <c r="C942" s="1012" t="s">
        <v>957</v>
      </c>
      <c r="D942" s="1013"/>
      <c r="E942" s="1013"/>
      <c r="F942" s="1013"/>
      <c r="G942" s="1014"/>
      <c r="H942" s="299">
        <f>SUM(H933:H941)</f>
        <v>4.55</v>
      </c>
    </row>
    <row r="943" spans="3:8" hidden="1" x14ac:dyDescent="0.3"/>
    <row r="944" spans="3:8" hidden="1" x14ac:dyDescent="0.3">
      <c r="C944" s="1015" t="s">
        <v>959</v>
      </c>
      <c r="D944" s="1015"/>
      <c r="E944" s="1015"/>
      <c r="F944" s="1015"/>
      <c r="G944" s="1015"/>
      <c r="H944" s="334">
        <f>F897+F909+F929+F924</f>
        <v>169.14</v>
      </c>
    </row>
    <row r="945" spans="2:11" hidden="1" x14ac:dyDescent="0.3">
      <c r="C945" s="33"/>
      <c r="D945" s="33"/>
      <c r="E945" s="33"/>
      <c r="F945" s="33"/>
      <c r="G945" s="33"/>
      <c r="H945" s="335"/>
    </row>
    <row r="946" spans="2:11" hidden="1" x14ac:dyDescent="0.3">
      <c r="C946" s="1015" t="s">
        <v>960</v>
      </c>
      <c r="D946" s="1015"/>
      <c r="E946" s="1015"/>
      <c r="F946" s="1015"/>
      <c r="G946" s="1015"/>
      <c r="H946" s="334">
        <f>ROUND(H944,0)</f>
        <v>169</v>
      </c>
    </row>
    <row r="947" spans="2:11" hidden="1" x14ac:dyDescent="0.3"/>
    <row r="948" spans="2:11" hidden="1" x14ac:dyDescent="0.3"/>
    <row r="949" spans="2:11" ht="18.600000000000001" hidden="1" x14ac:dyDescent="0.3">
      <c r="B949" s="1016" t="s">
        <v>958</v>
      </c>
      <c r="C949" s="1016"/>
      <c r="D949" s="1016"/>
      <c r="E949" s="1016"/>
      <c r="F949" s="1016"/>
      <c r="G949" s="1016"/>
      <c r="H949" s="1016"/>
      <c r="I949" s="1016"/>
      <c r="J949" s="1016"/>
    </row>
    <row r="950" spans="2:11" ht="19.2" hidden="1" x14ac:dyDescent="0.35">
      <c r="B950" s="53"/>
      <c r="C950" s="53"/>
      <c r="D950" s="225"/>
      <c r="E950" s="225"/>
      <c r="F950" s="225"/>
      <c r="G950" s="225"/>
      <c r="H950" s="225"/>
      <c r="I950" s="53"/>
      <c r="J950" s="53"/>
    </row>
    <row r="951" spans="2:11" ht="19.2" hidden="1" x14ac:dyDescent="0.35">
      <c r="B951" s="50" t="s">
        <v>332</v>
      </c>
      <c r="C951" s="1017" t="str">
        <f>M25</f>
        <v>ФСГ (фолікулостимулюючий гормон) (кількісні результати)</v>
      </c>
      <c r="D951" s="1017"/>
      <c r="E951" s="1017"/>
      <c r="F951" s="296">
        <f>H1002</f>
        <v>185</v>
      </c>
      <c r="G951" s="296" t="s">
        <v>971</v>
      </c>
      <c r="H951" s="225"/>
      <c r="I951" s="53"/>
      <c r="J951" s="53"/>
      <c r="K951" s="561">
        <f>F951-G968</f>
        <v>55</v>
      </c>
    </row>
    <row r="952" spans="2:11" hidden="1" x14ac:dyDescent="0.3"/>
    <row r="953" spans="2:11" hidden="1" x14ac:dyDescent="0.3">
      <c r="C953" s="1018" t="s">
        <v>932</v>
      </c>
      <c r="D953" s="1018"/>
      <c r="E953" s="297"/>
      <c r="F953" s="298">
        <f>F960+F963+F961</f>
        <v>43.55</v>
      </c>
      <c r="G953" s="227" t="s">
        <v>971</v>
      </c>
    </row>
    <row r="954" spans="2:11" hidden="1" x14ac:dyDescent="0.3"/>
    <row r="955" spans="2:11" ht="27.6" hidden="1" x14ac:dyDescent="0.3">
      <c r="C955" s="13" t="s">
        <v>929</v>
      </c>
      <c r="D955" s="14" t="s">
        <v>928</v>
      </c>
      <c r="E955" s="14" t="s">
        <v>514</v>
      </c>
      <c r="F955" s="14" t="s">
        <v>515</v>
      </c>
      <c r="G955" s="14" t="s">
        <v>962</v>
      </c>
      <c r="H955" s="14" t="s">
        <v>926</v>
      </c>
      <c r="I955" s="14" t="s">
        <v>516</v>
      </c>
      <c r="J955" s="14" t="s">
        <v>961</v>
      </c>
    </row>
    <row r="956" spans="2:11" hidden="1" x14ac:dyDescent="0.3">
      <c r="C956" s="17" t="str">
        <f>C900</f>
        <v>Лікар-лаборант</v>
      </c>
      <c r="D956" s="73">
        <f>D900</f>
        <v>10799.43</v>
      </c>
      <c r="E956" s="78">
        <f>D956*12</f>
        <v>129593.16</v>
      </c>
      <c r="F956" s="73">
        <f>F900</f>
        <v>8307.26</v>
      </c>
      <c r="G956" s="73">
        <f>G900</f>
        <v>4153.63</v>
      </c>
      <c r="H956" s="78">
        <f>E956+F956+G956</f>
        <v>142054.05000000002</v>
      </c>
      <c r="I956" s="17">
        <v>1807.2</v>
      </c>
      <c r="J956" s="16">
        <f>ROUND((H956/I956)/60,2)</f>
        <v>1.31</v>
      </c>
    </row>
    <row r="957" spans="2:11" hidden="1" x14ac:dyDescent="0.3">
      <c r="C957" s="17" t="str">
        <f>C901</f>
        <v>Лаборант клінічної лабораторії</v>
      </c>
      <c r="D957" s="73">
        <f>D901</f>
        <v>7871.18</v>
      </c>
      <c r="E957" s="78">
        <f>D957*12</f>
        <v>94454.16</v>
      </c>
      <c r="F957" s="73">
        <f>F901</f>
        <v>6054.75</v>
      </c>
      <c r="G957" s="73">
        <f>G901</f>
        <v>3027.375</v>
      </c>
      <c r="H957" s="78">
        <f>E957+F957+G957</f>
        <v>103536.285</v>
      </c>
      <c r="I957" s="17">
        <v>1807.2</v>
      </c>
      <c r="J957" s="16">
        <f>ROUND((H957/I957)/60,2)</f>
        <v>0.95</v>
      </c>
    </row>
    <row r="958" spans="2:11" hidden="1" x14ac:dyDescent="0.3"/>
    <row r="959" spans="2:11" hidden="1" x14ac:dyDescent="0.3">
      <c r="C959" s="13" t="s">
        <v>929</v>
      </c>
      <c r="D959" s="14" t="s">
        <v>961</v>
      </c>
      <c r="E959" s="14" t="s">
        <v>930</v>
      </c>
      <c r="F959" s="14" t="s">
        <v>931</v>
      </c>
    </row>
    <row r="960" spans="2:11" hidden="1" x14ac:dyDescent="0.3">
      <c r="C960" s="15" t="str">
        <f>C956</f>
        <v>Лікар-лаборант</v>
      </c>
      <c r="D960" s="78">
        <f>J956</f>
        <v>1.31</v>
      </c>
      <c r="E960" s="73">
        <f>10+10</f>
        <v>20</v>
      </c>
      <c r="F960" s="299">
        <f>ROUND(D960*E960,2)</f>
        <v>26.2</v>
      </c>
    </row>
    <row r="961" spans="2:12" hidden="1" x14ac:dyDescent="0.3">
      <c r="C961" s="15" t="str">
        <f>C957</f>
        <v>Лаборант клінічної лабораторії</v>
      </c>
      <c r="D961" s="78">
        <f>J957</f>
        <v>0.95</v>
      </c>
      <c r="E961" s="73">
        <f>5+5</f>
        <v>10</v>
      </c>
      <c r="F961" s="299">
        <f>ROUND(D961*E961,2)</f>
        <v>9.5</v>
      </c>
    </row>
    <row r="962" spans="2:12" hidden="1" x14ac:dyDescent="0.3">
      <c r="D962" s="19"/>
      <c r="E962" s="74" t="s">
        <v>1016</v>
      </c>
    </row>
    <row r="963" spans="2:12" hidden="1" x14ac:dyDescent="0.3">
      <c r="C963" s="17" t="s">
        <v>933</v>
      </c>
      <c r="D963" s="78">
        <f>F960+F961</f>
        <v>35.700000000000003</v>
      </c>
      <c r="E963" s="300">
        <v>0.22</v>
      </c>
      <c r="F963" s="301">
        <f>ROUND(D963*E963,2)</f>
        <v>7.85</v>
      </c>
    </row>
    <row r="964" spans="2:12" hidden="1" x14ac:dyDescent="0.3"/>
    <row r="965" spans="2:12" hidden="1" x14ac:dyDescent="0.3">
      <c r="C965" s="12" t="s">
        <v>946</v>
      </c>
      <c r="D965" s="227"/>
      <c r="E965" s="227"/>
      <c r="F965" s="227">
        <f>G978</f>
        <v>137.34</v>
      </c>
      <c r="G965" s="227" t="s">
        <v>971</v>
      </c>
    </row>
    <row r="966" spans="2:12" hidden="1" x14ac:dyDescent="0.3"/>
    <row r="967" spans="2:12" hidden="1" x14ac:dyDescent="0.3">
      <c r="B967" s="82" t="s">
        <v>991</v>
      </c>
      <c r="C967" s="83" t="s">
        <v>986</v>
      </c>
      <c r="D967" s="83" t="s">
        <v>1112</v>
      </c>
      <c r="E967" s="83" t="s">
        <v>988</v>
      </c>
      <c r="F967" s="83" t="s">
        <v>1113</v>
      </c>
      <c r="G967" s="82" t="s">
        <v>988</v>
      </c>
    </row>
    <row r="968" spans="2:12" hidden="1" x14ac:dyDescent="0.3">
      <c r="B968" s="73">
        <v>1</v>
      </c>
      <c r="C968" s="79" t="str">
        <f>'МЕДИЧНІ М'!B230</f>
        <v>Тест-система для визначення ФСГ</v>
      </c>
      <c r="D968" s="75" t="s">
        <v>941</v>
      </c>
      <c r="E968" s="75">
        <f>'МЕДИЧНІ М'!F230</f>
        <v>130</v>
      </c>
      <c r="F968" s="86">
        <v>1</v>
      </c>
      <c r="G968" s="88">
        <f>ROUND(E968/F968,2)</f>
        <v>130</v>
      </c>
      <c r="L968" s="560"/>
    </row>
    <row r="969" spans="2:12" hidden="1" x14ac:dyDescent="0.3">
      <c r="B969" s="73">
        <f>1+B968</f>
        <v>2</v>
      </c>
      <c r="C969" s="79" t="str">
        <f t="shared" ref="C969:F977" si="28">C913</f>
        <v>Наконечник для лабораторних дозаторів</v>
      </c>
      <c r="D969" s="559" t="str">
        <f t="shared" si="28"/>
        <v>шт</v>
      </c>
      <c r="E969" s="559">
        <f t="shared" si="28"/>
        <v>115</v>
      </c>
      <c r="F969" s="559">
        <f t="shared" si="28"/>
        <v>1000</v>
      </c>
      <c r="G969" s="88">
        <f>ROUND(E969/F969,2)</f>
        <v>0.12</v>
      </c>
    </row>
    <row r="970" spans="2:12" hidden="1" x14ac:dyDescent="0.3">
      <c r="B970" s="73">
        <f t="shared" ref="B970:B977" si="29">1+B969</f>
        <v>3</v>
      </c>
      <c r="C970" s="79" t="str">
        <f t="shared" si="28"/>
        <v>Вата</v>
      </c>
      <c r="D970" s="559" t="str">
        <f t="shared" si="28"/>
        <v>шт</v>
      </c>
      <c r="E970" s="559">
        <f t="shared" si="28"/>
        <v>6.72</v>
      </c>
      <c r="F970" s="559">
        <f t="shared" si="28"/>
        <v>100</v>
      </c>
      <c r="G970" s="78">
        <f>ROUND(E970/F970,2)</f>
        <v>7.0000000000000007E-2</v>
      </c>
    </row>
    <row r="971" spans="2:12" hidden="1" x14ac:dyDescent="0.3">
      <c r="B971" s="73">
        <f t="shared" si="29"/>
        <v>4</v>
      </c>
      <c r="C971" s="79" t="str">
        <f t="shared" si="28"/>
        <v>Деззасоби</v>
      </c>
      <c r="D971" s="559" t="str">
        <f t="shared" si="28"/>
        <v>мл</v>
      </c>
      <c r="E971" s="559">
        <f t="shared" si="28"/>
        <v>0.5</v>
      </c>
      <c r="F971" s="559">
        <f t="shared" si="28"/>
        <v>0.5</v>
      </c>
      <c r="G971" s="78">
        <f>ROUND(E971/F971,2)</f>
        <v>1</v>
      </c>
    </row>
    <row r="972" spans="2:12" hidden="1" x14ac:dyDescent="0.3">
      <c r="B972" s="73">
        <f t="shared" si="29"/>
        <v>5</v>
      </c>
      <c r="C972" s="79" t="str">
        <f t="shared" si="28"/>
        <v>Маска на резинці, стерильна.</v>
      </c>
      <c r="D972" s="559" t="str">
        <f t="shared" si="28"/>
        <v>шт</v>
      </c>
      <c r="E972" s="559">
        <f t="shared" si="28"/>
        <v>2</v>
      </c>
      <c r="F972" s="559">
        <f t="shared" si="28"/>
        <v>0.5</v>
      </c>
      <c r="G972" s="81">
        <f>ROUND(E972*F972,2)</f>
        <v>1</v>
      </c>
    </row>
    <row r="973" spans="2:12" hidden="1" x14ac:dyDescent="0.3">
      <c r="B973" s="73">
        <f t="shared" si="29"/>
        <v>6</v>
      </c>
      <c r="C973" s="79" t="str">
        <f t="shared" si="28"/>
        <v>Мікрасепт</v>
      </c>
      <c r="D973" s="559" t="str">
        <f t="shared" si="28"/>
        <v>мл</v>
      </c>
      <c r="E973" s="559">
        <f t="shared" si="28"/>
        <v>0.3</v>
      </c>
      <c r="F973" s="559">
        <f t="shared" si="28"/>
        <v>2</v>
      </c>
      <c r="G973" s="88">
        <f>ROUND(E973*F973,2)</f>
        <v>0.6</v>
      </c>
    </row>
    <row r="974" spans="2:12" hidden="1" x14ac:dyDescent="0.3">
      <c r="B974" s="73">
        <f t="shared" si="29"/>
        <v>7</v>
      </c>
      <c r="C974" s="79" t="str">
        <f t="shared" si="28"/>
        <v>Пробірка</v>
      </c>
      <c r="D974" s="559" t="str">
        <f t="shared" si="28"/>
        <v>шт</v>
      </c>
      <c r="E974" s="559">
        <f t="shared" si="28"/>
        <v>0.6</v>
      </c>
      <c r="F974" s="559">
        <f t="shared" si="28"/>
        <v>1</v>
      </c>
      <c r="G974" s="88">
        <f>ROUND(E974/F974,2)</f>
        <v>0.6</v>
      </c>
    </row>
    <row r="975" spans="2:12" hidden="1" x14ac:dyDescent="0.3">
      <c r="B975" s="73">
        <f t="shared" si="29"/>
        <v>8</v>
      </c>
      <c r="C975" s="79" t="str">
        <f t="shared" si="28"/>
        <v>Рукавиці н/с</v>
      </c>
      <c r="D975" s="559" t="str">
        <f t="shared" si="28"/>
        <v>шт</v>
      </c>
      <c r="E975" s="559">
        <f t="shared" si="28"/>
        <v>2.8</v>
      </c>
      <c r="F975" s="559">
        <f t="shared" si="28"/>
        <v>1</v>
      </c>
      <c r="G975" s="88">
        <f>ROUND(E975/F975,2)</f>
        <v>2.8</v>
      </c>
    </row>
    <row r="976" spans="2:12" hidden="1" x14ac:dyDescent="0.3">
      <c r="B976" s="73">
        <f t="shared" si="29"/>
        <v>9</v>
      </c>
      <c r="C976" s="79" t="str">
        <f t="shared" si="28"/>
        <v xml:space="preserve">Спирт 70% 100мл </v>
      </c>
      <c r="D976" s="559" t="str">
        <f t="shared" si="28"/>
        <v>фл</v>
      </c>
      <c r="E976" s="559">
        <f t="shared" si="28"/>
        <v>24.6</v>
      </c>
      <c r="F976" s="559">
        <f t="shared" si="28"/>
        <v>100</v>
      </c>
      <c r="G976" s="81">
        <f>ROUND(E976/F976,2)</f>
        <v>0.25</v>
      </c>
    </row>
    <row r="977" spans="2:18" hidden="1" x14ac:dyDescent="0.3">
      <c r="B977" s="73">
        <f t="shared" si="29"/>
        <v>10</v>
      </c>
      <c r="C977" s="79" t="str">
        <f t="shared" si="28"/>
        <v>Шприц 5 мл</v>
      </c>
      <c r="D977" s="559" t="str">
        <f t="shared" si="28"/>
        <v>шт</v>
      </c>
      <c r="E977" s="559">
        <f t="shared" si="28"/>
        <v>0.9</v>
      </c>
      <c r="F977" s="559">
        <f t="shared" si="28"/>
        <v>1</v>
      </c>
      <c r="G977" s="81">
        <f>ROUND(E977*F977,2)</f>
        <v>0.9</v>
      </c>
    </row>
    <row r="978" spans="2:18" hidden="1" x14ac:dyDescent="0.3">
      <c r="B978" s="1012" t="s">
        <v>945</v>
      </c>
      <c r="C978" s="1013"/>
      <c r="D978" s="1013"/>
      <c r="E978" s="1013"/>
      <c r="F978" s="1014"/>
      <c r="G978" s="572">
        <f>SUM(G968:G977)</f>
        <v>137.34</v>
      </c>
    </row>
    <row r="979" spans="2:18" hidden="1" x14ac:dyDescent="0.3"/>
    <row r="980" spans="2:18" hidden="1" x14ac:dyDescent="0.3">
      <c r="C980" s="12" t="s">
        <v>968</v>
      </c>
      <c r="D980" s="227"/>
      <c r="E980" s="227"/>
      <c r="F980" s="298">
        <f>H983</f>
        <v>0.6</v>
      </c>
      <c r="G980" s="227" t="s">
        <v>971</v>
      </c>
    </row>
    <row r="981" spans="2:18" hidden="1" x14ac:dyDescent="0.3">
      <c r="C981" s="22"/>
      <c r="D981" s="36"/>
      <c r="E981" s="36"/>
      <c r="F981" s="302"/>
      <c r="G981" s="36"/>
    </row>
    <row r="982" spans="2:18" ht="27.6" hidden="1" x14ac:dyDescent="0.3">
      <c r="C982" s="14" t="s">
        <v>513</v>
      </c>
      <c r="D982" s="14" t="s">
        <v>1114</v>
      </c>
      <c r="E982" s="14" t="s">
        <v>516</v>
      </c>
      <c r="F982" s="14" t="s">
        <v>970</v>
      </c>
      <c r="G982" s="14" t="s">
        <v>930</v>
      </c>
      <c r="H982" s="14" t="s">
        <v>961</v>
      </c>
    </row>
    <row r="983" spans="2:18" s="516" customFormat="1" hidden="1" x14ac:dyDescent="0.3">
      <c r="B983" s="554"/>
      <c r="C983" s="552" t="str">
        <f>C927</f>
        <v>LS-1100 Аналізатор імунофлуоресцентний</v>
      </c>
      <c r="D983" s="574">
        <f>D927</f>
        <v>6500</v>
      </c>
      <c r="E983" s="531">
        <v>6500</v>
      </c>
      <c r="F983" s="531">
        <f>ROUND((D983/E983)/60,2)</f>
        <v>0.02</v>
      </c>
      <c r="G983" s="531">
        <f>E961+E960</f>
        <v>30</v>
      </c>
      <c r="H983" s="573">
        <f>ROUND(F983*G983,2)</f>
        <v>0.6</v>
      </c>
      <c r="I983" s="555"/>
      <c r="J983" s="554"/>
      <c r="K983" s="556"/>
      <c r="L983" s="557"/>
      <c r="M983" s="557"/>
      <c r="N983" s="558"/>
      <c r="O983" s="558"/>
      <c r="P983" s="558"/>
      <c r="Q983" s="558"/>
      <c r="R983" s="558"/>
    </row>
    <row r="984" spans="2:18" hidden="1" x14ac:dyDescent="0.3"/>
    <row r="985" spans="2:18" hidden="1" x14ac:dyDescent="0.3">
      <c r="C985" s="12" t="s">
        <v>948</v>
      </c>
      <c r="D985" s="227"/>
      <c r="E985" s="227"/>
      <c r="F985" s="298">
        <f>H998</f>
        <v>3.9000000000000004</v>
      </c>
      <c r="G985" s="227" t="s">
        <v>971</v>
      </c>
    </row>
    <row r="986" spans="2:18" hidden="1" x14ac:dyDescent="0.3">
      <c r="C986" s="22"/>
      <c r="D986" s="36"/>
      <c r="E986" s="36"/>
      <c r="F986" s="302"/>
    </row>
    <row r="987" spans="2:18" ht="27.6" hidden="1" x14ac:dyDescent="0.3">
      <c r="C987" s="14" t="s">
        <v>948</v>
      </c>
      <c r="D987" s="14" t="s">
        <v>1110</v>
      </c>
      <c r="E987" s="14" t="s">
        <v>516</v>
      </c>
      <c r="F987" s="14" t="s">
        <v>954</v>
      </c>
      <c r="G987" s="14" t="s">
        <v>930</v>
      </c>
      <c r="H987" s="14" t="s">
        <v>1111</v>
      </c>
    </row>
    <row r="988" spans="2:18" hidden="1" x14ac:dyDescent="0.3">
      <c r="C988" s="1009" t="str">
        <f>C956</f>
        <v>Лікар-лаборант</v>
      </c>
      <c r="D988" s="1010"/>
      <c r="E988" s="1010"/>
      <c r="F988" s="1010"/>
      <c r="G988" s="1010"/>
      <c r="H988" s="1011"/>
    </row>
    <row r="989" spans="2:18" hidden="1" x14ac:dyDescent="0.3">
      <c r="C989" s="17" t="s">
        <v>951</v>
      </c>
      <c r="D989" s="221">
        <f>D933</f>
        <v>12188.608008565312</v>
      </c>
      <c r="E989" s="73">
        <f>I956</f>
        <v>1807.2</v>
      </c>
      <c r="F989" s="73">
        <f>ROUND((D989/E989)/60,2)</f>
        <v>0.11</v>
      </c>
      <c r="G989" s="73">
        <f>E960</f>
        <v>20</v>
      </c>
      <c r="H989" s="78">
        <f>ROUND(F989*G989,2)</f>
        <v>2.2000000000000002</v>
      </c>
    </row>
    <row r="990" spans="2:18" hidden="1" x14ac:dyDescent="0.3">
      <c r="C990" s="17" t="s">
        <v>952</v>
      </c>
      <c r="D990" s="221">
        <f>D934</f>
        <v>53.149721627408987</v>
      </c>
      <c r="E990" s="73">
        <f>I956</f>
        <v>1807.2</v>
      </c>
      <c r="F990" s="73">
        <f>ROUND((D990/E990)/60,2)</f>
        <v>0</v>
      </c>
      <c r="G990" s="73">
        <f>E960</f>
        <v>20</v>
      </c>
      <c r="H990" s="78">
        <f>ROUND(F990*G990,2)</f>
        <v>0</v>
      </c>
    </row>
    <row r="991" spans="2:18" hidden="1" x14ac:dyDescent="0.3">
      <c r="C991" s="17" t="s">
        <v>953</v>
      </c>
      <c r="D991" s="221">
        <f>D935</f>
        <v>374.98368308351178</v>
      </c>
      <c r="E991" s="73">
        <f>I956</f>
        <v>1807.2</v>
      </c>
      <c r="F991" s="73">
        <f>ROUND((D991/E991)/60,2)</f>
        <v>0</v>
      </c>
      <c r="G991" s="73">
        <f>E960</f>
        <v>20</v>
      </c>
      <c r="H991" s="78">
        <f>ROUND(F991*G991,2)</f>
        <v>0</v>
      </c>
    </row>
    <row r="992" spans="2:18" hidden="1" x14ac:dyDescent="0.3">
      <c r="C992" s="17" t="s">
        <v>1109</v>
      </c>
      <c r="D992" s="221">
        <f>D936</f>
        <v>1686.0389293361886</v>
      </c>
      <c r="E992" s="73">
        <f>I956</f>
        <v>1807.2</v>
      </c>
      <c r="F992" s="73">
        <f>ROUND((D992/E992)/60,2)</f>
        <v>0.02</v>
      </c>
      <c r="G992" s="73">
        <f>E960</f>
        <v>20</v>
      </c>
      <c r="H992" s="78">
        <f>ROUND(F992*G992,2)</f>
        <v>0.4</v>
      </c>
    </row>
    <row r="993" spans="2:11" hidden="1" x14ac:dyDescent="0.3">
      <c r="C993" s="1009" t="str">
        <f>C957</f>
        <v>Лаборант клінічної лабораторії</v>
      </c>
      <c r="D993" s="1010"/>
      <c r="E993" s="1010"/>
      <c r="F993" s="1010"/>
      <c r="G993" s="1010"/>
      <c r="H993" s="1011"/>
    </row>
    <row r="994" spans="2:11" hidden="1" x14ac:dyDescent="0.3">
      <c r="C994" s="17" t="s">
        <v>951</v>
      </c>
      <c r="D994" s="221">
        <f>D989</f>
        <v>12188.608008565312</v>
      </c>
      <c r="E994" s="73">
        <f>I957</f>
        <v>1807.2</v>
      </c>
      <c r="F994" s="73">
        <f>ROUND((D994/E994)/60,2)</f>
        <v>0.11</v>
      </c>
      <c r="G994" s="73">
        <f>E961</f>
        <v>10</v>
      </c>
      <c r="H994" s="78">
        <f>ROUND(F994*G994,2)</f>
        <v>1.1000000000000001</v>
      </c>
    </row>
    <row r="995" spans="2:11" hidden="1" x14ac:dyDescent="0.3">
      <c r="C995" s="17" t="s">
        <v>952</v>
      </c>
      <c r="D995" s="221">
        <f>D990</f>
        <v>53.149721627408987</v>
      </c>
      <c r="E995" s="73">
        <f>I957</f>
        <v>1807.2</v>
      </c>
      <c r="F995" s="73">
        <f>ROUND((D995/E995)/60,2)</f>
        <v>0</v>
      </c>
      <c r="G995" s="73">
        <f>E961</f>
        <v>10</v>
      </c>
      <c r="H995" s="78">
        <f>ROUND(F995*G995,2)</f>
        <v>0</v>
      </c>
    </row>
    <row r="996" spans="2:11" hidden="1" x14ac:dyDescent="0.3">
      <c r="C996" s="17" t="s">
        <v>953</v>
      </c>
      <c r="D996" s="221">
        <f>D991</f>
        <v>374.98368308351178</v>
      </c>
      <c r="E996" s="73">
        <f>I957</f>
        <v>1807.2</v>
      </c>
      <c r="F996" s="73">
        <f>ROUND((D996/E996)/60,2)</f>
        <v>0</v>
      </c>
      <c r="G996" s="73">
        <f>E961</f>
        <v>10</v>
      </c>
      <c r="H996" s="78">
        <f>ROUND(F996*G996,2)</f>
        <v>0</v>
      </c>
    </row>
    <row r="997" spans="2:11" hidden="1" x14ac:dyDescent="0.3">
      <c r="C997" s="17" t="s">
        <v>1109</v>
      </c>
      <c r="D997" s="221">
        <f>D992</f>
        <v>1686.0389293361886</v>
      </c>
      <c r="E997" s="73">
        <f>I957</f>
        <v>1807.2</v>
      </c>
      <c r="F997" s="73">
        <f>ROUND((D997/E997)/60,2)</f>
        <v>0.02</v>
      </c>
      <c r="G997" s="73">
        <f>E961</f>
        <v>10</v>
      </c>
      <c r="H997" s="78">
        <f>ROUND(F997*G997,2)</f>
        <v>0.2</v>
      </c>
    </row>
    <row r="998" spans="2:11" hidden="1" x14ac:dyDescent="0.3">
      <c r="C998" s="1012" t="s">
        <v>957</v>
      </c>
      <c r="D998" s="1013"/>
      <c r="E998" s="1013"/>
      <c r="F998" s="1013"/>
      <c r="G998" s="1014"/>
      <c r="H998" s="299">
        <f>SUM(H989:H997)</f>
        <v>3.9000000000000004</v>
      </c>
    </row>
    <row r="999" spans="2:11" hidden="1" x14ac:dyDescent="0.3"/>
    <row r="1000" spans="2:11" hidden="1" x14ac:dyDescent="0.3">
      <c r="C1000" s="1015" t="s">
        <v>959</v>
      </c>
      <c r="D1000" s="1015"/>
      <c r="E1000" s="1015"/>
      <c r="F1000" s="1015"/>
      <c r="G1000" s="1015"/>
      <c r="H1000" s="334">
        <f>F953+F965+F985+F980</f>
        <v>185.39</v>
      </c>
    </row>
    <row r="1001" spans="2:11" hidden="1" x14ac:dyDescent="0.3">
      <c r="C1001" s="33"/>
      <c r="D1001" s="33"/>
      <c r="E1001" s="33"/>
      <c r="F1001" s="33"/>
      <c r="G1001" s="33"/>
      <c r="H1001" s="335"/>
    </row>
    <row r="1002" spans="2:11" hidden="1" x14ac:dyDescent="0.3">
      <c r="C1002" s="1015" t="s">
        <v>960</v>
      </c>
      <c r="D1002" s="1015"/>
      <c r="E1002" s="1015"/>
      <c r="F1002" s="1015"/>
      <c r="G1002" s="1015"/>
      <c r="H1002" s="334">
        <f>ROUND(H1000,0)</f>
        <v>185</v>
      </c>
    </row>
    <row r="1003" spans="2:11" hidden="1" x14ac:dyDescent="0.3"/>
    <row r="1004" spans="2:11" hidden="1" x14ac:dyDescent="0.3"/>
    <row r="1005" spans="2:11" ht="18.600000000000001" hidden="1" x14ac:dyDescent="0.3">
      <c r="B1005" s="1016" t="s">
        <v>958</v>
      </c>
      <c r="C1005" s="1016"/>
      <c r="D1005" s="1016"/>
      <c r="E1005" s="1016"/>
      <c r="F1005" s="1016"/>
      <c r="G1005" s="1016"/>
      <c r="H1005" s="1016"/>
      <c r="I1005" s="1016"/>
      <c r="J1005" s="1016"/>
    </row>
    <row r="1006" spans="2:11" ht="19.2" hidden="1" x14ac:dyDescent="0.35">
      <c r="B1006" s="53"/>
      <c r="C1006" s="53"/>
      <c r="D1006" s="225"/>
      <c r="E1006" s="225"/>
      <c r="F1006" s="225"/>
      <c r="G1006" s="225"/>
      <c r="H1006" s="225"/>
      <c r="I1006" s="53"/>
      <c r="J1006" s="53"/>
    </row>
    <row r="1007" spans="2:11" ht="19.2" hidden="1" x14ac:dyDescent="0.35">
      <c r="B1007" s="50" t="s">
        <v>333</v>
      </c>
      <c r="C1007" s="1017" t="str">
        <f>M26</f>
        <v>Пролактин (кількісні результати)</v>
      </c>
      <c r="D1007" s="1017"/>
      <c r="E1007" s="1017"/>
      <c r="F1007" s="296">
        <f>H1058</f>
        <v>185</v>
      </c>
      <c r="G1007" s="296" t="s">
        <v>971</v>
      </c>
      <c r="H1007" s="225"/>
      <c r="I1007" s="53"/>
      <c r="J1007" s="53"/>
      <c r="K1007" s="561">
        <f>F1007-G1024</f>
        <v>55</v>
      </c>
    </row>
    <row r="1008" spans="2:11" hidden="1" x14ac:dyDescent="0.3"/>
    <row r="1009" spans="2:12" hidden="1" x14ac:dyDescent="0.3">
      <c r="C1009" s="1018" t="s">
        <v>932</v>
      </c>
      <c r="D1009" s="1018"/>
      <c r="E1009" s="297"/>
      <c r="F1009" s="298">
        <f>F1016+F1019+F1017</f>
        <v>43.55</v>
      </c>
      <c r="G1009" s="227" t="s">
        <v>971</v>
      </c>
    </row>
    <row r="1010" spans="2:12" hidden="1" x14ac:dyDescent="0.3"/>
    <row r="1011" spans="2:12" ht="27.6" hidden="1" x14ac:dyDescent="0.3">
      <c r="C1011" s="13" t="s">
        <v>929</v>
      </c>
      <c r="D1011" s="14" t="s">
        <v>928</v>
      </c>
      <c r="E1011" s="14" t="s">
        <v>514</v>
      </c>
      <c r="F1011" s="14" t="s">
        <v>515</v>
      </c>
      <c r="G1011" s="14" t="s">
        <v>962</v>
      </c>
      <c r="H1011" s="14" t="s">
        <v>926</v>
      </c>
      <c r="I1011" s="14" t="s">
        <v>516</v>
      </c>
      <c r="J1011" s="14" t="s">
        <v>961</v>
      </c>
    </row>
    <row r="1012" spans="2:12" hidden="1" x14ac:dyDescent="0.3">
      <c r="C1012" s="17" t="str">
        <f>C956</f>
        <v>Лікар-лаборант</v>
      </c>
      <c r="D1012" s="73">
        <f>D956</f>
        <v>10799.43</v>
      </c>
      <c r="E1012" s="78">
        <f>D1012*12</f>
        <v>129593.16</v>
      </c>
      <c r="F1012" s="73">
        <f>F956</f>
        <v>8307.26</v>
      </c>
      <c r="G1012" s="73">
        <f>G956</f>
        <v>4153.63</v>
      </c>
      <c r="H1012" s="78">
        <f>E1012+F1012+G1012</f>
        <v>142054.05000000002</v>
      </c>
      <c r="I1012" s="17">
        <v>1807.2</v>
      </c>
      <c r="J1012" s="16">
        <f>ROUND((H1012/I1012)/60,2)</f>
        <v>1.31</v>
      </c>
    </row>
    <row r="1013" spans="2:12" hidden="1" x14ac:dyDescent="0.3">
      <c r="C1013" s="17" t="str">
        <f>C957</f>
        <v>Лаборант клінічної лабораторії</v>
      </c>
      <c r="D1013" s="73">
        <f>D957</f>
        <v>7871.18</v>
      </c>
      <c r="E1013" s="78">
        <f>D1013*12</f>
        <v>94454.16</v>
      </c>
      <c r="F1013" s="73">
        <f>F957</f>
        <v>6054.75</v>
      </c>
      <c r="G1013" s="73">
        <f>G957</f>
        <v>3027.375</v>
      </c>
      <c r="H1013" s="78">
        <f>E1013+F1013+G1013</f>
        <v>103536.285</v>
      </c>
      <c r="I1013" s="17">
        <v>1807.2</v>
      </c>
      <c r="J1013" s="16">
        <f>ROUND((H1013/I1013)/60,2)</f>
        <v>0.95</v>
      </c>
    </row>
    <row r="1014" spans="2:12" hidden="1" x14ac:dyDescent="0.3"/>
    <row r="1015" spans="2:12" hidden="1" x14ac:dyDescent="0.3">
      <c r="C1015" s="13" t="s">
        <v>929</v>
      </c>
      <c r="D1015" s="14" t="s">
        <v>961</v>
      </c>
      <c r="E1015" s="14" t="s">
        <v>930</v>
      </c>
      <c r="F1015" s="14" t="s">
        <v>931</v>
      </c>
    </row>
    <row r="1016" spans="2:12" hidden="1" x14ac:dyDescent="0.3">
      <c r="C1016" s="15" t="str">
        <f>C1012</f>
        <v>Лікар-лаборант</v>
      </c>
      <c r="D1016" s="78">
        <f>J1012</f>
        <v>1.31</v>
      </c>
      <c r="E1016" s="73">
        <f>10+10</f>
        <v>20</v>
      </c>
      <c r="F1016" s="299">
        <f>ROUND(D1016*E1016,2)</f>
        <v>26.2</v>
      </c>
    </row>
    <row r="1017" spans="2:12" hidden="1" x14ac:dyDescent="0.3">
      <c r="C1017" s="15" t="str">
        <f>C1013</f>
        <v>Лаборант клінічної лабораторії</v>
      </c>
      <c r="D1017" s="78">
        <f>J1013</f>
        <v>0.95</v>
      </c>
      <c r="E1017" s="73">
        <f>5+5</f>
        <v>10</v>
      </c>
      <c r="F1017" s="299">
        <f>ROUND(D1017*E1017,2)</f>
        <v>9.5</v>
      </c>
    </row>
    <row r="1018" spans="2:12" hidden="1" x14ac:dyDescent="0.3">
      <c r="D1018" s="19"/>
      <c r="E1018" s="74" t="s">
        <v>1016</v>
      </c>
    </row>
    <row r="1019" spans="2:12" hidden="1" x14ac:dyDescent="0.3">
      <c r="C1019" s="17" t="s">
        <v>933</v>
      </c>
      <c r="D1019" s="78">
        <f>F1016+F1017</f>
        <v>35.700000000000003</v>
      </c>
      <c r="E1019" s="300">
        <v>0.22</v>
      </c>
      <c r="F1019" s="301">
        <f>ROUND(D1019*E1019,2)</f>
        <v>7.85</v>
      </c>
    </row>
    <row r="1020" spans="2:12" hidden="1" x14ac:dyDescent="0.3"/>
    <row r="1021" spans="2:12" hidden="1" x14ac:dyDescent="0.3">
      <c r="C1021" s="12" t="s">
        <v>946</v>
      </c>
      <c r="D1021" s="227"/>
      <c r="E1021" s="227"/>
      <c r="F1021" s="227">
        <f>G1034</f>
        <v>137.34</v>
      </c>
      <c r="G1021" s="227" t="s">
        <v>971</v>
      </c>
    </row>
    <row r="1022" spans="2:12" hidden="1" x14ac:dyDescent="0.3"/>
    <row r="1023" spans="2:12" hidden="1" x14ac:dyDescent="0.3">
      <c r="B1023" s="82" t="s">
        <v>991</v>
      </c>
      <c r="C1023" s="83" t="s">
        <v>986</v>
      </c>
      <c r="D1023" s="83" t="s">
        <v>1112</v>
      </c>
      <c r="E1023" s="83" t="s">
        <v>988</v>
      </c>
      <c r="F1023" s="83" t="s">
        <v>1113</v>
      </c>
      <c r="G1023" s="82" t="s">
        <v>988</v>
      </c>
    </row>
    <row r="1024" spans="2:12" hidden="1" x14ac:dyDescent="0.3">
      <c r="B1024" s="73">
        <v>1</v>
      </c>
      <c r="C1024" s="79" t="str">
        <f>'МЕДИЧНІ М'!B231</f>
        <v>Тест-система для визначення пролактину</v>
      </c>
      <c r="D1024" s="75" t="s">
        <v>941</v>
      </c>
      <c r="E1024" s="75">
        <f>'МЕДИЧНІ М'!F231</f>
        <v>130</v>
      </c>
      <c r="F1024" s="86">
        <v>1</v>
      </c>
      <c r="G1024" s="88">
        <f>ROUND(E1024/F1024,2)</f>
        <v>130</v>
      </c>
      <c r="L1024" s="560"/>
    </row>
    <row r="1025" spans="2:18" hidden="1" x14ac:dyDescent="0.3">
      <c r="B1025" s="73">
        <f>1+B1024</f>
        <v>2</v>
      </c>
      <c r="C1025" s="79" t="str">
        <f t="shared" ref="C1025:F1033" si="30">C969</f>
        <v>Наконечник для лабораторних дозаторів</v>
      </c>
      <c r="D1025" s="559" t="str">
        <f t="shared" si="30"/>
        <v>шт</v>
      </c>
      <c r="E1025" s="559">
        <f t="shared" si="30"/>
        <v>115</v>
      </c>
      <c r="F1025" s="559">
        <f t="shared" si="30"/>
        <v>1000</v>
      </c>
      <c r="G1025" s="88">
        <f>ROUND(E1025/F1025,2)</f>
        <v>0.12</v>
      </c>
    </row>
    <row r="1026" spans="2:18" hidden="1" x14ac:dyDescent="0.3">
      <c r="B1026" s="73">
        <f t="shared" ref="B1026:B1033" si="31">1+B1025</f>
        <v>3</v>
      </c>
      <c r="C1026" s="79" t="str">
        <f t="shared" si="30"/>
        <v>Вата</v>
      </c>
      <c r="D1026" s="559" t="str">
        <f t="shared" si="30"/>
        <v>шт</v>
      </c>
      <c r="E1026" s="559">
        <f t="shared" si="30"/>
        <v>6.72</v>
      </c>
      <c r="F1026" s="559">
        <f t="shared" si="30"/>
        <v>100</v>
      </c>
      <c r="G1026" s="78">
        <f>ROUND(E1026/F1026,2)</f>
        <v>7.0000000000000007E-2</v>
      </c>
    </row>
    <row r="1027" spans="2:18" hidden="1" x14ac:dyDescent="0.3">
      <c r="B1027" s="73">
        <f t="shared" si="31"/>
        <v>4</v>
      </c>
      <c r="C1027" s="79" t="str">
        <f t="shared" si="30"/>
        <v>Деззасоби</v>
      </c>
      <c r="D1027" s="559" t="str">
        <f t="shared" si="30"/>
        <v>мл</v>
      </c>
      <c r="E1027" s="559">
        <f t="shared" si="30"/>
        <v>0.5</v>
      </c>
      <c r="F1027" s="559">
        <f t="shared" si="30"/>
        <v>0.5</v>
      </c>
      <c r="G1027" s="78">
        <f>ROUND(E1027/F1027,2)</f>
        <v>1</v>
      </c>
    </row>
    <row r="1028" spans="2:18" hidden="1" x14ac:dyDescent="0.3">
      <c r="B1028" s="73">
        <f t="shared" si="31"/>
        <v>5</v>
      </c>
      <c r="C1028" s="79" t="str">
        <f t="shared" si="30"/>
        <v>Маска на резинці, стерильна.</v>
      </c>
      <c r="D1028" s="559" t="str">
        <f t="shared" si="30"/>
        <v>шт</v>
      </c>
      <c r="E1028" s="559">
        <f t="shared" si="30"/>
        <v>2</v>
      </c>
      <c r="F1028" s="559">
        <f t="shared" si="30"/>
        <v>0.5</v>
      </c>
      <c r="G1028" s="81">
        <f>ROUND(E1028*F1028,2)</f>
        <v>1</v>
      </c>
    </row>
    <row r="1029" spans="2:18" hidden="1" x14ac:dyDescent="0.3">
      <c r="B1029" s="73">
        <f t="shared" si="31"/>
        <v>6</v>
      </c>
      <c r="C1029" s="79" t="str">
        <f t="shared" si="30"/>
        <v>Мікрасепт</v>
      </c>
      <c r="D1029" s="559" t="str">
        <f t="shared" si="30"/>
        <v>мл</v>
      </c>
      <c r="E1029" s="559">
        <f t="shared" si="30"/>
        <v>0.3</v>
      </c>
      <c r="F1029" s="559">
        <f t="shared" si="30"/>
        <v>2</v>
      </c>
      <c r="G1029" s="88">
        <f>ROUND(E1029*F1029,2)</f>
        <v>0.6</v>
      </c>
    </row>
    <row r="1030" spans="2:18" hidden="1" x14ac:dyDescent="0.3">
      <c r="B1030" s="73">
        <f t="shared" si="31"/>
        <v>7</v>
      </c>
      <c r="C1030" s="79" t="str">
        <f t="shared" si="30"/>
        <v>Пробірка</v>
      </c>
      <c r="D1030" s="559" t="str">
        <f t="shared" si="30"/>
        <v>шт</v>
      </c>
      <c r="E1030" s="559">
        <f t="shared" si="30"/>
        <v>0.6</v>
      </c>
      <c r="F1030" s="559">
        <f t="shared" si="30"/>
        <v>1</v>
      </c>
      <c r="G1030" s="88">
        <f>ROUND(E1030/F1030,2)</f>
        <v>0.6</v>
      </c>
    </row>
    <row r="1031" spans="2:18" hidden="1" x14ac:dyDescent="0.3">
      <c r="B1031" s="73">
        <f t="shared" si="31"/>
        <v>8</v>
      </c>
      <c r="C1031" s="79" t="str">
        <f t="shared" si="30"/>
        <v>Рукавиці н/с</v>
      </c>
      <c r="D1031" s="559" t="str">
        <f t="shared" si="30"/>
        <v>шт</v>
      </c>
      <c r="E1031" s="559">
        <f t="shared" si="30"/>
        <v>2.8</v>
      </c>
      <c r="F1031" s="559">
        <f t="shared" si="30"/>
        <v>1</v>
      </c>
      <c r="G1031" s="88">
        <f>ROUND(E1031/F1031,2)</f>
        <v>2.8</v>
      </c>
    </row>
    <row r="1032" spans="2:18" hidden="1" x14ac:dyDescent="0.3">
      <c r="B1032" s="73">
        <f t="shared" si="31"/>
        <v>9</v>
      </c>
      <c r="C1032" s="79" t="str">
        <f t="shared" si="30"/>
        <v xml:space="preserve">Спирт 70% 100мл </v>
      </c>
      <c r="D1032" s="559" t="str">
        <f t="shared" si="30"/>
        <v>фл</v>
      </c>
      <c r="E1032" s="559">
        <f t="shared" si="30"/>
        <v>24.6</v>
      </c>
      <c r="F1032" s="559">
        <f t="shared" si="30"/>
        <v>100</v>
      </c>
      <c r="G1032" s="81">
        <f>ROUND(E1032/F1032,2)</f>
        <v>0.25</v>
      </c>
    </row>
    <row r="1033" spans="2:18" hidden="1" x14ac:dyDescent="0.3">
      <c r="B1033" s="73">
        <f t="shared" si="31"/>
        <v>10</v>
      </c>
      <c r="C1033" s="79" t="str">
        <f t="shared" si="30"/>
        <v>Шприц 5 мл</v>
      </c>
      <c r="D1033" s="559" t="str">
        <f t="shared" si="30"/>
        <v>шт</v>
      </c>
      <c r="E1033" s="559">
        <f t="shared" si="30"/>
        <v>0.9</v>
      </c>
      <c r="F1033" s="559">
        <f t="shared" si="30"/>
        <v>1</v>
      </c>
      <c r="G1033" s="81">
        <f>ROUND(E1033*F1033,2)</f>
        <v>0.9</v>
      </c>
    </row>
    <row r="1034" spans="2:18" hidden="1" x14ac:dyDescent="0.3">
      <c r="B1034" s="1012" t="s">
        <v>945</v>
      </c>
      <c r="C1034" s="1013"/>
      <c r="D1034" s="1013"/>
      <c r="E1034" s="1013"/>
      <c r="F1034" s="1014"/>
      <c r="G1034" s="572">
        <f>SUM(G1024:G1033)</f>
        <v>137.34</v>
      </c>
    </row>
    <row r="1035" spans="2:18" hidden="1" x14ac:dyDescent="0.3"/>
    <row r="1036" spans="2:18" hidden="1" x14ac:dyDescent="0.3">
      <c r="C1036" s="12" t="s">
        <v>968</v>
      </c>
      <c r="D1036" s="227"/>
      <c r="E1036" s="227"/>
      <c r="F1036" s="298">
        <f>H1039</f>
        <v>0.6</v>
      </c>
      <c r="G1036" s="227" t="s">
        <v>971</v>
      </c>
    </row>
    <row r="1037" spans="2:18" hidden="1" x14ac:dyDescent="0.3">
      <c r="C1037" s="22"/>
      <c r="D1037" s="36"/>
      <c r="E1037" s="36"/>
      <c r="F1037" s="302"/>
      <c r="G1037" s="36"/>
    </row>
    <row r="1038" spans="2:18" ht="27.6" hidden="1" x14ac:dyDescent="0.3">
      <c r="C1038" s="14" t="s">
        <v>513</v>
      </c>
      <c r="D1038" s="14" t="s">
        <v>1114</v>
      </c>
      <c r="E1038" s="14" t="s">
        <v>516</v>
      </c>
      <c r="F1038" s="14" t="s">
        <v>970</v>
      </c>
      <c r="G1038" s="14" t="s">
        <v>930</v>
      </c>
      <c r="H1038" s="14" t="s">
        <v>961</v>
      </c>
    </row>
    <row r="1039" spans="2:18" s="516" customFormat="1" hidden="1" x14ac:dyDescent="0.3">
      <c r="B1039" s="554"/>
      <c r="C1039" s="552" t="str">
        <f>C983</f>
        <v>LS-1100 Аналізатор імунофлуоресцентний</v>
      </c>
      <c r="D1039" s="574">
        <f>D983</f>
        <v>6500</v>
      </c>
      <c r="E1039" s="531">
        <v>6500</v>
      </c>
      <c r="F1039" s="531">
        <f>ROUND((D1039/E1039)/60,2)</f>
        <v>0.02</v>
      </c>
      <c r="G1039" s="531">
        <f>E1017+E1016</f>
        <v>30</v>
      </c>
      <c r="H1039" s="573">
        <f>ROUND(F1039*G1039,2)</f>
        <v>0.6</v>
      </c>
      <c r="I1039" s="555"/>
      <c r="J1039" s="554"/>
      <c r="K1039" s="556"/>
      <c r="L1039" s="557"/>
      <c r="M1039" s="557"/>
      <c r="N1039" s="558"/>
      <c r="O1039" s="558"/>
      <c r="P1039" s="558"/>
      <c r="Q1039" s="558"/>
      <c r="R1039" s="558"/>
    </row>
    <row r="1040" spans="2:18" hidden="1" x14ac:dyDescent="0.3"/>
    <row r="1041" spans="3:8" hidden="1" x14ac:dyDescent="0.3">
      <c r="C1041" s="12" t="s">
        <v>948</v>
      </c>
      <c r="D1041" s="227"/>
      <c r="E1041" s="227"/>
      <c r="F1041" s="298">
        <f>H1054</f>
        <v>3.9000000000000004</v>
      </c>
      <c r="G1041" s="227" t="s">
        <v>971</v>
      </c>
    </row>
    <row r="1042" spans="3:8" hidden="1" x14ac:dyDescent="0.3">
      <c r="C1042" s="22"/>
      <c r="D1042" s="36"/>
      <c r="E1042" s="36"/>
      <c r="F1042" s="302"/>
    </row>
    <row r="1043" spans="3:8" ht="27.6" hidden="1" x14ac:dyDescent="0.3">
      <c r="C1043" s="14" t="s">
        <v>948</v>
      </c>
      <c r="D1043" s="14" t="s">
        <v>1110</v>
      </c>
      <c r="E1043" s="14" t="s">
        <v>516</v>
      </c>
      <c r="F1043" s="14" t="s">
        <v>954</v>
      </c>
      <c r="G1043" s="14" t="s">
        <v>930</v>
      </c>
      <c r="H1043" s="14" t="s">
        <v>1111</v>
      </c>
    </row>
    <row r="1044" spans="3:8" hidden="1" x14ac:dyDescent="0.3">
      <c r="C1044" s="1009" t="str">
        <f>C1012</f>
        <v>Лікар-лаборант</v>
      </c>
      <c r="D1044" s="1010"/>
      <c r="E1044" s="1010"/>
      <c r="F1044" s="1010"/>
      <c r="G1044" s="1010"/>
      <c r="H1044" s="1011"/>
    </row>
    <row r="1045" spans="3:8" hidden="1" x14ac:dyDescent="0.3">
      <c r="C1045" s="17" t="s">
        <v>951</v>
      </c>
      <c r="D1045" s="221">
        <f>D989</f>
        <v>12188.608008565312</v>
      </c>
      <c r="E1045" s="73">
        <f>I1012</f>
        <v>1807.2</v>
      </c>
      <c r="F1045" s="73">
        <f>ROUND((D1045/E1045)/60,2)</f>
        <v>0.11</v>
      </c>
      <c r="G1045" s="73">
        <f>E1016</f>
        <v>20</v>
      </c>
      <c r="H1045" s="78">
        <f>ROUND(F1045*G1045,2)</f>
        <v>2.2000000000000002</v>
      </c>
    </row>
    <row r="1046" spans="3:8" hidden="1" x14ac:dyDescent="0.3">
      <c r="C1046" s="17" t="s">
        <v>952</v>
      </c>
      <c r="D1046" s="221">
        <f>D990</f>
        <v>53.149721627408987</v>
      </c>
      <c r="E1046" s="73">
        <f>I1012</f>
        <v>1807.2</v>
      </c>
      <c r="F1046" s="73">
        <f>ROUND((D1046/E1046)/60,2)</f>
        <v>0</v>
      </c>
      <c r="G1046" s="73">
        <f>E1016</f>
        <v>20</v>
      </c>
      <c r="H1046" s="78">
        <f>ROUND(F1046*G1046,2)</f>
        <v>0</v>
      </c>
    </row>
    <row r="1047" spans="3:8" hidden="1" x14ac:dyDescent="0.3">
      <c r="C1047" s="17" t="s">
        <v>953</v>
      </c>
      <c r="D1047" s="221">
        <f>D991</f>
        <v>374.98368308351178</v>
      </c>
      <c r="E1047" s="73">
        <f>I1012</f>
        <v>1807.2</v>
      </c>
      <c r="F1047" s="73">
        <f>ROUND((D1047/E1047)/60,2)</f>
        <v>0</v>
      </c>
      <c r="G1047" s="73">
        <f>E1016</f>
        <v>20</v>
      </c>
      <c r="H1047" s="78">
        <f>ROUND(F1047*G1047,2)</f>
        <v>0</v>
      </c>
    </row>
    <row r="1048" spans="3:8" hidden="1" x14ac:dyDescent="0.3">
      <c r="C1048" s="17" t="s">
        <v>1109</v>
      </c>
      <c r="D1048" s="221">
        <f>D992</f>
        <v>1686.0389293361886</v>
      </c>
      <c r="E1048" s="73">
        <f>I1012</f>
        <v>1807.2</v>
      </c>
      <c r="F1048" s="73">
        <f>ROUND((D1048/E1048)/60,2)</f>
        <v>0.02</v>
      </c>
      <c r="G1048" s="73">
        <f>E1016</f>
        <v>20</v>
      </c>
      <c r="H1048" s="78">
        <f>ROUND(F1048*G1048,2)</f>
        <v>0.4</v>
      </c>
    </row>
    <row r="1049" spans="3:8" hidden="1" x14ac:dyDescent="0.3">
      <c r="C1049" s="1009" t="str">
        <f>C1013</f>
        <v>Лаборант клінічної лабораторії</v>
      </c>
      <c r="D1049" s="1010"/>
      <c r="E1049" s="1010"/>
      <c r="F1049" s="1010"/>
      <c r="G1049" s="1010"/>
      <c r="H1049" s="1011"/>
    </row>
    <row r="1050" spans="3:8" hidden="1" x14ac:dyDescent="0.3">
      <c r="C1050" s="17" t="s">
        <v>951</v>
      </c>
      <c r="D1050" s="221">
        <f>D1045</f>
        <v>12188.608008565312</v>
      </c>
      <c r="E1050" s="73">
        <f>I1013</f>
        <v>1807.2</v>
      </c>
      <c r="F1050" s="73">
        <f>ROUND((D1050/E1050)/60,2)</f>
        <v>0.11</v>
      </c>
      <c r="G1050" s="73">
        <f>E1017</f>
        <v>10</v>
      </c>
      <c r="H1050" s="78">
        <f>ROUND(F1050*G1050,2)</f>
        <v>1.1000000000000001</v>
      </c>
    </row>
    <row r="1051" spans="3:8" hidden="1" x14ac:dyDescent="0.3">
      <c r="C1051" s="17" t="s">
        <v>952</v>
      </c>
      <c r="D1051" s="221">
        <f>D1046</f>
        <v>53.149721627408987</v>
      </c>
      <c r="E1051" s="73">
        <f>I1013</f>
        <v>1807.2</v>
      </c>
      <c r="F1051" s="73">
        <f>ROUND((D1051/E1051)/60,2)</f>
        <v>0</v>
      </c>
      <c r="G1051" s="73">
        <f>E1017</f>
        <v>10</v>
      </c>
      <c r="H1051" s="78">
        <f>ROUND(F1051*G1051,2)</f>
        <v>0</v>
      </c>
    </row>
    <row r="1052" spans="3:8" hidden="1" x14ac:dyDescent="0.3">
      <c r="C1052" s="17" t="s">
        <v>953</v>
      </c>
      <c r="D1052" s="221">
        <f>D1047</f>
        <v>374.98368308351178</v>
      </c>
      <c r="E1052" s="73">
        <f>I1013</f>
        <v>1807.2</v>
      </c>
      <c r="F1052" s="73">
        <f>ROUND((D1052/E1052)/60,2)</f>
        <v>0</v>
      </c>
      <c r="G1052" s="73">
        <f>E1017</f>
        <v>10</v>
      </c>
      <c r="H1052" s="78">
        <f>ROUND(F1052*G1052,2)</f>
        <v>0</v>
      </c>
    </row>
    <row r="1053" spans="3:8" hidden="1" x14ac:dyDescent="0.3">
      <c r="C1053" s="17" t="s">
        <v>1109</v>
      </c>
      <c r="D1053" s="221">
        <f>D1048</f>
        <v>1686.0389293361886</v>
      </c>
      <c r="E1053" s="73">
        <f>I1013</f>
        <v>1807.2</v>
      </c>
      <c r="F1053" s="73">
        <f>ROUND((D1053/E1053)/60,2)</f>
        <v>0.02</v>
      </c>
      <c r="G1053" s="73">
        <f>E1017</f>
        <v>10</v>
      </c>
      <c r="H1053" s="78">
        <f>ROUND(F1053*G1053,2)</f>
        <v>0.2</v>
      </c>
    </row>
    <row r="1054" spans="3:8" hidden="1" x14ac:dyDescent="0.3">
      <c r="C1054" s="1012" t="s">
        <v>957</v>
      </c>
      <c r="D1054" s="1013"/>
      <c r="E1054" s="1013"/>
      <c r="F1054" s="1013"/>
      <c r="G1054" s="1014"/>
      <c r="H1054" s="299">
        <f>SUM(H1045:H1053)</f>
        <v>3.9000000000000004</v>
      </c>
    </row>
    <row r="1055" spans="3:8" hidden="1" x14ac:dyDescent="0.3"/>
    <row r="1056" spans="3:8" hidden="1" x14ac:dyDescent="0.3">
      <c r="C1056" s="1015" t="s">
        <v>959</v>
      </c>
      <c r="D1056" s="1015"/>
      <c r="E1056" s="1015"/>
      <c r="F1056" s="1015"/>
      <c r="G1056" s="1015"/>
      <c r="H1056" s="334">
        <f>F1009+F1021+F1041+F1036</f>
        <v>185.39</v>
      </c>
    </row>
    <row r="1057" spans="2:11" hidden="1" x14ac:dyDescent="0.3">
      <c r="C1057" s="33"/>
      <c r="D1057" s="33"/>
      <c r="E1057" s="33"/>
      <c r="F1057" s="33"/>
      <c r="G1057" s="33"/>
      <c r="H1057" s="335"/>
    </row>
    <row r="1058" spans="2:11" hidden="1" x14ac:dyDescent="0.3">
      <c r="C1058" s="1015" t="s">
        <v>960</v>
      </c>
      <c r="D1058" s="1015"/>
      <c r="E1058" s="1015"/>
      <c r="F1058" s="1015"/>
      <c r="G1058" s="1015"/>
      <c r="H1058" s="334">
        <f>ROUND(H1056,0)</f>
        <v>185</v>
      </c>
    </row>
    <row r="1059" spans="2:11" hidden="1" x14ac:dyDescent="0.3"/>
    <row r="1060" spans="2:11" hidden="1" x14ac:dyDescent="0.3"/>
    <row r="1061" spans="2:11" ht="18.600000000000001" hidden="1" x14ac:dyDescent="0.3">
      <c r="B1061" s="1016" t="s">
        <v>958</v>
      </c>
      <c r="C1061" s="1016"/>
      <c r="D1061" s="1016"/>
      <c r="E1061" s="1016"/>
      <c r="F1061" s="1016"/>
      <c r="G1061" s="1016"/>
      <c r="H1061" s="1016"/>
      <c r="I1061" s="1016"/>
      <c r="J1061" s="1016"/>
    </row>
    <row r="1062" spans="2:11" ht="19.2" hidden="1" x14ac:dyDescent="0.35">
      <c r="B1062" s="53"/>
      <c r="C1062" s="53"/>
      <c r="D1062" s="225"/>
      <c r="E1062" s="225"/>
      <c r="F1062" s="225"/>
      <c r="G1062" s="225"/>
      <c r="H1062" s="225"/>
      <c r="I1062" s="53"/>
      <c r="J1062" s="53"/>
    </row>
    <row r="1063" spans="2:11" ht="19.2" hidden="1" x14ac:dyDescent="0.35">
      <c r="B1063" s="50" t="s">
        <v>334</v>
      </c>
      <c r="C1063" s="1017" t="str">
        <f>M27</f>
        <v>АМГ (антимюллерів гормон ) (кількісні результати)</v>
      </c>
      <c r="D1063" s="1017"/>
      <c r="E1063" s="1017"/>
      <c r="F1063" s="296">
        <f>H1114</f>
        <v>290</v>
      </c>
      <c r="G1063" s="296" t="s">
        <v>971</v>
      </c>
      <c r="H1063" s="225"/>
      <c r="I1063" s="53"/>
      <c r="J1063" s="53"/>
      <c r="K1063" s="561">
        <f>F1063-G1080</f>
        <v>55</v>
      </c>
    </row>
    <row r="1064" spans="2:11" hidden="1" x14ac:dyDescent="0.3"/>
    <row r="1065" spans="2:11" hidden="1" x14ac:dyDescent="0.3">
      <c r="C1065" s="1018" t="s">
        <v>932</v>
      </c>
      <c r="D1065" s="1018"/>
      <c r="E1065" s="297"/>
      <c r="F1065" s="298">
        <f>F1072+F1075+F1073</f>
        <v>43.55</v>
      </c>
      <c r="G1065" s="227" t="s">
        <v>971</v>
      </c>
    </row>
    <row r="1066" spans="2:11" hidden="1" x14ac:dyDescent="0.3"/>
    <row r="1067" spans="2:11" ht="27.6" hidden="1" x14ac:dyDescent="0.3">
      <c r="C1067" s="13" t="s">
        <v>929</v>
      </c>
      <c r="D1067" s="14" t="s">
        <v>928</v>
      </c>
      <c r="E1067" s="14" t="s">
        <v>514</v>
      </c>
      <c r="F1067" s="14" t="s">
        <v>515</v>
      </c>
      <c r="G1067" s="14" t="s">
        <v>962</v>
      </c>
      <c r="H1067" s="14" t="s">
        <v>926</v>
      </c>
      <c r="I1067" s="14" t="s">
        <v>516</v>
      </c>
      <c r="J1067" s="14" t="s">
        <v>961</v>
      </c>
    </row>
    <row r="1068" spans="2:11" hidden="1" x14ac:dyDescent="0.3">
      <c r="C1068" s="17" t="str">
        <f>C1012</f>
        <v>Лікар-лаборант</v>
      </c>
      <c r="D1068" s="73">
        <f>D1012</f>
        <v>10799.43</v>
      </c>
      <c r="E1068" s="78">
        <f>D1068*12</f>
        <v>129593.16</v>
      </c>
      <c r="F1068" s="73">
        <f>F1012</f>
        <v>8307.26</v>
      </c>
      <c r="G1068" s="73">
        <f>G1012</f>
        <v>4153.63</v>
      </c>
      <c r="H1068" s="78">
        <f>E1068+F1068+G1068</f>
        <v>142054.05000000002</v>
      </c>
      <c r="I1068" s="17">
        <v>1807.2</v>
      </c>
      <c r="J1068" s="16">
        <f>ROUND((H1068/I1068)/60,2)</f>
        <v>1.31</v>
      </c>
    </row>
    <row r="1069" spans="2:11" hidden="1" x14ac:dyDescent="0.3">
      <c r="C1069" s="17" t="str">
        <f>C1013</f>
        <v>Лаборант клінічної лабораторії</v>
      </c>
      <c r="D1069" s="73">
        <f>D1013</f>
        <v>7871.18</v>
      </c>
      <c r="E1069" s="78">
        <f>D1069*12</f>
        <v>94454.16</v>
      </c>
      <c r="F1069" s="73">
        <f>F1013</f>
        <v>6054.75</v>
      </c>
      <c r="G1069" s="73">
        <f>G1013</f>
        <v>3027.375</v>
      </c>
      <c r="H1069" s="78">
        <f>E1069+F1069+G1069</f>
        <v>103536.285</v>
      </c>
      <c r="I1069" s="17">
        <v>1807.2</v>
      </c>
      <c r="J1069" s="16">
        <f>ROUND((H1069/I1069)/60,2)</f>
        <v>0.95</v>
      </c>
    </row>
    <row r="1070" spans="2:11" hidden="1" x14ac:dyDescent="0.3"/>
    <row r="1071" spans="2:11" hidden="1" x14ac:dyDescent="0.3">
      <c r="C1071" s="13" t="s">
        <v>929</v>
      </c>
      <c r="D1071" s="14" t="s">
        <v>961</v>
      </c>
      <c r="E1071" s="14" t="s">
        <v>930</v>
      </c>
      <c r="F1071" s="14" t="s">
        <v>931</v>
      </c>
    </row>
    <row r="1072" spans="2:11" hidden="1" x14ac:dyDescent="0.3">
      <c r="C1072" s="15" t="str">
        <f>C1068</f>
        <v>Лікар-лаборант</v>
      </c>
      <c r="D1072" s="78">
        <f>J1068</f>
        <v>1.31</v>
      </c>
      <c r="E1072" s="73">
        <f>10+10</f>
        <v>20</v>
      </c>
      <c r="F1072" s="299">
        <f>ROUND(D1072*E1072,2)</f>
        <v>26.2</v>
      </c>
    </row>
    <row r="1073" spans="2:12" hidden="1" x14ac:dyDescent="0.3">
      <c r="C1073" s="15" t="str">
        <f>C1069</f>
        <v>Лаборант клінічної лабораторії</v>
      </c>
      <c r="D1073" s="78">
        <f>J1069</f>
        <v>0.95</v>
      </c>
      <c r="E1073" s="73">
        <f>5+5</f>
        <v>10</v>
      </c>
      <c r="F1073" s="299">
        <f>ROUND(D1073*E1073,2)</f>
        <v>9.5</v>
      </c>
    </row>
    <row r="1074" spans="2:12" hidden="1" x14ac:dyDescent="0.3">
      <c r="D1074" s="19"/>
      <c r="E1074" s="74" t="s">
        <v>1016</v>
      </c>
    </row>
    <row r="1075" spans="2:12" hidden="1" x14ac:dyDescent="0.3">
      <c r="C1075" s="17" t="s">
        <v>933</v>
      </c>
      <c r="D1075" s="78">
        <f>F1072+F1073</f>
        <v>35.700000000000003</v>
      </c>
      <c r="E1075" s="300">
        <v>0.22</v>
      </c>
      <c r="F1075" s="301">
        <f>ROUND(D1075*E1075,2)</f>
        <v>7.85</v>
      </c>
    </row>
    <row r="1076" spans="2:12" hidden="1" x14ac:dyDescent="0.3"/>
    <row r="1077" spans="2:12" hidden="1" x14ac:dyDescent="0.3">
      <c r="C1077" s="12" t="s">
        <v>946</v>
      </c>
      <c r="D1077" s="227"/>
      <c r="E1077" s="227"/>
      <c r="F1077" s="227">
        <f>G1090</f>
        <v>242.34</v>
      </c>
      <c r="G1077" s="227" t="s">
        <v>971</v>
      </c>
    </row>
    <row r="1078" spans="2:12" hidden="1" x14ac:dyDescent="0.3"/>
    <row r="1079" spans="2:12" hidden="1" x14ac:dyDescent="0.3">
      <c r="B1079" s="82" t="s">
        <v>991</v>
      </c>
      <c r="C1079" s="83" t="s">
        <v>986</v>
      </c>
      <c r="D1079" s="83" t="s">
        <v>1112</v>
      </c>
      <c r="E1079" s="83" t="s">
        <v>988</v>
      </c>
      <c r="F1079" s="83" t="s">
        <v>1113</v>
      </c>
      <c r="G1079" s="82" t="s">
        <v>988</v>
      </c>
    </row>
    <row r="1080" spans="2:12" hidden="1" x14ac:dyDescent="0.3">
      <c r="B1080" s="73">
        <v>1</v>
      </c>
      <c r="C1080" s="79" t="str">
        <f>'МЕДИЧНІ М'!B232</f>
        <v>Тест-система для визначення АМГ</v>
      </c>
      <c r="D1080" s="75" t="s">
        <v>941</v>
      </c>
      <c r="E1080" s="75">
        <f>'МЕДИЧНІ М'!F232</f>
        <v>235</v>
      </c>
      <c r="F1080" s="86">
        <v>1</v>
      </c>
      <c r="G1080" s="88">
        <f>ROUND(E1080/F1080,2)</f>
        <v>235</v>
      </c>
      <c r="L1080" s="560"/>
    </row>
    <row r="1081" spans="2:12" hidden="1" x14ac:dyDescent="0.3">
      <c r="B1081" s="73">
        <f>1+B1080</f>
        <v>2</v>
      </c>
      <c r="C1081" s="79" t="str">
        <f t="shared" ref="C1081:F1089" si="32">C1025</f>
        <v>Наконечник для лабораторних дозаторів</v>
      </c>
      <c r="D1081" s="559" t="str">
        <f t="shared" si="32"/>
        <v>шт</v>
      </c>
      <c r="E1081" s="559">
        <f t="shared" si="32"/>
        <v>115</v>
      </c>
      <c r="F1081" s="559">
        <f t="shared" si="32"/>
        <v>1000</v>
      </c>
      <c r="G1081" s="88">
        <f>ROUND(E1081/F1081,2)</f>
        <v>0.12</v>
      </c>
    </row>
    <row r="1082" spans="2:12" hidden="1" x14ac:dyDescent="0.3">
      <c r="B1082" s="73">
        <f t="shared" ref="B1082:B1089" si="33">1+B1081</f>
        <v>3</v>
      </c>
      <c r="C1082" s="79" t="str">
        <f t="shared" si="32"/>
        <v>Вата</v>
      </c>
      <c r="D1082" s="559" t="str">
        <f t="shared" si="32"/>
        <v>шт</v>
      </c>
      <c r="E1082" s="559">
        <f t="shared" si="32"/>
        <v>6.72</v>
      </c>
      <c r="F1082" s="559">
        <f t="shared" si="32"/>
        <v>100</v>
      </c>
      <c r="G1082" s="78">
        <f>ROUND(E1082/F1082,2)</f>
        <v>7.0000000000000007E-2</v>
      </c>
    </row>
    <row r="1083" spans="2:12" hidden="1" x14ac:dyDescent="0.3">
      <c r="B1083" s="73">
        <f t="shared" si="33"/>
        <v>4</v>
      </c>
      <c r="C1083" s="79" t="str">
        <f t="shared" si="32"/>
        <v>Деззасоби</v>
      </c>
      <c r="D1083" s="559" t="str">
        <f t="shared" si="32"/>
        <v>мл</v>
      </c>
      <c r="E1083" s="559">
        <f t="shared" si="32"/>
        <v>0.5</v>
      </c>
      <c r="F1083" s="559">
        <f t="shared" si="32"/>
        <v>0.5</v>
      </c>
      <c r="G1083" s="78">
        <f>ROUND(E1083/F1083,2)</f>
        <v>1</v>
      </c>
    </row>
    <row r="1084" spans="2:12" hidden="1" x14ac:dyDescent="0.3">
      <c r="B1084" s="73">
        <f t="shared" si="33"/>
        <v>5</v>
      </c>
      <c r="C1084" s="79" t="str">
        <f t="shared" si="32"/>
        <v>Маска на резинці, стерильна.</v>
      </c>
      <c r="D1084" s="559" t="str">
        <f t="shared" si="32"/>
        <v>шт</v>
      </c>
      <c r="E1084" s="559">
        <f t="shared" si="32"/>
        <v>2</v>
      </c>
      <c r="F1084" s="559">
        <f t="shared" si="32"/>
        <v>0.5</v>
      </c>
      <c r="G1084" s="81">
        <f>ROUND(E1084*F1084,2)</f>
        <v>1</v>
      </c>
    </row>
    <row r="1085" spans="2:12" hidden="1" x14ac:dyDescent="0.3">
      <c r="B1085" s="73">
        <f t="shared" si="33"/>
        <v>6</v>
      </c>
      <c r="C1085" s="79" t="str">
        <f t="shared" si="32"/>
        <v>Мікрасепт</v>
      </c>
      <c r="D1085" s="559" t="str">
        <f t="shared" si="32"/>
        <v>мл</v>
      </c>
      <c r="E1085" s="559">
        <f t="shared" si="32"/>
        <v>0.3</v>
      </c>
      <c r="F1085" s="559">
        <f t="shared" si="32"/>
        <v>2</v>
      </c>
      <c r="G1085" s="88">
        <f>ROUND(E1085*F1085,2)</f>
        <v>0.6</v>
      </c>
    </row>
    <row r="1086" spans="2:12" hidden="1" x14ac:dyDescent="0.3">
      <c r="B1086" s="73">
        <f t="shared" si="33"/>
        <v>7</v>
      </c>
      <c r="C1086" s="79" t="str">
        <f t="shared" si="32"/>
        <v>Пробірка</v>
      </c>
      <c r="D1086" s="559" t="str">
        <f t="shared" si="32"/>
        <v>шт</v>
      </c>
      <c r="E1086" s="559">
        <f t="shared" si="32"/>
        <v>0.6</v>
      </c>
      <c r="F1086" s="559">
        <f t="shared" si="32"/>
        <v>1</v>
      </c>
      <c r="G1086" s="88">
        <f>ROUND(E1086/F1086,2)</f>
        <v>0.6</v>
      </c>
    </row>
    <row r="1087" spans="2:12" hidden="1" x14ac:dyDescent="0.3">
      <c r="B1087" s="73">
        <f t="shared" si="33"/>
        <v>8</v>
      </c>
      <c r="C1087" s="79" t="str">
        <f t="shared" si="32"/>
        <v>Рукавиці н/с</v>
      </c>
      <c r="D1087" s="559" t="str">
        <f t="shared" si="32"/>
        <v>шт</v>
      </c>
      <c r="E1087" s="559">
        <f t="shared" si="32"/>
        <v>2.8</v>
      </c>
      <c r="F1087" s="559">
        <f t="shared" si="32"/>
        <v>1</v>
      </c>
      <c r="G1087" s="88">
        <f>ROUND(E1087/F1087,2)</f>
        <v>2.8</v>
      </c>
    </row>
    <row r="1088" spans="2:12" hidden="1" x14ac:dyDescent="0.3">
      <c r="B1088" s="73">
        <f t="shared" si="33"/>
        <v>9</v>
      </c>
      <c r="C1088" s="79" t="str">
        <f t="shared" si="32"/>
        <v xml:space="preserve">Спирт 70% 100мл </v>
      </c>
      <c r="D1088" s="559" t="str">
        <f t="shared" si="32"/>
        <v>фл</v>
      </c>
      <c r="E1088" s="559">
        <f t="shared" si="32"/>
        <v>24.6</v>
      </c>
      <c r="F1088" s="559">
        <f t="shared" si="32"/>
        <v>100</v>
      </c>
      <c r="G1088" s="81">
        <f>ROUND(E1088/F1088,2)</f>
        <v>0.25</v>
      </c>
    </row>
    <row r="1089" spans="2:18" hidden="1" x14ac:dyDescent="0.3">
      <c r="B1089" s="73">
        <f t="shared" si="33"/>
        <v>10</v>
      </c>
      <c r="C1089" s="79" t="str">
        <f t="shared" si="32"/>
        <v>Шприц 5 мл</v>
      </c>
      <c r="D1089" s="559" t="str">
        <f t="shared" si="32"/>
        <v>шт</v>
      </c>
      <c r="E1089" s="559">
        <f t="shared" si="32"/>
        <v>0.9</v>
      </c>
      <c r="F1089" s="559">
        <f t="shared" si="32"/>
        <v>1</v>
      </c>
      <c r="G1089" s="81">
        <f>ROUND(E1089*F1089,2)</f>
        <v>0.9</v>
      </c>
    </row>
    <row r="1090" spans="2:18" hidden="1" x14ac:dyDescent="0.3">
      <c r="B1090" s="1012" t="s">
        <v>945</v>
      </c>
      <c r="C1090" s="1013"/>
      <c r="D1090" s="1013"/>
      <c r="E1090" s="1013"/>
      <c r="F1090" s="1014"/>
      <c r="G1090" s="572">
        <f>SUM(G1080:G1089)</f>
        <v>242.34</v>
      </c>
    </row>
    <row r="1091" spans="2:18" hidden="1" x14ac:dyDescent="0.3"/>
    <row r="1092" spans="2:18" hidden="1" x14ac:dyDescent="0.3">
      <c r="C1092" s="12" t="s">
        <v>968</v>
      </c>
      <c r="D1092" s="227"/>
      <c r="E1092" s="227"/>
      <c r="F1092" s="298">
        <f>H1095</f>
        <v>0.6</v>
      </c>
      <c r="G1092" s="227" t="s">
        <v>971</v>
      </c>
    </row>
    <row r="1093" spans="2:18" hidden="1" x14ac:dyDescent="0.3">
      <c r="C1093" s="22"/>
      <c r="D1093" s="36"/>
      <c r="E1093" s="36"/>
      <c r="F1093" s="302"/>
      <c r="G1093" s="36"/>
    </row>
    <row r="1094" spans="2:18" ht="27.6" hidden="1" x14ac:dyDescent="0.3">
      <c r="C1094" s="14" t="s">
        <v>513</v>
      </c>
      <c r="D1094" s="14" t="s">
        <v>1114</v>
      </c>
      <c r="E1094" s="14" t="s">
        <v>516</v>
      </c>
      <c r="F1094" s="14" t="s">
        <v>970</v>
      </c>
      <c r="G1094" s="14" t="s">
        <v>930</v>
      </c>
      <c r="H1094" s="14" t="s">
        <v>961</v>
      </c>
    </row>
    <row r="1095" spans="2:18" s="516" customFormat="1" hidden="1" x14ac:dyDescent="0.3">
      <c r="B1095" s="554"/>
      <c r="C1095" s="552" t="str">
        <f>C1039</f>
        <v>LS-1100 Аналізатор імунофлуоресцентний</v>
      </c>
      <c r="D1095" s="574">
        <f>D1039</f>
        <v>6500</v>
      </c>
      <c r="E1095" s="531">
        <v>6500</v>
      </c>
      <c r="F1095" s="531">
        <f>ROUND((D1095/E1095)/60,2)</f>
        <v>0.02</v>
      </c>
      <c r="G1095" s="531">
        <f>E1073+E1072</f>
        <v>30</v>
      </c>
      <c r="H1095" s="573">
        <f>ROUND(F1095*G1095,2)</f>
        <v>0.6</v>
      </c>
      <c r="I1095" s="555"/>
      <c r="J1095" s="554"/>
      <c r="K1095" s="556"/>
      <c r="L1095" s="557"/>
      <c r="M1095" s="557"/>
      <c r="N1095" s="558"/>
      <c r="O1095" s="558"/>
      <c r="P1095" s="558"/>
      <c r="Q1095" s="558"/>
      <c r="R1095" s="558"/>
    </row>
    <row r="1096" spans="2:18" hidden="1" x14ac:dyDescent="0.3"/>
    <row r="1097" spans="2:18" hidden="1" x14ac:dyDescent="0.3">
      <c r="C1097" s="12" t="s">
        <v>948</v>
      </c>
      <c r="D1097" s="227"/>
      <c r="E1097" s="227"/>
      <c r="F1097" s="298">
        <f>H1110</f>
        <v>3.9000000000000004</v>
      </c>
      <c r="G1097" s="227" t="s">
        <v>971</v>
      </c>
    </row>
    <row r="1098" spans="2:18" hidden="1" x14ac:dyDescent="0.3">
      <c r="C1098" s="22"/>
      <c r="D1098" s="36"/>
      <c r="E1098" s="36"/>
      <c r="F1098" s="302"/>
    </row>
    <row r="1099" spans="2:18" ht="27.6" hidden="1" x14ac:dyDescent="0.3">
      <c r="C1099" s="14" t="s">
        <v>948</v>
      </c>
      <c r="D1099" s="14" t="s">
        <v>1110</v>
      </c>
      <c r="E1099" s="14" t="s">
        <v>516</v>
      </c>
      <c r="F1099" s="14" t="s">
        <v>954</v>
      </c>
      <c r="G1099" s="14" t="s">
        <v>930</v>
      </c>
      <c r="H1099" s="14" t="s">
        <v>1111</v>
      </c>
    </row>
    <row r="1100" spans="2:18" hidden="1" x14ac:dyDescent="0.3">
      <c r="C1100" s="1009" t="str">
        <f>C1068</f>
        <v>Лікар-лаборант</v>
      </c>
      <c r="D1100" s="1010"/>
      <c r="E1100" s="1010"/>
      <c r="F1100" s="1010"/>
      <c r="G1100" s="1010"/>
      <c r="H1100" s="1011"/>
    </row>
    <row r="1101" spans="2:18" hidden="1" x14ac:dyDescent="0.3">
      <c r="C1101" s="17" t="s">
        <v>951</v>
      </c>
      <c r="D1101" s="221">
        <f>D1045</f>
        <v>12188.608008565312</v>
      </c>
      <c r="E1101" s="73">
        <f>I1068</f>
        <v>1807.2</v>
      </c>
      <c r="F1101" s="73">
        <f>ROUND((D1101/E1101)/60,2)</f>
        <v>0.11</v>
      </c>
      <c r="G1101" s="73">
        <f>E1072</f>
        <v>20</v>
      </c>
      <c r="H1101" s="78">
        <f>ROUND(F1101*G1101,2)</f>
        <v>2.2000000000000002</v>
      </c>
    </row>
    <row r="1102" spans="2:18" hidden="1" x14ac:dyDescent="0.3">
      <c r="C1102" s="17" t="s">
        <v>952</v>
      </c>
      <c r="D1102" s="221">
        <f>D1046</f>
        <v>53.149721627408987</v>
      </c>
      <c r="E1102" s="73">
        <f>I1068</f>
        <v>1807.2</v>
      </c>
      <c r="F1102" s="73">
        <f>ROUND((D1102/E1102)/60,2)</f>
        <v>0</v>
      </c>
      <c r="G1102" s="73">
        <f>E1072</f>
        <v>20</v>
      </c>
      <c r="H1102" s="78">
        <f>ROUND(F1102*G1102,2)</f>
        <v>0</v>
      </c>
    </row>
    <row r="1103" spans="2:18" hidden="1" x14ac:dyDescent="0.3">
      <c r="C1103" s="17" t="s">
        <v>953</v>
      </c>
      <c r="D1103" s="221">
        <f>D1047</f>
        <v>374.98368308351178</v>
      </c>
      <c r="E1103" s="73">
        <f>I1068</f>
        <v>1807.2</v>
      </c>
      <c r="F1103" s="73">
        <f>ROUND((D1103/E1103)/60,2)</f>
        <v>0</v>
      </c>
      <c r="G1103" s="73">
        <f>E1072</f>
        <v>20</v>
      </c>
      <c r="H1103" s="78">
        <f>ROUND(F1103*G1103,2)</f>
        <v>0</v>
      </c>
    </row>
    <row r="1104" spans="2:18" hidden="1" x14ac:dyDescent="0.3">
      <c r="C1104" s="17" t="s">
        <v>1109</v>
      </c>
      <c r="D1104" s="221">
        <f>D1048</f>
        <v>1686.0389293361886</v>
      </c>
      <c r="E1104" s="73">
        <f>I1068</f>
        <v>1807.2</v>
      </c>
      <c r="F1104" s="73">
        <f>ROUND((D1104/E1104)/60,2)</f>
        <v>0.02</v>
      </c>
      <c r="G1104" s="73">
        <f>E1072</f>
        <v>20</v>
      </c>
      <c r="H1104" s="78">
        <f>ROUND(F1104*G1104,2)</f>
        <v>0.4</v>
      </c>
    </row>
    <row r="1105" spans="2:11" hidden="1" x14ac:dyDescent="0.3">
      <c r="C1105" s="1009" t="str">
        <f>C1069</f>
        <v>Лаборант клінічної лабораторії</v>
      </c>
      <c r="D1105" s="1010"/>
      <c r="E1105" s="1010"/>
      <c r="F1105" s="1010"/>
      <c r="G1105" s="1010"/>
      <c r="H1105" s="1011"/>
    </row>
    <row r="1106" spans="2:11" hidden="1" x14ac:dyDescent="0.3">
      <c r="C1106" s="17" t="s">
        <v>951</v>
      </c>
      <c r="D1106" s="221">
        <f>D1101</f>
        <v>12188.608008565312</v>
      </c>
      <c r="E1106" s="73">
        <f>I1069</f>
        <v>1807.2</v>
      </c>
      <c r="F1106" s="73">
        <f>ROUND((D1106/E1106)/60,2)</f>
        <v>0.11</v>
      </c>
      <c r="G1106" s="73">
        <f>E1073</f>
        <v>10</v>
      </c>
      <c r="H1106" s="78">
        <f>ROUND(F1106*G1106,2)</f>
        <v>1.1000000000000001</v>
      </c>
    </row>
    <row r="1107" spans="2:11" hidden="1" x14ac:dyDescent="0.3">
      <c r="C1107" s="17" t="s">
        <v>952</v>
      </c>
      <c r="D1107" s="221">
        <f>D1102</f>
        <v>53.149721627408987</v>
      </c>
      <c r="E1107" s="73">
        <f>I1069</f>
        <v>1807.2</v>
      </c>
      <c r="F1107" s="73">
        <f>ROUND((D1107/E1107)/60,2)</f>
        <v>0</v>
      </c>
      <c r="G1107" s="73">
        <f>E1073</f>
        <v>10</v>
      </c>
      <c r="H1107" s="78">
        <f>ROUND(F1107*G1107,2)</f>
        <v>0</v>
      </c>
    </row>
    <row r="1108" spans="2:11" hidden="1" x14ac:dyDescent="0.3">
      <c r="C1108" s="17" t="s">
        <v>953</v>
      </c>
      <c r="D1108" s="221">
        <f>D1103</f>
        <v>374.98368308351178</v>
      </c>
      <c r="E1108" s="73">
        <f>I1069</f>
        <v>1807.2</v>
      </c>
      <c r="F1108" s="73">
        <f>ROUND((D1108/E1108)/60,2)</f>
        <v>0</v>
      </c>
      <c r="G1108" s="73">
        <f>E1073</f>
        <v>10</v>
      </c>
      <c r="H1108" s="78">
        <f>ROUND(F1108*G1108,2)</f>
        <v>0</v>
      </c>
    </row>
    <row r="1109" spans="2:11" hidden="1" x14ac:dyDescent="0.3">
      <c r="C1109" s="17" t="s">
        <v>1109</v>
      </c>
      <c r="D1109" s="221">
        <f>D1104</f>
        <v>1686.0389293361886</v>
      </c>
      <c r="E1109" s="73">
        <f>I1069</f>
        <v>1807.2</v>
      </c>
      <c r="F1109" s="73">
        <f>ROUND((D1109/E1109)/60,2)</f>
        <v>0.02</v>
      </c>
      <c r="G1109" s="73">
        <f>E1073</f>
        <v>10</v>
      </c>
      <c r="H1109" s="78">
        <f>ROUND(F1109*G1109,2)</f>
        <v>0.2</v>
      </c>
    </row>
    <row r="1110" spans="2:11" hidden="1" x14ac:dyDescent="0.3">
      <c r="C1110" s="1012" t="s">
        <v>957</v>
      </c>
      <c r="D1110" s="1013"/>
      <c r="E1110" s="1013"/>
      <c r="F1110" s="1013"/>
      <c r="G1110" s="1014"/>
      <c r="H1110" s="299">
        <f>SUM(H1101:H1109)</f>
        <v>3.9000000000000004</v>
      </c>
    </row>
    <row r="1111" spans="2:11" hidden="1" x14ac:dyDescent="0.3"/>
    <row r="1112" spans="2:11" hidden="1" x14ac:dyDescent="0.3">
      <c r="C1112" s="1015" t="s">
        <v>959</v>
      </c>
      <c r="D1112" s="1015"/>
      <c r="E1112" s="1015"/>
      <c r="F1112" s="1015"/>
      <c r="G1112" s="1015"/>
      <c r="H1112" s="334">
        <f>F1065+F1077+F1097+F1092</f>
        <v>290.39</v>
      </c>
    </row>
    <row r="1113" spans="2:11" hidden="1" x14ac:dyDescent="0.3">
      <c r="C1113" s="33"/>
      <c r="D1113" s="33"/>
      <c r="E1113" s="33"/>
      <c r="F1113" s="33"/>
      <c r="G1113" s="33"/>
      <c r="H1113" s="335"/>
    </row>
    <row r="1114" spans="2:11" hidden="1" x14ac:dyDescent="0.3">
      <c r="C1114" s="1015" t="s">
        <v>960</v>
      </c>
      <c r="D1114" s="1015"/>
      <c r="E1114" s="1015"/>
      <c r="F1114" s="1015"/>
      <c r="G1114" s="1015"/>
      <c r="H1114" s="334">
        <f>ROUND(H1112,0)</f>
        <v>290</v>
      </c>
    </row>
    <row r="1115" spans="2:11" hidden="1" x14ac:dyDescent="0.3"/>
    <row r="1116" spans="2:11" hidden="1" x14ac:dyDescent="0.3"/>
    <row r="1117" spans="2:11" ht="18.600000000000001" hidden="1" x14ac:dyDescent="0.3">
      <c r="B1117" s="1016" t="s">
        <v>958</v>
      </c>
      <c r="C1117" s="1016"/>
      <c r="D1117" s="1016"/>
      <c r="E1117" s="1016"/>
      <c r="F1117" s="1016"/>
      <c r="G1117" s="1016"/>
      <c r="H1117" s="1016"/>
      <c r="I1117" s="1016"/>
      <c r="J1117" s="1016"/>
    </row>
    <row r="1118" spans="2:11" ht="19.2" hidden="1" x14ac:dyDescent="0.35">
      <c r="B1118" s="53"/>
      <c r="C1118" s="53"/>
      <c r="D1118" s="225"/>
      <c r="E1118" s="225"/>
      <c r="F1118" s="225"/>
      <c r="G1118" s="225"/>
      <c r="H1118" s="225"/>
      <c r="I1118" s="53"/>
      <c r="J1118" s="53"/>
    </row>
    <row r="1119" spans="2:11" ht="19.2" hidden="1" x14ac:dyDescent="0.35">
      <c r="B1119" s="50" t="s">
        <v>335</v>
      </c>
      <c r="C1119" s="1017" t="str">
        <f>M28</f>
        <v>Глікований гемоглобін (HbF1c ) (кількісні результати)</v>
      </c>
      <c r="D1119" s="1017"/>
      <c r="E1119" s="1017"/>
      <c r="F1119" s="296">
        <f>H1170</f>
        <v>159</v>
      </c>
      <c r="G1119" s="296" t="s">
        <v>971</v>
      </c>
      <c r="H1119" s="225"/>
      <c r="I1119" s="53"/>
      <c r="J1119" s="53"/>
      <c r="K1119" s="561">
        <f>F1119-G1136</f>
        <v>64</v>
      </c>
    </row>
    <row r="1120" spans="2:11" hidden="1" x14ac:dyDescent="0.3"/>
    <row r="1121" spans="2:12" hidden="1" x14ac:dyDescent="0.3">
      <c r="C1121" s="1018" t="s">
        <v>932</v>
      </c>
      <c r="D1121" s="1018"/>
      <c r="E1121" s="297"/>
      <c r="F1121" s="298">
        <f>F1128+F1131+F1129</f>
        <v>51.55</v>
      </c>
      <c r="G1121" s="227" t="s">
        <v>971</v>
      </c>
    </row>
    <row r="1122" spans="2:12" hidden="1" x14ac:dyDescent="0.3"/>
    <row r="1123" spans="2:12" ht="27.6" hidden="1" x14ac:dyDescent="0.3">
      <c r="C1123" s="13" t="s">
        <v>929</v>
      </c>
      <c r="D1123" s="14" t="s">
        <v>928</v>
      </c>
      <c r="E1123" s="14" t="s">
        <v>514</v>
      </c>
      <c r="F1123" s="14" t="s">
        <v>515</v>
      </c>
      <c r="G1123" s="14" t="s">
        <v>962</v>
      </c>
      <c r="H1123" s="14" t="s">
        <v>926</v>
      </c>
      <c r="I1123" s="14" t="s">
        <v>516</v>
      </c>
      <c r="J1123" s="14" t="s">
        <v>961</v>
      </c>
    </row>
    <row r="1124" spans="2:12" hidden="1" x14ac:dyDescent="0.3">
      <c r="C1124" s="17" t="str">
        <f>C1068</f>
        <v>Лікар-лаборант</v>
      </c>
      <c r="D1124" s="73">
        <f>D1068</f>
        <v>10799.43</v>
      </c>
      <c r="E1124" s="78">
        <f>D1124*12</f>
        <v>129593.16</v>
      </c>
      <c r="F1124" s="73">
        <f>F1068</f>
        <v>8307.26</v>
      </c>
      <c r="G1124" s="73">
        <f>G1068</f>
        <v>4153.63</v>
      </c>
      <c r="H1124" s="78">
        <f>E1124+F1124+G1124</f>
        <v>142054.05000000002</v>
      </c>
      <c r="I1124" s="17">
        <v>1807.2</v>
      </c>
      <c r="J1124" s="16">
        <f>ROUND((H1124/I1124)/60,2)</f>
        <v>1.31</v>
      </c>
    </row>
    <row r="1125" spans="2:12" hidden="1" x14ac:dyDescent="0.3">
      <c r="C1125" s="17" t="str">
        <f>C1069</f>
        <v>Лаборант клінічної лабораторії</v>
      </c>
      <c r="D1125" s="73">
        <f>D1069</f>
        <v>7871.18</v>
      </c>
      <c r="E1125" s="78">
        <f>D1125*12</f>
        <v>94454.16</v>
      </c>
      <c r="F1125" s="73">
        <f>F1069</f>
        <v>6054.75</v>
      </c>
      <c r="G1125" s="73">
        <f>G1069</f>
        <v>3027.375</v>
      </c>
      <c r="H1125" s="78">
        <f>E1125+F1125+G1125</f>
        <v>103536.285</v>
      </c>
      <c r="I1125" s="17">
        <v>1807.2</v>
      </c>
      <c r="J1125" s="16">
        <f>ROUND((H1125/I1125)/60,2)</f>
        <v>0.95</v>
      </c>
    </row>
    <row r="1126" spans="2:12" hidden="1" x14ac:dyDescent="0.3"/>
    <row r="1127" spans="2:12" hidden="1" x14ac:dyDescent="0.3">
      <c r="C1127" s="13" t="s">
        <v>929</v>
      </c>
      <c r="D1127" s="14" t="s">
        <v>961</v>
      </c>
      <c r="E1127" s="14" t="s">
        <v>930</v>
      </c>
      <c r="F1127" s="14" t="s">
        <v>931</v>
      </c>
    </row>
    <row r="1128" spans="2:12" hidden="1" x14ac:dyDescent="0.3">
      <c r="C1128" s="15" t="str">
        <f>C1124</f>
        <v>Лікар-лаборант</v>
      </c>
      <c r="D1128" s="78">
        <f>J1124</f>
        <v>1.31</v>
      </c>
      <c r="E1128" s="73">
        <f>10+15</f>
        <v>25</v>
      </c>
      <c r="F1128" s="299">
        <f>ROUND(D1128*E1128,2)</f>
        <v>32.75</v>
      </c>
    </row>
    <row r="1129" spans="2:12" hidden="1" x14ac:dyDescent="0.3">
      <c r="C1129" s="15" t="str">
        <f>C1125</f>
        <v>Лаборант клінічної лабораторії</v>
      </c>
      <c r="D1129" s="78">
        <f>J1125</f>
        <v>0.95</v>
      </c>
      <c r="E1129" s="73">
        <f>5+5</f>
        <v>10</v>
      </c>
      <c r="F1129" s="299">
        <f>ROUND(D1129*E1129,2)</f>
        <v>9.5</v>
      </c>
    </row>
    <row r="1130" spans="2:12" hidden="1" x14ac:dyDescent="0.3">
      <c r="D1130" s="19"/>
      <c r="E1130" s="74" t="s">
        <v>1016</v>
      </c>
    </row>
    <row r="1131" spans="2:12" hidden="1" x14ac:dyDescent="0.3">
      <c r="C1131" s="17" t="s">
        <v>933</v>
      </c>
      <c r="D1131" s="78">
        <f>F1128+F1129</f>
        <v>42.25</v>
      </c>
      <c r="E1131" s="300">
        <v>0.22</v>
      </c>
      <c r="F1131" s="301">
        <f>ROUND(D1131*E1131,2)</f>
        <v>9.3000000000000007</v>
      </c>
    </row>
    <row r="1132" spans="2:12" hidden="1" x14ac:dyDescent="0.3"/>
    <row r="1133" spans="2:12" hidden="1" x14ac:dyDescent="0.3">
      <c r="C1133" s="12" t="s">
        <v>946</v>
      </c>
      <c r="D1133" s="227"/>
      <c r="E1133" s="227"/>
      <c r="F1133" s="227">
        <f>G1146</f>
        <v>102.33999999999999</v>
      </c>
      <c r="G1133" s="227" t="s">
        <v>971</v>
      </c>
    </row>
    <row r="1134" spans="2:12" hidden="1" x14ac:dyDescent="0.3"/>
    <row r="1135" spans="2:12" hidden="1" x14ac:dyDescent="0.3">
      <c r="B1135" s="82" t="s">
        <v>991</v>
      </c>
      <c r="C1135" s="83" t="s">
        <v>986</v>
      </c>
      <c r="D1135" s="83" t="s">
        <v>1112</v>
      </c>
      <c r="E1135" s="83" t="s">
        <v>988</v>
      </c>
      <c r="F1135" s="83" t="s">
        <v>1113</v>
      </c>
      <c r="G1135" s="82" t="s">
        <v>988</v>
      </c>
    </row>
    <row r="1136" spans="2:12" hidden="1" x14ac:dyDescent="0.3">
      <c r="B1136" s="73">
        <v>1</v>
      </c>
      <c r="C1136" s="79" t="str">
        <f>'МЕДИЧНІ М'!B233</f>
        <v>Тест-система для визначення глікованого гемоглобіну</v>
      </c>
      <c r="D1136" s="75" t="s">
        <v>941</v>
      </c>
      <c r="E1136" s="75">
        <f>'МЕДИЧНІ М'!F233</f>
        <v>95</v>
      </c>
      <c r="F1136" s="86">
        <v>1</v>
      </c>
      <c r="G1136" s="88">
        <f>ROUND(E1136/F1136,2)</f>
        <v>95</v>
      </c>
      <c r="L1136" s="560"/>
    </row>
    <row r="1137" spans="2:18" hidden="1" x14ac:dyDescent="0.3">
      <c r="B1137" s="73">
        <f>1+B1136</f>
        <v>2</v>
      </c>
      <c r="C1137" s="79" t="str">
        <f t="shared" ref="C1137:F1145" si="34">C1081</f>
        <v>Наконечник для лабораторних дозаторів</v>
      </c>
      <c r="D1137" s="559" t="str">
        <f t="shared" si="34"/>
        <v>шт</v>
      </c>
      <c r="E1137" s="559">
        <f t="shared" si="34"/>
        <v>115</v>
      </c>
      <c r="F1137" s="559">
        <f t="shared" si="34"/>
        <v>1000</v>
      </c>
      <c r="G1137" s="88">
        <f>ROUND(E1137/F1137,2)</f>
        <v>0.12</v>
      </c>
    </row>
    <row r="1138" spans="2:18" hidden="1" x14ac:dyDescent="0.3">
      <c r="B1138" s="73">
        <f t="shared" ref="B1138:B1145" si="35">1+B1137</f>
        <v>3</v>
      </c>
      <c r="C1138" s="79" t="str">
        <f t="shared" si="34"/>
        <v>Вата</v>
      </c>
      <c r="D1138" s="559" t="str">
        <f t="shared" si="34"/>
        <v>шт</v>
      </c>
      <c r="E1138" s="559">
        <f t="shared" si="34"/>
        <v>6.72</v>
      </c>
      <c r="F1138" s="559">
        <f t="shared" si="34"/>
        <v>100</v>
      </c>
      <c r="G1138" s="78">
        <f>ROUND(E1138/F1138,2)</f>
        <v>7.0000000000000007E-2</v>
      </c>
    </row>
    <row r="1139" spans="2:18" hidden="1" x14ac:dyDescent="0.3">
      <c r="B1139" s="73">
        <f t="shared" si="35"/>
        <v>4</v>
      </c>
      <c r="C1139" s="79" t="str">
        <f t="shared" si="34"/>
        <v>Деззасоби</v>
      </c>
      <c r="D1139" s="559" t="str">
        <f t="shared" si="34"/>
        <v>мл</v>
      </c>
      <c r="E1139" s="559">
        <f t="shared" si="34"/>
        <v>0.5</v>
      </c>
      <c r="F1139" s="559">
        <f t="shared" si="34"/>
        <v>0.5</v>
      </c>
      <c r="G1139" s="78">
        <f>ROUND(E1139/F1139,2)</f>
        <v>1</v>
      </c>
    </row>
    <row r="1140" spans="2:18" hidden="1" x14ac:dyDescent="0.3">
      <c r="B1140" s="73">
        <f t="shared" si="35"/>
        <v>5</v>
      </c>
      <c r="C1140" s="79" t="str">
        <f t="shared" si="34"/>
        <v>Маска на резинці, стерильна.</v>
      </c>
      <c r="D1140" s="559" t="str">
        <f t="shared" si="34"/>
        <v>шт</v>
      </c>
      <c r="E1140" s="559">
        <f t="shared" si="34"/>
        <v>2</v>
      </c>
      <c r="F1140" s="559">
        <f t="shared" si="34"/>
        <v>0.5</v>
      </c>
      <c r="G1140" s="81">
        <f>ROUND(E1140*F1140,2)</f>
        <v>1</v>
      </c>
    </row>
    <row r="1141" spans="2:18" hidden="1" x14ac:dyDescent="0.3">
      <c r="B1141" s="73">
        <f t="shared" si="35"/>
        <v>6</v>
      </c>
      <c r="C1141" s="79" t="str">
        <f t="shared" si="34"/>
        <v>Мікрасепт</v>
      </c>
      <c r="D1141" s="559" t="str">
        <f t="shared" si="34"/>
        <v>мл</v>
      </c>
      <c r="E1141" s="559">
        <f t="shared" si="34"/>
        <v>0.3</v>
      </c>
      <c r="F1141" s="559">
        <f t="shared" si="34"/>
        <v>2</v>
      </c>
      <c r="G1141" s="88">
        <f>ROUND(E1141*F1141,2)</f>
        <v>0.6</v>
      </c>
    </row>
    <row r="1142" spans="2:18" hidden="1" x14ac:dyDescent="0.3">
      <c r="B1142" s="73">
        <f t="shared" si="35"/>
        <v>7</v>
      </c>
      <c r="C1142" s="79" t="str">
        <f t="shared" si="34"/>
        <v>Пробірка</v>
      </c>
      <c r="D1142" s="559" t="str">
        <f t="shared" si="34"/>
        <v>шт</v>
      </c>
      <c r="E1142" s="559">
        <f t="shared" si="34"/>
        <v>0.6</v>
      </c>
      <c r="F1142" s="559">
        <f t="shared" si="34"/>
        <v>1</v>
      </c>
      <c r="G1142" s="88">
        <f>ROUND(E1142/F1142,2)</f>
        <v>0.6</v>
      </c>
    </row>
    <row r="1143" spans="2:18" hidden="1" x14ac:dyDescent="0.3">
      <c r="B1143" s="73">
        <f t="shared" si="35"/>
        <v>8</v>
      </c>
      <c r="C1143" s="79" t="str">
        <f t="shared" si="34"/>
        <v>Рукавиці н/с</v>
      </c>
      <c r="D1143" s="559" t="str">
        <f t="shared" si="34"/>
        <v>шт</v>
      </c>
      <c r="E1143" s="559">
        <f t="shared" si="34"/>
        <v>2.8</v>
      </c>
      <c r="F1143" s="559">
        <f t="shared" si="34"/>
        <v>1</v>
      </c>
      <c r="G1143" s="88">
        <f>ROUND(E1143/F1143,2)</f>
        <v>2.8</v>
      </c>
    </row>
    <row r="1144" spans="2:18" hidden="1" x14ac:dyDescent="0.3">
      <c r="B1144" s="73">
        <f t="shared" si="35"/>
        <v>9</v>
      </c>
      <c r="C1144" s="79" t="str">
        <f t="shared" si="34"/>
        <v xml:space="preserve">Спирт 70% 100мл </v>
      </c>
      <c r="D1144" s="559" t="str">
        <f t="shared" si="34"/>
        <v>фл</v>
      </c>
      <c r="E1144" s="559">
        <f t="shared" si="34"/>
        <v>24.6</v>
      </c>
      <c r="F1144" s="559">
        <f t="shared" si="34"/>
        <v>100</v>
      </c>
      <c r="G1144" s="81">
        <f>ROUND(E1144/F1144,2)</f>
        <v>0.25</v>
      </c>
    </row>
    <row r="1145" spans="2:18" hidden="1" x14ac:dyDescent="0.3">
      <c r="B1145" s="73">
        <f t="shared" si="35"/>
        <v>10</v>
      </c>
      <c r="C1145" s="79" t="str">
        <f t="shared" si="34"/>
        <v>Шприц 5 мл</v>
      </c>
      <c r="D1145" s="559" t="str">
        <f t="shared" si="34"/>
        <v>шт</v>
      </c>
      <c r="E1145" s="559">
        <f t="shared" si="34"/>
        <v>0.9</v>
      </c>
      <c r="F1145" s="559">
        <f t="shared" si="34"/>
        <v>1</v>
      </c>
      <c r="G1145" s="81">
        <f>ROUND(E1145*F1145,2)</f>
        <v>0.9</v>
      </c>
    </row>
    <row r="1146" spans="2:18" hidden="1" x14ac:dyDescent="0.3">
      <c r="B1146" s="1012" t="s">
        <v>945</v>
      </c>
      <c r="C1146" s="1013"/>
      <c r="D1146" s="1013"/>
      <c r="E1146" s="1013"/>
      <c r="F1146" s="1014"/>
      <c r="G1146" s="572">
        <f>SUM(G1136:G1145)</f>
        <v>102.33999999999999</v>
      </c>
    </row>
    <row r="1147" spans="2:18" hidden="1" x14ac:dyDescent="0.3"/>
    <row r="1148" spans="2:18" hidden="1" x14ac:dyDescent="0.3">
      <c r="C1148" s="12" t="s">
        <v>968</v>
      </c>
      <c r="D1148" s="227"/>
      <c r="E1148" s="227"/>
      <c r="F1148" s="298">
        <f>H1151</f>
        <v>0.7</v>
      </c>
      <c r="G1148" s="227" t="s">
        <v>971</v>
      </c>
    </row>
    <row r="1149" spans="2:18" hidden="1" x14ac:dyDescent="0.3">
      <c r="C1149" s="22"/>
      <c r="D1149" s="36"/>
      <c r="E1149" s="36"/>
      <c r="F1149" s="302"/>
      <c r="G1149" s="36"/>
    </row>
    <row r="1150" spans="2:18" ht="27.6" hidden="1" x14ac:dyDescent="0.3">
      <c r="C1150" s="14" t="s">
        <v>513</v>
      </c>
      <c r="D1150" s="14" t="s">
        <v>1114</v>
      </c>
      <c r="E1150" s="14" t="s">
        <v>516</v>
      </c>
      <c r="F1150" s="14" t="s">
        <v>970</v>
      </c>
      <c r="G1150" s="14" t="s">
        <v>930</v>
      </c>
      <c r="H1150" s="14" t="s">
        <v>961</v>
      </c>
    </row>
    <row r="1151" spans="2:18" s="516" customFormat="1" hidden="1" x14ac:dyDescent="0.3">
      <c r="B1151" s="554"/>
      <c r="C1151" s="552" t="str">
        <f>C1095</f>
        <v>LS-1100 Аналізатор імунофлуоресцентний</v>
      </c>
      <c r="D1151" s="574">
        <f>D1095</f>
        <v>6500</v>
      </c>
      <c r="E1151" s="531">
        <v>6500</v>
      </c>
      <c r="F1151" s="531">
        <f>ROUND((D1151/E1151)/60,2)</f>
        <v>0.02</v>
      </c>
      <c r="G1151" s="531">
        <f>E1129+E1128</f>
        <v>35</v>
      </c>
      <c r="H1151" s="573">
        <f>ROUND(F1151*G1151,2)</f>
        <v>0.7</v>
      </c>
      <c r="I1151" s="555"/>
      <c r="J1151" s="554"/>
      <c r="K1151" s="556"/>
      <c r="L1151" s="557"/>
      <c r="M1151" s="557"/>
      <c r="N1151" s="558"/>
      <c r="O1151" s="558"/>
      <c r="P1151" s="558"/>
      <c r="Q1151" s="558"/>
      <c r="R1151" s="558"/>
    </row>
    <row r="1152" spans="2:18" hidden="1" x14ac:dyDescent="0.3"/>
    <row r="1153" spans="3:8" hidden="1" x14ac:dyDescent="0.3">
      <c r="C1153" s="12" t="s">
        <v>948</v>
      </c>
      <c r="D1153" s="227"/>
      <c r="E1153" s="227"/>
      <c r="F1153" s="298">
        <f>H1166</f>
        <v>4.55</v>
      </c>
      <c r="G1153" s="227" t="s">
        <v>971</v>
      </c>
    </row>
    <row r="1154" spans="3:8" hidden="1" x14ac:dyDescent="0.3">
      <c r="C1154" s="22"/>
      <c r="D1154" s="36"/>
      <c r="E1154" s="36"/>
      <c r="F1154" s="302"/>
    </row>
    <row r="1155" spans="3:8" ht="27.6" hidden="1" x14ac:dyDescent="0.3">
      <c r="C1155" s="14" t="s">
        <v>948</v>
      </c>
      <c r="D1155" s="14" t="s">
        <v>1110</v>
      </c>
      <c r="E1155" s="14" t="s">
        <v>516</v>
      </c>
      <c r="F1155" s="14" t="s">
        <v>954</v>
      </c>
      <c r="G1155" s="14" t="s">
        <v>930</v>
      </c>
      <c r="H1155" s="14" t="s">
        <v>1111</v>
      </c>
    </row>
    <row r="1156" spans="3:8" hidden="1" x14ac:dyDescent="0.3">
      <c r="C1156" s="1009" t="str">
        <f>C1124</f>
        <v>Лікар-лаборант</v>
      </c>
      <c r="D1156" s="1010"/>
      <c r="E1156" s="1010"/>
      <c r="F1156" s="1010"/>
      <c r="G1156" s="1010"/>
      <c r="H1156" s="1011"/>
    </row>
    <row r="1157" spans="3:8" hidden="1" x14ac:dyDescent="0.3">
      <c r="C1157" s="17" t="s">
        <v>951</v>
      </c>
      <c r="D1157" s="221">
        <f>D1101</f>
        <v>12188.608008565312</v>
      </c>
      <c r="E1157" s="73">
        <f>I1124</f>
        <v>1807.2</v>
      </c>
      <c r="F1157" s="73">
        <f>ROUND((D1157/E1157)/60,2)</f>
        <v>0.11</v>
      </c>
      <c r="G1157" s="73">
        <f>E1128</f>
        <v>25</v>
      </c>
      <c r="H1157" s="78">
        <f>ROUND(F1157*G1157,2)</f>
        <v>2.75</v>
      </c>
    </row>
    <row r="1158" spans="3:8" hidden="1" x14ac:dyDescent="0.3">
      <c r="C1158" s="17" t="s">
        <v>952</v>
      </c>
      <c r="D1158" s="221">
        <f>D1102</f>
        <v>53.149721627408987</v>
      </c>
      <c r="E1158" s="73">
        <f>I1124</f>
        <v>1807.2</v>
      </c>
      <c r="F1158" s="73">
        <f>ROUND((D1158/E1158)/60,2)</f>
        <v>0</v>
      </c>
      <c r="G1158" s="73">
        <f>E1128</f>
        <v>25</v>
      </c>
      <c r="H1158" s="78">
        <f>ROUND(F1158*G1158,2)</f>
        <v>0</v>
      </c>
    </row>
    <row r="1159" spans="3:8" hidden="1" x14ac:dyDescent="0.3">
      <c r="C1159" s="17" t="s">
        <v>953</v>
      </c>
      <c r="D1159" s="221">
        <f>D1103</f>
        <v>374.98368308351178</v>
      </c>
      <c r="E1159" s="73">
        <f>I1124</f>
        <v>1807.2</v>
      </c>
      <c r="F1159" s="73">
        <f>ROUND((D1159/E1159)/60,2)</f>
        <v>0</v>
      </c>
      <c r="G1159" s="73">
        <f>E1128</f>
        <v>25</v>
      </c>
      <c r="H1159" s="78">
        <f>ROUND(F1159*G1159,2)</f>
        <v>0</v>
      </c>
    </row>
    <row r="1160" spans="3:8" hidden="1" x14ac:dyDescent="0.3">
      <c r="C1160" s="17" t="s">
        <v>1109</v>
      </c>
      <c r="D1160" s="221">
        <f>D1104</f>
        <v>1686.0389293361886</v>
      </c>
      <c r="E1160" s="73">
        <f>I1124</f>
        <v>1807.2</v>
      </c>
      <c r="F1160" s="73">
        <f>ROUND((D1160/E1160)/60,2)</f>
        <v>0.02</v>
      </c>
      <c r="G1160" s="73">
        <f>E1128</f>
        <v>25</v>
      </c>
      <c r="H1160" s="78">
        <f>ROUND(F1160*G1160,2)</f>
        <v>0.5</v>
      </c>
    </row>
    <row r="1161" spans="3:8" hidden="1" x14ac:dyDescent="0.3">
      <c r="C1161" s="1009" t="str">
        <f>C1125</f>
        <v>Лаборант клінічної лабораторії</v>
      </c>
      <c r="D1161" s="1010"/>
      <c r="E1161" s="1010"/>
      <c r="F1161" s="1010"/>
      <c r="G1161" s="1010"/>
      <c r="H1161" s="1011"/>
    </row>
    <row r="1162" spans="3:8" hidden="1" x14ac:dyDescent="0.3">
      <c r="C1162" s="17" t="s">
        <v>951</v>
      </c>
      <c r="D1162" s="221">
        <f>D1157</f>
        <v>12188.608008565312</v>
      </c>
      <c r="E1162" s="73">
        <f>I1125</f>
        <v>1807.2</v>
      </c>
      <c r="F1162" s="73">
        <f>ROUND((D1162/E1162)/60,2)</f>
        <v>0.11</v>
      </c>
      <c r="G1162" s="73">
        <f>E1129</f>
        <v>10</v>
      </c>
      <c r="H1162" s="78">
        <f>ROUND(F1162*G1162,2)</f>
        <v>1.1000000000000001</v>
      </c>
    </row>
    <row r="1163" spans="3:8" hidden="1" x14ac:dyDescent="0.3">
      <c r="C1163" s="17" t="s">
        <v>952</v>
      </c>
      <c r="D1163" s="221">
        <f>D1158</f>
        <v>53.149721627408987</v>
      </c>
      <c r="E1163" s="73">
        <f>I1125</f>
        <v>1807.2</v>
      </c>
      <c r="F1163" s="73">
        <f>ROUND((D1163/E1163)/60,2)</f>
        <v>0</v>
      </c>
      <c r="G1163" s="73">
        <f>E1129</f>
        <v>10</v>
      </c>
      <c r="H1163" s="78">
        <f>ROUND(F1163*G1163,2)</f>
        <v>0</v>
      </c>
    </row>
    <row r="1164" spans="3:8" hidden="1" x14ac:dyDescent="0.3">
      <c r="C1164" s="17" t="s">
        <v>953</v>
      </c>
      <c r="D1164" s="221">
        <f>D1159</f>
        <v>374.98368308351178</v>
      </c>
      <c r="E1164" s="73">
        <f>I1125</f>
        <v>1807.2</v>
      </c>
      <c r="F1164" s="73">
        <f>ROUND((D1164/E1164)/60,2)</f>
        <v>0</v>
      </c>
      <c r="G1164" s="73">
        <f>E1129</f>
        <v>10</v>
      </c>
      <c r="H1164" s="78">
        <f>ROUND(F1164*G1164,2)</f>
        <v>0</v>
      </c>
    </row>
    <row r="1165" spans="3:8" hidden="1" x14ac:dyDescent="0.3">
      <c r="C1165" s="17" t="s">
        <v>1109</v>
      </c>
      <c r="D1165" s="221">
        <f>D1160</f>
        <v>1686.0389293361886</v>
      </c>
      <c r="E1165" s="73">
        <f>I1125</f>
        <v>1807.2</v>
      </c>
      <c r="F1165" s="73">
        <f>ROUND((D1165/E1165)/60,2)</f>
        <v>0.02</v>
      </c>
      <c r="G1165" s="73">
        <f>E1129</f>
        <v>10</v>
      </c>
      <c r="H1165" s="78">
        <f>ROUND(F1165*G1165,2)</f>
        <v>0.2</v>
      </c>
    </row>
    <row r="1166" spans="3:8" hidden="1" x14ac:dyDescent="0.3">
      <c r="C1166" s="1012" t="s">
        <v>957</v>
      </c>
      <c r="D1166" s="1013"/>
      <c r="E1166" s="1013"/>
      <c r="F1166" s="1013"/>
      <c r="G1166" s="1014"/>
      <c r="H1166" s="299">
        <f>SUM(H1157:H1165)</f>
        <v>4.55</v>
      </c>
    </row>
    <row r="1167" spans="3:8" hidden="1" x14ac:dyDescent="0.3"/>
    <row r="1168" spans="3:8" hidden="1" x14ac:dyDescent="0.3">
      <c r="C1168" s="1015" t="s">
        <v>959</v>
      </c>
      <c r="D1168" s="1015"/>
      <c r="E1168" s="1015"/>
      <c r="F1168" s="1015"/>
      <c r="G1168" s="1015"/>
      <c r="H1168" s="334">
        <f>F1121+F1133+F1153+F1148</f>
        <v>159.13999999999999</v>
      </c>
    </row>
    <row r="1169" spans="2:11" hidden="1" x14ac:dyDescent="0.3">
      <c r="C1169" s="33"/>
      <c r="D1169" s="33"/>
      <c r="E1169" s="33"/>
      <c r="F1169" s="33"/>
      <c r="G1169" s="33"/>
      <c r="H1169" s="335"/>
    </row>
    <row r="1170" spans="2:11" hidden="1" x14ac:dyDescent="0.3">
      <c r="C1170" s="1015" t="s">
        <v>960</v>
      </c>
      <c r="D1170" s="1015"/>
      <c r="E1170" s="1015"/>
      <c r="F1170" s="1015"/>
      <c r="G1170" s="1015"/>
      <c r="H1170" s="334">
        <f>ROUND(H1168,0)</f>
        <v>159</v>
      </c>
    </row>
    <row r="1171" spans="2:11" hidden="1" x14ac:dyDescent="0.3"/>
    <row r="1172" spans="2:11" hidden="1" x14ac:dyDescent="0.3"/>
    <row r="1173" spans="2:11" ht="18.600000000000001" hidden="1" x14ac:dyDescent="0.3">
      <c r="B1173" s="1016" t="s">
        <v>958</v>
      </c>
      <c r="C1173" s="1016"/>
      <c r="D1173" s="1016"/>
      <c r="E1173" s="1016"/>
      <c r="F1173" s="1016"/>
      <c r="G1173" s="1016"/>
      <c r="H1173" s="1016"/>
      <c r="I1173" s="1016"/>
      <c r="J1173" s="1016"/>
    </row>
    <row r="1174" spans="2:11" ht="19.2" hidden="1" x14ac:dyDescent="0.35">
      <c r="B1174" s="53"/>
      <c r="C1174" s="53"/>
      <c r="D1174" s="225"/>
      <c r="E1174" s="225"/>
      <c r="F1174" s="225"/>
      <c r="G1174" s="225"/>
      <c r="H1174" s="225"/>
      <c r="I1174" s="53"/>
      <c r="J1174" s="53"/>
    </row>
    <row r="1175" spans="2:11" ht="19.2" hidden="1" x14ac:dyDescent="0.35">
      <c r="B1175" s="50" t="s">
        <v>336</v>
      </c>
      <c r="C1175" s="1017" t="str">
        <f>M29</f>
        <v>ПСА (простато-специфічний антиген) (кількісні результати)</v>
      </c>
      <c r="D1175" s="1017"/>
      <c r="E1175" s="1017"/>
      <c r="F1175" s="296">
        <f>H1226</f>
        <v>225</v>
      </c>
      <c r="G1175" s="296" t="s">
        <v>971</v>
      </c>
      <c r="H1175" s="225"/>
      <c r="I1175" s="53"/>
      <c r="J1175" s="53"/>
      <c r="K1175" s="561">
        <f>F1175-G1192</f>
        <v>55</v>
      </c>
    </row>
    <row r="1176" spans="2:11" hidden="1" x14ac:dyDescent="0.3"/>
    <row r="1177" spans="2:11" hidden="1" x14ac:dyDescent="0.3">
      <c r="C1177" s="1018" t="s">
        <v>932</v>
      </c>
      <c r="D1177" s="1018"/>
      <c r="E1177" s="297"/>
      <c r="F1177" s="298">
        <f>F1184+F1187+F1185</f>
        <v>43.55</v>
      </c>
      <c r="G1177" s="227" t="s">
        <v>971</v>
      </c>
    </row>
    <row r="1178" spans="2:11" hidden="1" x14ac:dyDescent="0.3"/>
    <row r="1179" spans="2:11" ht="27.6" hidden="1" x14ac:dyDescent="0.3">
      <c r="C1179" s="13" t="s">
        <v>929</v>
      </c>
      <c r="D1179" s="14" t="s">
        <v>928</v>
      </c>
      <c r="E1179" s="14" t="s">
        <v>514</v>
      </c>
      <c r="F1179" s="14" t="s">
        <v>515</v>
      </c>
      <c r="G1179" s="14" t="s">
        <v>962</v>
      </c>
      <c r="H1179" s="14" t="s">
        <v>926</v>
      </c>
      <c r="I1179" s="14" t="s">
        <v>516</v>
      </c>
      <c r="J1179" s="14" t="s">
        <v>961</v>
      </c>
    </row>
    <row r="1180" spans="2:11" hidden="1" x14ac:dyDescent="0.3">
      <c r="C1180" s="17" t="str">
        <f>C1124</f>
        <v>Лікар-лаборант</v>
      </c>
      <c r="D1180" s="73">
        <f>D1124</f>
        <v>10799.43</v>
      </c>
      <c r="E1180" s="78">
        <f>D1180*12</f>
        <v>129593.16</v>
      </c>
      <c r="F1180" s="73">
        <f>F1124</f>
        <v>8307.26</v>
      </c>
      <c r="G1180" s="73">
        <f>G1124</f>
        <v>4153.63</v>
      </c>
      <c r="H1180" s="78">
        <f>E1180+F1180+G1180</f>
        <v>142054.05000000002</v>
      </c>
      <c r="I1180" s="17">
        <v>1807.2</v>
      </c>
      <c r="J1180" s="16">
        <f>ROUND((H1180/I1180)/60,2)</f>
        <v>1.31</v>
      </c>
    </row>
    <row r="1181" spans="2:11" hidden="1" x14ac:dyDescent="0.3">
      <c r="C1181" s="17" t="str">
        <f>C1125</f>
        <v>Лаборант клінічної лабораторії</v>
      </c>
      <c r="D1181" s="73">
        <f>D1125</f>
        <v>7871.18</v>
      </c>
      <c r="E1181" s="78">
        <f>D1181*12</f>
        <v>94454.16</v>
      </c>
      <c r="F1181" s="73">
        <f>F1125</f>
        <v>6054.75</v>
      </c>
      <c r="G1181" s="73">
        <f>G1125</f>
        <v>3027.375</v>
      </c>
      <c r="H1181" s="78">
        <f>E1181+F1181+G1181</f>
        <v>103536.285</v>
      </c>
      <c r="I1181" s="17">
        <v>1807.2</v>
      </c>
      <c r="J1181" s="16">
        <f>ROUND((H1181/I1181)/60,2)</f>
        <v>0.95</v>
      </c>
    </row>
    <row r="1182" spans="2:11" hidden="1" x14ac:dyDescent="0.3"/>
    <row r="1183" spans="2:11" hidden="1" x14ac:dyDescent="0.3">
      <c r="C1183" s="13" t="s">
        <v>929</v>
      </c>
      <c r="D1183" s="14" t="s">
        <v>961</v>
      </c>
      <c r="E1183" s="14" t="s">
        <v>930</v>
      </c>
      <c r="F1183" s="14" t="s">
        <v>931</v>
      </c>
    </row>
    <row r="1184" spans="2:11" hidden="1" x14ac:dyDescent="0.3">
      <c r="C1184" s="15" t="str">
        <f>C1180</f>
        <v>Лікар-лаборант</v>
      </c>
      <c r="D1184" s="78">
        <f>J1180</f>
        <v>1.31</v>
      </c>
      <c r="E1184" s="73">
        <f>10+10</f>
        <v>20</v>
      </c>
      <c r="F1184" s="299">
        <f>ROUND(D1184*E1184,2)</f>
        <v>26.2</v>
      </c>
    </row>
    <row r="1185" spans="2:12" hidden="1" x14ac:dyDescent="0.3">
      <c r="C1185" s="15" t="str">
        <f>C1181</f>
        <v>Лаборант клінічної лабораторії</v>
      </c>
      <c r="D1185" s="78">
        <f>J1181</f>
        <v>0.95</v>
      </c>
      <c r="E1185" s="73">
        <f>5+5</f>
        <v>10</v>
      </c>
      <c r="F1185" s="299">
        <f>ROUND(D1185*E1185,2)</f>
        <v>9.5</v>
      </c>
    </row>
    <row r="1186" spans="2:12" hidden="1" x14ac:dyDescent="0.3">
      <c r="D1186" s="19"/>
      <c r="E1186" s="74" t="s">
        <v>1016</v>
      </c>
    </row>
    <row r="1187" spans="2:12" hidden="1" x14ac:dyDescent="0.3">
      <c r="C1187" s="17" t="s">
        <v>933</v>
      </c>
      <c r="D1187" s="78">
        <f>F1184+F1185</f>
        <v>35.700000000000003</v>
      </c>
      <c r="E1187" s="300">
        <v>0.22</v>
      </c>
      <c r="F1187" s="301">
        <f>ROUND(D1187*E1187,2)</f>
        <v>7.85</v>
      </c>
    </row>
    <row r="1188" spans="2:12" hidden="1" x14ac:dyDescent="0.3"/>
    <row r="1189" spans="2:12" hidden="1" x14ac:dyDescent="0.3">
      <c r="C1189" s="12" t="s">
        <v>946</v>
      </c>
      <c r="D1189" s="227"/>
      <c r="E1189" s="227"/>
      <c r="F1189" s="227">
        <f>G1202</f>
        <v>177.34</v>
      </c>
      <c r="G1189" s="227" t="s">
        <v>971</v>
      </c>
    </row>
    <row r="1190" spans="2:12" hidden="1" x14ac:dyDescent="0.3"/>
    <row r="1191" spans="2:12" hidden="1" x14ac:dyDescent="0.3">
      <c r="B1191" s="82" t="s">
        <v>991</v>
      </c>
      <c r="C1191" s="83" t="s">
        <v>986</v>
      </c>
      <c r="D1191" s="83" t="s">
        <v>1112</v>
      </c>
      <c r="E1191" s="83" t="s">
        <v>988</v>
      </c>
      <c r="F1191" s="83" t="s">
        <v>1113</v>
      </c>
      <c r="G1191" s="82" t="s">
        <v>988</v>
      </c>
    </row>
    <row r="1192" spans="2:12" hidden="1" x14ac:dyDescent="0.3">
      <c r="B1192" s="73">
        <v>1</v>
      </c>
      <c r="C1192" s="79" t="str">
        <f>'МЕДИЧНІ М'!B234</f>
        <v>Тест-система для визначення ПСА</v>
      </c>
      <c r="D1192" s="75" t="s">
        <v>941</v>
      </c>
      <c r="E1192" s="75">
        <f>'МЕДИЧНІ М'!F234</f>
        <v>170</v>
      </c>
      <c r="F1192" s="86">
        <v>1</v>
      </c>
      <c r="G1192" s="88">
        <f>ROUND(E1192/F1192,2)</f>
        <v>170</v>
      </c>
      <c r="L1192" s="560"/>
    </row>
    <row r="1193" spans="2:12" hidden="1" x14ac:dyDescent="0.3">
      <c r="B1193" s="73">
        <f>1+B1192</f>
        <v>2</v>
      </c>
      <c r="C1193" s="79" t="str">
        <f t="shared" ref="C1193:F1201" si="36">C1137</f>
        <v>Наконечник для лабораторних дозаторів</v>
      </c>
      <c r="D1193" s="559" t="str">
        <f t="shared" si="36"/>
        <v>шт</v>
      </c>
      <c r="E1193" s="559">
        <f t="shared" si="36"/>
        <v>115</v>
      </c>
      <c r="F1193" s="559">
        <f t="shared" si="36"/>
        <v>1000</v>
      </c>
      <c r="G1193" s="88">
        <f>ROUND(E1193/F1193,2)</f>
        <v>0.12</v>
      </c>
    </row>
    <row r="1194" spans="2:12" hidden="1" x14ac:dyDescent="0.3">
      <c r="B1194" s="73">
        <f t="shared" ref="B1194:B1201" si="37">1+B1193</f>
        <v>3</v>
      </c>
      <c r="C1194" s="79" t="str">
        <f t="shared" si="36"/>
        <v>Вата</v>
      </c>
      <c r="D1194" s="559" t="str">
        <f t="shared" si="36"/>
        <v>шт</v>
      </c>
      <c r="E1194" s="559">
        <f t="shared" si="36"/>
        <v>6.72</v>
      </c>
      <c r="F1194" s="559">
        <f t="shared" si="36"/>
        <v>100</v>
      </c>
      <c r="G1194" s="78">
        <f>ROUND(E1194/F1194,2)</f>
        <v>7.0000000000000007E-2</v>
      </c>
    </row>
    <row r="1195" spans="2:12" hidden="1" x14ac:dyDescent="0.3">
      <c r="B1195" s="73">
        <f t="shared" si="37"/>
        <v>4</v>
      </c>
      <c r="C1195" s="79" t="str">
        <f t="shared" si="36"/>
        <v>Деззасоби</v>
      </c>
      <c r="D1195" s="559" t="str">
        <f t="shared" si="36"/>
        <v>мл</v>
      </c>
      <c r="E1195" s="559">
        <f t="shared" si="36"/>
        <v>0.5</v>
      </c>
      <c r="F1195" s="559">
        <f t="shared" si="36"/>
        <v>0.5</v>
      </c>
      <c r="G1195" s="78">
        <f>ROUND(E1195/F1195,2)</f>
        <v>1</v>
      </c>
    </row>
    <row r="1196" spans="2:12" hidden="1" x14ac:dyDescent="0.3">
      <c r="B1196" s="73">
        <f t="shared" si="37"/>
        <v>5</v>
      </c>
      <c r="C1196" s="79" t="str">
        <f t="shared" si="36"/>
        <v>Маска на резинці, стерильна.</v>
      </c>
      <c r="D1196" s="559" t="str">
        <f t="shared" si="36"/>
        <v>шт</v>
      </c>
      <c r="E1196" s="559">
        <f t="shared" si="36"/>
        <v>2</v>
      </c>
      <c r="F1196" s="559">
        <f t="shared" si="36"/>
        <v>0.5</v>
      </c>
      <c r="G1196" s="81">
        <f>ROUND(E1196*F1196,2)</f>
        <v>1</v>
      </c>
    </row>
    <row r="1197" spans="2:12" hidden="1" x14ac:dyDescent="0.3">
      <c r="B1197" s="73">
        <f t="shared" si="37"/>
        <v>6</v>
      </c>
      <c r="C1197" s="79" t="str">
        <f t="shared" si="36"/>
        <v>Мікрасепт</v>
      </c>
      <c r="D1197" s="559" t="str">
        <f t="shared" si="36"/>
        <v>мл</v>
      </c>
      <c r="E1197" s="559">
        <f t="shared" si="36"/>
        <v>0.3</v>
      </c>
      <c r="F1197" s="559">
        <f t="shared" si="36"/>
        <v>2</v>
      </c>
      <c r="G1197" s="88">
        <f>ROUND(E1197*F1197,2)</f>
        <v>0.6</v>
      </c>
    </row>
    <row r="1198" spans="2:12" hidden="1" x14ac:dyDescent="0.3">
      <c r="B1198" s="73">
        <f t="shared" si="37"/>
        <v>7</v>
      </c>
      <c r="C1198" s="79" t="str">
        <f t="shared" si="36"/>
        <v>Пробірка</v>
      </c>
      <c r="D1198" s="559" t="str">
        <f t="shared" si="36"/>
        <v>шт</v>
      </c>
      <c r="E1198" s="559">
        <f t="shared" si="36"/>
        <v>0.6</v>
      </c>
      <c r="F1198" s="559">
        <f t="shared" si="36"/>
        <v>1</v>
      </c>
      <c r="G1198" s="88">
        <f>ROUND(E1198/F1198,2)</f>
        <v>0.6</v>
      </c>
    </row>
    <row r="1199" spans="2:12" hidden="1" x14ac:dyDescent="0.3">
      <c r="B1199" s="73">
        <f t="shared" si="37"/>
        <v>8</v>
      </c>
      <c r="C1199" s="79" t="str">
        <f t="shared" si="36"/>
        <v>Рукавиці н/с</v>
      </c>
      <c r="D1199" s="559" t="str">
        <f t="shared" si="36"/>
        <v>шт</v>
      </c>
      <c r="E1199" s="559">
        <f t="shared" si="36"/>
        <v>2.8</v>
      </c>
      <c r="F1199" s="559">
        <f t="shared" si="36"/>
        <v>1</v>
      </c>
      <c r="G1199" s="88">
        <f>ROUND(E1199/F1199,2)</f>
        <v>2.8</v>
      </c>
    </row>
    <row r="1200" spans="2:12" hidden="1" x14ac:dyDescent="0.3">
      <c r="B1200" s="73">
        <f t="shared" si="37"/>
        <v>9</v>
      </c>
      <c r="C1200" s="79" t="str">
        <f t="shared" si="36"/>
        <v xml:space="preserve">Спирт 70% 100мл </v>
      </c>
      <c r="D1200" s="559" t="str">
        <f t="shared" si="36"/>
        <v>фл</v>
      </c>
      <c r="E1200" s="559">
        <f t="shared" si="36"/>
        <v>24.6</v>
      </c>
      <c r="F1200" s="559">
        <f t="shared" si="36"/>
        <v>100</v>
      </c>
      <c r="G1200" s="81">
        <f>ROUND(E1200/F1200,2)</f>
        <v>0.25</v>
      </c>
    </row>
    <row r="1201" spans="2:18" hidden="1" x14ac:dyDescent="0.3">
      <c r="B1201" s="73">
        <f t="shared" si="37"/>
        <v>10</v>
      </c>
      <c r="C1201" s="79" t="str">
        <f t="shared" si="36"/>
        <v>Шприц 5 мл</v>
      </c>
      <c r="D1201" s="559" t="str">
        <f t="shared" si="36"/>
        <v>шт</v>
      </c>
      <c r="E1201" s="559">
        <f t="shared" si="36"/>
        <v>0.9</v>
      </c>
      <c r="F1201" s="559">
        <f t="shared" si="36"/>
        <v>1</v>
      </c>
      <c r="G1201" s="81">
        <f>ROUND(E1201*F1201,2)</f>
        <v>0.9</v>
      </c>
    </row>
    <row r="1202" spans="2:18" hidden="1" x14ac:dyDescent="0.3">
      <c r="B1202" s="1012" t="s">
        <v>945</v>
      </c>
      <c r="C1202" s="1013"/>
      <c r="D1202" s="1013"/>
      <c r="E1202" s="1013"/>
      <c r="F1202" s="1014"/>
      <c r="G1202" s="572">
        <f>SUM(G1192:G1201)</f>
        <v>177.34</v>
      </c>
    </row>
    <row r="1203" spans="2:18" hidden="1" x14ac:dyDescent="0.3"/>
    <row r="1204" spans="2:18" hidden="1" x14ac:dyDescent="0.3">
      <c r="C1204" s="12" t="s">
        <v>968</v>
      </c>
      <c r="D1204" s="227"/>
      <c r="E1204" s="227"/>
      <c r="F1204" s="298">
        <f>H1207</f>
        <v>0.6</v>
      </c>
      <c r="G1204" s="227" t="s">
        <v>971</v>
      </c>
    </row>
    <row r="1205" spans="2:18" hidden="1" x14ac:dyDescent="0.3">
      <c r="C1205" s="22"/>
      <c r="D1205" s="36"/>
      <c r="E1205" s="36"/>
      <c r="F1205" s="302"/>
      <c r="G1205" s="36"/>
    </row>
    <row r="1206" spans="2:18" ht="27.6" hidden="1" x14ac:dyDescent="0.3">
      <c r="C1206" s="14" t="s">
        <v>513</v>
      </c>
      <c r="D1206" s="14" t="s">
        <v>1114</v>
      </c>
      <c r="E1206" s="14" t="s">
        <v>516</v>
      </c>
      <c r="F1206" s="14" t="s">
        <v>970</v>
      </c>
      <c r="G1206" s="14" t="s">
        <v>930</v>
      </c>
      <c r="H1206" s="14" t="s">
        <v>961</v>
      </c>
    </row>
    <row r="1207" spans="2:18" s="516" customFormat="1" hidden="1" x14ac:dyDescent="0.3">
      <c r="B1207" s="554"/>
      <c r="C1207" s="552" t="str">
        <f>C1151</f>
        <v>LS-1100 Аналізатор імунофлуоресцентний</v>
      </c>
      <c r="D1207" s="574">
        <f>D1151</f>
        <v>6500</v>
      </c>
      <c r="E1207" s="531">
        <v>6500</v>
      </c>
      <c r="F1207" s="531">
        <f>ROUND((D1207/E1207)/60,2)</f>
        <v>0.02</v>
      </c>
      <c r="G1207" s="531">
        <f>E1185+E1184</f>
        <v>30</v>
      </c>
      <c r="H1207" s="573">
        <f>ROUND(F1207*G1207,2)</f>
        <v>0.6</v>
      </c>
      <c r="I1207" s="555"/>
      <c r="J1207" s="554"/>
      <c r="K1207" s="556"/>
      <c r="L1207" s="557"/>
      <c r="M1207" s="557"/>
      <c r="N1207" s="558"/>
      <c r="O1207" s="558"/>
      <c r="P1207" s="558"/>
      <c r="Q1207" s="558"/>
      <c r="R1207" s="558"/>
    </row>
    <row r="1208" spans="2:18" hidden="1" x14ac:dyDescent="0.3"/>
    <row r="1209" spans="2:18" hidden="1" x14ac:dyDescent="0.3">
      <c r="C1209" s="12" t="s">
        <v>948</v>
      </c>
      <c r="D1209" s="227"/>
      <c r="E1209" s="227"/>
      <c r="F1209" s="298">
        <f>H1222</f>
        <v>3.9000000000000004</v>
      </c>
      <c r="G1209" s="227" t="s">
        <v>971</v>
      </c>
    </row>
    <row r="1210" spans="2:18" hidden="1" x14ac:dyDescent="0.3">
      <c r="C1210" s="22"/>
      <c r="D1210" s="36"/>
      <c r="E1210" s="36"/>
      <c r="F1210" s="302"/>
    </row>
    <row r="1211" spans="2:18" ht="27.6" hidden="1" x14ac:dyDescent="0.3">
      <c r="C1211" s="14" t="s">
        <v>948</v>
      </c>
      <c r="D1211" s="14" t="s">
        <v>1110</v>
      </c>
      <c r="E1211" s="14" t="s">
        <v>516</v>
      </c>
      <c r="F1211" s="14" t="s">
        <v>954</v>
      </c>
      <c r="G1211" s="14" t="s">
        <v>930</v>
      </c>
      <c r="H1211" s="14" t="s">
        <v>1111</v>
      </c>
    </row>
    <row r="1212" spans="2:18" hidden="1" x14ac:dyDescent="0.3">
      <c r="C1212" s="1009" t="str">
        <f>C1180</f>
        <v>Лікар-лаборант</v>
      </c>
      <c r="D1212" s="1010"/>
      <c r="E1212" s="1010"/>
      <c r="F1212" s="1010"/>
      <c r="G1212" s="1010"/>
      <c r="H1212" s="1011"/>
    </row>
    <row r="1213" spans="2:18" hidden="1" x14ac:dyDescent="0.3">
      <c r="C1213" s="17" t="s">
        <v>951</v>
      </c>
      <c r="D1213" s="221">
        <f>D1157</f>
        <v>12188.608008565312</v>
      </c>
      <c r="E1213" s="73">
        <f>I1180</f>
        <v>1807.2</v>
      </c>
      <c r="F1213" s="73">
        <f>ROUND((D1213/E1213)/60,2)</f>
        <v>0.11</v>
      </c>
      <c r="G1213" s="73">
        <f>E1184</f>
        <v>20</v>
      </c>
      <c r="H1213" s="78">
        <f>ROUND(F1213*G1213,2)</f>
        <v>2.2000000000000002</v>
      </c>
    </row>
    <row r="1214" spans="2:18" hidden="1" x14ac:dyDescent="0.3">
      <c r="C1214" s="17" t="s">
        <v>952</v>
      </c>
      <c r="D1214" s="221">
        <f>D1158</f>
        <v>53.149721627408987</v>
      </c>
      <c r="E1214" s="73">
        <f>I1180</f>
        <v>1807.2</v>
      </c>
      <c r="F1214" s="73">
        <f>ROUND((D1214/E1214)/60,2)</f>
        <v>0</v>
      </c>
      <c r="G1214" s="73">
        <f>E1184</f>
        <v>20</v>
      </c>
      <c r="H1214" s="78">
        <f>ROUND(F1214*G1214,2)</f>
        <v>0</v>
      </c>
    </row>
    <row r="1215" spans="2:18" hidden="1" x14ac:dyDescent="0.3">
      <c r="C1215" s="17" t="s">
        <v>953</v>
      </c>
      <c r="D1215" s="221">
        <f>D1159</f>
        <v>374.98368308351178</v>
      </c>
      <c r="E1215" s="73">
        <f>I1180</f>
        <v>1807.2</v>
      </c>
      <c r="F1215" s="73">
        <f>ROUND((D1215/E1215)/60,2)</f>
        <v>0</v>
      </c>
      <c r="G1215" s="73">
        <f>E1184</f>
        <v>20</v>
      </c>
      <c r="H1215" s="78">
        <f>ROUND(F1215*G1215,2)</f>
        <v>0</v>
      </c>
    </row>
    <row r="1216" spans="2:18" hidden="1" x14ac:dyDescent="0.3">
      <c r="C1216" s="17" t="s">
        <v>1109</v>
      </c>
      <c r="D1216" s="221">
        <f>D1160</f>
        <v>1686.0389293361886</v>
      </c>
      <c r="E1216" s="73">
        <f>I1180</f>
        <v>1807.2</v>
      </c>
      <c r="F1216" s="73">
        <f>ROUND((D1216/E1216)/60,2)</f>
        <v>0.02</v>
      </c>
      <c r="G1216" s="73">
        <f>E1184</f>
        <v>20</v>
      </c>
      <c r="H1216" s="78">
        <f>ROUND(F1216*G1216,2)</f>
        <v>0.4</v>
      </c>
    </row>
    <row r="1217" spans="2:10" hidden="1" x14ac:dyDescent="0.3">
      <c r="C1217" s="1009" t="str">
        <f>C1181</f>
        <v>Лаборант клінічної лабораторії</v>
      </c>
      <c r="D1217" s="1010"/>
      <c r="E1217" s="1010"/>
      <c r="F1217" s="1010"/>
      <c r="G1217" s="1010"/>
      <c r="H1217" s="1011"/>
    </row>
    <row r="1218" spans="2:10" hidden="1" x14ac:dyDescent="0.3">
      <c r="C1218" s="17" t="s">
        <v>951</v>
      </c>
      <c r="D1218" s="221">
        <f>D1213</f>
        <v>12188.608008565312</v>
      </c>
      <c r="E1218" s="73">
        <f>I1181</f>
        <v>1807.2</v>
      </c>
      <c r="F1218" s="73">
        <f>ROUND((D1218/E1218)/60,2)</f>
        <v>0.11</v>
      </c>
      <c r="G1218" s="73">
        <f>E1185</f>
        <v>10</v>
      </c>
      <c r="H1218" s="78">
        <f>ROUND(F1218*G1218,2)</f>
        <v>1.1000000000000001</v>
      </c>
    </row>
    <row r="1219" spans="2:10" hidden="1" x14ac:dyDescent="0.3">
      <c r="C1219" s="17" t="s">
        <v>952</v>
      </c>
      <c r="D1219" s="221">
        <f>D1214</f>
        <v>53.149721627408987</v>
      </c>
      <c r="E1219" s="73">
        <f>I1181</f>
        <v>1807.2</v>
      </c>
      <c r="F1219" s="73">
        <f>ROUND((D1219/E1219)/60,2)</f>
        <v>0</v>
      </c>
      <c r="G1219" s="73">
        <f>E1185</f>
        <v>10</v>
      </c>
      <c r="H1219" s="78">
        <f>ROUND(F1219*G1219,2)</f>
        <v>0</v>
      </c>
    </row>
    <row r="1220" spans="2:10" hidden="1" x14ac:dyDescent="0.3">
      <c r="C1220" s="17" t="s">
        <v>953</v>
      </c>
      <c r="D1220" s="221">
        <f>D1215</f>
        <v>374.98368308351178</v>
      </c>
      <c r="E1220" s="73">
        <f>I1181</f>
        <v>1807.2</v>
      </c>
      <c r="F1220" s="73">
        <f>ROUND((D1220/E1220)/60,2)</f>
        <v>0</v>
      </c>
      <c r="G1220" s="73">
        <f>E1185</f>
        <v>10</v>
      </c>
      <c r="H1220" s="78">
        <f>ROUND(F1220*G1220,2)</f>
        <v>0</v>
      </c>
    </row>
    <row r="1221" spans="2:10" hidden="1" x14ac:dyDescent="0.3">
      <c r="C1221" s="17" t="s">
        <v>1109</v>
      </c>
      <c r="D1221" s="221">
        <f>D1216</f>
        <v>1686.0389293361886</v>
      </c>
      <c r="E1221" s="73">
        <f>I1181</f>
        <v>1807.2</v>
      </c>
      <c r="F1221" s="73">
        <f>ROUND((D1221/E1221)/60,2)</f>
        <v>0.02</v>
      </c>
      <c r="G1221" s="73">
        <f>E1185</f>
        <v>10</v>
      </c>
      <c r="H1221" s="78">
        <f>ROUND(F1221*G1221,2)</f>
        <v>0.2</v>
      </c>
    </row>
    <row r="1222" spans="2:10" hidden="1" x14ac:dyDescent="0.3">
      <c r="C1222" s="1012" t="s">
        <v>957</v>
      </c>
      <c r="D1222" s="1013"/>
      <c r="E1222" s="1013"/>
      <c r="F1222" s="1013"/>
      <c r="G1222" s="1014"/>
      <c r="H1222" s="299">
        <f>SUM(H1213:H1221)</f>
        <v>3.9000000000000004</v>
      </c>
    </row>
    <row r="1223" spans="2:10" hidden="1" x14ac:dyDescent="0.3"/>
    <row r="1224" spans="2:10" hidden="1" x14ac:dyDescent="0.3">
      <c r="C1224" s="1015" t="s">
        <v>959</v>
      </c>
      <c r="D1224" s="1015"/>
      <c r="E1224" s="1015"/>
      <c r="F1224" s="1015"/>
      <c r="G1224" s="1015"/>
      <c r="H1224" s="334">
        <f>F1177+F1189+F1209+F1204</f>
        <v>225.39</v>
      </c>
    </row>
    <row r="1225" spans="2:10" hidden="1" x14ac:dyDescent="0.3">
      <c r="C1225" s="33"/>
      <c r="D1225" s="33"/>
      <c r="E1225" s="33"/>
      <c r="F1225" s="33"/>
      <c r="G1225" s="33"/>
      <c r="H1225" s="335"/>
    </row>
    <row r="1226" spans="2:10" hidden="1" x14ac:dyDescent="0.3">
      <c r="C1226" s="1015" t="s">
        <v>960</v>
      </c>
      <c r="D1226" s="1015"/>
      <c r="E1226" s="1015"/>
      <c r="F1226" s="1015"/>
      <c r="G1226" s="1015"/>
      <c r="H1226" s="334">
        <f>ROUND(H1224,0)</f>
        <v>225</v>
      </c>
    </row>
    <row r="1227" spans="2:10" hidden="1" x14ac:dyDescent="0.3"/>
    <row r="1228" spans="2:10" hidden="1" x14ac:dyDescent="0.3"/>
    <row r="1229" spans="2:10" ht="18.600000000000001" hidden="1" x14ac:dyDescent="0.3">
      <c r="B1229" s="1016" t="s">
        <v>958</v>
      </c>
      <c r="C1229" s="1016"/>
      <c r="D1229" s="1016"/>
      <c r="E1229" s="1016"/>
      <c r="F1229" s="1016"/>
      <c r="G1229" s="1016"/>
      <c r="H1229" s="1016"/>
      <c r="I1229" s="1016"/>
      <c r="J1229" s="1016"/>
    </row>
    <row r="1230" spans="2:10" ht="19.2" hidden="1" x14ac:dyDescent="0.35">
      <c r="B1230" s="53"/>
      <c r="C1230" s="53"/>
      <c r="D1230" s="225"/>
      <c r="E1230" s="225"/>
      <c r="F1230" s="225"/>
      <c r="G1230" s="225"/>
      <c r="H1230" s="225"/>
      <c r="I1230" s="53"/>
      <c r="J1230" s="53"/>
    </row>
    <row r="1231" spans="2:10" ht="19.2" hidden="1" x14ac:dyDescent="0.35">
      <c r="B1231" s="50" t="s">
        <v>211</v>
      </c>
      <c r="C1231" s="1017" t="str">
        <f>M30</f>
        <v>Визначення нейтралізуючих антитіл до коронавірусу</v>
      </c>
      <c r="D1231" s="1017"/>
      <c r="E1231" s="1017"/>
      <c r="F1231" s="296">
        <f>H1282</f>
        <v>367</v>
      </c>
      <c r="G1231" s="296" t="s">
        <v>971</v>
      </c>
      <c r="H1231" s="225"/>
      <c r="I1231" s="53"/>
      <c r="J1231" s="53"/>
    </row>
    <row r="1232" spans="2:10" hidden="1" x14ac:dyDescent="0.3"/>
    <row r="1233" spans="2:10" hidden="1" x14ac:dyDescent="0.3">
      <c r="C1233" s="1018" t="s">
        <v>932</v>
      </c>
      <c r="D1233" s="1018"/>
      <c r="E1233" s="297"/>
      <c r="F1233" s="298">
        <f>F1240+F1243+F1241</f>
        <v>35.56</v>
      </c>
      <c r="G1233" s="227" t="s">
        <v>971</v>
      </c>
    </row>
    <row r="1234" spans="2:10" hidden="1" x14ac:dyDescent="0.3"/>
    <row r="1235" spans="2:10" ht="27.6" hidden="1" x14ac:dyDescent="0.3">
      <c r="C1235" s="13" t="s">
        <v>929</v>
      </c>
      <c r="D1235" s="14" t="s">
        <v>928</v>
      </c>
      <c r="E1235" s="14" t="s">
        <v>514</v>
      </c>
      <c r="F1235" s="14" t="s">
        <v>515</v>
      </c>
      <c r="G1235" s="14" t="s">
        <v>962</v>
      </c>
      <c r="H1235" s="14" t="s">
        <v>926</v>
      </c>
      <c r="I1235" s="14" t="s">
        <v>516</v>
      </c>
      <c r="J1235" s="14" t="s">
        <v>961</v>
      </c>
    </row>
    <row r="1236" spans="2:10" hidden="1" x14ac:dyDescent="0.3">
      <c r="C1236" s="17" t="str">
        <f>C1180</f>
        <v>Лікар-лаборант</v>
      </c>
      <c r="D1236" s="73">
        <f>D1180</f>
        <v>10799.43</v>
      </c>
      <c r="E1236" s="78">
        <f>D1236*12</f>
        <v>129593.16</v>
      </c>
      <c r="F1236" s="73">
        <f>F1180</f>
        <v>8307.26</v>
      </c>
      <c r="G1236" s="73">
        <f>G1180</f>
        <v>4153.63</v>
      </c>
      <c r="H1236" s="78">
        <f>E1236+F1236+G1236</f>
        <v>142054.05000000002</v>
      </c>
      <c r="I1236" s="17">
        <v>1807.2</v>
      </c>
      <c r="J1236" s="16">
        <f>ROUND((H1236/I1236)/60,2)</f>
        <v>1.31</v>
      </c>
    </row>
    <row r="1237" spans="2:10" hidden="1" x14ac:dyDescent="0.3">
      <c r="C1237" s="17" t="str">
        <f>C1181</f>
        <v>Лаборант клінічної лабораторії</v>
      </c>
      <c r="D1237" s="73">
        <f>D1181</f>
        <v>7871.18</v>
      </c>
      <c r="E1237" s="78">
        <f>D1237*12</f>
        <v>94454.16</v>
      </c>
      <c r="F1237" s="73">
        <f>F1181</f>
        <v>6054.75</v>
      </c>
      <c r="G1237" s="73">
        <f>G1181</f>
        <v>3027.375</v>
      </c>
      <c r="H1237" s="78">
        <f>E1237+F1237+G1237</f>
        <v>103536.285</v>
      </c>
      <c r="I1237" s="17">
        <v>1807.2</v>
      </c>
      <c r="J1237" s="16">
        <f>ROUND((H1237/I1237)/60,2)</f>
        <v>0.95</v>
      </c>
    </row>
    <row r="1238" spans="2:10" hidden="1" x14ac:dyDescent="0.3"/>
    <row r="1239" spans="2:10" hidden="1" x14ac:dyDescent="0.3">
      <c r="C1239" s="13" t="s">
        <v>929</v>
      </c>
      <c r="D1239" s="14" t="s">
        <v>961</v>
      </c>
      <c r="E1239" s="14" t="s">
        <v>930</v>
      </c>
      <c r="F1239" s="14" t="s">
        <v>931</v>
      </c>
    </row>
    <row r="1240" spans="2:10" hidden="1" x14ac:dyDescent="0.3">
      <c r="C1240" s="15" t="str">
        <f>C1236</f>
        <v>Лікар-лаборант</v>
      </c>
      <c r="D1240" s="78">
        <f>J1236</f>
        <v>1.31</v>
      </c>
      <c r="E1240" s="73">
        <v>15</v>
      </c>
      <c r="F1240" s="299">
        <f>ROUND(D1240*E1240,2)</f>
        <v>19.649999999999999</v>
      </c>
    </row>
    <row r="1241" spans="2:10" hidden="1" x14ac:dyDescent="0.3">
      <c r="C1241" s="15" t="str">
        <f>C1237</f>
        <v>Лаборант клінічної лабораторії</v>
      </c>
      <c r="D1241" s="78">
        <f>J1237</f>
        <v>0.95</v>
      </c>
      <c r="E1241" s="73">
        <f>5+5</f>
        <v>10</v>
      </c>
      <c r="F1241" s="299">
        <f>ROUND(D1241*E1241,2)</f>
        <v>9.5</v>
      </c>
    </row>
    <row r="1242" spans="2:10" hidden="1" x14ac:dyDescent="0.3">
      <c r="D1242" s="19"/>
      <c r="E1242" s="74" t="s">
        <v>1016</v>
      </c>
    </row>
    <row r="1243" spans="2:10" hidden="1" x14ac:dyDescent="0.3">
      <c r="C1243" s="17" t="s">
        <v>933</v>
      </c>
      <c r="D1243" s="78">
        <f>F1240+F1241</f>
        <v>29.15</v>
      </c>
      <c r="E1243" s="300">
        <v>0.22</v>
      </c>
      <c r="F1243" s="301">
        <f>ROUND(D1243*E1243,2)</f>
        <v>6.41</v>
      </c>
    </row>
    <row r="1244" spans="2:10" hidden="1" x14ac:dyDescent="0.3"/>
    <row r="1245" spans="2:10" hidden="1" x14ac:dyDescent="0.3">
      <c r="C1245" s="12" t="s">
        <v>946</v>
      </c>
      <c r="D1245" s="227"/>
      <c r="E1245" s="227"/>
      <c r="F1245" s="227">
        <f>G1258</f>
        <v>327.34000000000003</v>
      </c>
      <c r="G1245" s="227" t="s">
        <v>971</v>
      </c>
    </row>
    <row r="1246" spans="2:10" hidden="1" x14ac:dyDescent="0.3"/>
    <row r="1247" spans="2:10" hidden="1" x14ac:dyDescent="0.3">
      <c r="B1247" s="82" t="s">
        <v>991</v>
      </c>
      <c r="C1247" s="83" t="s">
        <v>986</v>
      </c>
      <c r="D1247" s="83" t="s">
        <v>1112</v>
      </c>
      <c r="E1247" s="83" t="s">
        <v>988</v>
      </c>
      <c r="F1247" s="83" t="s">
        <v>1113</v>
      </c>
      <c r="G1247" s="82" t="s">
        <v>988</v>
      </c>
    </row>
    <row r="1248" spans="2:10" ht="28.2" hidden="1" x14ac:dyDescent="0.3">
      <c r="B1248" s="73">
        <v>1</v>
      </c>
      <c r="C1248" s="79" t="str">
        <f>'МЕДИЧНІ М'!B324</f>
        <v>Тест-система для визначення нейтралізуючих антитіл до коронавірусу</v>
      </c>
      <c r="D1248" s="75" t="s">
        <v>941</v>
      </c>
      <c r="E1248" s="75">
        <f>'МЕДИЧНІ М'!F324</f>
        <v>320</v>
      </c>
      <c r="F1248" s="86">
        <v>1</v>
      </c>
      <c r="G1248" s="88">
        <f>ROUND(E1248/F1248,2)</f>
        <v>320</v>
      </c>
    </row>
    <row r="1249" spans="2:10" hidden="1" x14ac:dyDescent="0.3">
      <c r="B1249" s="73">
        <f>1+B1248</f>
        <v>2</v>
      </c>
      <c r="C1249" s="79" t="str">
        <f t="shared" ref="C1249:F1257" si="38">C1193</f>
        <v>Наконечник для лабораторних дозаторів</v>
      </c>
      <c r="D1249" s="559" t="str">
        <f t="shared" si="38"/>
        <v>шт</v>
      </c>
      <c r="E1249" s="559">
        <f t="shared" si="38"/>
        <v>115</v>
      </c>
      <c r="F1249" s="559">
        <f t="shared" si="38"/>
        <v>1000</v>
      </c>
      <c r="G1249" s="88">
        <f>ROUND(E1249/F1249,2)</f>
        <v>0.12</v>
      </c>
    </row>
    <row r="1250" spans="2:10" hidden="1" x14ac:dyDescent="0.3">
      <c r="B1250" s="73">
        <f t="shared" ref="B1250:B1257" si="39">1+B1249</f>
        <v>3</v>
      </c>
      <c r="C1250" s="79" t="str">
        <f t="shared" si="38"/>
        <v>Вата</v>
      </c>
      <c r="D1250" s="559" t="str">
        <f t="shared" si="38"/>
        <v>шт</v>
      </c>
      <c r="E1250" s="559">
        <f t="shared" si="38"/>
        <v>6.72</v>
      </c>
      <c r="F1250" s="559">
        <f t="shared" si="38"/>
        <v>100</v>
      </c>
      <c r="G1250" s="78">
        <f>ROUND(E1250/F1250,2)</f>
        <v>7.0000000000000007E-2</v>
      </c>
    </row>
    <row r="1251" spans="2:10" hidden="1" x14ac:dyDescent="0.3">
      <c r="B1251" s="73">
        <f t="shared" si="39"/>
        <v>4</v>
      </c>
      <c r="C1251" s="79" t="str">
        <f t="shared" si="38"/>
        <v>Деззасоби</v>
      </c>
      <c r="D1251" s="559" t="str">
        <f t="shared" si="38"/>
        <v>мл</v>
      </c>
      <c r="E1251" s="559">
        <f t="shared" si="38"/>
        <v>0.5</v>
      </c>
      <c r="F1251" s="559">
        <f t="shared" si="38"/>
        <v>0.5</v>
      </c>
      <c r="G1251" s="78">
        <f>ROUND(E1251/F1251,2)</f>
        <v>1</v>
      </c>
    </row>
    <row r="1252" spans="2:10" hidden="1" x14ac:dyDescent="0.3">
      <c r="B1252" s="73">
        <f t="shared" si="39"/>
        <v>5</v>
      </c>
      <c r="C1252" s="79" t="str">
        <f t="shared" si="38"/>
        <v>Маска на резинці, стерильна.</v>
      </c>
      <c r="D1252" s="559" t="str">
        <f t="shared" si="38"/>
        <v>шт</v>
      </c>
      <c r="E1252" s="559">
        <f t="shared" si="38"/>
        <v>2</v>
      </c>
      <c r="F1252" s="559">
        <f t="shared" si="38"/>
        <v>0.5</v>
      </c>
      <c r="G1252" s="81">
        <f>ROUND(E1252*F1252,2)</f>
        <v>1</v>
      </c>
    </row>
    <row r="1253" spans="2:10" hidden="1" x14ac:dyDescent="0.3">
      <c r="B1253" s="73">
        <f t="shared" si="39"/>
        <v>6</v>
      </c>
      <c r="C1253" s="79" t="str">
        <f t="shared" si="38"/>
        <v>Мікрасепт</v>
      </c>
      <c r="D1253" s="559" t="str">
        <f t="shared" si="38"/>
        <v>мл</v>
      </c>
      <c r="E1253" s="559">
        <f t="shared" si="38"/>
        <v>0.3</v>
      </c>
      <c r="F1253" s="559">
        <f t="shared" si="38"/>
        <v>2</v>
      </c>
      <c r="G1253" s="88">
        <f>ROUND(E1253*F1253,2)</f>
        <v>0.6</v>
      </c>
    </row>
    <row r="1254" spans="2:10" hidden="1" x14ac:dyDescent="0.3">
      <c r="B1254" s="73">
        <f t="shared" si="39"/>
        <v>7</v>
      </c>
      <c r="C1254" s="79" t="str">
        <f t="shared" si="38"/>
        <v>Пробірка</v>
      </c>
      <c r="D1254" s="559" t="str">
        <f t="shared" si="38"/>
        <v>шт</v>
      </c>
      <c r="E1254" s="559">
        <f t="shared" si="38"/>
        <v>0.6</v>
      </c>
      <c r="F1254" s="559">
        <f t="shared" si="38"/>
        <v>1</v>
      </c>
      <c r="G1254" s="88">
        <f>ROUND(E1254/F1254,2)</f>
        <v>0.6</v>
      </c>
    </row>
    <row r="1255" spans="2:10" hidden="1" x14ac:dyDescent="0.3">
      <c r="B1255" s="73">
        <f t="shared" si="39"/>
        <v>8</v>
      </c>
      <c r="C1255" s="79" t="str">
        <f t="shared" si="38"/>
        <v>Рукавиці н/с</v>
      </c>
      <c r="D1255" s="559" t="str">
        <f t="shared" si="38"/>
        <v>шт</v>
      </c>
      <c r="E1255" s="559">
        <f t="shared" si="38"/>
        <v>2.8</v>
      </c>
      <c r="F1255" s="559">
        <f t="shared" si="38"/>
        <v>1</v>
      </c>
      <c r="G1255" s="88">
        <f>ROUND(E1255/F1255,2)</f>
        <v>2.8</v>
      </c>
    </row>
    <row r="1256" spans="2:10" hidden="1" x14ac:dyDescent="0.3">
      <c r="B1256" s="73">
        <f t="shared" si="39"/>
        <v>9</v>
      </c>
      <c r="C1256" s="79" t="str">
        <f t="shared" si="38"/>
        <v xml:space="preserve">Спирт 70% 100мл </v>
      </c>
      <c r="D1256" s="559" t="str">
        <f t="shared" si="38"/>
        <v>фл</v>
      </c>
      <c r="E1256" s="559">
        <f t="shared" si="38"/>
        <v>24.6</v>
      </c>
      <c r="F1256" s="559">
        <f t="shared" si="38"/>
        <v>100</v>
      </c>
      <c r="G1256" s="81">
        <f>ROUND(E1256/F1256,2)</f>
        <v>0.25</v>
      </c>
    </row>
    <row r="1257" spans="2:10" hidden="1" x14ac:dyDescent="0.3">
      <c r="B1257" s="73">
        <f t="shared" si="39"/>
        <v>10</v>
      </c>
      <c r="C1257" s="79" t="str">
        <f t="shared" si="38"/>
        <v>Шприц 5 мл</v>
      </c>
      <c r="D1257" s="559" t="str">
        <f t="shared" si="38"/>
        <v>шт</v>
      </c>
      <c r="E1257" s="559">
        <f t="shared" si="38"/>
        <v>0.9</v>
      </c>
      <c r="F1257" s="559">
        <f t="shared" si="38"/>
        <v>1</v>
      </c>
      <c r="G1257" s="81">
        <f>ROUND(E1257*F1257,2)</f>
        <v>0.9</v>
      </c>
    </row>
    <row r="1258" spans="2:10" hidden="1" x14ac:dyDescent="0.3">
      <c r="B1258" s="1012" t="s">
        <v>945</v>
      </c>
      <c r="C1258" s="1013"/>
      <c r="D1258" s="1013"/>
      <c r="E1258" s="1013"/>
      <c r="F1258" s="1014"/>
      <c r="G1258" s="572">
        <f>SUM(G1248:G1257)</f>
        <v>327.34000000000003</v>
      </c>
    </row>
    <row r="1259" spans="2:10" hidden="1" x14ac:dyDescent="0.3"/>
    <row r="1260" spans="2:10" hidden="1" x14ac:dyDescent="0.3">
      <c r="C1260" s="12" t="s">
        <v>968</v>
      </c>
      <c r="D1260" s="227"/>
      <c r="E1260" s="227"/>
      <c r="F1260" s="298">
        <f>H1263</f>
        <v>0.5</v>
      </c>
      <c r="G1260" s="227" t="s">
        <v>971</v>
      </c>
    </row>
    <row r="1261" spans="2:10" hidden="1" x14ac:dyDescent="0.3">
      <c r="C1261" s="22"/>
      <c r="D1261" s="36"/>
      <c r="E1261" s="36"/>
      <c r="F1261" s="302"/>
      <c r="G1261" s="36"/>
    </row>
    <row r="1262" spans="2:10" ht="27.6" hidden="1" x14ac:dyDescent="0.3">
      <c r="C1262" s="14" t="s">
        <v>513</v>
      </c>
      <c r="D1262" s="14" t="s">
        <v>1114</v>
      </c>
      <c r="E1262" s="14" t="s">
        <v>516</v>
      </c>
      <c r="F1262" s="14" t="s">
        <v>970</v>
      </c>
      <c r="G1262" s="14" t="s">
        <v>930</v>
      </c>
      <c r="H1262" s="14" t="s">
        <v>961</v>
      </c>
    </row>
    <row r="1263" spans="2:10" hidden="1" x14ac:dyDescent="0.3">
      <c r="B1263" s="554"/>
      <c r="C1263" s="552" t="str">
        <f>C1207</f>
        <v>LS-1100 Аналізатор імунофлуоресцентний</v>
      </c>
      <c r="D1263" s="574">
        <f>D1207</f>
        <v>6500</v>
      </c>
      <c r="E1263" s="531">
        <v>6500</v>
      </c>
      <c r="F1263" s="531">
        <f>ROUND((D1263/E1263)/60,2)</f>
        <v>0.02</v>
      </c>
      <c r="G1263" s="531">
        <f>E1241+E1240</f>
        <v>25</v>
      </c>
      <c r="H1263" s="573">
        <f>ROUND(F1263*G1263,2)</f>
        <v>0.5</v>
      </c>
      <c r="I1263" s="555"/>
      <c r="J1263" s="554"/>
    </row>
    <row r="1264" spans="2:10" hidden="1" x14ac:dyDescent="0.3"/>
    <row r="1265" spans="3:8" hidden="1" x14ac:dyDescent="0.3">
      <c r="C1265" s="12" t="s">
        <v>948</v>
      </c>
      <c r="D1265" s="227"/>
      <c r="E1265" s="227"/>
      <c r="F1265" s="298">
        <f>H1278</f>
        <v>3.25</v>
      </c>
      <c r="G1265" s="227" t="s">
        <v>971</v>
      </c>
    </row>
    <row r="1266" spans="3:8" hidden="1" x14ac:dyDescent="0.3">
      <c r="C1266" s="22"/>
      <c r="D1266" s="36"/>
      <c r="E1266" s="36"/>
      <c r="F1266" s="302"/>
    </row>
    <row r="1267" spans="3:8" ht="27.6" hidden="1" x14ac:dyDescent="0.3">
      <c r="C1267" s="14" t="s">
        <v>948</v>
      </c>
      <c r="D1267" s="14" t="s">
        <v>1110</v>
      </c>
      <c r="E1267" s="14" t="s">
        <v>516</v>
      </c>
      <c r="F1267" s="14" t="s">
        <v>954</v>
      </c>
      <c r="G1267" s="14" t="s">
        <v>930</v>
      </c>
      <c r="H1267" s="14" t="s">
        <v>1111</v>
      </c>
    </row>
    <row r="1268" spans="3:8" hidden="1" x14ac:dyDescent="0.3">
      <c r="C1268" s="1009" t="str">
        <f>C1236</f>
        <v>Лікар-лаборант</v>
      </c>
      <c r="D1268" s="1010"/>
      <c r="E1268" s="1010"/>
      <c r="F1268" s="1010"/>
      <c r="G1268" s="1010"/>
      <c r="H1268" s="1011"/>
    </row>
    <row r="1269" spans="3:8" hidden="1" x14ac:dyDescent="0.3">
      <c r="C1269" s="17" t="s">
        <v>951</v>
      </c>
      <c r="D1269" s="221">
        <f>D1213</f>
        <v>12188.608008565312</v>
      </c>
      <c r="E1269" s="73">
        <f>I1236</f>
        <v>1807.2</v>
      </c>
      <c r="F1269" s="73">
        <f>ROUND((D1269/E1269)/60,2)</f>
        <v>0.11</v>
      </c>
      <c r="G1269" s="73">
        <f>E1240</f>
        <v>15</v>
      </c>
      <c r="H1269" s="78">
        <f>ROUND(F1269*G1269,2)</f>
        <v>1.65</v>
      </c>
    </row>
    <row r="1270" spans="3:8" hidden="1" x14ac:dyDescent="0.3">
      <c r="C1270" s="17" t="s">
        <v>952</v>
      </c>
      <c r="D1270" s="221">
        <f>D1214</f>
        <v>53.149721627408987</v>
      </c>
      <c r="E1270" s="73">
        <f>I1236</f>
        <v>1807.2</v>
      </c>
      <c r="F1270" s="73">
        <f>ROUND((D1270/E1270)/60,2)</f>
        <v>0</v>
      </c>
      <c r="G1270" s="73">
        <f>E1240</f>
        <v>15</v>
      </c>
      <c r="H1270" s="78">
        <f>ROUND(F1270*G1270,2)</f>
        <v>0</v>
      </c>
    </row>
    <row r="1271" spans="3:8" hidden="1" x14ac:dyDescent="0.3">
      <c r="C1271" s="17" t="s">
        <v>953</v>
      </c>
      <c r="D1271" s="221">
        <f>D1215</f>
        <v>374.98368308351178</v>
      </c>
      <c r="E1271" s="73">
        <f>I1236</f>
        <v>1807.2</v>
      </c>
      <c r="F1271" s="73">
        <f>ROUND((D1271/E1271)/60,2)</f>
        <v>0</v>
      </c>
      <c r="G1271" s="73">
        <f>E1240</f>
        <v>15</v>
      </c>
      <c r="H1271" s="78">
        <f>ROUND(F1271*G1271,2)</f>
        <v>0</v>
      </c>
    </row>
    <row r="1272" spans="3:8" hidden="1" x14ac:dyDescent="0.3">
      <c r="C1272" s="17" t="s">
        <v>1109</v>
      </c>
      <c r="D1272" s="221">
        <f>D1216</f>
        <v>1686.0389293361886</v>
      </c>
      <c r="E1272" s="73">
        <f>I1236</f>
        <v>1807.2</v>
      </c>
      <c r="F1272" s="73">
        <f>ROUND((D1272/E1272)/60,2)</f>
        <v>0.02</v>
      </c>
      <c r="G1272" s="73">
        <f>E1240</f>
        <v>15</v>
      </c>
      <c r="H1272" s="78">
        <f>ROUND(F1272*G1272,2)</f>
        <v>0.3</v>
      </c>
    </row>
    <row r="1273" spans="3:8" hidden="1" x14ac:dyDescent="0.3">
      <c r="C1273" s="1009" t="str">
        <f>C1237</f>
        <v>Лаборант клінічної лабораторії</v>
      </c>
      <c r="D1273" s="1010"/>
      <c r="E1273" s="1010"/>
      <c r="F1273" s="1010"/>
      <c r="G1273" s="1010"/>
      <c r="H1273" s="1011"/>
    </row>
    <row r="1274" spans="3:8" hidden="1" x14ac:dyDescent="0.3">
      <c r="C1274" s="17" t="s">
        <v>951</v>
      </c>
      <c r="D1274" s="221">
        <f>D1269</f>
        <v>12188.608008565312</v>
      </c>
      <c r="E1274" s="73">
        <f>I1237</f>
        <v>1807.2</v>
      </c>
      <c r="F1274" s="73">
        <f>ROUND((D1274/E1274)/60,2)</f>
        <v>0.11</v>
      </c>
      <c r="G1274" s="73">
        <f>E1241</f>
        <v>10</v>
      </c>
      <c r="H1274" s="78">
        <f>ROUND(F1274*G1274,2)</f>
        <v>1.1000000000000001</v>
      </c>
    </row>
    <row r="1275" spans="3:8" hidden="1" x14ac:dyDescent="0.3">
      <c r="C1275" s="17" t="s">
        <v>952</v>
      </c>
      <c r="D1275" s="221">
        <f>D1270</f>
        <v>53.149721627408987</v>
      </c>
      <c r="E1275" s="73">
        <f>I1237</f>
        <v>1807.2</v>
      </c>
      <c r="F1275" s="73">
        <f>ROUND((D1275/E1275)/60,2)</f>
        <v>0</v>
      </c>
      <c r="G1275" s="73">
        <f>E1241</f>
        <v>10</v>
      </c>
      <c r="H1275" s="78">
        <f>ROUND(F1275*G1275,2)</f>
        <v>0</v>
      </c>
    </row>
    <row r="1276" spans="3:8" hidden="1" x14ac:dyDescent="0.3">
      <c r="C1276" s="17" t="s">
        <v>953</v>
      </c>
      <c r="D1276" s="221">
        <f>D1271</f>
        <v>374.98368308351178</v>
      </c>
      <c r="E1276" s="73">
        <f>I1237</f>
        <v>1807.2</v>
      </c>
      <c r="F1276" s="73">
        <f>ROUND((D1276/E1276)/60,2)</f>
        <v>0</v>
      </c>
      <c r="G1276" s="73">
        <f>E1241</f>
        <v>10</v>
      </c>
      <c r="H1276" s="78">
        <f>ROUND(F1276*G1276,2)</f>
        <v>0</v>
      </c>
    </row>
    <row r="1277" spans="3:8" hidden="1" x14ac:dyDescent="0.3">
      <c r="C1277" s="17" t="s">
        <v>1109</v>
      </c>
      <c r="D1277" s="221">
        <f>D1272</f>
        <v>1686.0389293361886</v>
      </c>
      <c r="E1277" s="73">
        <f>I1237</f>
        <v>1807.2</v>
      </c>
      <c r="F1277" s="73">
        <f>ROUND((D1277/E1277)/60,2)</f>
        <v>0.02</v>
      </c>
      <c r="G1277" s="73">
        <f>E1241</f>
        <v>10</v>
      </c>
      <c r="H1277" s="78">
        <f>ROUND(F1277*G1277,2)</f>
        <v>0.2</v>
      </c>
    </row>
    <row r="1278" spans="3:8" hidden="1" x14ac:dyDescent="0.3">
      <c r="C1278" s="1012" t="s">
        <v>957</v>
      </c>
      <c r="D1278" s="1013"/>
      <c r="E1278" s="1013"/>
      <c r="F1278" s="1013"/>
      <c r="G1278" s="1014"/>
      <c r="H1278" s="299">
        <f>SUM(H1269:H1277)</f>
        <v>3.25</v>
      </c>
    </row>
    <row r="1279" spans="3:8" hidden="1" x14ac:dyDescent="0.3"/>
    <row r="1280" spans="3:8" hidden="1" x14ac:dyDescent="0.3">
      <c r="C1280" s="1015" t="s">
        <v>959</v>
      </c>
      <c r="D1280" s="1015"/>
      <c r="E1280" s="1015"/>
      <c r="F1280" s="1015"/>
      <c r="G1280" s="1015"/>
      <c r="H1280" s="334">
        <f>F1233+F1245+F1265+F1260</f>
        <v>366.65000000000003</v>
      </c>
    </row>
    <row r="1281" spans="2:10" hidden="1" x14ac:dyDescent="0.3">
      <c r="C1281" s="33"/>
      <c r="D1281" s="33"/>
      <c r="E1281" s="33"/>
      <c r="F1281" s="33"/>
      <c r="G1281" s="33"/>
      <c r="H1281" s="335"/>
    </row>
    <row r="1282" spans="2:10" hidden="1" x14ac:dyDescent="0.3">
      <c r="C1282" s="1015" t="s">
        <v>960</v>
      </c>
      <c r="D1282" s="1015"/>
      <c r="E1282" s="1015"/>
      <c r="F1282" s="1015"/>
      <c r="G1282" s="1015"/>
      <c r="H1282" s="334">
        <f>ROUND(H1280,0)</f>
        <v>367</v>
      </c>
    </row>
    <row r="1283" spans="2:10" hidden="1" x14ac:dyDescent="0.3"/>
    <row r="1284" spans="2:10" hidden="1" x14ac:dyDescent="0.3"/>
    <row r="1285" spans="2:10" ht="18.600000000000001" hidden="1" x14ac:dyDescent="0.3">
      <c r="B1285" s="1016" t="s">
        <v>958</v>
      </c>
      <c r="C1285" s="1016"/>
      <c r="D1285" s="1016"/>
      <c r="E1285" s="1016"/>
      <c r="F1285" s="1016"/>
      <c r="G1285" s="1016"/>
      <c r="H1285" s="1016"/>
      <c r="I1285" s="1016"/>
      <c r="J1285" s="1016"/>
    </row>
    <row r="1286" spans="2:10" ht="19.2" hidden="1" x14ac:dyDescent="0.35">
      <c r="B1286" s="53"/>
      <c r="C1286" s="53"/>
      <c r="D1286" s="225"/>
      <c r="E1286" s="225"/>
      <c r="F1286" s="225"/>
      <c r="G1286" s="225"/>
      <c r="H1286" s="225"/>
      <c r="I1286" s="53"/>
      <c r="J1286" s="53"/>
    </row>
    <row r="1287" spans="2:10" ht="19.2" hidden="1" x14ac:dyDescent="0.35">
      <c r="B1287" s="50" t="s">
        <v>215</v>
      </c>
      <c r="C1287" s="1017" t="str">
        <f>M31</f>
        <v>Визначення феритину</v>
      </c>
      <c r="D1287" s="1017"/>
      <c r="E1287" s="1017"/>
      <c r="F1287" s="296">
        <f>H1338</f>
        <v>242</v>
      </c>
      <c r="G1287" s="296" t="s">
        <v>971</v>
      </c>
      <c r="H1287" s="225"/>
      <c r="I1287" s="53"/>
      <c r="J1287" s="53"/>
    </row>
    <row r="1288" spans="2:10" hidden="1" x14ac:dyDescent="0.3"/>
    <row r="1289" spans="2:10" hidden="1" x14ac:dyDescent="0.3">
      <c r="C1289" s="1018" t="s">
        <v>932</v>
      </c>
      <c r="D1289" s="1018"/>
      <c r="E1289" s="297"/>
      <c r="F1289" s="298">
        <f>F1296+F1299+F1297</f>
        <v>35.56</v>
      </c>
      <c r="G1289" s="227" t="s">
        <v>971</v>
      </c>
    </row>
    <row r="1290" spans="2:10" hidden="1" x14ac:dyDescent="0.3"/>
    <row r="1291" spans="2:10" ht="27.6" hidden="1" x14ac:dyDescent="0.3">
      <c r="C1291" s="13" t="s">
        <v>929</v>
      </c>
      <c r="D1291" s="14" t="s">
        <v>928</v>
      </c>
      <c r="E1291" s="14" t="s">
        <v>514</v>
      </c>
      <c r="F1291" s="14" t="s">
        <v>515</v>
      </c>
      <c r="G1291" s="14" t="s">
        <v>962</v>
      </c>
      <c r="H1291" s="14" t="s">
        <v>926</v>
      </c>
      <c r="I1291" s="14" t="s">
        <v>516</v>
      </c>
      <c r="J1291" s="14" t="s">
        <v>961</v>
      </c>
    </row>
    <row r="1292" spans="2:10" hidden="1" x14ac:dyDescent="0.3">
      <c r="C1292" s="17" t="str">
        <f>C1236</f>
        <v>Лікар-лаборант</v>
      </c>
      <c r="D1292" s="73">
        <f>D1236</f>
        <v>10799.43</v>
      </c>
      <c r="E1292" s="78">
        <f>D1292*12</f>
        <v>129593.16</v>
      </c>
      <c r="F1292" s="73">
        <f>F1236</f>
        <v>8307.26</v>
      </c>
      <c r="G1292" s="73">
        <f>G1236</f>
        <v>4153.63</v>
      </c>
      <c r="H1292" s="78">
        <f>E1292+F1292+G1292</f>
        <v>142054.05000000002</v>
      </c>
      <c r="I1292" s="17">
        <v>1807.2</v>
      </c>
      <c r="J1292" s="16">
        <f>ROUND((H1292/I1292)/60,2)</f>
        <v>1.31</v>
      </c>
    </row>
    <row r="1293" spans="2:10" hidden="1" x14ac:dyDescent="0.3">
      <c r="C1293" s="17" t="str">
        <f>C1237</f>
        <v>Лаборант клінічної лабораторії</v>
      </c>
      <c r="D1293" s="73">
        <f>D1237</f>
        <v>7871.18</v>
      </c>
      <c r="E1293" s="78">
        <f>D1293*12</f>
        <v>94454.16</v>
      </c>
      <c r="F1293" s="73">
        <f>F1237</f>
        <v>6054.75</v>
      </c>
      <c r="G1293" s="73">
        <f>G1237</f>
        <v>3027.375</v>
      </c>
      <c r="H1293" s="78">
        <f>E1293+F1293+G1293</f>
        <v>103536.285</v>
      </c>
      <c r="I1293" s="17">
        <v>1807.2</v>
      </c>
      <c r="J1293" s="16">
        <f>ROUND((H1293/I1293)/60,2)</f>
        <v>0.95</v>
      </c>
    </row>
    <row r="1294" spans="2:10" hidden="1" x14ac:dyDescent="0.3"/>
    <row r="1295" spans="2:10" hidden="1" x14ac:dyDescent="0.3">
      <c r="C1295" s="13" t="s">
        <v>929</v>
      </c>
      <c r="D1295" s="14" t="s">
        <v>961</v>
      </c>
      <c r="E1295" s="14" t="s">
        <v>930</v>
      </c>
      <c r="F1295" s="14" t="s">
        <v>931</v>
      </c>
    </row>
    <row r="1296" spans="2:10" hidden="1" x14ac:dyDescent="0.3">
      <c r="C1296" s="15" t="str">
        <f>C1292</f>
        <v>Лікар-лаборант</v>
      </c>
      <c r="D1296" s="78">
        <f>J1292</f>
        <v>1.31</v>
      </c>
      <c r="E1296" s="73">
        <v>15</v>
      </c>
      <c r="F1296" s="299">
        <f>ROUND(D1296*E1296,2)</f>
        <v>19.649999999999999</v>
      </c>
    </row>
    <row r="1297" spans="2:7" hidden="1" x14ac:dyDescent="0.3">
      <c r="C1297" s="15" t="str">
        <f>C1293</f>
        <v>Лаборант клінічної лабораторії</v>
      </c>
      <c r="D1297" s="78">
        <f>J1293</f>
        <v>0.95</v>
      </c>
      <c r="E1297" s="73">
        <f>5+5</f>
        <v>10</v>
      </c>
      <c r="F1297" s="299">
        <f>ROUND(D1297*E1297,2)</f>
        <v>9.5</v>
      </c>
    </row>
    <row r="1298" spans="2:7" hidden="1" x14ac:dyDescent="0.3">
      <c r="D1298" s="19"/>
      <c r="E1298" s="74" t="s">
        <v>1016</v>
      </c>
    </row>
    <row r="1299" spans="2:7" hidden="1" x14ac:dyDescent="0.3">
      <c r="C1299" s="17" t="s">
        <v>933</v>
      </c>
      <c r="D1299" s="78">
        <f>F1296+F1297</f>
        <v>29.15</v>
      </c>
      <c r="E1299" s="300">
        <v>0.22</v>
      </c>
      <c r="F1299" s="301">
        <f>ROUND(D1299*E1299,2)</f>
        <v>6.41</v>
      </c>
    </row>
    <row r="1300" spans="2:7" hidden="1" x14ac:dyDescent="0.3"/>
    <row r="1301" spans="2:7" hidden="1" x14ac:dyDescent="0.3">
      <c r="C1301" s="12" t="s">
        <v>946</v>
      </c>
      <c r="D1301" s="227"/>
      <c r="E1301" s="227"/>
      <c r="F1301" s="227">
        <f>G1314</f>
        <v>202.34</v>
      </c>
      <c r="G1301" s="227" t="s">
        <v>971</v>
      </c>
    </row>
    <row r="1302" spans="2:7" hidden="1" x14ac:dyDescent="0.3"/>
    <row r="1303" spans="2:7" hidden="1" x14ac:dyDescent="0.3">
      <c r="B1303" s="82" t="s">
        <v>991</v>
      </c>
      <c r="C1303" s="83" t="s">
        <v>986</v>
      </c>
      <c r="D1303" s="83" t="s">
        <v>1112</v>
      </c>
      <c r="E1303" s="83" t="s">
        <v>988</v>
      </c>
      <c r="F1303" s="83" t="s">
        <v>1113</v>
      </c>
      <c r="G1303" s="82" t="s">
        <v>988</v>
      </c>
    </row>
    <row r="1304" spans="2:7" hidden="1" x14ac:dyDescent="0.3">
      <c r="B1304" s="73">
        <v>1</v>
      </c>
      <c r="C1304" s="79" t="str">
        <f>'МЕДИЧНІ М'!B325</f>
        <v>Тест-система для визначення феритину</v>
      </c>
      <c r="D1304" s="75" t="s">
        <v>941</v>
      </c>
      <c r="E1304" s="75">
        <f>'МЕДИЧНІ М'!F325</f>
        <v>195</v>
      </c>
      <c r="F1304" s="86">
        <v>1</v>
      </c>
      <c r="G1304" s="88">
        <f>ROUND(E1304/F1304,2)</f>
        <v>195</v>
      </c>
    </row>
    <row r="1305" spans="2:7" hidden="1" x14ac:dyDescent="0.3">
      <c r="B1305" s="73">
        <f>1+B1304</f>
        <v>2</v>
      </c>
      <c r="C1305" s="79" t="str">
        <f t="shared" ref="C1305:F1313" si="40">C1249</f>
        <v>Наконечник для лабораторних дозаторів</v>
      </c>
      <c r="D1305" s="559" t="str">
        <f t="shared" si="40"/>
        <v>шт</v>
      </c>
      <c r="E1305" s="559">
        <f t="shared" si="40"/>
        <v>115</v>
      </c>
      <c r="F1305" s="559">
        <f t="shared" si="40"/>
        <v>1000</v>
      </c>
      <c r="G1305" s="88">
        <f>ROUND(E1305/F1305,2)</f>
        <v>0.12</v>
      </c>
    </row>
    <row r="1306" spans="2:7" hidden="1" x14ac:dyDescent="0.3">
      <c r="B1306" s="73">
        <f t="shared" ref="B1306:B1313" si="41">1+B1305</f>
        <v>3</v>
      </c>
      <c r="C1306" s="79" t="str">
        <f t="shared" si="40"/>
        <v>Вата</v>
      </c>
      <c r="D1306" s="559" t="str">
        <f t="shared" si="40"/>
        <v>шт</v>
      </c>
      <c r="E1306" s="559">
        <f t="shared" si="40"/>
        <v>6.72</v>
      </c>
      <c r="F1306" s="559">
        <f t="shared" si="40"/>
        <v>100</v>
      </c>
      <c r="G1306" s="78">
        <f>ROUND(E1306/F1306,2)</f>
        <v>7.0000000000000007E-2</v>
      </c>
    </row>
    <row r="1307" spans="2:7" hidden="1" x14ac:dyDescent="0.3">
      <c r="B1307" s="73">
        <f t="shared" si="41"/>
        <v>4</v>
      </c>
      <c r="C1307" s="79" t="str">
        <f t="shared" si="40"/>
        <v>Деззасоби</v>
      </c>
      <c r="D1307" s="559" t="str">
        <f t="shared" si="40"/>
        <v>мл</v>
      </c>
      <c r="E1307" s="559">
        <f t="shared" si="40"/>
        <v>0.5</v>
      </c>
      <c r="F1307" s="559">
        <f t="shared" si="40"/>
        <v>0.5</v>
      </c>
      <c r="G1307" s="78">
        <f>ROUND(E1307/F1307,2)</f>
        <v>1</v>
      </c>
    </row>
    <row r="1308" spans="2:7" hidden="1" x14ac:dyDescent="0.3">
      <c r="B1308" s="73">
        <f t="shared" si="41"/>
        <v>5</v>
      </c>
      <c r="C1308" s="79" t="str">
        <f t="shared" si="40"/>
        <v>Маска на резинці, стерильна.</v>
      </c>
      <c r="D1308" s="559" t="str">
        <f t="shared" si="40"/>
        <v>шт</v>
      </c>
      <c r="E1308" s="559">
        <f t="shared" si="40"/>
        <v>2</v>
      </c>
      <c r="F1308" s="559">
        <f t="shared" si="40"/>
        <v>0.5</v>
      </c>
      <c r="G1308" s="81">
        <f>ROUND(E1308*F1308,2)</f>
        <v>1</v>
      </c>
    </row>
    <row r="1309" spans="2:7" hidden="1" x14ac:dyDescent="0.3">
      <c r="B1309" s="73">
        <f t="shared" si="41"/>
        <v>6</v>
      </c>
      <c r="C1309" s="79" t="str">
        <f t="shared" si="40"/>
        <v>Мікрасепт</v>
      </c>
      <c r="D1309" s="559" t="str">
        <f t="shared" si="40"/>
        <v>мл</v>
      </c>
      <c r="E1309" s="559">
        <f t="shared" si="40"/>
        <v>0.3</v>
      </c>
      <c r="F1309" s="559">
        <f t="shared" si="40"/>
        <v>2</v>
      </c>
      <c r="G1309" s="88">
        <f>ROUND(E1309*F1309,2)</f>
        <v>0.6</v>
      </c>
    </row>
    <row r="1310" spans="2:7" hidden="1" x14ac:dyDescent="0.3">
      <c r="B1310" s="73">
        <f t="shared" si="41"/>
        <v>7</v>
      </c>
      <c r="C1310" s="79" t="str">
        <f t="shared" si="40"/>
        <v>Пробірка</v>
      </c>
      <c r="D1310" s="559" t="str">
        <f t="shared" si="40"/>
        <v>шт</v>
      </c>
      <c r="E1310" s="559">
        <f t="shared" si="40"/>
        <v>0.6</v>
      </c>
      <c r="F1310" s="559">
        <f t="shared" si="40"/>
        <v>1</v>
      </c>
      <c r="G1310" s="88">
        <f>ROUND(E1310/F1310,2)</f>
        <v>0.6</v>
      </c>
    </row>
    <row r="1311" spans="2:7" hidden="1" x14ac:dyDescent="0.3">
      <c r="B1311" s="73">
        <f t="shared" si="41"/>
        <v>8</v>
      </c>
      <c r="C1311" s="79" t="str">
        <f t="shared" si="40"/>
        <v>Рукавиці н/с</v>
      </c>
      <c r="D1311" s="559" t="str">
        <f t="shared" si="40"/>
        <v>шт</v>
      </c>
      <c r="E1311" s="559">
        <f t="shared" si="40"/>
        <v>2.8</v>
      </c>
      <c r="F1311" s="559">
        <f t="shared" si="40"/>
        <v>1</v>
      </c>
      <c r="G1311" s="88">
        <f>ROUND(E1311/F1311,2)</f>
        <v>2.8</v>
      </c>
    </row>
    <row r="1312" spans="2:7" hidden="1" x14ac:dyDescent="0.3">
      <c r="B1312" s="73">
        <f t="shared" si="41"/>
        <v>9</v>
      </c>
      <c r="C1312" s="79" t="str">
        <f t="shared" si="40"/>
        <v xml:space="preserve">Спирт 70% 100мл </v>
      </c>
      <c r="D1312" s="559" t="str">
        <f t="shared" si="40"/>
        <v>фл</v>
      </c>
      <c r="E1312" s="559">
        <f t="shared" si="40"/>
        <v>24.6</v>
      </c>
      <c r="F1312" s="559">
        <f t="shared" si="40"/>
        <v>100</v>
      </c>
      <c r="G1312" s="81">
        <f>ROUND(E1312/F1312,2)</f>
        <v>0.25</v>
      </c>
    </row>
    <row r="1313" spans="2:10" hidden="1" x14ac:dyDescent="0.3">
      <c r="B1313" s="73">
        <f t="shared" si="41"/>
        <v>10</v>
      </c>
      <c r="C1313" s="79" t="str">
        <f t="shared" si="40"/>
        <v>Шприц 5 мл</v>
      </c>
      <c r="D1313" s="559" t="str">
        <f t="shared" si="40"/>
        <v>шт</v>
      </c>
      <c r="E1313" s="559">
        <f t="shared" si="40"/>
        <v>0.9</v>
      </c>
      <c r="F1313" s="559">
        <f t="shared" si="40"/>
        <v>1</v>
      </c>
      <c r="G1313" s="81">
        <f>ROUND(E1313*F1313,2)</f>
        <v>0.9</v>
      </c>
    </row>
    <row r="1314" spans="2:10" hidden="1" x14ac:dyDescent="0.3">
      <c r="B1314" s="1012" t="s">
        <v>945</v>
      </c>
      <c r="C1314" s="1013"/>
      <c r="D1314" s="1013"/>
      <c r="E1314" s="1013"/>
      <c r="F1314" s="1014"/>
      <c r="G1314" s="572">
        <f>SUM(G1304:G1313)</f>
        <v>202.34</v>
      </c>
    </row>
    <row r="1315" spans="2:10" hidden="1" x14ac:dyDescent="0.3"/>
    <row r="1316" spans="2:10" hidden="1" x14ac:dyDescent="0.3">
      <c r="C1316" s="12" t="s">
        <v>968</v>
      </c>
      <c r="D1316" s="227"/>
      <c r="E1316" s="227"/>
      <c r="F1316" s="298">
        <f>H1319</f>
        <v>0.5</v>
      </c>
      <c r="G1316" s="227" t="s">
        <v>971</v>
      </c>
    </row>
    <row r="1317" spans="2:10" hidden="1" x14ac:dyDescent="0.3">
      <c r="C1317" s="22"/>
      <c r="D1317" s="36"/>
      <c r="E1317" s="36"/>
      <c r="F1317" s="302"/>
      <c r="G1317" s="36"/>
    </row>
    <row r="1318" spans="2:10" ht="27.6" hidden="1" x14ac:dyDescent="0.3">
      <c r="C1318" s="14" t="s">
        <v>513</v>
      </c>
      <c r="D1318" s="14" t="s">
        <v>1114</v>
      </c>
      <c r="E1318" s="14" t="s">
        <v>516</v>
      </c>
      <c r="F1318" s="14" t="s">
        <v>970</v>
      </c>
      <c r="G1318" s="14" t="s">
        <v>930</v>
      </c>
      <c r="H1318" s="14" t="s">
        <v>961</v>
      </c>
    </row>
    <row r="1319" spans="2:10" hidden="1" x14ac:dyDescent="0.3">
      <c r="B1319" s="554"/>
      <c r="C1319" s="552" t="str">
        <f>C1263</f>
        <v>LS-1100 Аналізатор імунофлуоресцентний</v>
      </c>
      <c r="D1319" s="574">
        <f>D1263</f>
        <v>6500</v>
      </c>
      <c r="E1319" s="531">
        <v>6500</v>
      </c>
      <c r="F1319" s="531">
        <f>ROUND((D1319/E1319)/60,2)</f>
        <v>0.02</v>
      </c>
      <c r="G1319" s="531">
        <f>E1297+E1296</f>
        <v>25</v>
      </c>
      <c r="H1319" s="573">
        <f>ROUND(F1319*G1319,2)</f>
        <v>0.5</v>
      </c>
      <c r="I1319" s="555"/>
      <c r="J1319" s="554"/>
    </row>
    <row r="1320" spans="2:10" hidden="1" x14ac:dyDescent="0.3"/>
    <row r="1321" spans="2:10" hidden="1" x14ac:dyDescent="0.3">
      <c r="C1321" s="12" t="s">
        <v>948</v>
      </c>
      <c r="D1321" s="227"/>
      <c r="E1321" s="227"/>
      <c r="F1321" s="298">
        <f>H1334</f>
        <v>3.25</v>
      </c>
      <c r="G1321" s="227" t="s">
        <v>971</v>
      </c>
    </row>
    <row r="1322" spans="2:10" hidden="1" x14ac:dyDescent="0.3">
      <c r="C1322" s="22"/>
      <c r="D1322" s="36"/>
      <c r="E1322" s="36"/>
      <c r="F1322" s="302"/>
    </row>
    <row r="1323" spans="2:10" ht="27.6" hidden="1" x14ac:dyDescent="0.3">
      <c r="C1323" s="14" t="s">
        <v>948</v>
      </c>
      <c r="D1323" s="14" t="s">
        <v>1110</v>
      </c>
      <c r="E1323" s="14" t="s">
        <v>516</v>
      </c>
      <c r="F1323" s="14" t="s">
        <v>954</v>
      </c>
      <c r="G1323" s="14" t="s">
        <v>930</v>
      </c>
      <c r="H1323" s="14" t="s">
        <v>1111</v>
      </c>
    </row>
    <row r="1324" spans="2:10" hidden="1" x14ac:dyDescent="0.3">
      <c r="C1324" s="1009" t="str">
        <f>C1292</f>
        <v>Лікар-лаборант</v>
      </c>
      <c r="D1324" s="1010"/>
      <c r="E1324" s="1010"/>
      <c r="F1324" s="1010"/>
      <c r="G1324" s="1010"/>
      <c r="H1324" s="1011"/>
    </row>
    <row r="1325" spans="2:10" hidden="1" x14ac:dyDescent="0.3">
      <c r="C1325" s="17" t="s">
        <v>951</v>
      </c>
      <c r="D1325" s="221">
        <f>D1269</f>
        <v>12188.608008565312</v>
      </c>
      <c r="E1325" s="73">
        <f>I1292</f>
        <v>1807.2</v>
      </c>
      <c r="F1325" s="73">
        <f>ROUND((D1325/E1325)/60,2)</f>
        <v>0.11</v>
      </c>
      <c r="G1325" s="73">
        <f>E1296</f>
        <v>15</v>
      </c>
      <c r="H1325" s="78">
        <f>ROUND(F1325*G1325,2)</f>
        <v>1.65</v>
      </c>
    </row>
    <row r="1326" spans="2:10" hidden="1" x14ac:dyDescent="0.3">
      <c r="C1326" s="17" t="s">
        <v>952</v>
      </c>
      <c r="D1326" s="221">
        <f>D1270</f>
        <v>53.149721627408987</v>
      </c>
      <c r="E1326" s="73">
        <f>I1292</f>
        <v>1807.2</v>
      </c>
      <c r="F1326" s="73">
        <f>ROUND((D1326/E1326)/60,2)</f>
        <v>0</v>
      </c>
      <c r="G1326" s="73">
        <f>E1296</f>
        <v>15</v>
      </c>
      <c r="H1326" s="78">
        <f>ROUND(F1326*G1326,2)</f>
        <v>0</v>
      </c>
    </row>
    <row r="1327" spans="2:10" hidden="1" x14ac:dyDescent="0.3">
      <c r="C1327" s="17" t="s">
        <v>953</v>
      </c>
      <c r="D1327" s="221">
        <f>D1271</f>
        <v>374.98368308351178</v>
      </c>
      <c r="E1327" s="73">
        <f>I1292</f>
        <v>1807.2</v>
      </c>
      <c r="F1327" s="73">
        <f>ROUND((D1327/E1327)/60,2)</f>
        <v>0</v>
      </c>
      <c r="G1327" s="73">
        <f>E1296</f>
        <v>15</v>
      </c>
      <c r="H1327" s="78">
        <f>ROUND(F1327*G1327,2)</f>
        <v>0</v>
      </c>
    </row>
    <row r="1328" spans="2:10" hidden="1" x14ac:dyDescent="0.3">
      <c r="C1328" s="17" t="s">
        <v>1109</v>
      </c>
      <c r="D1328" s="221">
        <f>D1272</f>
        <v>1686.0389293361886</v>
      </c>
      <c r="E1328" s="73">
        <f>I1292</f>
        <v>1807.2</v>
      </c>
      <c r="F1328" s="73">
        <f>ROUND((D1328/E1328)/60,2)</f>
        <v>0.02</v>
      </c>
      <c r="G1328" s="73">
        <f>E1296</f>
        <v>15</v>
      </c>
      <c r="H1328" s="78">
        <f>ROUND(F1328*G1328,2)</f>
        <v>0.3</v>
      </c>
    </row>
    <row r="1329" spans="2:10" hidden="1" x14ac:dyDescent="0.3">
      <c r="C1329" s="1009" t="str">
        <f>C1293</f>
        <v>Лаборант клінічної лабораторії</v>
      </c>
      <c r="D1329" s="1010"/>
      <c r="E1329" s="1010"/>
      <c r="F1329" s="1010"/>
      <c r="G1329" s="1010"/>
      <c r="H1329" s="1011"/>
    </row>
    <row r="1330" spans="2:10" hidden="1" x14ac:dyDescent="0.3">
      <c r="C1330" s="17" t="s">
        <v>951</v>
      </c>
      <c r="D1330" s="221">
        <f>D1325</f>
        <v>12188.608008565312</v>
      </c>
      <c r="E1330" s="73">
        <f>I1293</f>
        <v>1807.2</v>
      </c>
      <c r="F1330" s="73">
        <f>ROUND((D1330/E1330)/60,2)</f>
        <v>0.11</v>
      </c>
      <c r="G1330" s="73">
        <f>E1297</f>
        <v>10</v>
      </c>
      <c r="H1330" s="78">
        <f>ROUND(F1330*G1330,2)</f>
        <v>1.1000000000000001</v>
      </c>
    </row>
    <row r="1331" spans="2:10" hidden="1" x14ac:dyDescent="0.3">
      <c r="C1331" s="17" t="s">
        <v>952</v>
      </c>
      <c r="D1331" s="221">
        <f>D1326</f>
        <v>53.149721627408987</v>
      </c>
      <c r="E1331" s="73">
        <f>I1293</f>
        <v>1807.2</v>
      </c>
      <c r="F1331" s="73">
        <f>ROUND((D1331/E1331)/60,2)</f>
        <v>0</v>
      </c>
      <c r="G1331" s="73">
        <f>E1297</f>
        <v>10</v>
      </c>
      <c r="H1331" s="78">
        <f>ROUND(F1331*G1331,2)</f>
        <v>0</v>
      </c>
    </row>
    <row r="1332" spans="2:10" hidden="1" x14ac:dyDescent="0.3">
      <c r="C1332" s="17" t="s">
        <v>953</v>
      </c>
      <c r="D1332" s="221">
        <f>D1327</f>
        <v>374.98368308351178</v>
      </c>
      <c r="E1332" s="73">
        <f>I1293</f>
        <v>1807.2</v>
      </c>
      <c r="F1332" s="73">
        <f>ROUND((D1332/E1332)/60,2)</f>
        <v>0</v>
      </c>
      <c r="G1332" s="73">
        <f>E1297</f>
        <v>10</v>
      </c>
      <c r="H1332" s="78">
        <f>ROUND(F1332*G1332,2)</f>
        <v>0</v>
      </c>
    </row>
    <row r="1333" spans="2:10" hidden="1" x14ac:dyDescent="0.3">
      <c r="C1333" s="17" t="s">
        <v>1109</v>
      </c>
      <c r="D1333" s="221">
        <f>D1328</f>
        <v>1686.0389293361886</v>
      </c>
      <c r="E1333" s="73">
        <f>I1293</f>
        <v>1807.2</v>
      </c>
      <c r="F1333" s="73">
        <f>ROUND((D1333/E1333)/60,2)</f>
        <v>0.02</v>
      </c>
      <c r="G1333" s="73">
        <f>E1297</f>
        <v>10</v>
      </c>
      <c r="H1333" s="78">
        <f>ROUND(F1333*G1333,2)</f>
        <v>0.2</v>
      </c>
    </row>
    <row r="1334" spans="2:10" hidden="1" x14ac:dyDescent="0.3">
      <c r="C1334" s="1012" t="s">
        <v>957</v>
      </c>
      <c r="D1334" s="1013"/>
      <c r="E1334" s="1013"/>
      <c r="F1334" s="1013"/>
      <c r="G1334" s="1014"/>
      <c r="H1334" s="299">
        <f>SUM(H1325:H1333)</f>
        <v>3.25</v>
      </c>
    </row>
    <row r="1335" spans="2:10" hidden="1" x14ac:dyDescent="0.3"/>
    <row r="1336" spans="2:10" hidden="1" x14ac:dyDescent="0.3">
      <c r="C1336" s="1015" t="s">
        <v>959</v>
      </c>
      <c r="D1336" s="1015"/>
      <c r="E1336" s="1015"/>
      <c r="F1336" s="1015"/>
      <c r="G1336" s="1015"/>
      <c r="H1336" s="334">
        <f>F1289+F1301+F1321+F1316</f>
        <v>241.65</v>
      </c>
    </row>
    <row r="1337" spans="2:10" hidden="1" x14ac:dyDescent="0.3">
      <c r="C1337" s="33"/>
      <c r="D1337" s="33"/>
      <c r="E1337" s="33"/>
      <c r="F1337" s="33"/>
      <c r="G1337" s="33"/>
      <c r="H1337" s="335"/>
    </row>
    <row r="1338" spans="2:10" hidden="1" x14ac:dyDescent="0.3">
      <c r="C1338" s="1015" t="s">
        <v>960</v>
      </c>
      <c r="D1338" s="1015"/>
      <c r="E1338" s="1015"/>
      <c r="F1338" s="1015"/>
      <c r="G1338" s="1015"/>
      <c r="H1338" s="334">
        <f>ROUND(H1336,0)</f>
        <v>242</v>
      </c>
    </row>
    <row r="1339" spans="2:10" hidden="1" x14ac:dyDescent="0.3"/>
    <row r="1340" spans="2:10" hidden="1" x14ac:dyDescent="0.3"/>
    <row r="1341" spans="2:10" ht="18.600000000000001" hidden="1" x14ac:dyDescent="0.3">
      <c r="B1341" s="1016" t="s">
        <v>958</v>
      </c>
      <c r="C1341" s="1016"/>
      <c r="D1341" s="1016"/>
      <c r="E1341" s="1016"/>
      <c r="F1341" s="1016"/>
      <c r="G1341" s="1016"/>
      <c r="H1341" s="1016"/>
      <c r="I1341" s="1016"/>
      <c r="J1341" s="1016"/>
    </row>
    <row r="1342" spans="2:10" ht="19.2" x14ac:dyDescent="0.35">
      <c r="B1342" s="53"/>
      <c r="C1342" s="53"/>
      <c r="D1342" s="225"/>
      <c r="E1342" s="225"/>
      <c r="F1342" s="225"/>
      <c r="G1342" s="225"/>
      <c r="H1342" s="225"/>
      <c r="I1342" s="53"/>
      <c r="J1342" s="53"/>
    </row>
    <row r="1343" spans="2:10" ht="35.25" customHeight="1" x14ac:dyDescent="0.35">
      <c r="B1343" s="50" t="s">
        <v>303</v>
      </c>
      <c r="C1343" s="1017" t="s">
        <v>297</v>
      </c>
      <c r="D1343" s="1017"/>
      <c r="E1343" s="1017"/>
      <c r="F1343" s="296">
        <f>H1382</f>
        <v>198</v>
      </c>
      <c r="G1343" s="296" t="s">
        <v>971</v>
      </c>
      <c r="H1343" s="225"/>
      <c r="I1343" s="53"/>
      <c r="J1343" s="53"/>
    </row>
    <row r="1345" spans="2:10" x14ac:dyDescent="0.3">
      <c r="C1345" s="1018" t="s">
        <v>932</v>
      </c>
      <c r="D1345" s="1018"/>
      <c r="E1345" s="297"/>
      <c r="F1345" s="298">
        <f>F1351+F1353</f>
        <v>23.97</v>
      </c>
      <c r="G1345" s="227" t="s">
        <v>971</v>
      </c>
    </row>
    <row r="1347" spans="2:10" ht="27.6" x14ac:dyDescent="0.3">
      <c r="C1347" s="13" t="s">
        <v>929</v>
      </c>
      <c r="D1347" s="14" t="s">
        <v>928</v>
      </c>
      <c r="E1347" s="14" t="s">
        <v>514</v>
      </c>
      <c r="F1347" s="14" t="s">
        <v>515</v>
      </c>
      <c r="G1347" s="14" t="s">
        <v>962</v>
      </c>
      <c r="H1347" s="14" t="s">
        <v>926</v>
      </c>
      <c r="I1347" s="14" t="s">
        <v>516</v>
      </c>
      <c r="J1347" s="14" t="s">
        <v>961</v>
      </c>
    </row>
    <row r="1348" spans="2:10" x14ac:dyDescent="0.3">
      <c r="C1348" s="17" t="str">
        <f>C1292</f>
        <v>Лікар-лаборант</v>
      </c>
      <c r="D1348" s="73">
        <f>D1292</f>
        <v>10799.43</v>
      </c>
      <c r="E1348" s="78">
        <f>D1348*12</f>
        <v>129593.16</v>
      </c>
      <c r="F1348" s="73">
        <f>F1292</f>
        <v>8307.26</v>
      </c>
      <c r="G1348" s="73">
        <f>G1292</f>
        <v>4153.63</v>
      </c>
      <c r="H1348" s="78">
        <f>E1348+F1348+G1348</f>
        <v>142054.05000000002</v>
      </c>
      <c r="I1348" s="17">
        <v>1807.2</v>
      </c>
      <c r="J1348" s="16">
        <f>ROUND((H1348/I1348)/60,2)</f>
        <v>1.31</v>
      </c>
    </row>
    <row r="1350" spans="2:10" x14ac:dyDescent="0.3">
      <c r="C1350" s="13" t="s">
        <v>929</v>
      </c>
      <c r="D1350" s="14" t="s">
        <v>961</v>
      </c>
      <c r="E1350" s="14" t="s">
        <v>930</v>
      </c>
      <c r="F1350" s="14" t="s">
        <v>931</v>
      </c>
    </row>
    <row r="1351" spans="2:10" x14ac:dyDescent="0.3">
      <c r="C1351" s="15" t="str">
        <f>C1348</f>
        <v>Лікар-лаборант</v>
      </c>
      <c r="D1351" s="78">
        <f>J1348</f>
        <v>1.31</v>
      </c>
      <c r="E1351" s="73">
        <v>15</v>
      </c>
      <c r="F1351" s="299">
        <f>ROUND(D1351*E1351,2)</f>
        <v>19.649999999999999</v>
      </c>
    </row>
    <row r="1352" spans="2:10" x14ac:dyDescent="0.3">
      <c r="D1352" s="19"/>
      <c r="E1352" s="74" t="s">
        <v>1016</v>
      </c>
    </row>
    <row r="1353" spans="2:10" x14ac:dyDescent="0.3">
      <c r="C1353" s="17" t="s">
        <v>933</v>
      </c>
      <c r="D1353" s="78">
        <f>F1351</f>
        <v>19.649999999999999</v>
      </c>
      <c r="E1353" s="300">
        <v>0.22</v>
      </c>
      <c r="F1353" s="301">
        <f>ROUND(D1353*E1353,2)</f>
        <v>4.32</v>
      </c>
    </row>
    <row r="1355" spans="2:10" x14ac:dyDescent="0.3">
      <c r="C1355" s="12" t="s">
        <v>946</v>
      </c>
      <c r="D1355" s="227"/>
      <c r="E1355" s="227"/>
      <c r="F1355" s="227">
        <f>G1363</f>
        <v>171.70000000000002</v>
      </c>
      <c r="G1355" s="227" t="s">
        <v>971</v>
      </c>
    </row>
    <row r="1357" spans="2:10" x14ac:dyDescent="0.3">
      <c r="B1357" s="82" t="s">
        <v>991</v>
      </c>
      <c r="C1357" s="83" t="s">
        <v>986</v>
      </c>
      <c r="D1357" s="83" t="s">
        <v>1112</v>
      </c>
      <c r="E1357" s="83" t="s">
        <v>988</v>
      </c>
      <c r="F1357" s="83" t="s">
        <v>1113</v>
      </c>
      <c r="G1357" s="82" t="s">
        <v>988</v>
      </c>
    </row>
    <row r="1358" spans="2:10" x14ac:dyDescent="0.3">
      <c r="B1358" s="73">
        <v>1</v>
      </c>
      <c r="C1358" s="79" t="str">
        <f>'МЕДИЧНІ М'!B328</f>
        <v>Комбінований тест на наркотики</v>
      </c>
      <c r="D1358" s="75" t="s">
        <v>941</v>
      </c>
      <c r="E1358" s="75">
        <f>'МЕДИЧНІ М'!F328</f>
        <v>170</v>
      </c>
      <c r="F1358" s="86">
        <v>1</v>
      </c>
      <c r="G1358" s="88">
        <f>ROUND(E1358/F1358,2)</f>
        <v>170</v>
      </c>
    </row>
    <row r="1359" spans="2:10" x14ac:dyDescent="0.3">
      <c r="B1359" s="73">
        <f>1+B1358</f>
        <v>2</v>
      </c>
      <c r="C1359" s="85" t="s">
        <v>982</v>
      </c>
      <c r="D1359" s="75" t="s">
        <v>941</v>
      </c>
      <c r="E1359" s="559">
        <f>'МЕДИЧНІ М'!F329</f>
        <v>11</v>
      </c>
      <c r="F1359" s="559">
        <v>100</v>
      </c>
      <c r="G1359" s="88">
        <f>ROUND(E1359/F1359,2)</f>
        <v>0.11</v>
      </c>
    </row>
    <row r="1360" spans="2:10" x14ac:dyDescent="0.3">
      <c r="B1360" s="73">
        <v>3</v>
      </c>
      <c r="C1360" s="79" t="s">
        <v>981</v>
      </c>
      <c r="D1360" s="75" t="s">
        <v>941</v>
      </c>
      <c r="E1360" s="559">
        <f>'МЕДИЧНІ М'!F330</f>
        <v>0.6</v>
      </c>
      <c r="F1360" s="559">
        <v>1</v>
      </c>
      <c r="G1360" s="88">
        <f>ROUND(E1360/F1360,2)</f>
        <v>0.6</v>
      </c>
    </row>
    <row r="1361" spans="2:18" x14ac:dyDescent="0.3">
      <c r="B1361" s="73">
        <v>4</v>
      </c>
      <c r="C1361" s="79" t="s">
        <v>964</v>
      </c>
      <c r="D1361" s="75" t="s">
        <v>941</v>
      </c>
      <c r="E1361" s="559">
        <f>'МЕДИЧНІ М'!F331</f>
        <v>7.39</v>
      </c>
      <c r="F1361" s="559">
        <v>10</v>
      </c>
      <c r="G1361" s="88">
        <f>ROUND(E1361/F1361,2)</f>
        <v>0.74</v>
      </c>
    </row>
    <row r="1362" spans="2:18" x14ac:dyDescent="0.3">
      <c r="B1362" s="73">
        <v>5</v>
      </c>
      <c r="C1362" s="27" t="s">
        <v>1124</v>
      </c>
      <c r="D1362" s="28" t="s">
        <v>944</v>
      </c>
      <c r="E1362" s="559">
        <f>'МЕДИЧНІ М'!F332</f>
        <v>0.5</v>
      </c>
      <c r="F1362" s="504">
        <v>0.5</v>
      </c>
      <c r="G1362" s="28">
        <f>ROUND(E1362*F1362,2)</f>
        <v>0.25</v>
      </c>
    </row>
    <row r="1363" spans="2:18" x14ac:dyDescent="0.3">
      <c r="B1363" s="1012" t="s">
        <v>945</v>
      </c>
      <c r="C1363" s="1013"/>
      <c r="D1363" s="1013"/>
      <c r="E1363" s="1013"/>
      <c r="F1363" s="1014"/>
      <c r="G1363" s="572">
        <f>SUM(G1358:G1362)</f>
        <v>171.70000000000002</v>
      </c>
    </row>
    <row r="1365" spans="2:18" x14ac:dyDescent="0.3">
      <c r="C1365" s="12" t="s">
        <v>968</v>
      </c>
      <c r="D1365" s="227"/>
      <c r="E1365" s="227"/>
      <c r="F1365" s="298">
        <f>H1368</f>
        <v>0</v>
      </c>
      <c r="G1365" s="227" t="s">
        <v>971</v>
      </c>
    </row>
    <row r="1366" spans="2:18" x14ac:dyDescent="0.3">
      <c r="C1366" s="22"/>
      <c r="D1366" s="36"/>
      <c r="E1366" s="36"/>
      <c r="F1366" s="302"/>
      <c r="G1366" s="36"/>
    </row>
    <row r="1367" spans="2:18" s="6" customFormat="1" ht="27.6" x14ac:dyDescent="0.3">
      <c r="B1367" s="44"/>
      <c r="C1367" s="833" t="s">
        <v>513</v>
      </c>
      <c r="D1367" s="833" t="s">
        <v>1114</v>
      </c>
      <c r="E1367" s="833" t="s">
        <v>516</v>
      </c>
      <c r="F1367" s="833" t="s">
        <v>970</v>
      </c>
      <c r="G1367" s="833" t="s">
        <v>930</v>
      </c>
      <c r="H1367" s="833" t="s">
        <v>961</v>
      </c>
      <c r="I1367" s="44"/>
      <c r="J1367" s="44"/>
      <c r="K1367" s="694"/>
      <c r="L1367" s="989"/>
      <c r="M1367" s="989"/>
      <c r="N1367" s="619"/>
      <c r="O1367" s="619"/>
      <c r="P1367" s="619"/>
      <c r="Q1367" s="619"/>
      <c r="R1367" s="619"/>
    </row>
    <row r="1368" spans="2:18" s="6" customFormat="1" x14ac:dyDescent="0.3">
      <c r="B1368" s="44"/>
      <c r="C1368" s="27"/>
      <c r="D1368" s="303"/>
      <c r="E1368" s="228"/>
      <c r="F1368" s="228">
        <v>0</v>
      </c>
      <c r="G1368" s="228">
        <v>0</v>
      </c>
      <c r="H1368" s="226">
        <f>ROUND(F1368*G1368,2)</f>
        <v>0</v>
      </c>
      <c r="I1368" s="434"/>
      <c r="J1368" s="44"/>
      <c r="K1368" s="694"/>
      <c r="L1368" s="989"/>
      <c r="M1368" s="989"/>
      <c r="N1368" s="619"/>
      <c r="O1368" s="619"/>
      <c r="P1368" s="619"/>
      <c r="Q1368" s="619"/>
      <c r="R1368" s="619"/>
    </row>
    <row r="1370" spans="2:18" x14ac:dyDescent="0.3">
      <c r="C1370" s="12" t="s">
        <v>948</v>
      </c>
      <c r="D1370" s="227"/>
      <c r="E1370" s="227"/>
      <c r="F1370" s="298">
        <f>H1378</f>
        <v>1.95</v>
      </c>
      <c r="G1370" s="227" t="s">
        <v>971</v>
      </c>
    </row>
    <row r="1371" spans="2:18" x14ac:dyDescent="0.3">
      <c r="C1371" s="22"/>
      <c r="D1371" s="36"/>
      <c r="E1371" s="36"/>
      <c r="F1371" s="302"/>
    </row>
    <row r="1372" spans="2:18" ht="27.6" x14ac:dyDescent="0.3">
      <c r="C1372" s="14" t="s">
        <v>948</v>
      </c>
      <c r="D1372" s="14" t="s">
        <v>1110</v>
      </c>
      <c r="E1372" s="14" t="s">
        <v>516</v>
      </c>
      <c r="F1372" s="14" t="s">
        <v>954</v>
      </c>
      <c r="G1372" s="14" t="s">
        <v>930</v>
      </c>
      <c r="H1372" s="14" t="s">
        <v>1111</v>
      </c>
    </row>
    <row r="1373" spans="2:18" x14ac:dyDescent="0.3">
      <c r="C1373" s="1009" t="str">
        <f>C1348</f>
        <v>Лікар-лаборант</v>
      </c>
      <c r="D1373" s="1010"/>
      <c r="E1373" s="1010"/>
      <c r="F1373" s="1010"/>
      <c r="G1373" s="1010"/>
      <c r="H1373" s="1011"/>
    </row>
    <row r="1374" spans="2:18" x14ac:dyDescent="0.3">
      <c r="C1374" s="17" t="s">
        <v>951</v>
      </c>
      <c r="D1374" s="221">
        <f>D1325</f>
        <v>12188.608008565312</v>
      </c>
      <c r="E1374" s="73">
        <f>I1348</f>
        <v>1807.2</v>
      </c>
      <c r="F1374" s="73">
        <f>ROUND((D1374/E1374)/60,2)</f>
        <v>0.11</v>
      </c>
      <c r="G1374" s="73">
        <f>E1351</f>
        <v>15</v>
      </c>
      <c r="H1374" s="78">
        <f>ROUND(F1374*G1374,2)</f>
        <v>1.65</v>
      </c>
    </row>
    <row r="1375" spans="2:18" x14ac:dyDescent="0.3">
      <c r="C1375" s="17" t="s">
        <v>952</v>
      </c>
      <c r="D1375" s="221">
        <f>D1326</f>
        <v>53.149721627408987</v>
      </c>
      <c r="E1375" s="73">
        <f>I1348</f>
        <v>1807.2</v>
      </c>
      <c r="F1375" s="73">
        <f>ROUND((D1375/E1375)/60,2)</f>
        <v>0</v>
      </c>
      <c r="G1375" s="73">
        <f>E1351</f>
        <v>15</v>
      </c>
      <c r="H1375" s="78">
        <f>ROUND(F1375*G1375,2)</f>
        <v>0</v>
      </c>
    </row>
    <row r="1376" spans="2:18" x14ac:dyDescent="0.3">
      <c r="C1376" s="17" t="s">
        <v>953</v>
      </c>
      <c r="D1376" s="221">
        <f>D1327</f>
        <v>374.98368308351178</v>
      </c>
      <c r="E1376" s="73">
        <f>I1348</f>
        <v>1807.2</v>
      </c>
      <c r="F1376" s="73">
        <f>ROUND((D1376/E1376)/60,2)</f>
        <v>0</v>
      </c>
      <c r="G1376" s="73">
        <f>E1351</f>
        <v>15</v>
      </c>
      <c r="H1376" s="78">
        <f>ROUND(F1376*G1376,2)</f>
        <v>0</v>
      </c>
    </row>
    <row r="1377" spans="3:8" x14ac:dyDescent="0.3">
      <c r="C1377" s="17" t="s">
        <v>1109</v>
      </c>
      <c r="D1377" s="221">
        <f>D1328</f>
        <v>1686.0389293361886</v>
      </c>
      <c r="E1377" s="73">
        <f>I1348</f>
        <v>1807.2</v>
      </c>
      <c r="F1377" s="73">
        <f>ROUND((D1377/E1377)/60,2)</f>
        <v>0.02</v>
      </c>
      <c r="G1377" s="73">
        <f>E1351</f>
        <v>15</v>
      </c>
      <c r="H1377" s="78">
        <f>ROUND(F1377*G1377,2)</f>
        <v>0.3</v>
      </c>
    </row>
    <row r="1378" spans="3:8" x14ac:dyDescent="0.3">
      <c r="C1378" s="1012" t="s">
        <v>957</v>
      </c>
      <c r="D1378" s="1013"/>
      <c r="E1378" s="1013"/>
      <c r="F1378" s="1013"/>
      <c r="G1378" s="1014"/>
      <c r="H1378" s="299">
        <f>SUM(H1374:H1377)</f>
        <v>1.95</v>
      </c>
    </row>
    <row r="1380" spans="3:8" x14ac:dyDescent="0.3">
      <c r="C1380" s="1015" t="s">
        <v>959</v>
      </c>
      <c r="D1380" s="1015"/>
      <c r="E1380" s="1015"/>
      <c r="F1380" s="1015"/>
      <c r="G1380" s="1015"/>
      <c r="H1380" s="334">
        <f>F1345+F1355+F1370+F1365</f>
        <v>197.62</v>
      </c>
    </row>
    <row r="1381" spans="3:8" x14ac:dyDescent="0.3">
      <c r="C1381" s="33"/>
      <c r="D1381" s="33"/>
      <c r="E1381" s="33"/>
      <c r="F1381" s="33"/>
      <c r="G1381" s="33"/>
      <c r="H1381" s="335"/>
    </row>
    <row r="1382" spans="3:8" x14ac:dyDescent="0.3">
      <c r="C1382" s="1015" t="s">
        <v>960</v>
      </c>
      <c r="D1382" s="1015"/>
      <c r="E1382" s="1015"/>
      <c r="F1382" s="1015"/>
      <c r="G1382" s="1015"/>
      <c r="H1382" s="334">
        <f>ROUND(H1380,0)</f>
        <v>198</v>
      </c>
    </row>
  </sheetData>
  <mergeCells count="224">
    <mergeCell ref="C1287:E1287"/>
    <mergeCell ref="C1289:D1289"/>
    <mergeCell ref="B1314:F1314"/>
    <mergeCell ref="C1324:H1324"/>
    <mergeCell ref="C1382:G1382"/>
    <mergeCell ref="B1341:J1341"/>
    <mergeCell ref="C1343:E1343"/>
    <mergeCell ref="C1345:D1345"/>
    <mergeCell ref="B1363:F1363"/>
    <mergeCell ref="C1373:H1373"/>
    <mergeCell ref="C1378:G1378"/>
    <mergeCell ref="C1380:G1380"/>
    <mergeCell ref="C1329:H1329"/>
    <mergeCell ref="C1334:G1334"/>
    <mergeCell ref="C1336:G1336"/>
    <mergeCell ref="C1338:G1338"/>
    <mergeCell ref="B2:J2"/>
    <mergeCell ref="C4:E4"/>
    <mergeCell ref="C6:D6"/>
    <mergeCell ref="B29:F29"/>
    <mergeCell ref="C212:H212"/>
    <mergeCell ref="C219:G219"/>
    <mergeCell ref="C1231:E1231"/>
    <mergeCell ref="C217:G217"/>
    <mergeCell ref="C95:H95"/>
    <mergeCell ref="C100:H100"/>
    <mergeCell ref="B223:J223"/>
    <mergeCell ref="C225:E225"/>
    <mergeCell ref="C227:D227"/>
    <mergeCell ref="B252:F252"/>
    <mergeCell ref="C109:G109"/>
    <mergeCell ref="C221:G221"/>
    <mergeCell ref="B1285:J1285"/>
    <mergeCell ref="C1233:D1233"/>
    <mergeCell ref="B1258:F1258"/>
    <mergeCell ref="C1268:H1268"/>
    <mergeCell ref="C1273:H1273"/>
    <mergeCell ref="C1278:G1278"/>
    <mergeCell ref="C1280:G1280"/>
    <mergeCell ref="C1282:G1282"/>
    <mergeCell ref="C39:H39"/>
    <mergeCell ref="B56:J56"/>
    <mergeCell ref="C58:E58"/>
    <mergeCell ref="B1229:J1229"/>
    <mergeCell ref="B197:F197"/>
    <mergeCell ref="C207:H207"/>
    <mergeCell ref="C60:D60"/>
    <mergeCell ref="B85:F85"/>
    <mergeCell ref="C105:G105"/>
    <mergeCell ref="C107:G107"/>
    <mergeCell ref="B111:J111"/>
    <mergeCell ref="C113:E113"/>
    <mergeCell ref="C115:D115"/>
    <mergeCell ref="B165:J165"/>
    <mergeCell ref="C167:E167"/>
    <mergeCell ref="C169:D169"/>
    <mergeCell ref="C44:H44"/>
    <mergeCell ref="C159:G159"/>
    <mergeCell ref="C161:G161"/>
    <mergeCell ref="C163:G163"/>
    <mergeCell ref="B139:F139"/>
    <mergeCell ref="C149:H149"/>
    <mergeCell ref="C154:H154"/>
    <mergeCell ref="C49:G49"/>
    <mergeCell ref="C51:G51"/>
    <mergeCell ref="C53:G53"/>
    <mergeCell ref="C262:H262"/>
    <mergeCell ref="B444:J444"/>
    <mergeCell ref="B389:J389"/>
    <mergeCell ref="C391:E391"/>
    <mergeCell ref="C393:D393"/>
    <mergeCell ref="B418:F418"/>
    <mergeCell ref="C267:H267"/>
    <mergeCell ref="C272:G272"/>
    <mergeCell ref="C274:G274"/>
    <mergeCell ref="C276:G276"/>
    <mergeCell ref="C383:G383"/>
    <mergeCell ref="B279:J279"/>
    <mergeCell ref="C281:E281"/>
    <mergeCell ref="C283:D283"/>
    <mergeCell ref="B308:F308"/>
    <mergeCell ref="C318:H318"/>
    <mergeCell ref="C385:G385"/>
    <mergeCell ref="C323:H323"/>
    <mergeCell ref="C328:G328"/>
    <mergeCell ref="C330:G330"/>
    <mergeCell ref="C332:G332"/>
    <mergeCell ref="B335:J335"/>
    <mergeCell ref="C337:E337"/>
    <mergeCell ref="C442:G442"/>
    <mergeCell ref="C387:G387"/>
    <mergeCell ref="C339:D339"/>
    <mergeCell ref="B363:F363"/>
    <mergeCell ref="C373:H373"/>
    <mergeCell ref="C378:H378"/>
    <mergeCell ref="C542:H542"/>
    <mergeCell ref="C609:G609"/>
    <mergeCell ref="C611:G611"/>
    <mergeCell ref="B613:J613"/>
    <mergeCell ref="C615:E615"/>
    <mergeCell ref="C554:G554"/>
    <mergeCell ref="C556:G556"/>
    <mergeCell ref="C428:H428"/>
    <mergeCell ref="C433:H433"/>
    <mergeCell ref="C438:G438"/>
    <mergeCell ref="C440:G440"/>
    <mergeCell ref="B503:J503"/>
    <mergeCell ref="C505:E505"/>
    <mergeCell ref="C507:D507"/>
    <mergeCell ref="B532:F532"/>
    <mergeCell ref="C547:H547"/>
    <mergeCell ref="C501:G501"/>
    <mergeCell ref="B477:F477"/>
    <mergeCell ref="C487:H487"/>
    <mergeCell ref="C448:D448"/>
    <mergeCell ref="C492:H492"/>
    <mergeCell ref="C497:G497"/>
    <mergeCell ref="C499:G499"/>
    <mergeCell ref="C446:E446"/>
    <mergeCell ref="B642:F642"/>
    <mergeCell ref="B558:J558"/>
    <mergeCell ref="C560:E560"/>
    <mergeCell ref="C562:D562"/>
    <mergeCell ref="B587:F587"/>
    <mergeCell ref="C597:H597"/>
    <mergeCell ref="C602:H602"/>
    <mergeCell ref="C607:G607"/>
    <mergeCell ref="C552:G552"/>
    <mergeCell ref="C617:D617"/>
    <mergeCell ref="C708:H708"/>
    <mergeCell ref="C652:H652"/>
    <mergeCell ref="C657:H657"/>
    <mergeCell ref="C662:G662"/>
    <mergeCell ref="C664:G664"/>
    <mergeCell ref="C666:G666"/>
    <mergeCell ref="B669:J669"/>
    <mergeCell ref="C671:E671"/>
    <mergeCell ref="C673:D673"/>
    <mergeCell ref="B698:F698"/>
    <mergeCell ref="C769:H769"/>
    <mergeCell ref="C713:H713"/>
    <mergeCell ref="C718:G718"/>
    <mergeCell ref="C720:G720"/>
    <mergeCell ref="C722:G722"/>
    <mergeCell ref="B725:J725"/>
    <mergeCell ref="C727:E727"/>
    <mergeCell ref="C729:D729"/>
    <mergeCell ref="B754:F754"/>
    <mergeCell ref="C764:H764"/>
    <mergeCell ref="C830:G830"/>
    <mergeCell ref="C774:G774"/>
    <mergeCell ref="C776:G776"/>
    <mergeCell ref="C778:G778"/>
    <mergeCell ref="B781:J781"/>
    <mergeCell ref="C783:E783"/>
    <mergeCell ref="C785:D785"/>
    <mergeCell ref="B810:F810"/>
    <mergeCell ref="C820:H820"/>
    <mergeCell ref="C825:H825"/>
    <mergeCell ref="C888:G888"/>
    <mergeCell ref="C832:G832"/>
    <mergeCell ref="C834:G834"/>
    <mergeCell ref="B837:J837"/>
    <mergeCell ref="C839:E839"/>
    <mergeCell ref="C841:D841"/>
    <mergeCell ref="B866:F866"/>
    <mergeCell ref="C876:H876"/>
    <mergeCell ref="C881:H881"/>
    <mergeCell ref="C886:G886"/>
    <mergeCell ref="C1044:H1044"/>
    <mergeCell ref="C1058:G1058"/>
    <mergeCell ref="C946:G946"/>
    <mergeCell ref="C890:G890"/>
    <mergeCell ref="B893:J893"/>
    <mergeCell ref="C895:E895"/>
    <mergeCell ref="C897:D897"/>
    <mergeCell ref="B922:F922"/>
    <mergeCell ref="C932:H932"/>
    <mergeCell ref="C937:H937"/>
    <mergeCell ref="C942:G942"/>
    <mergeCell ref="C944:G944"/>
    <mergeCell ref="C1166:G1166"/>
    <mergeCell ref="C1168:G1168"/>
    <mergeCell ref="B1117:J1117"/>
    <mergeCell ref="C1119:E1119"/>
    <mergeCell ref="C1121:D1121"/>
    <mergeCell ref="B1146:F1146"/>
    <mergeCell ref="B1005:J1005"/>
    <mergeCell ref="B949:J949"/>
    <mergeCell ref="C951:E951"/>
    <mergeCell ref="C953:D953"/>
    <mergeCell ref="B978:F978"/>
    <mergeCell ref="C988:H988"/>
    <mergeCell ref="C993:H993"/>
    <mergeCell ref="C998:G998"/>
    <mergeCell ref="C1000:G1000"/>
    <mergeCell ref="C1002:G1002"/>
    <mergeCell ref="C1105:H1105"/>
    <mergeCell ref="C1110:G1110"/>
    <mergeCell ref="C1049:H1049"/>
    <mergeCell ref="C1054:G1054"/>
    <mergeCell ref="C1056:G1056"/>
    <mergeCell ref="C1007:E1007"/>
    <mergeCell ref="C1009:D1009"/>
    <mergeCell ref="B1034:F1034"/>
    <mergeCell ref="B1061:J1061"/>
    <mergeCell ref="C1156:H1156"/>
    <mergeCell ref="C1161:H1161"/>
    <mergeCell ref="C1114:G1114"/>
    <mergeCell ref="C1112:G1112"/>
    <mergeCell ref="C1063:E1063"/>
    <mergeCell ref="C1065:D1065"/>
    <mergeCell ref="B1090:F1090"/>
    <mergeCell ref="C1100:H1100"/>
    <mergeCell ref="C1226:G1226"/>
    <mergeCell ref="C1170:G1170"/>
    <mergeCell ref="B1173:J1173"/>
    <mergeCell ref="C1175:E1175"/>
    <mergeCell ref="C1177:D1177"/>
    <mergeCell ref="B1202:F1202"/>
    <mergeCell ref="C1212:H1212"/>
    <mergeCell ref="C1217:H1217"/>
    <mergeCell ref="C1222:G1222"/>
    <mergeCell ref="C1224:G1224"/>
  </mergeCells>
  <phoneticPr fontId="8" type="noConversion"/>
  <pageMargins left="0" right="0" top="0" bottom="0" header="0" footer="0"/>
  <pageSetup paperSize="9" scale="66" fitToHeight="24" orientation="portrait" r:id="rId1"/>
  <headerFooter alignWithMargins="0"/>
  <rowBreaks count="24" manualBreakCount="24">
    <brk id="55" min="1" max="9" man="1"/>
    <brk id="110" min="1" max="9" man="1"/>
    <brk id="164" min="1" max="9" man="1"/>
    <brk id="222" min="1" max="9" man="1"/>
    <brk id="278" min="1" max="9" man="1"/>
    <brk id="334" min="1" max="9" man="1"/>
    <brk id="387" min="1" max="9" man="1"/>
    <brk id="443" min="1" max="9" man="1"/>
    <brk id="502" min="1" max="9" man="1"/>
    <brk id="557" min="1" max="9" man="1"/>
    <brk id="612" min="1" max="9" man="1"/>
    <brk id="668" min="1" max="9" man="1"/>
    <brk id="724" min="1" max="9" man="1"/>
    <brk id="780" min="1" max="9" man="1"/>
    <brk id="836" min="1" max="9" man="1"/>
    <brk id="892" min="1" max="9" man="1"/>
    <brk id="948" min="1" max="9" man="1"/>
    <brk id="1004" min="1" max="9" man="1"/>
    <brk id="1060" min="1" max="9" man="1"/>
    <brk id="1116" min="1" max="9" man="1"/>
    <brk id="1172" min="1" max="9" man="1"/>
    <brk id="1228" min="1" max="9" man="1"/>
    <brk id="1284" min="1" max="9" man="1"/>
    <brk id="1339" min="1" max="9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L363"/>
  <sheetViews>
    <sheetView view="pageBreakPreview" topLeftCell="A339" zoomScaleNormal="100" workbookViewId="0">
      <selection activeCell="D362" sqref="D362"/>
    </sheetView>
  </sheetViews>
  <sheetFormatPr defaultRowHeight="14.4" x14ac:dyDescent="0.3"/>
  <cols>
    <col min="1" max="1" width="2.33203125" customWidth="1"/>
    <col min="2" max="2" width="5.88671875" style="111" customWidth="1"/>
    <col min="3" max="3" width="109.88671875" style="7" customWidth="1"/>
    <col min="4" max="4" width="17" style="7" customWidth="1"/>
    <col min="5" max="5" width="9.109375" style="114"/>
    <col min="6" max="6" width="78.5546875" style="114" customWidth="1"/>
    <col min="7" max="12" width="9.109375" style="155"/>
  </cols>
  <sheetData>
    <row r="2" spans="2:7" ht="18" x14ac:dyDescent="0.35">
      <c r="B2" s="1031" t="s">
        <v>958</v>
      </c>
      <c r="C2" s="1031"/>
      <c r="D2" s="1031"/>
      <c r="E2" s="118"/>
      <c r="F2" s="118"/>
      <c r="G2" s="154"/>
    </row>
    <row r="4" spans="2:7" ht="35.25" customHeight="1" x14ac:dyDescent="0.3">
      <c r="B4" s="63" t="s">
        <v>882</v>
      </c>
      <c r="C4" s="136" t="s">
        <v>883</v>
      </c>
      <c r="D4" s="64">
        <f>D20</f>
        <v>165</v>
      </c>
      <c r="E4" s="115" t="s">
        <v>882</v>
      </c>
      <c r="F4" s="114" t="str">
        <f>C4</f>
        <v>Медичний огляд для отримання дозволу (ліцензії) на об'єкт дозвільної системи</v>
      </c>
    </row>
    <row r="5" spans="2:7" x14ac:dyDescent="0.3">
      <c r="E5" s="115" t="s">
        <v>884</v>
      </c>
      <c r="F5" s="114" t="str">
        <f>C25</f>
        <v>Попередній медичний огляд кандидатів у водії (водіїв) транспортних засобів</v>
      </c>
    </row>
    <row r="6" spans="2:7" x14ac:dyDescent="0.3">
      <c r="E6" s="115" t="s">
        <v>886</v>
      </c>
      <c r="F6" s="114" t="str">
        <f>C48</f>
        <v>Періодичний медичний огляд кандидатів у водії (водіїв) транспортних засобів</v>
      </c>
    </row>
    <row r="7" spans="2:7" x14ac:dyDescent="0.3">
      <c r="C7" s="13" t="s">
        <v>929</v>
      </c>
      <c r="D7" s="14" t="s">
        <v>961</v>
      </c>
      <c r="E7" s="115" t="s">
        <v>888</v>
      </c>
      <c r="F7" s="114" t="str">
        <f>C70</f>
        <v>Попередній медичний огляд працівників певних категорій</v>
      </c>
    </row>
    <row r="8" spans="2:7" x14ac:dyDescent="0.3">
      <c r="C8" s="134" t="s">
        <v>992</v>
      </c>
      <c r="D8" s="16">
        <f>Обстеження!K5</f>
        <v>11.5</v>
      </c>
      <c r="E8" s="115" t="s">
        <v>890</v>
      </c>
      <c r="F8" s="114" t="str">
        <f>C92</f>
        <v>Попередній медичний огляд працівників певних категорій жінки</v>
      </c>
    </row>
    <row r="9" spans="2:7" x14ac:dyDescent="0.3">
      <c r="C9" s="134" t="s">
        <v>1001</v>
      </c>
      <c r="D9" s="16">
        <f>Обстеження!K9</f>
        <v>19.7</v>
      </c>
      <c r="E9" s="115" t="s">
        <v>892</v>
      </c>
      <c r="F9" s="114" t="str">
        <f>C115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Харчова та переробна промисловість</v>
      </c>
    </row>
    <row r="10" spans="2:7" x14ac:dyDescent="0.3">
      <c r="C10" s="134" t="s">
        <v>999</v>
      </c>
      <c r="D10" s="16">
        <f>Обстеження!K8</f>
        <v>9.8000000000000007</v>
      </c>
      <c r="E10" s="115" t="s">
        <v>894</v>
      </c>
      <c r="F10" s="114" t="str">
        <f>C134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Харчова та переробна промисловість (жінки)</v>
      </c>
    </row>
    <row r="11" spans="2:7" x14ac:dyDescent="0.3">
      <c r="C11" s="134" t="s">
        <v>995</v>
      </c>
      <c r="D11" s="16">
        <f>Обстеження!K7</f>
        <v>9.5</v>
      </c>
      <c r="E11" s="115" t="s">
        <v>896</v>
      </c>
      <c r="F11" s="114" t="str">
        <f>C154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Підприємства продовольчої торгівлі, у тому числі роздрібної, а також ті, що розташовані на території ринків.</v>
      </c>
    </row>
    <row r="12" spans="2:7" x14ac:dyDescent="0.3">
      <c r="C12" s="134" t="s">
        <v>920</v>
      </c>
      <c r="D12" s="16">
        <f>'4.РЕХ'!K6</f>
        <v>17</v>
      </c>
      <c r="E12" s="115" t="s">
        <v>898</v>
      </c>
      <c r="F12" s="114" t="str">
        <f>C172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Підприємства продовольчої торгівлі, у тому числі роздрібної, а також ті, що розташовані на території ринків (жінки)</v>
      </c>
    </row>
    <row r="13" spans="2:7" x14ac:dyDescent="0.3">
      <c r="C13" s="134" t="s">
        <v>1087</v>
      </c>
      <c r="D13" s="16">
        <f>'2.Лабораторія'!K16</f>
        <v>44</v>
      </c>
      <c r="E13" s="115" t="s">
        <v>900</v>
      </c>
      <c r="F13" s="114" t="str">
        <f>C192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Дошкільні навчальні заклади (дитячі ясла, дитячі садки, дитячі ясла-садки, будинки дитини, дитячі будинки, інші типи дошкільних навчальних закладів)</v>
      </c>
    </row>
    <row r="14" spans="2:7" x14ac:dyDescent="0.3">
      <c r="C14" s="134" t="s">
        <v>730</v>
      </c>
      <c r="D14" s="16">
        <f>'2.Лабораторія'!K9</f>
        <v>24</v>
      </c>
      <c r="E14" s="115" t="s">
        <v>902</v>
      </c>
      <c r="F14" s="114" t="str">
        <f>C210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Дошкільні навчальні заклади (дитячі ясла, дитячі садки, дитячі ясла-садки, будинки дитини, дитячі будинки, інші типи дошкільних навчальних закладів) (жінки)</v>
      </c>
    </row>
    <row r="15" spans="2:7" x14ac:dyDescent="0.3">
      <c r="C15" s="134" t="s">
        <v>749</v>
      </c>
      <c r="D15" s="16">
        <f>'2.Лабораторія'!K18</f>
        <v>24</v>
      </c>
      <c r="E15" s="115" t="s">
        <v>904</v>
      </c>
      <c r="F15" s="114" t="str">
        <f>C229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Загальноосвітні навчальні заклади</v>
      </c>
    </row>
    <row r="16" spans="2:7" x14ac:dyDescent="0.3">
      <c r="C16" s="134" t="s">
        <v>1106</v>
      </c>
      <c r="D16" s="24">
        <f>МАТЕРІАЛИ!E6</f>
        <v>5.94</v>
      </c>
      <c r="E16" s="115" t="s">
        <v>906</v>
      </c>
      <c r="F16" s="114" t="str">
        <f>C247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Загальноосвітні навчальні заклади (жінки)</v>
      </c>
    </row>
    <row r="17" spans="2:12" x14ac:dyDescent="0.3">
      <c r="C17" s="134"/>
      <c r="D17" s="17"/>
      <c r="E17" s="115" t="s">
        <v>908</v>
      </c>
      <c r="F17" s="156" t="str">
        <f>C266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Позашкільні навчальні заклади</v>
      </c>
    </row>
    <row r="18" spans="2:12" ht="17.399999999999999" x14ac:dyDescent="0.3">
      <c r="C18" s="135" t="s">
        <v>959</v>
      </c>
      <c r="D18" s="4">
        <f>SUM(D8:D16)</f>
        <v>165.44</v>
      </c>
      <c r="E18" s="115" t="s">
        <v>910</v>
      </c>
      <c r="F18" s="142" t="str">
        <f>C286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Позашкільні навчальні заклади (жінки)</v>
      </c>
    </row>
    <row r="19" spans="2:12" s="1" customFormat="1" ht="17.399999999999999" x14ac:dyDescent="0.3">
      <c r="B19" s="143"/>
      <c r="C19" s="135"/>
      <c r="D19" s="4"/>
      <c r="E19" s="115" t="s">
        <v>912</v>
      </c>
      <c r="F19" s="142" t="str">
        <f>C305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Суб'єкти господарювання, що займаються розведенням, вирощуванням і реалізацією тварин</v>
      </c>
      <c r="G19" s="157"/>
      <c r="H19" s="157"/>
      <c r="I19" s="157"/>
      <c r="J19" s="157"/>
      <c r="K19" s="157"/>
      <c r="L19" s="157"/>
    </row>
    <row r="20" spans="2:12" ht="17.399999999999999" x14ac:dyDescent="0.3">
      <c r="C20" s="135" t="s">
        <v>960</v>
      </c>
      <c r="D20" s="4">
        <f>ROUND(D18,0)</f>
        <v>165</v>
      </c>
      <c r="E20" s="115" t="s">
        <v>914</v>
      </c>
      <c r="F20" s="142" t="str">
        <f>C323</f>
        <v>Обов'язковий 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Суб'єкти господарювання, що займаються розведенням, вирощуванням і реалізацією тварин (жінки)</v>
      </c>
    </row>
    <row r="21" spans="2:12" x14ac:dyDescent="0.3">
      <c r="E21" s="115" t="s">
        <v>916</v>
      </c>
      <c r="F21" s="156" t="str">
        <f>C341</f>
        <v>Попередній або періодичний медичний огляд лікаря-нарколога з видачею сертифіката</v>
      </c>
    </row>
    <row r="22" spans="2:12" x14ac:dyDescent="0.3">
      <c r="E22" s="115" t="s">
        <v>918</v>
      </c>
      <c r="F22" s="114" t="str">
        <f>C354</f>
        <v>Попередній або періодичний медичний огляд лікаря-психіатра з видачею сертифіката</v>
      </c>
    </row>
    <row r="23" spans="2:12" ht="17.399999999999999" x14ac:dyDescent="0.3">
      <c r="B23" s="1031" t="s">
        <v>958</v>
      </c>
      <c r="C23" s="1031"/>
      <c r="D23" s="1031"/>
    </row>
    <row r="25" spans="2:12" ht="39" customHeight="1" x14ac:dyDescent="0.3">
      <c r="B25" s="63" t="s">
        <v>884</v>
      </c>
      <c r="C25" s="136" t="s">
        <v>885</v>
      </c>
      <c r="D25" s="64">
        <f>D43</f>
        <v>204</v>
      </c>
    </row>
    <row r="28" spans="2:12" x14ac:dyDescent="0.3">
      <c r="C28" s="13" t="s">
        <v>929</v>
      </c>
      <c r="D28" s="14" t="s">
        <v>961</v>
      </c>
    </row>
    <row r="29" spans="2:12" x14ac:dyDescent="0.3">
      <c r="C29" s="134" t="s">
        <v>992</v>
      </c>
      <c r="D29" s="16">
        <f>Обстеження!K5</f>
        <v>11.5</v>
      </c>
    </row>
    <row r="30" spans="2:12" x14ac:dyDescent="0.3">
      <c r="C30" s="134" t="s">
        <v>1001</v>
      </c>
      <c r="D30" s="16">
        <f>Обстеження!K9</f>
        <v>19.7</v>
      </c>
    </row>
    <row r="31" spans="2:12" x14ac:dyDescent="0.3">
      <c r="C31" s="134" t="s">
        <v>999</v>
      </c>
      <c r="D31" s="16">
        <f>Обстеження!K8</f>
        <v>9.8000000000000007</v>
      </c>
    </row>
    <row r="32" spans="2:12" x14ac:dyDescent="0.3">
      <c r="C32" s="134" t="s">
        <v>995</v>
      </c>
      <c r="D32" s="16">
        <f>Обстеження!K7</f>
        <v>9.5</v>
      </c>
    </row>
    <row r="33" spans="2:4" x14ac:dyDescent="0.3">
      <c r="C33" s="134" t="s">
        <v>994</v>
      </c>
      <c r="D33" s="16">
        <f>Обстеження!K6</f>
        <v>8.1999999999999993</v>
      </c>
    </row>
    <row r="34" spans="2:4" x14ac:dyDescent="0.3">
      <c r="C34" s="134" t="s">
        <v>920</v>
      </c>
      <c r="D34" s="16">
        <f>D12</f>
        <v>17</v>
      </c>
    </row>
    <row r="35" spans="2:4" x14ac:dyDescent="0.3">
      <c r="C35" s="134" t="s">
        <v>1087</v>
      </c>
      <c r="D35" s="16">
        <f>'2.Лабораторія'!K16</f>
        <v>44</v>
      </c>
    </row>
    <row r="36" spans="2:4" x14ac:dyDescent="0.3">
      <c r="C36" s="134" t="s">
        <v>730</v>
      </c>
      <c r="D36" s="16">
        <f>'2.Лабораторія'!K9</f>
        <v>24</v>
      </c>
    </row>
    <row r="37" spans="2:4" x14ac:dyDescent="0.3">
      <c r="C37" s="134" t="s">
        <v>749</v>
      </c>
      <c r="D37" s="16">
        <f>'2.Лабораторія'!K18</f>
        <v>24</v>
      </c>
    </row>
    <row r="38" spans="2:4" x14ac:dyDescent="0.3">
      <c r="C38" s="134" t="s">
        <v>751</v>
      </c>
      <c r="D38" s="16">
        <f>'2.Лабораторія'!K19</f>
        <v>30</v>
      </c>
    </row>
    <row r="39" spans="2:4" x14ac:dyDescent="0.3">
      <c r="C39" s="134" t="s">
        <v>1106</v>
      </c>
      <c r="D39" s="16">
        <f>МАТЕРІАЛИ!E6</f>
        <v>5.94</v>
      </c>
    </row>
    <row r="40" spans="2:4" x14ac:dyDescent="0.3">
      <c r="C40" s="17"/>
      <c r="D40" s="17"/>
    </row>
    <row r="41" spans="2:4" ht="17.399999999999999" x14ac:dyDescent="0.3">
      <c r="C41" s="135" t="s">
        <v>959</v>
      </c>
      <c r="D41" s="4">
        <f>SUM(D29:D39)</f>
        <v>203.64</v>
      </c>
    </row>
    <row r="42" spans="2:4" ht="17.399999999999999" x14ac:dyDescent="0.3">
      <c r="B42" s="143"/>
      <c r="C42" s="135"/>
      <c r="D42" s="4"/>
    </row>
    <row r="43" spans="2:4" ht="17.399999999999999" x14ac:dyDescent="0.3">
      <c r="C43" s="135" t="s">
        <v>960</v>
      </c>
      <c r="D43" s="4">
        <f>ROUND(D41,0)</f>
        <v>204</v>
      </c>
    </row>
    <row r="46" spans="2:4" ht="17.399999999999999" x14ac:dyDescent="0.3">
      <c r="B46" s="1031" t="s">
        <v>958</v>
      </c>
      <c r="C46" s="1031"/>
      <c r="D46" s="1031"/>
    </row>
    <row r="48" spans="2:4" ht="34.5" customHeight="1" x14ac:dyDescent="0.3">
      <c r="B48" s="63" t="s">
        <v>886</v>
      </c>
      <c r="C48" s="136" t="s">
        <v>887</v>
      </c>
      <c r="D48" s="64">
        <f>D65</f>
        <v>174</v>
      </c>
    </row>
    <row r="51" spans="2:4" x14ac:dyDescent="0.3">
      <c r="C51" s="13" t="s">
        <v>929</v>
      </c>
      <c r="D51" s="14" t="s">
        <v>961</v>
      </c>
    </row>
    <row r="52" spans="2:4" x14ac:dyDescent="0.3">
      <c r="C52" s="134" t="s">
        <v>992</v>
      </c>
      <c r="D52" s="16">
        <f>Обстеження!K5</f>
        <v>11.5</v>
      </c>
    </row>
    <row r="53" spans="2:4" x14ac:dyDescent="0.3">
      <c r="C53" s="134" t="s">
        <v>1001</v>
      </c>
      <c r="D53" s="16">
        <f>Обстеження!K9</f>
        <v>19.7</v>
      </c>
    </row>
    <row r="54" spans="2:4" x14ac:dyDescent="0.3">
      <c r="C54" s="134" t="s">
        <v>999</v>
      </c>
      <c r="D54" s="16">
        <f>Обстеження!K8</f>
        <v>9.8000000000000007</v>
      </c>
    </row>
    <row r="55" spans="2:4" x14ac:dyDescent="0.3">
      <c r="C55" s="134" t="s">
        <v>995</v>
      </c>
      <c r="D55" s="16">
        <f>Обстеження!K7</f>
        <v>9.5</v>
      </c>
    </row>
    <row r="56" spans="2:4" x14ac:dyDescent="0.3">
      <c r="C56" s="134" t="s">
        <v>994</v>
      </c>
      <c r="D56" s="16">
        <f>Обстеження!K6</f>
        <v>8.1999999999999993</v>
      </c>
    </row>
    <row r="57" spans="2:4" x14ac:dyDescent="0.3">
      <c r="C57" s="134" t="s">
        <v>920</v>
      </c>
      <c r="D57" s="16">
        <f>'4.РЕХ'!K6</f>
        <v>17</v>
      </c>
    </row>
    <row r="58" spans="2:4" x14ac:dyDescent="0.3">
      <c r="C58" s="134" t="s">
        <v>1087</v>
      </c>
      <c r="D58" s="16">
        <f>'2.Лабораторія'!K16</f>
        <v>44</v>
      </c>
    </row>
    <row r="59" spans="2:4" x14ac:dyDescent="0.3">
      <c r="C59" s="134" t="s">
        <v>730</v>
      </c>
      <c r="D59" s="16">
        <f>'2.Лабораторія'!K9</f>
        <v>24</v>
      </c>
    </row>
    <row r="60" spans="2:4" x14ac:dyDescent="0.3">
      <c r="C60" s="134" t="s">
        <v>749</v>
      </c>
      <c r="D60" s="16">
        <f>'2.Лабораторія'!K18</f>
        <v>24</v>
      </c>
    </row>
    <row r="61" spans="2:4" x14ac:dyDescent="0.3">
      <c r="C61" s="134" t="s">
        <v>1106</v>
      </c>
      <c r="D61" s="16">
        <f>МАТЕРІАЛИ!E6</f>
        <v>5.94</v>
      </c>
    </row>
    <row r="62" spans="2:4" x14ac:dyDescent="0.3">
      <c r="C62" s="17"/>
      <c r="D62" s="17"/>
    </row>
    <row r="63" spans="2:4" ht="17.399999999999999" x14ac:dyDescent="0.3">
      <c r="C63" s="135" t="s">
        <v>959</v>
      </c>
      <c r="D63" s="4">
        <f>SUM(D52:D61)</f>
        <v>173.64</v>
      </c>
    </row>
    <row r="64" spans="2:4" ht="17.399999999999999" x14ac:dyDescent="0.3">
      <c r="B64" s="143"/>
      <c r="C64" s="135"/>
      <c r="D64" s="4"/>
    </row>
    <row r="65" spans="2:4" ht="17.399999999999999" x14ac:dyDescent="0.3">
      <c r="C65" s="135" t="s">
        <v>960</v>
      </c>
      <c r="D65" s="4">
        <f>ROUND(D63,0)</f>
        <v>174</v>
      </c>
    </row>
    <row r="66" spans="2:4" ht="17.399999999999999" x14ac:dyDescent="0.3">
      <c r="C66" s="39"/>
      <c r="D66" s="5"/>
    </row>
    <row r="68" spans="2:4" ht="17.399999999999999" x14ac:dyDescent="0.3">
      <c r="B68" s="1031" t="s">
        <v>958</v>
      </c>
      <c r="C68" s="1031"/>
      <c r="D68" s="1031"/>
    </row>
    <row r="70" spans="2:4" ht="34.5" customHeight="1" x14ac:dyDescent="0.3">
      <c r="B70" s="63" t="s">
        <v>888</v>
      </c>
      <c r="C70" s="136" t="s">
        <v>889</v>
      </c>
      <c r="D70" s="64">
        <f>D87</f>
        <v>182</v>
      </c>
    </row>
    <row r="73" spans="2:4" x14ac:dyDescent="0.3">
      <c r="C73" s="13" t="s">
        <v>929</v>
      </c>
      <c r="D73" s="14" t="s">
        <v>961</v>
      </c>
    </row>
    <row r="74" spans="2:4" x14ac:dyDescent="0.3">
      <c r="C74" s="134" t="s">
        <v>992</v>
      </c>
      <c r="D74" s="16">
        <f>Обстеження!K5</f>
        <v>11.5</v>
      </c>
    </row>
    <row r="75" spans="2:4" x14ac:dyDescent="0.3">
      <c r="C75" s="134" t="s">
        <v>1001</v>
      </c>
      <c r="D75" s="16">
        <f>Обстеження!K9</f>
        <v>19.7</v>
      </c>
    </row>
    <row r="76" spans="2:4" x14ac:dyDescent="0.3">
      <c r="C76" s="134" t="s">
        <v>999</v>
      </c>
      <c r="D76" s="16">
        <f>Обстеження!K8</f>
        <v>9.8000000000000007</v>
      </c>
    </row>
    <row r="77" spans="2:4" x14ac:dyDescent="0.3">
      <c r="C77" s="134" t="s">
        <v>995</v>
      </c>
      <c r="D77" s="16">
        <f>Обстеження!K7</f>
        <v>9.5</v>
      </c>
    </row>
    <row r="78" spans="2:4" x14ac:dyDescent="0.3">
      <c r="C78" s="134" t="s">
        <v>994</v>
      </c>
      <c r="D78" s="16">
        <f>Обстеження!K6</f>
        <v>8.1999999999999993</v>
      </c>
    </row>
    <row r="79" spans="2:4" x14ac:dyDescent="0.3">
      <c r="C79" s="134" t="s">
        <v>1008</v>
      </c>
      <c r="D79" s="16">
        <f>Обстеження!K13</f>
        <v>11.5</v>
      </c>
    </row>
    <row r="80" spans="2:4" x14ac:dyDescent="0.3">
      <c r="C80" s="134" t="s">
        <v>1010</v>
      </c>
      <c r="D80" s="16">
        <f>Обстеження!K14</f>
        <v>9.9</v>
      </c>
    </row>
    <row r="81" spans="2:4" x14ac:dyDescent="0.3">
      <c r="C81" s="134" t="s">
        <v>685</v>
      </c>
      <c r="D81" s="16">
        <f>'4.Рентген Фл'!J11</f>
        <v>34</v>
      </c>
    </row>
    <row r="82" spans="2:4" x14ac:dyDescent="0.3">
      <c r="C82" s="134" t="s">
        <v>1087</v>
      </c>
      <c r="D82" s="16">
        <f>'2.Лабораторія'!K16</f>
        <v>44</v>
      </c>
    </row>
    <row r="83" spans="2:4" x14ac:dyDescent="0.3">
      <c r="C83" s="134" t="s">
        <v>730</v>
      </c>
      <c r="D83" s="16">
        <f>'2.Лабораторія'!K9</f>
        <v>24</v>
      </c>
    </row>
    <row r="84" spans="2:4" x14ac:dyDescent="0.3">
      <c r="C84" s="17"/>
      <c r="D84" s="17"/>
    </row>
    <row r="85" spans="2:4" ht="17.399999999999999" x14ac:dyDescent="0.3">
      <c r="C85" s="135" t="s">
        <v>959</v>
      </c>
      <c r="D85" s="4">
        <f>SUM(D74:D83)</f>
        <v>182.10000000000002</v>
      </c>
    </row>
    <row r="86" spans="2:4" ht="17.399999999999999" x14ac:dyDescent="0.3">
      <c r="B86" s="143"/>
      <c r="C86" s="135"/>
      <c r="D86" s="4"/>
    </row>
    <row r="87" spans="2:4" ht="17.399999999999999" x14ac:dyDescent="0.3">
      <c r="C87" s="135" t="s">
        <v>960</v>
      </c>
      <c r="D87" s="4">
        <f>ROUND(D85,0)</f>
        <v>182</v>
      </c>
    </row>
    <row r="90" spans="2:4" ht="17.399999999999999" x14ac:dyDescent="0.3">
      <c r="B90" s="1031" t="s">
        <v>958</v>
      </c>
      <c r="C90" s="1031"/>
      <c r="D90" s="1031"/>
    </row>
    <row r="92" spans="2:4" ht="34.5" customHeight="1" x14ac:dyDescent="0.3">
      <c r="B92" s="63" t="s">
        <v>890</v>
      </c>
      <c r="C92" s="136" t="s">
        <v>1136</v>
      </c>
      <c r="D92" s="64">
        <f>D110</f>
        <v>220</v>
      </c>
    </row>
    <row r="95" spans="2:4" x14ac:dyDescent="0.3">
      <c r="C95" s="13" t="s">
        <v>929</v>
      </c>
      <c r="D95" s="14" t="s">
        <v>961</v>
      </c>
    </row>
    <row r="96" spans="2:4" x14ac:dyDescent="0.3">
      <c r="C96" s="134" t="s">
        <v>992</v>
      </c>
      <c r="D96" s="16">
        <f>Обстеження!K5</f>
        <v>11.5</v>
      </c>
    </row>
    <row r="97" spans="2:4" x14ac:dyDescent="0.3">
      <c r="C97" s="134" t="s">
        <v>1001</v>
      </c>
      <c r="D97" s="16">
        <f>Обстеження!K9</f>
        <v>19.7</v>
      </c>
    </row>
    <row r="98" spans="2:4" x14ac:dyDescent="0.3">
      <c r="C98" s="134" t="s">
        <v>999</v>
      </c>
      <c r="D98" s="16">
        <f>Обстеження!K8</f>
        <v>9.8000000000000007</v>
      </c>
    </row>
    <row r="99" spans="2:4" x14ac:dyDescent="0.3">
      <c r="C99" s="134" t="s">
        <v>995</v>
      </c>
      <c r="D99" s="16">
        <f>Обстеження!K7</f>
        <v>9.5</v>
      </c>
    </row>
    <row r="100" spans="2:4" x14ac:dyDescent="0.3">
      <c r="C100" s="134" t="s">
        <v>994</v>
      </c>
      <c r="D100" s="16">
        <f>Обстеження!K6</f>
        <v>8.1999999999999993</v>
      </c>
    </row>
    <row r="101" spans="2:4" x14ac:dyDescent="0.3">
      <c r="C101" s="134" t="s">
        <v>1008</v>
      </c>
      <c r="D101" s="16">
        <f>Обстеження!K13</f>
        <v>11.5</v>
      </c>
    </row>
    <row r="102" spans="2:4" x14ac:dyDescent="0.3">
      <c r="C102" s="134" t="s">
        <v>1010</v>
      </c>
      <c r="D102" s="16">
        <f>Обстеження!K14</f>
        <v>9.9</v>
      </c>
    </row>
    <row r="103" spans="2:4" x14ac:dyDescent="0.3">
      <c r="C103" s="134" t="s">
        <v>1005</v>
      </c>
      <c r="D103" s="16">
        <f>Обстеження!K11</f>
        <v>38</v>
      </c>
    </row>
    <row r="104" spans="2:4" x14ac:dyDescent="0.3">
      <c r="C104" s="134" t="s">
        <v>685</v>
      </c>
      <c r="D104" s="16">
        <f>'4.Рентген Фл'!J11</f>
        <v>34</v>
      </c>
    </row>
    <row r="105" spans="2:4" x14ac:dyDescent="0.3">
      <c r="C105" s="134" t="s">
        <v>1087</v>
      </c>
      <c r="D105" s="16">
        <f>'2.Лабораторія'!K16</f>
        <v>44</v>
      </c>
    </row>
    <row r="106" spans="2:4" x14ac:dyDescent="0.3">
      <c r="C106" s="134" t="s">
        <v>730</v>
      </c>
      <c r="D106" s="16">
        <f>'2.Лабораторія'!K9</f>
        <v>24</v>
      </c>
    </row>
    <row r="107" spans="2:4" x14ac:dyDescent="0.3">
      <c r="C107" s="17"/>
      <c r="D107" s="17"/>
    </row>
    <row r="108" spans="2:4" ht="17.399999999999999" x14ac:dyDescent="0.3">
      <c r="C108" s="135" t="s">
        <v>959</v>
      </c>
      <c r="D108" s="4">
        <f>SUM(D96:D106)</f>
        <v>220.10000000000002</v>
      </c>
    </row>
    <row r="109" spans="2:4" ht="17.399999999999999" x14ac:dyDescent="0.3">
      <c r="B109" s="143"/>
      <c r="C109" s="135"/>
      <c r="D109" s="4"/>
    </row>
    <row r="110" spans="2:4" ht="17.399999999999999" x14ac:dyDescent="0.3">
      <c r="C110" s="135" t="s">
        <v>960</v>
      </c>
      <c r="D110" s="4">
        <f>ROUND(D108,0)</f>
        <v>220</v>
      </c>
    </row>
    <row r="113" spans="2:4" ht="17.399999999999999" x14ac:dyDescent="0.3">
      <c r="B113" s="1031" t="s">
        <v>958</v>
      </c>
      <c r="C113" s="1031"/>
      <c r="D113" s="1031"/>
    </row>
    <row r="115" spans="2:4" ht="78" customHeight="1" x14ac:dyDescent="0.3">
      <c r="B115" s="63" t="s">
        <v>892</v>
      </c>
      <c r="C115" s="136" t="s">
        <v>893</v>
      </c>
      <c r="D115" s="64">
        <f>D129</f>
        <v>190</v>
      </c>
    </row>
    <row r="118" spans="2:4" x14ac:dyDescent="0.3">
      <c r="C118" s="13" t="s">
        <v>929</v>
      </c>
      <c r="D118" s="14" t="s">
        <v>961</v>
      </c>
    </row>
    <row r="119" spans="2:4" x14ac:dyDescent="0.3">
      <c r="C119" s="134" t="s">
        <v>992</v>
      </c>
      <c r="D119" s="24">
        <f>Обстеження!K5</f>
        <v>11.5</v>
      </c>
    </row>
    <row r="120" spans="2:4" x14ac:dyDescent="0.3">
      <c r="C120" s="134" t="s">
        <v>1001</v>
      </c>
      <c r="D120" s="24">
        <f>Обстеження!K9</f>
        <v>19.7</v>
      </c>
    </row>
    <row r="121" spans="2:4" x14ac:dyDescent="0.3">
      <c r="C121" s="134" t="s">
        <v>1003</v>
      </c>
      <c r="D121" s="24">
        <f>Обстеження!K10</f>
        <v>21.3</v>
      </c>
    </row>
    <row r="122" spans="2:4" x14ac:dyDescent="0.3">
      <c r="C122" s="134" t="s">
        <v>1007</v>
      </c>
      <c r="D122" s="24">
        <f>Обстеження!K12</f>
        <v>8.9</v>
      </c>
    </row>
    <row r="123" spans="2:4" x14ac:dyDescent="0.3">
      <c r="C123" s="134" t="s">
        <v>685</v>
      </c>
      <c r="D123" s="24">
        <f>'4.Рентген Фл'!J11</f>
        <v>34</v>
      </c>
    </row>
    <row r="124" spans="2:4" x14ac:dyDescent="0.3">
      <c r="C124" s="134" t="s">
        <v>770</v>
      </c>
      <c r="D124" s="24">
        <f>'2.Лабораторія'!K29</f>
        <v>79</v>
      </c>
    </row>
    <row r="125" spans="2:4" x14ac:dyDescent="0.3">
      <c r="C125" s="134" t="s">
        <v>774</v>
      </c>
      <c r="D125" s="24">
        <f>'2.Лабораторія'!K30</f>
        <v>16</v>
      </c>
    </row>
    <row r="126" spans="2:4" x14ac:dyDescent="0.3">
      <c r="C126" s="17"/>
      <c r="D126" s="17"/>
    </row>
    <row r="127" spans="2:4" ht="17.399999999999999" x14ac:dyDescent="0.3">
      <c r="C127" s="135" t="s">
        <v>959</v>
      </c>
      <c r="D127" s="4">
        <f>SUM(D119:D125)</f>
        <v>190.4</v>
      </c>
    </row>
    <row r="128" spans="2:4" ht="17.399999999999999" x14ac:dyDescent="0.3">
      <c r="B128" s="143"/>
      <c r="C128" s="135"/>
      <c r="D128" s="4"/>
    </row>
    <row r="129" spans="2:4" ht="17.399999999999999" x14ac:dyDescent="0.3">
      <c r="C129" s="135" t="s">
        <v>960</v>
      </c>
      <c r="D129" s="4">
        <f>ROUND(D127,0)</f>
        <v>190</v>
      </c>
    </row>
    <row r="130" spans="2:4" ht="17.399999999999999" x14ac:dyDescent="0.3">
      <c r="C130" s="39"/>
      <c r="D130" s="5"/>
    </row>
    <row r="131" spans="2:4" ht="17.399999999999999" x14ac:dyDescent="0.3">
      <c r="C131" s="39"/>
      <c r="D131" s="5"/>
    </row>
    <row r="132" spans="2:4" ht="17.399999999999999" x14ac:dyDescent="0.3">
      <c r="B132" s="1031" t="s">
        <v>958</v>
      </c>
      <c r="C132" s="1031"/>
      <c r="D132" s="1031"/>
    </row>
    <row r="134" spans="2:4" ht="81" customHeight="1" x14ac:dyDescent="0.3">
      <c r="B134" s="63" t="s">
        <v>894</v>
      </c>
      <c r="C134" s="136" t="s">
        <v>895</v>
      </c>
      <c r="D134" s="64">
        <f>D149</f>
        <v>228</v>
      </c>
    </row>
    <row r="135" spans="2:4" ht="13.5" customHeight="1" x14ac:dyDescent="0.3"/>
    <row r="137" spans="2:4" x14ac:dyDescent="0.3">
      <c r="C137" s="13" t="s">
        <v>929</v>
      </c>
      <c r="D137" s="14" t="s">
        <v>961</v>
      </c>
    </row>
    <row r="138" spans="2:4" x14ac:dyDescent="0.3">
      <c r="C138" s="134" t="s">
        <v>992</v>
      </c>
      <c r="D138" s="16">
        <f>Обстеження!K5</f>
        <v>11.5</v>
      </c>
    </row>
    <row r="139" spans="2:4" x14ac:dyDescent="0.3">
      <c r="C139" s="134" t="s">
        <v>1001</v>
      </c>
      <c r="D139" s="16">
        <f>Обстеження!K9</f>
        <v>19.7</v>
      </c>
    </row>
    <row r="140" spans="2:4" x14ac:dyDescent="0.3">
      <c r="C140" s="134" t="s">
        <v>1003</v>
      </c>
      <c r="D140" s="16">
        <f>Обстеження!K10</f>
        <v>21.3</v>
      </c>
    </row>
    <row r="141" spans="2:4" x14ac:dyDescent="0.3">
      <c r="C141" s="134" t="s">
        <v>1007</v>
      </c>
      <c r="D141" s="16">
        <f>Обстеження!K12</f>
        <v>8.9</v>
      </c>
    </row>
    <row r="142" spans="2:4" x14ac:dyDescent="0.3">
      <c r="C142" s="134" t="s">
        <v>1005</v>
      </c>
      <c r="D142" s="16">
        <f>Обстеження!K11</f>
        <v>38</v>
      </c>
    </row>
    <row r="143" spans="2:4" x14ac:dyDescent="0.3">
      <c r="C143" s="134" t="s">
        <v>685</v>
      </c>
      <c r="D143" s="16">
        <f>'4.Рентген Фл'!J11</f>
        <v>34</v>
      </c>
    </row>
    <row r="144" spans="2:4" x14ac:dyDescent="0.3">
      <c r="C144" s="134" t="s">
        <v>770</v>
      </c>
      <c r="D144" s="16">
        <f>'2.Лабораторія'!K29</f>
        <v>79</v>
      </c>
    </row>
    <row r="145" spans="2:4" x14ac:dyDescent="0.3">
      <c r="C145" s="134" t="s">
        <v>774</v>
      </c>
      <c r="D145" s="16">
        <f>'2.Лабораторія'!K30</f>
        <v>16</v>
      </c>
    </row>
    <row r="146" spans="2:4" x14ac:dyDescent="0.3">
      <c r="C146" s="17"/>
      <c r="D146" s="17"/>
    </row>
    <row r="147" spans="2:4" ht="17.399999999999999" x14ac:dyDescent="0.3">
      <c r="C147" s="135" t="s">
        <v>959</v>
      </c>
      <c r="D147" s="4">
        <f>SUM(D138:D145)</f>
        <v>228.4</v>
      </c>
    </row>
    <row r="148" spans="2:4" ht="17.399999999999999" x14ac:dyDescent="0.3">
      <c r="B148" s="143"/>
      <c r="C148" s="135"/>
      <c r="D148" s="4"/>
    </row>
    <row r="149" spans="2:4" ht="17.399999999999999" x14ac:dyDescent="0.3">
      <c r="C149" s="135" t="s">
        <v>960</v>
      </c>
      <c r="D149" s="4">
        <f>ROUND(D147,0)</f>
        <v>228</v>
      </c>
    </row>
    <row r="152" spans="2:4" ht="17.399999999999999" x14ac:dyDescent="0.3">
      <c r="B152" s="1031" t="s">
        <v>958</v>
      </c>
      <c r="C152" s="1031"/>
      <c r="D152" s="1031"/>
    </row>
    <row r="154" spans="2:4" ht="101.25" customHeight="1" x14ac:dyDescent="0.3">
      <c r="B154" s="63" t="s">
        <v>896</v>
      </c>
      <c r="C154" s="136" t="s">
        <v>897</v>
      </c>
      <c r="D154" s="64">
        <f>D168</f>
        <v>190</v>
      </c>
    </row>
    <row r="157" spans="2:4" x14ac:dyDescent="0.3">
      <c r="C157" s="13" t="s">
        <v>929</v>
      </c>
      <c r="D157" s="14" t="s">
        <v>961</v>
      </c>
    </row>
    <row r="158" spans="2:4" x14ac:dyDescent="0.3">
      <c r="C158" s="134" t="s">
        <v>992</v>
      </c>
      <c r="D158" s="16">
        <f>Обстеження!K5</f>
        <v>11.5</v>
      </c>
    </row>
    <row r="159" spans="2:4" x14ac:dyDescent="0.3">
      <c r="C159" s="134" t="s">
        <v>1001</v>
      </c>
      <c r="D159" s="16">
        <f>Обстеження!K9</f>
        <v>19.7</v>
      </c>
    </row>
    <row r="160" spans="2:4" x14ac:dyDescent="0.3">
      <c r="C160" s="134" t="s">
        <v>1003</v>
      </c>
      <c r="D160" s="16">
        <f>Обстеження!K10</f>
        <v>21.3</v>
      </c>
    </row>
    <row r="161" spans="2:4" x14ac:dyDescent="0.3">
      <c r="C161" s="134" t="s">
        <v>1007</v>
      </c>
      <c r="D161" s="16">
        <f>Обстеження!K12</f>
        <v>8.9</v>
      </c>
    </row>
    <row r="162" spans="2:4" x14ac:dyDescent="0.3">
      <c r="C162" s="134" t="s">
        <v>685</v>
      </c>
      <c r="D162" s="16">
        <f>'4.Рентген Фл'!J11</f>
        <v>34</v>
      </c>
    </row>
    <row r="163" spans="2:4" x14ac:dyDescent="0.3">
      <c r="C163" s="134" t="s">
        <v>770</v>
      </c>
      <c r="D163" s="16">
        <f>'2.Лабораторія'!K29</f>
        <v>79</v>
      </c>
    </row>
    <row r="164" spans="2:4" x14ac:dyDescent="0.3">
      <c r="C164" s="134" t="s">
        <v>774</v>
      </c>
      <c r="D164" s="16">
        <f>'2.Лабораторія'!K30</f>
        <v>16</v>
      </c>
    </row>
    <row r="165" spans="2:4" x14ac:dyDescent="0.3">
      <c r="C165" s="17"/>
      <c r="D165" s="17"/>
    </row>
    <row r="166" spans="2:4" ht="17.399999999999999" x14ac:dyDescent="0.3">
      <c r="C166" s="135" t="s">
        <v>959</v>
      </c>
      <c r="D166" s="4">
        <f>SUM(D158:D164)</f>
        <v>190.4</v>
      </c>
    </row>
    <row r="167" spans="2:4" ht="17.399999999999999" x14ac:dyDescent="0.3">
      <c r="B167" s="143"/>
      <c r="C167" s="135"/>
      <c r="D167" s="4"/>
    </row>
    <row r="168" spans="2:4" ht="17.399999999999999" x14ac:dyDescent="0.3">
      <c r="C168" s="135" t="s">
        <v>960</v>
      </c>
      <c r="D168" s="4">
        <f>ROUND(D166,0)</f>
        <v>190</v>
      </c>
    </row>
    <row r="170" spans="2:4" ht="17.399999999999999" x14ac:dyDescent="0.3">
      <c r="B170" s="1031" t="s">
        <v>958</v>
      </c>
      <c r="C170" s="1031"/>
      <c r="D170" s="1031"/>
    </row>
    <row r="172" spans="2:4" ht="115.5" customHeight="1" x14ac:dyDescent="0.3">
      <c r="B172" s="63" t="s">
        <v>898</v>
      </c>
      <c r="C172" s="136" t="s">
        <v>899</v>
      </c>
      <c r="D172" s="64">
        <f>D187</f>
        <v>228</v>
      </c>
    </row>
    <row r="173" spans="2:4" ht="10.5" customHeight="1" x14ac:dyDescent="0.3"/>
    <row r="174" spans="2:4" hidden="1" x14ac:dyDescent="0.3"/>
    <row r="175" spans="2:4" x14ac:dyDescent="0.3">
      <c r="C175" s="13" t="s">
        <v>929</v>
      </c>
      <c r="D175" s="14" t="s">
        <v>961</v>
      </c>
    </row>
    <row r="176" spans="2:4" x14ac:dyDescent="0.3">
      <c r="C176" s="134" t="s">
        <v>992</v>
      </c>
      <c r="D176" s="16">
        <f>Обстеження!K5</f>
        <v>11.5</v>
      </c>
    </row>
    <row r="177" spans="2:4" x14ac:dyDescent="0.3">
      <c r="C177" s="134" t="s">
        <v>1001</v>
      </c>
      <c r="D177" s="16">
        <f>Обстеження!K9</f>
        <v>19.7</v>
      </c>
    </row>
    <row r="178" spans="2:4" x14ac:dyDescent="0.3">
      <c r="C178" s="134" t="s">
        <v>1003</v>
      </c>
      <c r="D178" s="16">
        <f>Обстеження!K10</f>
        <v>21.3</v>
      </c>
    </row>
    <row r="179" spans="2:4" x14ac:dyDescent="0.3">
      <c r="C179" s="134" t="s">
        <v>1007</v>
      </c>
      <c r="D179" s="16">
        <f>Обстеження!K12</f>
        <v>8.9</v>
      </c>
    </row>
    <row r="180" spans="2:4" x14ac:dyDescent="0.3">
      <c r="C180" s="134" t="s">
        <v>1005</v>
      </c>
      <c r="D180" s="16">
        <f>Обстеження!K11</f>
        <v>38</v>
      </c>
    </row>
    <row r="181" spans="2:4" x14ac:dyDescent="0.3">
      <c r="C181" s="134" t="s">
        <v>685</v>
      </c>
      <c r="D181" s="16">
        <f>'4.Рентген Фл'!J11</f>
        <v>34</v>
      </c>
    </row>
    <row r="182" spans="2:4" x14ac:dyDescent="0.3">
      <c r="C182" s="134" t="s">
        <v>770</v>
      </c>
      <c r="D182" s="16">
        <f>'2.Лабораторія'!K29</f>
        <v>79</v>
      </c>
    </row>
    <row r="183" spans="2:4" x14ac:dyDescent="0.3">
      <c r="C183" s="134" t="s">
        <v>774</v>
      </c>
      <c r="D183" s="16">
        <f>'2.Лабораторія'!K30</f>
        <v>16</v>
      </c>
    </row>
    <row r="184" spans="2:4" x14ac:dyDescent="0.3">
      <c r="C184" s="17"/>
      <c r="D184" s="17"/>
    </row>
    <row r="185" spans="2:4" ht="17.399999999999999" x14ac:dyDescent="0.3">
      <c r="C185" s="135" t="s">
        <v>959</v>
      </c>
      <c r="D185" s="4">
        <f>SUM(D176:D183)</f>
        <v>228.4</v>
      </c>
    </row>
    <row r="186" spans="2:4" ht="17.399999999999999" x14ac:dyDescent="0.3">
      <c r="B186" s="143"/>
      <c r="C186" s="135"/>
      <c r="D186" s="4"/>
    </row>
    <row r="187" spans="2:4" ht="17.399999999999999" x14ac:dyDescent="0.3">
      <c r="C187" s="135" t="s">
        <v>960</v>
      </c>
      <c r="D187" s="4">
        <f>ROUND(D185,0)</f>
        <v>228</v>
      </c>
    </row>
    <row r="189" spans="2:4" ht="2.25" customHeight="1" x14ac:dyDescent="0.3"/>
    <row r="190" spans="2:4" ht="17.399999999999999" x14ac:dyDescent="0.3">
      <c r="B190" s="1031" t="s">
        <v>958</v>
      </c>
      <c r="C190" s="1031"/>
      <c r="D190" s="1031"/>
    </row>
    <row r="192" spans="2:4" ht="126" customHeight="1" x14ac:dyDescent="0.3">
      <c r="B192" s="63" t="s">
        <v>900</v>
      </c>
      <c r="C192" s="136" t="s">
        <v>901</v>
      </c>
      <c r="D192" s="64">
        <f>D206</f>
        <v>190</v>
      </c>
    </row>
    <row r="193" spans="2:4" ht="13.5" customHeight="1" x14ac:dyDescent="0.3"/>
    <row r="194" spans="2:4" hidden="1" x14ac:dyDescent="0.3"/>
    <row r="195" spans="2:4" x14ac:dyDescent="0.3">
      <c r="C195" s="13" t="s">
        <v>929</v>
      </c>
      <c r="D195" s="14" t="s">
        <v>961</v>
      </c>
    </row>
    <row r="196" spans="2:4" x14ac:dyDescent="0.3">
      <c r="C196" s="134" t="s">
        <v>992</v>
      </c>
      <c r="D196" s="16">
        <f>Обстеження!K5</f>
        <v>11.5</v>
      </c>
    </row>
    <row r="197" spans="2:4" x14ac:dyDescent="0.3">
      <c r="C197" s="134" t="s">
        <v>1001</v>
      </c>
      <c r="D197" s="16">
        <f>Обстеження!K9</f>
        <v>19.7</v>
      </c>
    </row>
    <row r="198" spans="2:4" x14ac:dyDescent="0.3">
      <c r="C198" s="134" t="s">
        <v>1003</v>
      </c>
      <c r="D198" s="16">
        <f>Обстеження!K10</f>
        <v>21.3</v>
      </c>
    </row>
    <row r="199" spans="2:4" x14ac:dyDescent="0.3">
      <c r="C199" s="134" t="s">
        <v>1007</v>
      </c>
      <c r="D199" s="16">
        <f>Обстеження!K12</f>
        <v>8.9</v>
      </c>
    </row>
    <row r="200" spans="2:4" x14ac:dyDescent="0.3">
      <c r="C200" s="134" t="s">
        <v>685</v>
      </c>
      <c r="D200" s="16">
        <f>'4.Рентген Фл'!J11</f>
        <v>34</v>
      </c>
    </row>
    <row r="201" spans="2:4" x14ac:dyDescent="0.3">
      <c r="C201" s="134" t="s">
        <v>770</v>
      </c>
      <c r="D201" s="16">
        <f>'2.Лабораторія'!K29</f>
        <v>79</v>
      </c>
    </row>
    <row r="202" spans="2:4" x14ac:dyDescent="0.3">
      <c r="C202" s="134" t="s">
        <v>774</v>
      </c>
      <c r="D202" s="16">
        <f>'2.Лабораторія'!K30</f>
        <v>16</v>
      </c>
    </row>
    <row r="203" spans="2:4" x14ac:dyDescent="0.3">
      <c r="C203" s="17"/>
      <c r="D203" s="17"/>
    </row>
    <row r="204" spans="2:4" ht="17.399999999999999" x14ac:dyDescent="0.3">
      <c r="C204" s="135" t="s">
        <v>959</v>
      </c>
      <c r="D204" s="4">
        <f>SUM(D196:D202)</f>
        <v>190.4</v>
      </c>
    </row>
    <row r="205" spans="2:4" ht="17.399999999999999" x14ac:dyDescent="0.3">
      <c r="B205" s="143"/>
      <c r="C205" s="135"/>
      <c r="D205" s="4"/>
    </row>
    <row r="206" spans="2:4" ht="17.399999999999999" x14ac:dyDescent="0.3">
      <c r="C206" s="135" t="s">
        <v>960</v>
      </c>
      <c r="D206" s="4">
        <f>ROUND(D204,0)</f>
        <v>190</v>
      </c>
    </row>
    <row r="208" spans="2:4" ht="17.399999999999999" x14ac:dyDescent="0.3">
      <c r="B208" s="1031" t="s">
        <v>958</v>
      </c>
      <c r="C208" s="1031"/>
      <c r="D208" s="1031"/>
    </row>
    <row r="210" spans="2:4" ht="129.75" customHeight="1" x14ac:dyDescent="0.3">
      <c r="B210" s="63" t="s">
        <v>902</v>
      </c>
      <c r="C210" s="136" t="s">
        <v>903</v>
      </c>
      <c r="D210" s="64">
        <f>D225</f>
        <v>228</v>
      </c>
    </row>
    <row r="213" spans="2:4" x14ac:dyDescent="0.3">
      <c r="C213" s="13" t="s">
        <v>929</v>
      </c>
      <c r="D213" s="14" t="s">
        <v>961</v>
      </c>
    </row>
    <row r="214" spans="2:4" x14ac:dyDescent="0.3">
      <c r="C214" s="134" t="s">
        <v>992</v>
      </c>
      <c r="D214" s="16">
        <f>Обстеження!K5</f>
        <v>11.5</v>
      </c>
    </row>
    <row r="215" spans="2:4" x14ac:dyDescent="0.3">
      <c r="C215" s="134" t="s">
        <v>1001</v>
      </c>
      <c r="D215" s="16">
        <f>Обстеження!K9</f>
        <v>19.7</v>
      </c>
    </row>
    <row r="216" spans="2:4" x14ac:dyDescent="0.3">
      <c r="C216" s="134" t="s">
        <v>1003</v>
      </c>
      <c r="D216" s="16">
        <f>Обстеження!K10</f>
        <v>21.3</v>
      </c>
    </row>
    <row r="217" spans="2:4" x14ac:dyDescent="0.3">
      <c r="C217" s="134" t="s">
        <v>1007</v>
      </c>
      <c r="D217" s="16">
        <f>Обстеження!K12</f>
        <v>8.9</v>
      </c>
    </row>
    <row r="218" spans="2:4" x14ac:dyDescent="0.3">
      <c r="C218" s="134" t="s">
        <v>1005</v>
      </c>
      <c r="D218" s="16">
        <f>Обстеження!K11</f>
        <v>38</v>
      </c>
    </row>
    <row r="219" spans="2:4" x14ac:dyDescent="0.3">
      <c r="C219" s="134" t="s">
        <v>685</v>
      </c>
      <c r="D219" s="16">
        <f>'4.Рентген Фл'!J11</f>
        <v>34</v>
      </c>
    </row>
    <row r="220" spans="2:4" x14ac:dyDescent="0.3">
      <c r="C220" s="134" t="s">
        <v>770</v>
      </c>
      <c r="D220" s="16">
        <f>'2.Лабораторія'!K29</f>
        <v>79</v>
      </c>
    </row>
    <row r="221" spans="2:4" x14ac:dyDescent="0.3">
      <c r="C221" s="134" t="s">
        <v>774</v>
      </c>
      <c r="D221" s="16">
        <f>'2.Лабораторія'!K30</f>
        <v>16</v>
      </c>
    </row>
    <row r="222" spans="2:4" x14ac:dyDescent="0.3">
      <c r="C222" s="17"/>
      <c r="D222" s="17"/>
    </row>
    <row r="223" spans="2:4" ht="17.399999999999999" x14ac:dyDescent="0.3">
      <c r="C223" s="135" t="s">
        <v>959</v>
      </c>
      <c r="D223" s="4">
        <f>SUM(D214:D221)</f>
        <v>228.4</v>
      </c>
    </row>
    <row r="224" spans="2:4" ht="17.399999999999999" x14ac:dyDescent="0.3">
      <c r="B224" s="143"/>
      <c r="C224" s="135"/>
      <c r="D224" s="4"/>
    </row>
    <row r="225" spans="2:4" ht="17.399999999999999" x14ac:dyDescent="0.3">
      <c r="C225" s="135" t="s">
        <v>960</v>
      </c>
      <c r="D225" s="4">
        <f>ROUND(D223,0)</f>
        <v>228</v>
      </c>
    </row>
    <row r="227" spans="2:4" ht="17.399999999999999" x14ac:dyDescent="0.3">
      <c r="B227" s="1031" t="s">
        <v>958</v>
      </c>
      <c r="C227" s="1031"/>
      <c r="D227" s="1031"/>
    </row>
    <row r="229" spans="2:4" ht="78.75" customHeight="1" x14ac:dyDescent="0.3">
      <c r="B229" s="63" t="s">
        <v>904</v>
      </c>
      <c r="C229" s="136" t="s">
        <v>905</v>
      </c>
      <c r="D229" s="64">
        <f>D243</f>
        <v>190</v>
      </c>
    </row>
    <row r="232" spans="2:4" x14ac:dyDescent="0.3">
      <c r="C232" s="13" t="s">
        <v>929</v>
      </c>
      <c r="D232" s="14" t="s">
        <v>961</v>
      </c>
    </row>
    <row r="233" spans="2:4" x14ac:dyDescent="0.3">
      <c r="C233" s="134" t="s">
        <v>992</v>
      </c>
      <c r="D233" s="16">
        <f>Обстеження!K5</f>
        <v>11.5</v>
      </c>
    </row>
    <row r="234" spans="2:4" x14ac:dyDescent="0.3">
      <c r="C234" s="134" t="s">
        <v>1001</v>
      </c>
      <c r="D234" s="16">
        <f>Обстеження!K9</f>
        <v>19.7</v>
      </c>
    </row>
    <row r="235" spans="2:4" x14ac:dyDescent="0.3">
      <c r="C235" s="134" t="s">
        <v>1003</v>
      </c>
      <c r="D235" s="16">
        <f>Обстеження!K10</f>
        <v>21.3</v>
      </c>
    </row>
    <row r="236" spans="2:4" x14ac:dyDescent="0.3">
      <c r="C236" s="134" t="s">
        <v>1007</v>
      </c>
      <c r="D236" s="16">
        <f>Обстеження!K12</f>
        <v>8.9</v>
      </c>
    </row>
    <row r="237" spans="2:4" x14ac:dyDescent="0.3">
      <c r="C237" s="134" t="s">
        <v>685</v>
      </c>
      <c r="D237" s="16">
        <f>'4.Рентген Фл'!J11</f>
        <v>34</v>
      </c>
    </row>
    <row r="238" spans="2:4" x14ac:dyDescent="0.3">
      <c r="C238" s="134" t="s">
        <v>770</v>
      </c>
      <c r="D238" s="16">
        <f>'2.Лабораторія'!K29</f>
        <v>79</v>
      </c>
    </row>
    <row r="239" spans="2:4" x14ac:dyDescent="0.3">
      <c r="C239" s="134" t="s">
        <v>774</v>
      </c>
      <c r="D239" s="16">
        <f>'2.Лабораторія'!K30</f>
        <v>16</v>
      </c>
    </row>
    <row r="240" spans="2:4" x14ac:dyDescent="0.3">
      <c r="C240" s="17"/>
      <c r="D240" s="17"/>
    </row>
    <row r="241" spans="2:4" ht="17.399999999999999" x14ac:dyDescent="0.3">
      <c r="C241" s="135" t="s">
        <v>959</v>
      </c>
      <c r="D241" s="4">
        <f>SUM(D233:D239)</f>
        <v>190.4</v>
      </c>
    </row>
    <row r="242" spans="2:4" ht="17.399999999999999" x14ac:dyDescent="0.3">
      <c r="B242" s="143"/>
      <c r="C242" s="135"/>
      <c r="D242" s="4"/>
    </row>
    <row r="243" spans="2:4" ht="17.399999999999999" x14ac:dyDescent="0.3">
      <c r="C243" s="135" t="s">
        <v>960</v>
      </c>
      <c r="D243" s="4">
        <f>ROUND(D241,0)</f>
        <v>190</v>
      </c>
    </row>
    <row r="245" spans="2:4" ht="17.399999999999999" x14ac:dyDescent="0.3">
      <c r="B245" s="1031" t="s">
        <v>958</v>
      </c>
      <c r="C245" s="1031"/>
      <c r="D245" s="1031"/>
    </row>
    <row r="247" spans="2:4" ht="96.75" customHeight="1" x14ac:dyDescent="0.3">
      <c r="B247" s="63" t="s">
        <v>906</v>
      </c>
      <c r="C247" s="136" t="s">
        <v>907</v>
      </c>
      <c r="D247" s="64">
        <f>D262</f>
        <v>228</v>
      </c>
    </row>
    <row r="250" spans="2:4" x14ac:dyDescent="0.3">
      <c r="C250" s="13" t="s">
        <v>929</v>
      </c>
      <c r="D250" s="14" t="s">
        <v>961</v>
      </c>
    </row>
    <row r="251" spans="2:4" x14ac:dyDescent="0.3">
      <c r="C251" s="134" t="s">
        <v>992</v>
      </c>
      <c r="D251" s="16">
        <f>Обстеження!K5</f>
        <v>11.5</v>
      </c>
    </row>
    <row r="252" spans="2:4" x14ac:dyDescent="0.3">
      <c r="C252" s="134" t="s">
        <v>1001</v>
      </c>
      <c r="D252" s="16">
        <f>Обстеження!K9</f>
        <v>19.7</v>
      </c>
    </row>
    <row r="253" spans="2:4" x14ac:dyDescent="0.3">
      <c r="C253" s="134" t="s">
        <v>1003</v>
      </c>
      <c r="D253" s="16">
        <f>Обстеження!K10</f>
        <v>21.3</v>
      </c>
    </row>
    <row r="254" spans="2:4" x14ac:dyDescent="0.3">
      <c r="C254" s="134" t="s">
        <v>1007</v>
      </c>
      <c r="D254" s="16">
        <f>Обстеження!K12</f>
        <v>8.9</v>
      </c>
    </row>
    <row r="255" spans="2:4" x14ac:dyDescent="0.3">
      <c r="C255" s="134" t="s">
        <v>1005</v>
      </c>
      <c r="D255" s="16">
        <f>Обстеження!K11</f>
        <v>38</v>
      </c>
    </row>
    <row r="256" spans="2:4" x14ac:dyDescent="0.3">
      <c r="C256" s="134" t="s">
        <v>685</v>
      </c>
      <c r="D256" s="16">
        <f>'4.Рентген Фл'!J11</f>
        <v>34</v>
      </c>
    </row>
    <row r="257" spans="2:4" x14ac:dyDescent="0.3">
      <c r="C257" s="134" t="s">
        <v>770</v>
      </c>
      <c r="D257" s="16">
        <f>'2.Лабораторія'!K29</f>
        <v>79</v>
      </c>
    </row>
    <row r="258" spans="2:4" x14ac:dyDescent="0.3">
      <c r="C258" s="134" t="s">
        <v>774</v>
      </c>
      <c r="D258" s="16">
        <f>'2.Лабораторія'!K30</f>
        <v>16</v>
      </c>
    </row>
    <row r="259" spans="2:4" x14ac:dyDescent="0.3">
      <c r="C259" s="17"/>
      <c r="D259" s="17"/>
    </row>
    <row r="260" spans="2:4" ht="17.399999999999999" x14ac:dyDescent="0.3">
      <c r="C260" s="135" t="s">
        <v>959</v>
      </c>
      <c r="D260" s="4">
        <f>SUM(D251:D258)</f>
        <v>228.4</v>
      </c>
    </row>
    <row r="261" spans="2:4" ht="17.399999999999999" x14ac:dyDescent="0.3">
      <c r="B261" s="143"/>
      <c r="C261" s="135"/>
      <c r="D261" s="4"/>
    </row>
    <row r="262" spans="2:4" ht="17.399999999999999" x14ac:dyDescent="0.3">
      <c r="C262" s="135" t="s">
        <v>960</v>
      </c>
      <c r="D262" s="4">
        <f>ROUND(D260,0)</f>
        <v>228</v>
      </c>
    </row>
    <row r="264" spans="2:4" ht="17.399999999999999" x14ac:dyDescent="0.3">
      <c r="B264" s="1031" t="s">
        <v>958</v>
      </c>
      <c r="C264" s="1031"/>
      <c r="D264" s="1031"/>
    </row>
    <row r="266" spans="2:4" ht="72" customHeight="1" x14ac:dyDescent="0.3">
      <c r="B266" s="63" t="s">
        <v>908</v>
      </c>
      <c r="C266" s="136" t="s">
        <v>909</v>
      </c>
      <c r="D266" s="64">
        <f>D280</f>
        <v>190</v>
      </c>
    </row>
    <row r="269" spans="2:4" x14ac:dyDescent="0.3">
      <c r="C269" s="13" t="s">
        <v>929</v>
      </c>
      <c r="D269" s="14" t="s">
        <v>961</v>
      </c>
    </row>
    <row r="270" spans="2:4" x14ac:dyDescent="0.3">
      <c r="C270" s="134" t="s">
        <v>992</v>
      </c>
      <c r="D270" s="16">
        <f>Обстеження!K5</f>
        <v>11.5</v>
      </c>
    </row>
    <row r="271" spans="2:4" x14ac:dyDescent="0.3">
      <c r="C271" s="134" t="s">
        <v>1001</v>
      </c>
      <c r="D271" s="16">
        <f>Обстеження!K9</f>
        <v>19.7</v>
      </c>
    </row>
    <row r="272" spans="2:4" x14ac:dyDescent="0.3">
      <c r="C272" s="134" t="s">
        <v>1003</v>
      </c>
      <c r="D272" s="16">
        <f>Обстеження!K10</f>
        <v>21.3</v>
      </c>
    </row>
    <row r="273" spans="2:4" x14ac:dyDescent="0.3">
      <c r="C273" s="134" t="s">
        <v>1007</v>
      </c>
      <c r="D273" s="16">
        <f>Обстеження!K12</f>
        <v>8.9</v>
      </c>
    </row>
    <row r="274" spans="2:4" x14ac:dyDescent="0.3">
      <c r="C274" s="134" t="s">
        <v>685</v>
      </c>
      <c r="D274" s="16">
        <f>'4.Рентген Фл'!J11</f>
        <v>34</v>
      </c>
    </row>
    <row r="275" spans="2:4" x14ac:dyDescent="0.3">
      <c r="C275" s="134" t="s">
        <v>770</v>
      </c>
      <c r="D275" s="16">
        <f>'2.Лабораторія'!K29</f>
        <v>79</v>
      </c>
    </row>
    <row r="276" spans="2:4" x14ac:dyDescent="0.3">
      <c r="C276" s="134" t="s">
        <v>774</v>
      </c>
      <c r="D276" s="16">
        <f>'2.Лабораторія'!K30</f>
        <v>16</v>
      </c>
    </row>
    <row r="277" spans="2:4" x14ac:dyDescent="0.3">
      <c r="C277" s="17"/>
      <c r="D277" s="17"/>
    </row>
    <row r="278" spans="2:4" ht="17.399999999999999" x14ac:dyDescent="0.3">
      <c r="C278" s="135" t="s">
        <v>959</v>
      </c>
      <c r="D278" s="4">
        <f>SUM(D270:D276)</f>
        <v>190.4</v>
      </c>
    </row>
    <row r="279" spans="2:4" ht="17.399999999999999" x14ac:dyDescent="0.3">
      <c r="B279" s="143"/>
      <c r="C279" s="135"/>
      <c r="D279" s="4"/>
    </row>
    <row r="280" spans="2:4" ht="17.399999999999999" x14ac:dyDescent="0.3">
      <c r="C280" s="135" t="s">
        <v>960</v>
      </c>
      <c r="D280" s="4">
        <f>ROUND(D278,0)</f>
        <v>190</v>
      </c>
    </row>
    <row r="284" spans="2:4" ht="17.399999999999999" x14ac:dyDescent="0.3">
      <c r="B284" s="1031" t="s">
        <v>958</v>
      </c>
      <c r="C284" s="1031"/>
      <c r="D284" s="1031"/>
    </row>
    <row r="286" spans="2:4" ht="72.75" customHeight="1" x14ac:dyDescent="0.3">
      <c r="B286" s="63" t="s">
        <v>910</v>
      </c>
      <c r="C286" s="136" t="s">
        <v>911</v>
      </c>
      <c r="D286" s="64">
        <f>D301</f>
        <v>228</v>
      </c>
    </row>
    <row r="289" spans="2:4" x14ac:dyDescent="0.3">
      <c r="C289" s="13" t="s">
        <v>929</v>
      </c>
      <c r="D289" s="14" t="s">
        <v>961</v>
      </c>
    </row>
    <row r="290" spans="2:4" x14ac:dyDescent="0.3">
      <c r="C290" s="134" t="s">
        <v>992</v>
      </c>
      <c r="D290" s="16">
        <f>Обстеження!K5</f>
        <v>11.5</v>
      </c>
    </row>
    <row r="291" spans="2:4" x14ac:dyDescent="0.3">
      <c r="C291" s="134" t="s">
        <v>1001</v>
      </c>
      <c r="D291" s="16">
        <f>Обстеження!K9</f>
        <v>19.7</v>
      </c>
    </row>
    <row r="292" spans="2:4" x14ac:dyDescent="0.3">
      <c r="C292" s="134" t="s">
        <v>1003</v>
      </c>
      <c r="D292" s="16">
        <f>Обстеження!K10</f>
        <v>21.3</v>
      </c>
    </row>
    <row r="293" spans="2:4" x14ac:dyDescent="0.3">
      <c r="C293" s="134" t="s">
        <v>1007</v>
      </c>
      <c r="D293" s="16">
        <f>Обстеження!K12</f>
        <v>8.9</v>
      </c>
    </row>
    <row r="294" spans="2:4" x14ac:dyDescent="0.3">
      <c r="C294" s="134" t="s">
        <v>1005</v>
      </c>
      <c r="D294" s="16">
        <f>Обстеження!K11</f>
        <v>38</v>
      </c>
    </row>
    <row r="295" spans="2:4" x14ac:dyDescent="0.3">
      <c r="C295" s="134" t="s">
        <v>685</v>
      </c>
      <c r="D295" s="16">
        <f>'4.Рентген Фл'!J11</f>
        <v>34</v>
      </c>
    </row>
    <row r="296" spans="2:4" x14ac:dyDescent="0.3">
      <c r="C296" s="134" t="s">
        <v>770</v>
      </c>
      <c r="D296" s="16">
        <f>'2.Лабораторія'!K29</f>
        <v>79</v>
      </c>
    </row>
    <row r="297" spans="2:4" x14ac:dyDescent="0.3">
      <c r="C297" s="134" t="s">
        <v>774</v>
      </c>
      <c r="D297" s="16">
        <f>'2.Лабораторія'!K30</f>
        <v>16</v>
      </c>
    </row>
    <row r="298" spans="2:4" x14ac:dyDescent="0.3">
      <c r="C298" s="17"/>
      <c r="D298" s="17"/>
    </row>
    <row r="299" spans="2:4" ht="17.399999999999999" x14ac:dyDescent="0.3">
      <c r="C299" s="135" t="s">
        <v>959</v>
      </c>
      <c r="D299" s="4">
        <f>SUM(D290:D297)</f>
        <v>228.4</v>
      </c>
    </row>
    <row r="300" spans="2:4" ht="17.399999999999999" x14ac:dyDescent="0.3">
      <c r="B300" s="143"/>
      <c r="C300" s="135"/>
      <c r="D300" s="4"/>
    </row>
    <row r="301" spans="2:4" ht="17.399999999999999" x14ac:dyDescent="0.3">
      <c r="C301" s="135" t="s">
        <v>960</v>
      </c>
      <c r="D301" s="4">
        <f>ROUND(D299,0)</f>
        <v>228</v>
      </c>
    </row>
    <row r="303" spans="2:4" ht="17.399999999999999" x14ac:dyDescent="0.3">
      <c r="B303" s="1031" t="s">
        <v>958</v>
      </c>
      <c r="C303" s="1031"/>
      <c r="D303" s="1031"/>
    </row>
    <row r="305" spans="2:4" ht="94.5" customHeight="1" x14ac:dyDescent="0.3">
      <c r="B305" s="63" t="s">
        <v>912</v>
      </c>
      <c r="C305" s="136" t="s">
        <v>913</v>
      </c>
      <c r="D305" s="64">
        <f>D319</f>
        <v>190</v>
      </c>
    </row>
    <row r="308" spans="2:4" x14ac:dyDescent="0.3">
      <c r="C308" s="13" t="s">
        <v>929</v>
      </c>
      <c r="D308" s="14" t="s">
        <v>961</v>
      </c>
    </row>
    <row r="309" spans="2:4" x14ac:dyDescent="0.3">
      <c r="C309" s="134" t="s">
        <v>992</v>
      </c>
      <c r="D309" s="16">
        <f>Обстеження!K5</f>
        <v>11.5</v>
      </c>
    </row>
    <row r="310" spans="2:4" x14ac:dyDescent="0.3">
      <c r="C310" s="134" t="s">
        <v>1001</v>
      </c>
      <c r="D310" s="16">
        <f>Обстеження!K9</f>
        <v>19.7</v>
      </c>
    </row>
    <row r="311" spans="2:4" x14ac:dyDescent="0.3">
      <c r="C311" s="134" t="s">
        <v>1003</v>
      </c>
      <c r="D311" s="16">
        <f>Обстеження!K10</f>
        <v>21.3</v>
      </c>
    </row>
    <row r="312" spans="2:4" x14ac:dyDescent="0.3">
      <c r="C312" s="134" t="s">
        <v>1007</v>
      </c>
      <c r="D312" s="16">
        <f>Обстеження!K12</f>
        <v>8.9</v>
      </c>
    </row>
    <row r="313" spans="2:4" x14ac:dyDescent="0.3">
      <c r="C313" s="134" t="s">
        <v>685</v>
      </c>
      <c r="D313" s="16">
        <f>'4.Рентген Фл'!J11</f>
        <v>34</v>
      </c>
    </row>
    <row r="314" spans="2:4" x14ac:dyDescent="0.3">
      <c r="C314" s="134" t="s">
        <v>770</v>
      </c>
      <c r="D314" s="16">
        <f>'2.Лабораторія'!K29</f>
        <v>79</v>
      </c>
    </row>
    <row r="315" spans="2:4" x14ac:dyDescent="0.3">
      <c r="C315" s="134" t="s">
        <v>774</v>
      </c>
      <c r="D315" s="16">
        <f>'2.Лабораторія'!K30</f>
        <v>16</v>
      </c>
    </row>
    <row r="316" spans="2:4" x14ac:dyDescent="0.3">
      <c r="C316" s="17"/>
      <c r="D316" s="17"/>
    </row>
    <row r="317" spans="2:4" ht="17.399999999999999" x14ac:dyDescent="0.3">
      <c r="C317" s="135" t="s">
        <v>959</v>
      </c>
      <c r="D317" s="4">
        <f>SUM(D309:D315)</f>
        <v>190.4</v>
      </c>
    </row>
    <row r="318" spans="2:4" ht="17.399999999999999" x14ac:dyDescent="0.3">
      <c r="B318" s="143"/>
      <c r="C318" s="135"/>
      <c r="D318" s="4"/>
    </row>
    <row r="319" spans="2:4" ht="17.399999999999999" x14ac:dyDescent="0.3">
      <c r="C319" s="135" t="s">
        <v>960</v>
      </c>
      <c r="D319" s="4">
        <f>ROUND(D317,0)</f>
        <v>190</v>
      </c>
    </row>
    <row r="321" spans="2:4" ht="17.399999999999999" x14ac:dyDescent="0.3">
      <c r="B321" s="1031" t="s">
        <v>958</v>
      </c>
      <c r="C321" s="1031"/>
      <c r="D321" s="1031"/>
    </row>
    <row r="323" spans="2:4" ht="96.75" customHeight="1" x14ac:dyDescent="0.3">
      <c r="B323" s="63" t="s">
        <v>914</v>
      </c>
      <c r="C323" s="136" t="s">
        <v>915</v>
      </c>
      <c r="D323" s="64">
        <f>D338</f>
        <v>228</v>
      </c>
    </row>
    <row r="325" spans="2:4" hidden="1" x14ac:dyDescent="0.3"/>
    <row r="326" spans="2:4" x14ac:dyDescent="0.3">
      <c r="C326" s="13" t="s">
        <v>929</v>
      </c>
      <c r="D326" s="14" t="s">
        <v>961</v>
      </c>
    </row>
    <row r="327" spans="2:4" x14ac:dyDescent="0.3">
      <c r="C327" s="134" t="s">
        <v>992</v>
      </c>
      <c r="D327" s="16">
        <f>Обстеження!K5</f>
        <v>11.5</v>
      </c>
    </row>
    <row r="328" spans="2:4" x14ac:dyDescent="0.3">
      <c r="C328" s="134" t="s">
        <v>1001</v>
      </c>
      <c r="D328" s="16">
        <f>Обстеження!K9</f>
        <v>19.7</v>
      </c>
    </row>
    <row r="329" spans="2:4" x14ac:dyDescent="0.3">
      <c r="C329" s="134" t="s">
        <v>1003</v>
      </c>
      <c r="D329" s="16">
        <f>Обстеження!K10</f>
        <v>21.3</v>
      </c>
    </row>
    <row r="330" spans="2:4" x14ac:dyDescent="0.3">
      <c r="C330" s="134" t="s">
        <v>1007</v>
      </c>
      <c r="D330" s="16">
        <f>Обстеження!K12</f>
        <v>8.9</v>
      </c>
    </row>
    <row r="331" spans="2:4" x14ac:dyDescent="0.3">
      <c r="C331" s="134" t="s">
        <v>1005</v>
      </c>
      <c r="D331" s="16">
        <f>Обстеження!K11</f>
        <v>38</v>
      </c>
    </row>
    <row r="332" spans="2:4" x14ac:dyDescent="0.3">
      <c r="C332" s="134" t="s">
        <v>685</v>
      </c>
      <c r="D332" s="16">
        <f>'4.Рентген Фл'!J11</f>
        <v>34</v>
      </c>
    </row>
    <row r="333" spans="2:4" x14ac:dyDescent="0.3">
      <c r="C333" s="134" t="s">
        <v>770</v>
      </c>
      <c r="D333" s="16">
        <f>'2.Лабораторія'!K29</f>
        <v>79</v>
      </c>
    </row>
    <row r="334" spans="2:4" x14ac:dyDescent="0.3">
      <c r="C334" s="134" t="s">
        <v>774</v>
      </c>
      <c r="D334" s="16">
        <f>'2.Лабораторія'!K30</f>
        <v>16</v>
      </c>
    </row>
    <row r="335" spans="2:4" x14ac:dyDescent="0.3">
      <c r="C335" s="17"/>
      <c r="D335" s="17"/>
    </row>
    <row r="336" spans="2:4" ht="17.399999999999999" x14ac:dyDescent="0.3">
      <c r="C336" s="135" t="s">
        <v>959</v>
      </c>
      <c r="D336" s="4">
        <f>SUM(D327:D334)</f>
        <v>228.4</v>
      </c>
    </row>
    <row r="337" spans="2:4" ht="17.399999999999999" x14ac:dyDescent="0.3">
      <c r="B337" s="143"/>
      <c r="C337" s="135"/>
      <c r="D337" s="4"/>
    </row>
    <row r="338" spans="2:4" ht="17.399999999999999" x14ac:dyDescent="0.3">
      <c r="C338" s="135" t="s">
        <v>960</v>
      </c>
      <c r="D338" s="4">
        <f>ROUND(D336,0)</f>
        <v>228</v>
      </c>
    </row>
    <row r="340" spans="2:4" ht="0.75" customHeight="1" x14ac:dyDescent="0.3"/>
    <row r="341" spans="2:4" ht="37.5" customHeight="1" x14ac:dyDescent="0.3">
      <c r="B341" s="63" t="s">
        <v>916</v>
      </c>
      <c r="C341" s="136" t="s">
        <v>917</v>
      </c>
      <c r="D341" s="64">
        <f>D351</f>
        <v>54</v>
      </c>
    </row>
    <row r="343" spans="2:4" hidden="1" x14ac:dyDescent="0.3"/>
    <row r="344" spans="2:4" x14ac:dyDescent="0.3">
      <c r="C344" s="13" t="s">
        <v>929</v>
      </c>
      <c r="D344" s="14" t="s">
        <v>961</v>
      </c>
    </row>
    <row r="345" spans="2:4" x14ac:dyDescent="0.3">
      <c r="C345" s="134" t="s">
        <v>1013</v>
      </c>
      <c r="D345" s="16">
        <f>Обстеження!K16</f>
        <v>24.3</v>
      </c>
    </row>
    <row r="346" spans="2:4" x14ac:dyDescent="0.3">
      <c r="C346" s="134" t="s">
        <v>768</v>
      </c>
      <c r="D346" s="16">
        <f>'2.Лабораторія'!K27</f>
        <v>24</v>
      </c>
    </row>
    <row r="347" spans="2:4" x14ac:dyDescent="0.3">
      <c r="C347" s="134" t="s">
        <v>1106</v>
      </c>
      <c r="D347" s="16">
        <f>МАТЕРІАЛИ!E6</f>
        <v>5.94</v>
      </c>
    </row>
    <row r="348" spans="2:4" x14ac:dyDescent="0.3">
      <c r="C348" s="17"/>
      <c r="D348" s="17"/>
    </row>
    <row r="349" spans="2:4" ht="17.399999999999999" x14ac:dyDescent="0.3">
      <c r="C349" s="135" t="s">
        <v>959</v>
      </c>
      <c r="D349" s="4">
        <f>SUM(D345:D347)</f>
        <v>54.239999999999995</v>
      </c>
    </row>
    <row r="350" spans="2:4" ht="17.399999999999999" x14ac:dyDescent="0.3">
      <c r="B350" s="143"/>
      <c r="C350" s="135"/>
      <c r="D350" s="4"/>
    </row>
    <row r="351" spans="2:4" ht="17.399999999999999" x14ac:dyDescent="0.3">
      <c r="C351" s="135" t="s">
        <v>960</v>
      </c>
      <c r="D351" s="4">
        <f>ROUND(D349,0)</f>
        <v>54</v>
      </c>
    </row>
    <row r="353" spans="2:5" ht="0.75" customHeight="1" x14ac:dyDescent="0.3"/>
    <row r="354" spans="2:5" ht="34.5" customHeight="1" x14ac:dyDescent="0.3">
      <c r="B354" s="63" t="s">
        <v>918</v>
      </c>
      <c r="C354" s="136" t="s">
        <v>919</v>
      </c>
      <c r="D354" s="64">
        <f>D363</f>
        <v>44</v>
      </c>
      <c r="E354" s="114" t="s">
        <v>101</v>
      </c>
    </row>
    <row r="355" spans="2:5" ht="14.25" customHeight="1" x14ac:dyDescent="0.3"/>
    <row r="356" spans="2:5" hidden="1" x14ac:dyDescent="0.3"/>
    <row r="357" spans="2:5" x14ac:dyDescent="0.3">
      <c r="C357" s="13" t="s">
        <v>929</v>
      </c>
      <c r="D357" s="14" t="s">
        <v>961</v>
      </c>
    </row>
    <row r="358" spans="2:5" x14ac:dyDescent="0.3">
      <c r="C358" s="134" t="s">
        <v>1012</v>
      </c>
      <c r="D358" s="16">
        <f>Обстеження!K15</f>
        <v>37.6</v>
      </c>
    </row>
    <row r="359" spans="2:5" x14ac:dyDescent="0.3">
      <c r="C359" s="134" t="s">
        <v>1106</v>
      </c>
      <c r="D359" s="16">
        <f>МАТЕРІАЛИ!E6</f>
        <v>5.94</v>
      </c>
    </row>
    <row r="360" spans="2:5" x14ac:dyDescent="0.3">
      <c r="C360" s="17"/>
      <c r="D360" s="17"/>
    </row>
    <row r="361" spans="2:5" ht="17.399999999999999" x14ac:dyDescent="0.3">
      <c r="C361" s="135" t="s">
        <v>959</v>
      </c>
      <c r="D361" s="4">
        <f>SUM(D358:D359)</f>
        <v>43.54</v>
      </c>
    </row>
    <row r="362" spans="2:5" ht="17.399999999999999" x14ac:dyDescent="0.3">
      <c r="B362" s="143"/>
      <c r="C362" s="135"/>
      <c r="D362" s="4"/>
    </row>
    <row r="363" spans="2:5" ht="17.399999999999999" x14ac:dyDescent="0.3">
      <c r="C363" s="135" t="s">
        <v>960</v>
      </c>
      <c r="D363" s="4">
        <f>ROUND(D361,0)</f>
        <v>44</v>
      </c>
    </row>
  </sheetData>
  <mergeCells count="17">
    <mergeCell ref="B321:D321"/>
    <mergeCell ref="B284:D284"/>
    <mergeCell ref="B303:D303"/>
    <mergeCell ref="B208:D208"/>
    <mergeCell ref="B190:D190"/>
    <mergeCell ref="B245:D245"/>
    <mergeCell ref="B264:D264"/>
    <mergeCell ref="B227:D227"/>
    <mergeCell ref="B132:D132"/>
    <mergeCell ref="B152:D152"/>
    <mergeCell ref="B170:D170"/>
    <mergeCell ref="B2:D2"/>
    <mergeCell ref="B23:D23"/>
    <mergeCell ref="B46:D46"/>
    <mergeCell ref="B90:D90"/>
    <mergeCell ref="B68:D68"/>
    <mergeCell ref="B113:D113"/>
  </mergeCells>
  <phoneticPr fontId="8" type="noConversion"/>
  <pageMargins left="0.11811023622047245" right="0.11811023622047245" top="0.35433070866141736" bottom="0.35433070866141736" header="0.31496062992125984" footer="0.31496062992125984"/>
  <pageSetup paperSize="9" scale="75" orientation="portrait" r:id="rId1"/>
  <rowBreaks count="18" manualBreakCount="18">
    <brk id="21" min="1" max="3" man="1"/>
    <brk id="44" min="1" max="3" man="1"/>
    <brk id="66" min="1" max="3" man="1"/>
    <brk id="88" min="1" max="3" man="1"/>
    <brk id="111" min="1" max="3" man="1"/>
    <brk id="130" min="1" max="3" man="1"/>
    <brk id="151" min="1" max="3" man="1"/>
    <brk id="169" min="1" max="3" man="1"/>
    <brk id="189" min="1" max="3" man="1"/>
    <brk id="207" min="1" max="3" man="1"/>
    <brk id="226" min="1" max="3" man="1"/>
    <brk id="244" min="1" max="3" man="1"/>
    <brk id="263" min="1" max="3" man="1"/>
    <brk id="282" min="1" max="3" man="1"/>
    <brk id="302" min="1" max="3" man="1"/>
    <brk id="320" min="1" max="3" man="1"/>
    <brk id="340" min="1" max="3" man="1"/>
    <brk id="352" min="1" max="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L168"/>
  <sheetViews>
    <sheetView view="pageBreakPreview" topLeftCell="A140" zoomScaleNormal="100" workbookViewId="0">
      <selection activeCell="F172" sqref="F172"/>
    </sheetView>
  </sheetViews>
  <sheetFormatPr defaultRowHeight="14.4" x14ac:dyDescent="0.3"/>
  <cols>
    <col min="1" max="1" width="2.33203125" customWidth="1"/>
    <col min="2" max="2" width="8.44140625" style="111" bestFit="1" customWidth="1"/>
    <col min="3" max="3" width="111.44140625" style="7" customWidth="1"/>
    <col min="4" max="4" width="17" style="7" customWidth="1"/>
    <col min="5" max="5" width="9.109375" style="725"/>
    <col min="6" max="6" width="222.33203125" style="725" customWidth="1"/>
    <col min="7" max="7" width="9.109375" style="732"/>
    <col min="8" max="12" width="9.109375" style="155"/>
  </cols>
  <sheetData>
    <row r="2" spans="2:7" ht="18" x14ac:dyDescent="0.35">
      <c r="B2" s="1031" t="s">
        <v>958</v>
      </c>
      <c r="C2" s="1031"/>
      <c r="D2" s="1031"/>
      <c r="E2" s="729" t="str">
        <f>B4</f>
        <v>1.1.1</v>
      </c>
      <c r="F2" s="729" t="str">
        <f>C4</f>
        <v>Медичний огляд для отримання дозволу (ліцензії) на об'єкт дозвільної системи (жінки)</v>
      </c>
      <c r="G2" s="154"/>
    </row>
    <row r="3" spans="2:7" x14ac:dyDescent="0.3">
      <c r="E3" s="730" t="str">
        <f>B25</f>
        <v>1.2.1</v>
      </c>
      <c r="F3" s="730" t="str">
        <f>C25</f>
        <v>Попередній медичний огляд кандидатів у водії (водіїв) транспортних засобів (жінки)</v>
      </c>
    </row>
    <row r="4" spans="2:7" ht="24.75" customHeight="1" x14ac:dyDescent="0.3">
      <c r="B4" s="63" t="s">
        <v>495</v>
      </c>
      <c r="C4" s="136" t="s">
        <v>498</v>
      </c>
      <c r="D4" s="64">
        <f>D20</f>
        <v>203</v>
      </c>
      <c r="E4" s="730" t="str">
        <f>B48</f>
        <v>1.3.1</v>
      </c>
      <c r="F4" s="730" t="str">
        <f>C48</f>
        <v>Періодичний медичний огляд кандидатів у водії (водіїв) транспортних засобів (жінки)</v>
      </c>
    </row>
    <row r="5" spans="2:7" ht="28.2" x14ac:dyDescent="0.3">
      <c r="E5" s="730" t="str">
        <f>B70</f>
        <v>1.7.1</v>
      </c>
      <c r="F5" s="731" t="s">
        <v>312</v>
      </c>
    </row>
    <row r="6" spans="2:7" ht="28.2" x14ac:dyDescent="0.3">
      <c r="E6" s="730" t="str">
        <f>B86</f>
        <v>1.9.1</v>
      </c>
      <c r="F6" s="731" t="s">
        <v>315</v>
      </c>
    </row>
    <row r="7" spans="2:7" ht="28.2" x14ac:dyDescent="0.3">
      <c r="C7" s="13" t="s">
        <v>929</v>
      </c>
      <c r="D7" s="14" t="s">
        <v>961</v>
      </c>
      <c r="E7" s="730" t="str">
        <f>B101</f>
        <v>1.11.1</v>
      </c>
      <c r="F7" s="731" t="s">
        <v>204</v>
      </c>
    </row>
    <row r="8" spans="2:7" ht="28.2" x14ac:dyDescent="0.3">
      <c r="C8" s="134" t="s">
        <v>992</v>
      </c>
      <c r="D8" s="16">
        <f>'1.Медичні огляди'!D8</f>
        <v>11.5</v>
      </c>
      <c r="E8" s="730" t="str">
        <f>B118</f>
        <v>1.20</v>
      </c>
      <c r="F8" s="731" t="s">
        <v>307</v>
      </c>
    </row>
    <row r="9" spans="2:7" ht="28.2" x14ac:dyDescent="0.3">
      <c r="C9" s="134" t="s">
        <v>1001</v>
      </c>
      <c r="D9" s="16">
        <f>'1.Медичні огляди'!D9</f>
        <v>19.7</v>
      </c>
      <c r="E9" s="730" t="str">
        <f>B137</f>
        <v>1.21</v>
      </c>
      <c r="F9" s="731" t="s">
        <v>171</v>
      </c>
    </row>
    <row r="10" spans="2:7" ht="28.2" x14ac:dyDescent="0.3">
      <c r="C10" s="134" t="s">
        <v>999</v>
      </c>
      <c r="D10" s="16">
        <f>'1.Медичні огляди'!D10</f>
        <v>9.8000000000000007</v>
      </c>
      <c r="E10" s="730" t="s">
        <v>172</v>
      </c>
      <c r="F10" s="731" t="str">
        <f>C157</f>
        <v>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Пологові будинки(відділення),  дитячі лікарні (відділення), відділення патології новонароджених,недоношених</v>
      </c>
    </row>
    <row r="11" spans="2:7" x14ac:dyDescent="0.3">
      <c r="C11" s="134" t="s">
        <v>995</v>
      </c>
      <c r="D11" s="16">
        <f>'1.Медичні огляди'!D11</f>
        <v>9.5</v>
      </c>
    </row>
    <row r="12" spans="2:7" x14ac:dyDescent="0.3">
      <c r="C12" s="134" t="s">
        <v>920</v>
      </c>
      <c r="D12" s="16">
        <f>'1.Медичні огляди'!D12</f>
        <v>17</v>
      </c>
    </row>
    <row r="13" spans="2:7" x14ac:dyDescent="0.3">
      <c r="C13" s="134" t="s">
        <v>1087</v>
      </c>
      <c r="D13" s="16">
        <f>'1.Медичні огляди'!D13</f>
        <v>44</v>
      </c>
    </row>
    <row r="14" spans="2:7" x14ac:dyDescent="0.3">
      <c r="C14" s="134" t="s">
        <v>730</v>
      </c>
      <c r="D14" s="16">
        <f>'1.Медичні огляди'!D14</f>
        <v>24</v>
      </c>
    </row>
    <row r="15" spans="2:7" x14ac:dyDescent="0.3">
      <c r="C15" s="134" t="s">
        <v>749</v>
      </c>
      <c r="D15" s="16">
        <f>'1.Медичні огляди'!D15</f>
        <v>24</v>
      </c>
    </row>
    <row r="16" spans="2:7" x14ac:dyDescent="0.3">
      <c r="C16" s="134" t="s">
        <v>1106</v>
      </c>
      <c r="D16" s="16">
        <f>'1.Медичні огляди'!D16</f>
        <v>5.94</v>
      </c>
    </row>
    <row r="17" spans="2:12" x14ac:dyDescent="0.3">
      <c r="C17" s="134" t="s">
        <v>1005</v>
      </c>
      <c r="D17" s="24">
        <f>Обстеження!F316</f>
        <v>38</v>
      </c>
      <c r="F17" s="726"/>
    </row>
    <row r="18" spans="2:12" ht="17.399999999999999" x14ac:dyDescent="0.3">
      <c r="C18" s="135" t="s">
        <v>959</v>
      </c>
      <c r="D18" s="4">
        <f>SUM(D8:D17)</f>
        <v>203.44</v>
      </c>
      <c r="F18" s="727"/>
    </row>
    <row r="19" spans="2:12" s="1" customFormat="1" ht="17.399999999999999" x14ac:dyDescent="0.3">
      <c r="B19" s="143"/>
      <c r="C19" s="135"/>
      <c r="D19" s="4"/>
      <c r="E19" s="725"/>
      <c r="F19" s="727"/>
      <c r="G19" s="733"/>
      <c r="H19" s="157"/>
      <c r="I19" s="157"/>
      <c r="J19" s="157"/>
      <c r="K19" s="157"/>
      <c r="L19" s="157"/>
    </row>
    <row r="20" spans="2:12" ht="17.399999999999999" x14ac:dyDescent="0.3">
      <c r="C20" s="135" t="s">
        <v>960</v>
      </c>
      <c r="D20" s="4">
        <f>ROUND(D18,0)</f>
        <v>203</v>
      </c>
      <c r="F20" s="727"/>
    </row>
    <row r="21" spans="2:12" x14ac:dyDescent="0.3">
      <c r="F21" s="726"/>
    </row>
    <row r="23" spans="2:12" ht="17.399999999999999" x14ac:dyDescent="0.3">
      <c r="B23" s="1031" t="s">
        <v>958</v>
      </c>
      <c r="C23" s="1031"/>
      <c r="D23" s="1031"/>
    </row>
    <row r="25" spans="2:12" ht="17.399999999999999" x14ac:dyDescent="0.3">
      <c r="B25" s="63" t="s">
        <v>496</v>
      </c>
      <c r="C25" s="136" t="s">
        <v>499</v>
      </c>
      <c r="D25" s="64">
        <f>D43</f>
        <v>242</v>
      </c>
    </row>
    <row r="28" spans="2:12" x14ac:dyDescent="0.3">
      <c r="C28" s="13" t="s">
        <v>929</v>
      </c>
      <c r="D28" s="14" t="s">
        <v>961</v>
      </c>
    </row>
    <row r="29" spans="2:12" x14ac:dyDescent="0.3">
      <c r="C29" s="134" t="s">
        <v>992</v>
      </c>
      <c r="D29" s="16">
        <f>'1.Медичні огляди'!D29</f>
        <v>11.5</v>
      </c>
    </row>
    <row r="30" spans="2:12" x14ac:dyDescent="0.3">
      <c r="C30" s="134" t="s">
        <v>1001</v>
      </c>
      <c r="D30" s="16">
        <f>'1.Медичні огляди'!D30</f>
        <v>19.7</v>
      </c>
    </row>
    <row r="31" spans="2:12" x14ac:dyDescent="0.3">
      <c r="C31" s="134" t="s">
        <v>999</v>
      </c>
      <c r="D31" s="16">
        <f>'1.Медичні огляди'!D31</f>
        <v>9.8000000000000007</v>
      </c>
    </row>
    <row r="32" spans="2:12" x14ac:dyDescent="0.3">
      <c r="C32" s="134" t="s">
        <v>995</v>
      </c>
      <c r="D32" s="16">
        <f>'1.Медичні огляди'!D32</f>
        <v>9.5</v>
      </c>
    </row>
    <row r="33" spans="2:4" x14ac:dyDescent="0.3">
      <c r="C33" s="134" t="s">
        <v>994</v>
      </c>
      <c r="D33" s="16">
        <f>'1.Медичні огляди'!D33</f>
        <v>8.1999999999999993</v>
      </c>
    </row>
    <row r="34" spans="2:4" x14ac:dyDescent="0.3">
      <c r="C34" s="134" t="s">
        <v>920</v>
      </c>
      <c r="D34" s="16">
        <f>'1.Медичні огляди'!D34</f>
        <v>17</v>
      </c>
    </row>
    <row r="35" spans="2:4" x14ac:dyDescent="0.3">
      <c r="C35" s="134" t="s">
        <v>1087</v>
      </c>
      <c r="D35" s="16">
        <f>'1.Медичні огляди'!D35</f>
        <v>44</v>
      </c>
    </row>
    <row r="36" spans="2:4" x14ac:dyDescent="0.3">
      <c r="C36" s="134" t="s">
        <v>730</v>
      </c>
      <c r="D36" s="16">
        <f>'1.Медичні огляди'!D36</f>
        <v>24</v>
      </c>
    </row>
    <row r="37" spans="2:4" x14ac:dyDescent="0.3">
      <c r="C37" s="134" t="s">
        <v>749</v>
      </c>
      <c r="D37" s="16">
        <f>'1.Медичні огляди'!D37</f>
        <v>24</v>
      </c>
    </row>
    <row r="38" spans="2:4" x14ac:dyDescent="0.3">
      <c r="C38" s="134" t="s">
        <v>751</v>
      </c>
      <c r="D38" s="16">
        <f>'1.Медичні огляди'!D38</f>
        <v>30</v>
      </c>
    </row>
    <row r="39" spans="2:4" x14ac:dyDescent="0.3">
      <c r="C39" s="134" t="s">
        <v>1106</v>
      </c>
      <c r="D39" s="16">
        <f>'1.Медичні огляди'!D39</f>
        <v>5.94</v>
      </c>
    </row>
    <row r="40" spans="2:4" x14ac:dyDescent="0.3">
      <c r="C40" s="17" t="str">
        <f>C17</f>
        <v>Вартість 1-го обстеження лікаря-акушер-гінеколога</v>
      </c>
      <c r="D40" s="17">
        <f>D17</f>
        <v>38</v>
      </c>
    </row>
    <row r="41" spans="2:4" ht="17.399999999999999" x14ac:dyDescent="0.3">
      <c r="C41" s="135" t="s">
        <v>959</v>
      </c>
      <c r="D41" s="4">
        <f>SUM(D29:D40)</f>
        <v>241.64</v>
      </c>
    </row>
    <row r="42" spans="2:4" ht="17.399999999999999" x14ac:dyDescent="0.3">
      <c r="B42" s="143"/>
      <c r="C42" s="135"/>
      <c r="D42" s="4"/>
    </row>
    <row r="43" spans="2:4" ht="17.399999999999999" x14ac:dyDescent="0.3">
      <c r="C43" s="135" t="s">
        <v>960</v>
      </c>
      <c r="D43" s="4">
        <f>ROUND(D41,0)</f>
        <v>242</v>
      </c>
    </row>
    <row r="46" spans="2:4" ht="17.399999999999999" x14ac:dyDescent="0.3">
      <c r="B46" s="1031" t="s">
        <v>958</v>
      </c>
      <c r="C46" s="1031"/>
      <c r="D46" s="1031"/>
    </row>
    <row r="48" spans="2:4" ht="17.399999999999999" x14ac:dyDescent="0.3">
      <c r="B48" s="63" t="s">
        <v>497</v>
      </c>
      <c r="C48" s="136" t="s">
        <v>500</v>
      </c>
      <c r="D48" s="64">
        <f>D65</f>
        <v>212</v>
      </c>
    </row>
    <row r="51" spans="2:4" x14ac:dyDescent="0.3">
      <c r="C51" s="13" t="s">
        <v>929</v>
      </c>
      <c r="D51" s="14" t="s">
        <v>961</v>
      </c>
    </row>
    <row r="52" spans="2:4" x14ac:dyDescent="0.3">
      <c r="C52" s="134" t="s">
        <v>992</v>
      </c>
      <c r="D52" s="16">
        <f>'1.Медичні огляди'!D52</f>
        <v>11.5</v>
      </c>
    </row>
    <row r="53" spans="2:4" x14ac:dyDescent="0.3">
      <c r="C53" s="134" t="s">
        <v>1001</v>
      </c>
      <c r="D53" s="16">
        <f>'1.Медичні огляди'!D53</f>
        <v>19.7</v>
      </c>
    </row>
    <row r="54" spans="2:4" x14ac:dyDescent="0.3">
      <c r="C54" s="134" t="s">
        <v>999</v>
      </c>
      <c r="D54" s="16">
        <f>'1.Медичні огляди'!D54</f>
        <v>9.8000000000000007</v>
      </c>
    </row>
    <row r="55" spans="2:4" x14ac:dyDescent="0.3">
      <c r="C55" s="134" t="s">
        <v>995</v>
      </c>
      <c r="D55" s="16">
        <f>'1.Медичні огляди'!D55</f>
        <v>9.5</v>
      </c>
    </row>
    <row r="56" spans="2:4" x14ac:dyDescent="0.3">
      <c r="C56" s="134" t="s">
        <v>994</v>
      </c>
      <c r="D56" s="16">
        <f>'1.Медичні огляди'!D56</f>
        <v>8.1999999999999993</v>
      </c>
    </row>
    <row r="57" spans="2:4" x14ac:dyDescent="0.3">
      <c r="C57" s="134" t="s">
        <v>920</v>
      </c>
      <c r="D57" s="16">
        <f>'1.Медичні огляди'!D57</f>
        <v>17</v>
      </c>
    </row>
    <row r="58" spans="2:4" x14ac:dyDescent="0.3">
      <c r="C58" s="134" t="s">
        <v>1087</v>
      </c>
      <c r="D58" s="16">
        <f>'1.Медичні огляди'!D58</f>
        <v>44</v>
      </c>
    </row>
    <row r="59" spans="2:4" x14ac:dyDescent="0.3">
      <c r="C59" s="134" t="s">
        <v>730</v>
      </c>
      <c r="D59" s="16">
        <f>'1.Медичні огляди'!D59</f>
        <v>24</v>
      </c>
    </row>
    <row r="60" spans="2:4" x14ac:dyDescent="0.3">
      <c r="C60" s="134" t="s">
        <v>749</v>
      </c>
      <c r="D60" s="16">
        <f>'1.Медичні огляди'!D60</f>
        <v>24</v>
      </c>
    </row>
    <row r="61" spans="2:4" x14ac:dyDescent="0.3">
      <c r="C61" s="134" t="s">
        <v>1106</v>
      </c>
      <c r="D61" s="16">
        <f>'1.Медичні огляди'!D61</f>
        <v>5.94</v>
      </c>
    </row>
    <row r="62" spans="2:4" x14ac:dyDescent="0.3">
      <c r="C62" s="17" t="str">
        <f>C40</f>
        <v>Вартість 1-го обстеження лікаря-акушер-гінеколога</v>
      </c>
      <c r="D62" s="17">
        <f>D40</f>
        <v>38</v>
      </c>
    </row>
    <row r="63" spans="2:4" ht="17.399999999999999" x14ac:dyDescent="0.3">
      <c r="C63" s="135" t="s">
        <v>959</v>
      </c>
      <c r="D63" s="4">
        <f>SUM(D52:D62)</f>
        <v>211.64</v>
      </c>
    </row>
    <row r="64" spans="2:4" ht="17.399999999999999" x14ac:dyDescent="0.3">
      <c r="B64" s="143"/>
      <c r="C64" s="135"/>
      <c r="D64" s="4"/>
    </row>
    <row r="65" spans="2:4" ht="17.399999999999999" x14ac:dyDescent="0.3">
      <c r="C65" s="135" t="s">
        <v>960</v>
      </c>
      <c r="D65" s="4">
        <f>ROUND(D63,0)</f>
        <v>212</v>
      </c>
    </row>
    <row r="66" spans="2:4" ht="17.399999999999999" x14ac:dyDescent="0.3">
      <c r="C66" s="39"/>
      <c r="D66" s="5"/>
    </row>
    <row r="67" spans="2:4" ht="17.399999999999999" x14ac:dyDescent="0.3">
      <c r="C67" s="39"/>
      <c r="D67" s="5"/>
    </row>
    <row r="68" spans="2:4" ht="17.399999999999999" x14ac:dyDescent="0.3">
      <c r="B68" s="1031" t="s">
        <v>958</v>
      </c>
      <c r="C68" s="1031"/>
      <c r="D68" s="1031"/>
    </row>
    <row r="70" spans="2:4" ht="81" customHeight="1" x14ac:dyDescent="0.3">
      <c r="B70" s="63" t="s">
        <v>166</v>
      </c>
      <c r="C70" s="136" t="s">
        <v>312</v>
      </c>
      <c r="D70" s="64">
        <f>D81</f>
        <v>61</v>
      </c>
    </row>
    <row r="71" spans="2:4" ht="13.5" customHeight="1" x14ac:dyDescent="0.3"/>
    <row r="73" spans="2:4" x14ac:dyDescent="0.3">
      <c r="C73" s="13" t="s">
        <v>929</v>
      </c>
      <c r="D73" s="14" t="s">
        <v>961</v>
      </c>
    </row>
    <row r="74" spans="2:4" x14ac:dyDescent="0.3">
      <c r="C74" s="134" t="s">
        <v>992</v>
      </c>
      <c r="D74" s="16">
        <f>Обстеження!K5</f>
        <v>11.5</v>
      </c>
    </row>
    <row r="75" spans="2:4" x14ac:dyDescent="0.3">
      <c r="C75" s="134" t="s">
        <v>1001</v>
      </c>
      <c r="D75" s="16">
        <f>Обстеження!K9</f>
        <v>19.7</v>
      </c>
    </row>
    <row r="76" spans="2:4" x14ac:dyDescent="0.3">
      <c r="C76" s="134" t="s">
        <v>1003</v>
      </c>
      <c r="D76" s="16">
        <f>Обстеження!K10</f>
        <v>21.3</v>
      </c>
    </row>
    <row r="77" spans="2:4" x14ac:dyDescent="0.3">
      <c r="C77" s="134" t="s">
        <v>1007</v>
      </c>
      <c r="D77" s="16">
        <f>Обстеження!K12</f>
        <v>8.9</v>
      </c>
    </row>
    <row r="78" spans="2:4" x14ac:dyDescent="0.3">
      <c r="C78" s="17"/>
      <c r="D78" s="17"/>
    </row>
    <row r="79" spans="2:4" ht="17.399999999999999" x14ac:dyDescent="0.3">
      <c r="C79" s="135" t="s">
        <v>959</v>
      </c>
      <c r="D79" s="4">
        <f>SUM(D74:D77)</f>
        <v>61.4</v>
      </c>
    </row>
    <row r="80" spans="2:4" ht="17.399999999999999" x14ac:dyDescent="0.3">
      <c r="B80" s="143"/>
      <c r="C80" s="135"/>
      <c r="D80" s="4"/>
    </row>
    <row r="81" spans="2:4" ht="17.399999999999999" x14ac:dyDescent="0.3">
      <c r="C81" s="135" t="s">
        <v>960</v>
      </c>
      <c r="D81" s="4">
        <f>ROUND(D79,0)</f>
        <v>61</v>
      </c>
    </row>
    <row r="84" spans="2:4" ht="17.399999999999999" x14ac:dyDescent="0.3">
      <c r="B84" s="1031" t="s">
        <v>958</v>
      </c>
      <c r="C84" s="1031"/>
      <c r="D84" s="1031"/>
    </row>
    <row r="86" spans="2:4" ht="115.5" customHeight="1" x14ac:dyDescent="0.3">
      <c r="B86" s="63" t="s">
        <v>167</v>
      </c>
      <c r="C86" s="136" t="s">
        <v>315</v>
      </c>
      <c r="D86" s="64">
        <f>D96</f>
        <v>53</v>
      </c>
    </row>
    <row r="87" spans="2:4" ht="10.5" customHeight="1" x14ac:dyDescent="0.3"/>
    <row r="88" spans="2:4" ht="15" hidden="1" customHeight="1" x14ac:dyDescent="0.3"/>
    <row r="89" spans="2:4" x14ac:dyDescent="0.3">
      <c r="C89" s="13" t="s">
        <v>929</v>
      </c>
      <c r="D89" s="14" t="s">
        <v>961</v>
      </c>
    </row>
    <row r="90" spans="2:4" x14ac:dyDescent="0.3">
      <c r="C90" s="134" t="s">
        <v>992</v>
      </c>
      <c r="D90" s="16">
        <f>D74</f>
        <v>11.5</v>
      </c>
    </row>
    <row r="91" spans="2:4" x14ac:dyDescent="0.3">
      <c r="C91" s="134" t="s">
        <v>1001</v>
      </c>
      <c r="D91" s="16">
        <f>D75</f>
        <v>19.7</v>
      </c>
    </row>
    <row r="92" spans="2:4" x14ac:dyDescent="0.3">
      <c r="C92" s="134" t="s">
        <v>1003</v>
      </c>
      <c r="D92" s="16">
        <f>D76</f>
        <v>21.3</v>
      </c>
    </row>
    <row r="93" spans="2:4" x14ac:dyDescent="0.3">
      <c r="C93" s="17"/>
      <c r="D93" s="17"/>
    </row>
    <row r="94" spans="2:4" ht="17.399999999999999" x14ac:dyDescent="0.3">
      <c r="C94" s="135" t="s">
        <v>959</v>
      </c>
      <c r="D94" s="4">
        <f>SUM(D90:D92)</f>
        <v>52.5</v>
      </c>
    </row>
    <row r="95" spans="2:4" ht="17.399999999999999" x14ac:dyDescent="0.3">
      <c r="B95" s="143"/>
      <c r="C95" s="135"/>
      <c r="D95" s="4"/>
    </row>
    <row r="96" spans="2:4" ht="17.399999999999999" x14ac:dyDescent="0.3">
      <c r="C96" s="135" t="s">
        <v>960</v>
      </c>
      <c r="D96" s="4">
        <f>ROUND(D94,0)</f>
        <v>53</v>
      </c>
    </row>
    <row r="97" spans="2:4" ht="17.399999999999999" x14ac:dyDescent="0.3">
      <c r="C97" s="39"/>
      <c r="D97" s="5"/>
    </row>
    <row r="98" spans="2:4" ht="17.399999999999999" x14ac:dyDescent="0.3">
      <c r="C98" s="39"/>
      <c r="D98" s="5"/>
    </row>
    <row r="99" spans="2:4" ht="17.399999999999999" x14ac:dyDescent="0.3">
      <c r="B99" s="1031" t="s">
        <v>958</v>
      </c>
      <c r="C99" s="1031"/>
      <c r="D99" s="1031"/>
    </row>
    <row r="101" spans="2:4" ht="87" x14ac:dyDescent="0.3">
      <c r="B101" s="63" t="s">
        <v>168</v>
      </c>
      <c r="C101" s="136" t="s">
        <v>204</v>
      </c>
      <c r="D101" s="64">
        <f>D113</f>
        <v>166</v>
      </c>
    </row>
    <row r="104" spans="2:4" x14ac:dyDescent="0.3">
      <c r="C104" s="13" t="s">
        <v>929</v>
      </c>
      <c r="D104" s="14" t="s">
        <v>961</v>
      </c>
    </row>
    <row r="105" spans="2:4" x14ac:dyDescent="0.3">
      <c r="C105" s="134" t="s">
        <v>992</v>
      </c>
      <c r="D105" s="24">
        <f>Обстеження!K5</f>
        <v>11.5</v>
      </c>
    </row>
    <row r="106" spans="2:4" x14ac:dyDescent="0.3">
      <c r="C106" s="134" t="s">
        <v>1003</v>
      </c>
      <c r="D106" s="24">
        <f>Обстеження!K10</f>
        <v>21.3</v>
      </c>
    </row>
    <row r="107" spans="2:4" x14ac:dyDescent="0.3">
      <c r="C107" s="134" t="s">
        <v>1005</v>
      </c>
      <c r="D107" s="24">
        <f>Обстеження!K11</f>
        <v>38</v>
      </c>
    </row>
    <row r="108" spans="2:4" x14ac:dyDescent="0.3">
      <c r="C108" s="134" t="s">
        <v>770</v>
      </c>
      <c r="D108" s="24">
        <f>'2.Лабораторія'!K29</f>
        <v>79</v>
      </c>
    </row>
    <row r="109" spans="2:4" x14ac:dyDescent="0.3">
      <c r="C109" s="134" t="s">
        <v>774</v>
      </c>
      <c r="D109" s="24">
        <f>'2.Лабораторія'!K30</f>
        <v>16</v>
      </c>
    </row>
    <row r="110" spans="2:4" x14ac:dyDescent="0.3">
      <c r="C110" s="17"/>
      <c r="D110" s="17"/>
    </row>
    <row r="111" spans="2:4" ht="17.399999999999999" x14ac:dyDescent="0.3">
      <c r="C111" s="135" t="s">
        <v>959</v>
      </c>
      <c r="D111" s="4">
        <f>SUM(D105:D109)</f>
        <v>165.8</v>
      </c>
    </row>
    <row r="112" spans="2:4" ht="17.399999999999999" x14ac:dyDescent="0.3">
      <c r="B112" s="143"/>
      <c r="C112" s="135"/>
      <c r="D112" s="4"/>
    </row>
    <row r="113" spans="2:4" ht="17.399999999999999" x14ac:dyDescent="0.3">
      <c r="C113" s="135" t="s">
        <v>960</v>
      </c>
      <c r="D113" s="4">
        <f>ROUND(D111,0)</f>
        <v>166</v>
      </c>
    </row>
    <row r="116" spans="2:4" ht="17.399999999999999" x14ac:dyDescent="0.3">
      <c r="B116" s="1031" t="s">
        <v>958</v>
      </c>
      <c r="C116" s="1031"/>
      <c r="D116" s="1031"/>
    </row>
    <row r="118" spans="2:4" ht="69.599999999999994" x14ac:dyDescent="0.3">
      <c r="B118" s="63" t="s">
        <v>169</v>
      </c>
      <c r="C118" s="136" t="s">
        <v>307</v>
      </c>
      <c r="D118" s="64">
        <f>D132</f>
        <v>190</v>
      </c>
    </row>
    <row r="121" spans="2:4" x14ac:dyDescent="0.3">
      <c r="C121" s="13" t="s">
        <v>929</v>
      </c>
      <c r="D121" s="14" t="s">
        <v>961</v>
      </c>
    </row>
    <row r="122" spans="2:4" x14ac:dyDescent="0.3">
      <c r="C122" s="134" t="s">
        <v>992</v>
      </c>
      <c r="D122" s="24">
        <f>Обстеження!K5</f>
        <v>11.5</v>
      </c>
    </row>
    <row r="123" spans="2:4" x14ac:dyDescent="0.3">
      <c r="C123" s="134" t="s">
        <v>1001</v>
      </c>
      <c r="D123" s="24">
        <f>Обстеження!K9</f>
        <v>19.7</v>
      </c>
    </row>
    <row r="124" spans="2:4" x14ac:dyDescent="0.3">
      <c r="C124" s="134" t="s">
        <v>1003</v>
      </c>
      <c r="D124" s="24">
        <f>Обстеження!K10</f>
        <v>21.3</v>
      </c>
    </row>
    <row r="125" spans="2:4" x14ac:dyDescent="0.3">
      <c r="C125" s="134" t="s">
        <v>1007</v>
      </c>
      <c r="D125" s="24">
        <f>Обстеження!K12</f>
        <v>8.9</v>
      </c>
    </row>
    <row r="126" spans="2:4" x14ac:dyDescent="0.3">
      <c r="C126" s="134" t="s">
        <v>685</v>
      </c>
      <c r="D126" s="24">
        <f>'4.Рентген Фл'!J11</f>
        <v>34</v>
      </c>
    </row>
    <row r="127" spans="2:4" x14ac:dyDescent="0.3">
      <c r="C127" s="134" t="s">
        <v>770</v>
      </c>
      <c r="D127" s="24">
        <f>'2.Лабораторія'!K29</f>
        <v>79</v>
      </c>
    </row>
    <row r="128" spans="2:4" x14ac:dyDescent="0.3">
      <c r="C128" s="134" t="s">
        <v>774</v>
      </c>
      <c r="D128" s="24">
        <f>'2.Лабораторія'!K30</f>
        <v>16</v>
      </c>
    </row>
    <row r="129" spans="2:12" x14ac:dyDescent="0.3">
      <c r="C129" s="17"/>
      <c r="D129" s="17"/>
    </row>
    <row r="130" spans="2:12" ht="17.399999999999999" x14ac:dyDescent="0.3">
      <c r="C130" s="135" t="s">
        <v>959</v>
      </c>
      <c r="D130" s="4">
        <f>SUM(D122:D128)</f>
        <v>190.4</v>
      </c>
    </row>
    <row r="131" spans="2:12" ht="17.399999999999999" x14ac:dyDescent="0.3">
      <c r="B131" s="143"/>
      <c r="C131" s="135"/>
      <c r="D131" s="4"/>
    </row>
    <row r="132" spans="2:12" ht="17.399999999999999" x14ac:dyDescent="0.3">
      <c r="C132" s="135" t="s">
        <v>960</v>
      </c>
      <c r="D132" s="4">
        <f>ROUND(D130,0)</f>
        <v>190</v>
      </c>
    </row>
    <row r="135" spans="2:12" ht="17.399999999999999" x14ac:dyDescent="0.3">
      <c r="B135" s="1031" t="s">
        <v>958</v>
      </c>
      <c r="C135" s="1031"/>
      <c r="D135" s="1031"/>
    </row>
    <row r="137" spans="2:12" ht="69.599999999999994" x14ac:dyDescent="0.3">
      <c r="B137" s="63" t="s">
        <v>170</v>
      </c>
      <c r="C137" s="136" t="s">
        <v>171</v>
      </c>
      <c r="D137" s="64">
        <f>D152</f>
        <v>228</v>
      </c>
    </row>
    <row r="140" spans="2:12" x14ac:dyDescent="0.3">
      <c r="C140" s="13" t="s">
        <v>929</v>
      </c>
      <c r="D140" s="14" t="s">
        <v>961</v>
      </c>
    </row>
    <row r="141" spans="2:12" s="6" customFormat="1" x14ac:dyDescent="0.3">
      <c r="B141" s="523"/>
      <c r="C141" s="524" t="s">
        <v>992</v>
      </c>
      <c r="D141" s="24">
        <f>Обстеження!K5</f>
        <v>11.5</v>
      </c>
      <c r="E141" s="728"/>
      <c r="F141" s="728"/>
      <c r="G141" s="734"/>
      <c r="H141" s="525"/>
      <c r="I141" s="525"/>
      <c r="J141" s="525"/>
      <c r="K141" s="525"/>
      <c r="L141" s="525"/>
    </row>
    <row r="142" spans="2:12" s="6" customFormat="1" x14ac:dyDescent="0.3">
      <c r="B142" s="523"/>
      <c r="C142" s="524" t="s">
        <v>1001</v>
      </c>
      <c r="D142" s="24">
        <f>Обстеження!K9</f>
        <v>19.7</v>
      </c>
      <c r="E142" s="728"/>
      <c r="F142" s="728"/>
      <c r="G142" s="734"/>
      <c r="H142" s="525"/>
      <c r="I142" s="525"/>
      <c r="J142" s="525"/>
      <c r="K142" s="525"/>
      <c r="L142" s="525"/>
    </row>
    <row r="143" spans="2:12" s="6" customFormat="1" x14ac:dyDescent="0.3">
      <c r="B143" s="523"/>
      <c r="C143" s="524" t="s">
        <v>1003</v>
      </c>
      <c r="D143" s="24">
        <f>Обстеження!K10</f>
        <v>21.3</v>
      </c>
      <c r="E143" s="728"/>
      <c r="F143" s="728"/>
      <c r="G143" s="734"/>
      <c r="H143" s="525"/>
      <c r="I143" s="525"/>
      <c r="J143" s="525"/>
      <c r="K143" s="525"/>
      <c r="L143" s="525"/>
    </row>
    <row r="144" spans="2:12" s="6" customFormat="1" x14ac:dyDescent="0.3">
      <c r="B144" s="523"/>
      <c r="C144" s="524" t="s">
        <v>1007</v>
      </c>
      <c r="D144" s="24">
        <f>Обстеження!K12</f>
        <v>8.9</v>
      </c>
      <c r="E144" s="728"/>
      <c r="F144" s="728"/>
      <c r="G144" s="734"/>
      <c r="H144" s="525"/>
      <c r="I144" s="525"/>
      <c r="J144" s="525"/>
      <c r="K144" s="525"/>
      <c r="L144" s="525"/>
    </row>
    <row r="145" spans="2:12" s="6" customFormat="1" x14ac:dyDescent="0.3">
      <c r="B145" s="523"/>
      <c r="C145" s="524" t="s">
        <v>1005</v>
      </c>
      <c r="D145" s="24">
        <f>Обстеження!K11</f>
        <v>38</v>
      </c>
      <c r="E145" s="728"/>
      <c r="F145" s="728"/>
      <c r="G145" s="734"/>
      <c r="H145" s="525"/>
      <c r="I145" s="525"/>
      <c r="J145" s="525"/>
      <c r="K145" s="525"/>
      <c r="L145" s="525"/>
    </row>
    <row r="146" spans="2:12" s="6" customFormat="1" x14ac:dyDescent="0.3">
      <c r="B146" s="523"/>
      <c r="C146" s="524" t="s">
        <v>685</v>
      </c>
      <c r="D146" s="24">
        <f>'4.Рентген Фл'!J11</f>
        <v>34</v>
      </c>
      <c r="E146" s="728"/>
      <c r="F146" s="728"/>
      <c r="G146" s="734"/>
      <c r="H146" s="525"/>
      <c r="I146" s="525"/>
      <c r="J146" s="525"/>
      <c r="K146" s="525"/>
      <c r="L146" s="525"/>
    </row>
    <row r="147" spans="2:12" s="6" customFormat="1" x14ac:dyDescent="0.3">
      <c r="B147" s="523"/>
      <c r="C147" s="524" t="s">
        <v>770</v>
      </c>
      <c r="D147" s="24">
        <f>'2.Лабораторія'!K29</f>
        <v>79</v>
      </c>
      <c r="E147" s="728"/>
      <c r="F147" s="728"/>
      <c r="G147" s="734"/>
      <c r="H147" s="525"/>
      <c r="I147" s="525"/>
      <c r="J147" s="525"/>
      <c r="K147" s="525"/>
      <c r="L147" s="525"/>
    </row>
    <row r="148" spans="2:12" s="6" customFormat="1" x14ac:dyDescent="0.3">
      <c r="B148" s="523"/>
      <c r="C148" s="524" t="s">
        <v>774</v>
      </c>
      <c r="D148" s="24">
        <f>'2.Лабораторія'!K30</f>
        <v>16</v>
      </c>
      <c r="E148" s="728"/>
      <c r="F148" s="728"/>
      <c r="G148" s="734"/>
      <c r="H148" s="525"/>
      <c r="I148" s="525"/>
      <c r="J148" s="525"/>
      <c r="K148" s="525"/>
      <c r="L148" s="525"/>
    </row>
    <row r="149" spans="2:12" x14ac:dyDescent="0.3">
      <c r="C149" s="17"/>
      <c r="D149" s="17"/>
    </row>
    <row r="150" spans="2:12" ht="17.399999999999999" x14ac:dyDescent="0.3">
      <c r="C150" s="135" t="s">
        <v>959</v>
      </c>
      <c r="D150" s="4">
        <f>SUM(D141:D148)</f>
        <v>228.4</v>
      </c>
    </row>
    <row r="151" spans="2:12" ht="17.399999999999999" x14ac:dyDescent="0.3">
      <c r="B151" s="143"/>
      <c r="C151" s="135"/>
      <c r="D151" s="4"/>
    </row>
    <row r="152" spans="2:12" ht="17.399999999999999" x14ac:dyDescent="0.3">
      <c r="C152" s="135" t="s">
        <v>960</v>
      </c>
      <c r="D152" s="4">
        <f>ROUND(D150,0)</f>
        <v>228</v>
      </c>
    </row>
    <row r="155" spans="2:12" ht="17.399999999999999" x14ac:dyDescent="0.3">
      <c r="B155" s="1031" t="s">
        <v>958</v>
      </c>
      <c r="C155" s="1031"/>
      <c r="D155" s="1031"/>
    </row>
    <row r="157" spans="2:12" ht="69.599999999999994" x14ac:dyDescent="0.3">
      <c r="B157" s="63" t="s">
        <v>172</v>
      </c>
      <c r="C157" s="136" t="str">
        <f>'Перелік ціни'!C33</f>
        <v>Періодичний профілактичний медичний огляд працівників окремих професій, виробництв і організацій, діяльність яких пов'язана з обслуговуванням населення і може призвести до поширення інфекційних хвороб: Пологові будинки(відділення),  дитячі лікарні (відділення), відділення патології новонароджених,недоношених</v>
      </c>
      <c r="D157" s="64">
        <f>D168</f>
        <v>61</v>
      </c>
    </row>
    <row r="160" spans="2:12" x14ac:dyDescent="0.3">
      <c r="C160" s="13" t="s">
        <v>929</v>
      </c>
      <c r="D160" s="14" t="s">
        <v>961</v>
      </c>
    </row>
    <row r="161" spans="2:12" x14ac:dyDescent="0.3">
      <c r="C161" s="134" t="s">
        <v>992</v>
      </c>
      <c r="D161" s="24">
        <f>Обстеження!K5</f>
        <v>11.5</v>
      </c>
    </row>
    <row r="162" spans="2:12" s="6" customFormat="1" x14ac:dyDescent="0.3">
      <c r="B162" s="523"/>
      <c r="C162" s="524" t="s">
        <v>1001</v>
      </c>
      <c r="D162" s="24">
        <f>Обстеження!K9</f>
        <v>19.7</v>
      </c>
      <c r="E162" s="728"/>
      <c r="F162" s="728"/>
      <c r="G162" s="734"/>
      <c r="H162" s="525"/>
      <c r="I162" s="525"/>
      <c r="J162" s="525"/>
      <c r="K162" s="525"/>
      <c r="L162" s="525"/>
    </row>
    <row r="163" spans="2:12" x14ac:dyDescent="0.3">
      <c r="C163" s="134" t="s">
        <v>1003</v>
      </c>
      <c r="D163" s="24">
        <f>Обстеження!K10</f>
        <v>21.3</v>
      </c>
    </row>
    <row r="164" spans="2:12" s="6" customFormat="1" x14ac:dyDescent="0.3">
      <c r="B164" s="523"/>
      <c r="C164" s="524" t="s">
        <v>1007</v>
      </c>
      <c r="D164" s="24">
        <f>Обстеження!K12</f>
        <v>8.9</v>
      </c>
      <c r="E164" s="728"/>
      <c r="F164" s="728"/>
      <c r="G164" s="734"/>
      <c r="H164" s="525"/>
      <c r="I164" s="525"/>
      <c r="J164" s="525"/>
      <c r="K164" s="525"/>
      <c r="L164" s="525"/>
    </row>
    <row r="165" spans="2:12" x14ac:dyDescent="0.3">
      <c r="C165" s="17"/>
      <c r="D165" s="17"/>
    </row>
    <row r="166" spans="2:12" ht="17.399999999999999" x14ac:dyDescent="0.3">
      <c r="C166" s="135" t="s">
        <v>959</v>
      </c>
      <c r="D166" s="4">
        <f>SUM(D161:D164)</f>
        <v>61.4</v>
      </c>
    </row>
    <row r="167" spans="2:12" ht="17.399999999999999" x14ac:dyDescent="0.3">
      <c r="B167" s="143"/>
      <c r="C167" s="135"/>
      <c r="D167" s="4"/>
    </row>
    <row r="168" spans="2:12" ht="17.399999999999999" x14ac:dyDescent="0.3">
      <c r="C168" s="135" t="s">
        <v>960</v>
      </c>
      <c r="D168" s="4">
        <f>ROUND(D166,0)</f>
        <v>61</v>
      </c>
    </row>
  </sheetData>
  <mergeCells count="9">
    <mergeCell ref="B2:D2"/>
    <mergeCell ref="B23:D23"/>
    <mergeCell ref="B46:D46"/>
    <mergeCell ref="B135:D135"/>
    <mergeCell ref="B155:D155"/>
    <mergeCell ref="B68:D68"/>
    <mergeCell ref="B84:D84"/>
    <mergeCell ref="B99:D99"/>
    <mergeCell ref="B116:D116"/>
  </mergeCells>
  <phoneticPr fontId="8" type="noConversion"/>
  <pageMargins left="0.11811023622047245" right="0.11811023622047245" top="0.35433070866141736" bottom="0.35433070866141736" header="0.31496062992125984" footer="0.31496062992125984"/>
  <pageSetup paperSize="9" scale="73" orientation="portrait" r:id="rId1"/>
  <rowBreaks count="8" manualBreakCount="8">
    <brk id="21" min="1" max="3" man="1"/>
    <brk id="44" min="1" max="3" man="1"/>
    <brk id="66" min="1" max="3" man="1"/>
    <brk id="82" min="1" max="3" man="1"/>
    <brk id="97" min="1" max="3" man="1"/>
    <brk id="114" min="1" max="3" man="1"/>
    <brk id="133" min="1" max="3" man="1"/>
    <brk id="153" min="1" max="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T1636"/>
  <sheetViews>
    <sheetView view="pageBreakPreview" zoomScaleNormal="100" workbookViewId="0">
      <selection activeCell="G35" sqref="G35"/>
    </sheetView>
  </sheetViews>
  <sheetFormatPr defaultRowHeight="14.4" x14ac:dyDescent="0.3"/>
  <cols>
    <col min="1" max="1" width="9.109375" style="7"/>
    <col min="2" max="2" width="6.33203125" style="7" customWidth="1"/>
    <col min="3" max="3" width="43.44140625" style="7" customWidth="1"/>
    <col min="4" max="4" width="11.88671875" style="7" customWidth="1"/>
    <col min="5" max="5" width="10.44140625" style="7" bestFit="1" customWidth="1"/>
    <col min="6" max="6" width="13.6640625" style="7" customWidth="1"/>
    <col min="7" max="7" width="18.44140625" style="7" customWidth="1"/>
    <col min="8" max="8" width="11.5546875" style="7" bestFit="1" customWidth="1"/>
    <col min="9" max="9" width="12.44140625" style="7" customWidth="1"/>
    <col min="10" max="10" width="13.33203125" style="7" customWidth="1"/>
    <col min="11" max="11" width="13" style="130" customWidth="1"/>
    <col min="12" max="12" width="9.109375" style="114"/>
    <col min="13" max="13" width="68.88671875" style="114" customWidth="1"/>
    <col min="14" max="14" width="9.109375" style="22"/>
    <col min="15" max="20" width="9.109375" style="7"/>
  </cols>
  <sheetData>
    <row r="1" spans="1:20" ht="5.25" customHeight="1" x14ac:dyDescent="0.3"/>
    <row r="2" spans="1:20" s="54" customFormat="1" ht="19.8" x14ac:dyDescent="0.4">
      <c r="A2" s="53"/>
      <c r="B2" s="1016" t="s">
        <v>958</v>
      </c>
      <c r="C2" s="1016"/>
      <c r="D2" s="1016"/>
      <c r="E2" s="1016"/>
      <c r="F2" s="1016"/>
      <c r="G2" s="1016"/>
      <c r="H2" s="1016"/>
      <c r="I2" s="1016"/>
      <c r="J2" s="1016"/>
      <c r="K2" s="137"/>
      <c r="L2" s="126"/>
      <c r="M2" s="126"/>
      <c r="N2" s="70"/>
      <c r="O2" s="53"/>
      <c r="P2" s="53"/>
      <c r="Q2" s="53"/>
      <c r="R2" s="53"/>
      <c r="S2" s="53"/>
      <c r="T2" s="53"/>
    </row>
    <row r="3" spans="1:20" s="54" customFormat="1" ht="11.25" customHeight="1" x14ac:dyDescent="0.4">
      <c r="A3" s="53"/>
      <c r="B3" s="53"/>
      <c r="C3" s="53"/>
      <c r="D3" s="53"/>
      <c r="E3" s="53"/>
      <c r="F3" s="53"/>
      <c r="G3" s="53"/>
      <c r="H3" s="53"/>
      <c r="I3" s="53"/>
      <c r="J3" s="53"/>
      <c r="K3" s="132"/>
      <c r="L3" s="126"/>
      <c r="M3" s="126"/>
      <c r="N3" s="70"/>
      <c r="O3" s="53"/>
      <c r="P3" s="53"/>
      <c r="Q3" s="53"/>
      <c r="R3" s="53"/>
      <c r="S3" s="53"/>
      <c r="T3" s="53"/>
    </row>
    <row r="4" spans="1:20" s="54" customFormat="1" ht="19.8" x14ac:dyDescent="0.4">
      <c r="A4" s="53"/>
      <c r="B4" s="50" t="s">
        <v>729</v>
      </c>
      <c r="C4" s="1017" t="s">
        <v>730</v>
      </c>
      <c r="D4" s="1017"/>
      <c r="E4" s="1017"/>
      <c r="F4" s="52">
        <f>H60</f>
        <v>24</v>
      </c>
      <c r="G4" s="52" t="s">
        <v>971</v>
      </c>
      <c r="H4" s="53"/>
      <c r="I4" s="53"/>
      <c r="J4" s="53"/>
      <c r="K4" s="132"/>
      <c r="L4" s="126"/>
      <c r="M4" s="126"/>
      <c r="N4" s="70"/>
      <c r="O4" s="53"/>
      <c r="P4" s="53"/>
      <c r="Q4" s="53"/>
      <c r="R4" s="53"/>
      <c r="S4" s="53"/>
      <c r="T4" s="53"/>
    </row>
    <row r="5" spans="1:20" ht="9.75" customHeight="1" x14ac:dyDescent="0.3"/>
    <row r="6" spans="1:20" x14ac:dyDescent="0.3">
      <c r="C6" s="1018" t="s">
        <v>932</v>
      </c>
      <c r="D6" s="1018"/>
      <c r="E6" s="10"/>
      <c r="F6" s="11">
        <f>F13+F16+F14</f>
        <v>15.23</v>
      </c>
      <c r="G6" s="12" t="s">
        <v>971</v>
      </c>
    </row>
    <row r="7" spans="1:20" ht="6" customHeight="1" x14ac:dyDescent="0.3"/>
    <row r="8" spans="1:20" x14ac:dyDescent="0.3">
      <c r="C8" s="13" t="s">
        <v>929</v>
      </c>
      <c r="D8" s="14" t="s">
        <v>928</v>
      </c>
      <c r="E8" s="14" t="s">
        <v>514</v>
      </c>
      <c r="F8" s="14" t="s">
        <v>515</v>
      </c>
      <c r="G8" s="14" t="s">
        <v>962</v>
      </c>
      <c r="H8" s="14" t="s">
        <v>926</v>
      </c>
      <c r="I8" s="14" t="s">
        <v>516</v>
      </c>
      <c r="J8" s="14" t="s">
        <v>961</v>
      </c>
      <c r="K8" s="138"/>
      <c r="M8" s="139"/>
    </row>
    <row r="9" spans="1:20" x14ac:dyDescent="0.3">
      <c r="C9" s="17" t="s">
        <v>534</v>
      </c>
      <c r="D9" s="16">
        <f>ЗП!C24</f>
        <v>10799.43</v>
      </c>
      <c r="E9" s="16">
        <f>D9*12</f>
        <v>129593.16</v>
      </c>
      <c r="F9" s="16">
        <f>ЗП!E24</f>
        <v>8307.26</v>
      </c>
      <c r="G9" s="16">
        <f>F9*0.5</f>
        <v>4153.63</v>
      </c>
      <c r="H9" s="16">
        <f>E9+F9+G9</f>
        <v>142054.05000000002</v>
      </c>
      <c r="I9" s="17">
        <v>1807.2</v>
      </c>
      <c r="J9" s="16">
        <f>ROUND((H9/I9)/60,2)</f>
        <v>1.31</v>
      </c>
      <c r="K9" s="353">
        <f>F4</f>
        <v>24</v>
      </c>
      <c r="L9" s="354" t="s">
        <v>729</v>
      </c>
      <c r="M9" s="355" t="s">
        <v>1020</v>
      </c>
    </row>
    <row r="10" spans="1:20" x14ac:dyDescent="0.3">
      <c r="C10" s="17" t="s">
        <v>1207</v>
      </c>
      <c r="D10" s="16">
        <f>ЗП!C43</f>
        <v>7871.18</v>
      </c>
      <c r="E10" s="16">
        <f>D10*12</f>
        <v>94454.16</v>
      </c>
      <c r="F10" s="16">
        <f>ЗП!E43</f>
        <v>6054.75</v>
      </c>
      <c r="G10" s="16">
        <f>F10*0.5</f>
        <v>3027.375</v>
      </c>
      <c r="H10" s="16">
        <f>E10+F10+G10</f>
        <v>103536.285</v>
      </c>
      <c r="I10" s="17">
        <v>1807.2</v>
      </c>
      <c r="J10" s="16">
        <f>ROUND((H10/I10)/60,2)</f>
        <v>0.95</v>
      </c>
      <c r="K10" s="353">
        <f>F64</f>
        <v>31</v>
      </c>
      <c r="L10" s="354" t="s">
        <v>731</v>
      </c>
      <c r="M10" s="355" t="s">
        <v>1019</v>
      </c>
    </row>
    <row r="11" spans="1:20" x14ac:dyDescent="0.3">
      <c r="K11" s="352">
        <f>F121</f>
        <v>16</v>
      </c>
      <c r="L11" s="354" t="s">
        <v>733</v>
      </c>
      <c r="M11" s="355" t="s">
        <v>734</v>
      </c>
    </row>
    <row r="12" spans="1:20" ht="27.6" x14ac:dyDescent="0.3">
      <c r="C12" s="13" t="s">
        <v>929</v>
      </c>
      <c r="D12" s="14" t="s">
        <v>961</v>
      </c>
      <c r="E12" s="14" t="s">
        <v>930</v>
      </c>
      <c r="F12" s="14" t="s">
        <v>931</v>
      </c>
      <c r="K12" s="352">
        <f>F175</f>
        <v>20</v>
      </c>
      <c r="L12" s="354" t="s">
        <v>735</v>
      </c>
      <c r="M12" s="355" t="s">
        <v>736</v>
      </c>
    </row>
    <row r="13" spans="1:20" x14ac:dyDescent="0.3">
      <c r="C13" s="15" t="str">
        <f>C9</f>
        <v>Лікар-лаборант</v>
      </c>
      <c r="D13" s="16">
        <f>J9</f>
        <v>1.31</v>
      </c>
      <c r="E13" s="17">
        <v>3</v>
      </c>
      <c r="F13" s="18">
        <f>ROUND(D13*E13,2)</f>
        <v>3.93</v>
      </c>
      <c r="K13" s="352">
        <f>F231</f>
        <v>16</v>
      </c>
      <c r="L13" s="354" t="s">
        <v>737</v>
      </c>
      <c r="M13" s="355" t="s">
        <v>738</v>
      </c>
    </row>
    <row r="14" spans="1:20" x14ac:dyDescent="0.3">
      <c r="C14" s="15" t="str">
        <f>C10</f>
        <v>Лаборант клінічної лабораторії</v>
      </c>
      <c r="D14" s="16">
        <f>J10</f>
        <v>0.95</v>
      </c>
      <c r="E14" s="17">
        <v>9</v>
      </c>
      <c r="F14" s="18">
        <f>ROUND(D14*E14,2)</f>
        <v>8.5500000000000007</v>
      </c>
      <c r="K14" s="352">
        <f>F285</f>
        <v>33</v>
      </c>
      <c r="L14" s="354" t="s">
        <v>739</v>
      </c>
      <c r="M14" s="355" t="s">
        <v>740</v>
      </c>
    </row>
    <row r="15" spans="1:20" x14ac:dyDescent="0.3">
      <c r="D15" s="19"/>
      <c r="K15" s="352">
        <f>F341</f>
        <v>41</v>
      </c>
      <c r="L15" s="354" t="s">
        <v>741</v>
      </c>
      <c r="M15" s="355" t="s">
        <v>742</v>
      </c>
    </row>
    <row r="16" spans="1:20" x14ac:dyDescent="0.3">
      <c r="C16" s="17" t="s">
        <v>933</v>
      </c>
      <c r="D16" s="16">
        <f>F13+F14</f>
        <v>12.48</v>
      </c>
      <c r="E16" s="20">
        <v>0.22</v>
      </c>
      <c r="F16" s="21">
        <f>ROUND(D16*E16,2)</f>
        <v>2.75</v>
      </c>
      <c r="K16" s="352">
        <f>F396</f>
        <v>44</v>
      </c>
      <c r="L16" s="354" t="s">
        <v>743</v>
      </c>
      <c r="M16" s="355" t="s">
        <v>1087</v>
      </c>
    </row>
    <row r="17" spans="2:13" x14ac:dyDescent="0.3">
      <c r="K17" s="352">
        <f>F456</f>
        <v>84</v>
      </c>
      <c r="L17" s="354" t="s">
        <v>745</v>
      </c>
      <c r="M17" s="355" t="s">
        <v>746</v>
      </c>
    </row>
    <row r="18" spans="2:13" x14ac:dyDescent="0.3">
      <c r="C18" s="12" t="s">
        <v>946</v>
      </c>
      <c r="D18" s="12"/>
      <c r="E18" s="12"/>
      <c r="F18" s="12">
        <f>G36</f>
        <v>6.8299999999999992</v>
      </c>
      <c r="G18" s="12" t="s">
        <v>971</v>
      </c>
      <c r="K18" s="352">
        <f>F520</f>
        <v>24</v>
      </c>
      <c r="L18" s="354" t="s">
        <v>747</v>
      </c>
      <c r="M18" s="355" t="s">
        <v>749</v>
      </c>
    </row>
    <row r="19" spans="2:13" x14ac:dyDescent="0.3">
      <c r="K19" s="352">
        <f>F576</f>
        <v>30</v>
      </c>
      <c r="L19" s="354" t="s">
        <v>748</v>
      </c>
      <c r="M19" s="355" t="s">
        <v>751</v>
      </c>
    </row>
    <row r="20" spans="2:13" ht="42.75" customHeight="1" x14ac:dyDescent="0.3">
      <c r="B20" s="82" t="s">
        <v>991</v>
      </c>
      <c r="C20" s="83" t="s">
        <v>986</v>
      </c>
      <c r="D20" s="83" t="s">
        <v>987</v>
      </c>
      <c r="E20" s="83" t="s">
        <v>988</v>
      </c>
      <c r="F20" s="83" t="s">
        <v>989</v>
      </c>
      <c r="G20" s="82" t="s">
        <v>990</v>
      </c>
      <c r="K20" s="352">
        <f>F633</f>
        <v>31</v>
      </c>
      <c r="L20" s="354" t="s">
        <v>750</v>
      </c>
      <c r="M20" s="355" t="s">
        <v>754</v>
      </c>
    </row>
    <row r="21" spans="2:13" x14ac:dyDescent="0.3">
      <c r="B21" s="84">
        <v>1</v>
      </c>
      <c r="C21" s="85" t="s">
        <v>973</v>
      </c>
      <c r="D21" s="86" t="s">
        <v>974</v>
      </c>
      <c r="E21" s="87">
        <f>'МЕДИЧНІ М'!E22</f>
        <v>55</v>
      </c>
      <c r="F21" s="86">
        <v>100</v>
      </c>
      <c r="G21" s="88">
        <f>ROUND(E21/F21,2)</f>
        <v>0.55000000000000004</v>
      </c>
      <c r="K21" s="352">
        <f>F689</f>
        <v>48</v>
      </c>
      <c r="L21" s="354" t="s">
        <v>752</v>
      </c>
      <c r="M21" s="355" t="s">
        <v>756</v>
      </c>
    </row>
    <row r="22" spans="2:13" x14ac:dyDescent="0.3">
      <c r="B22" s="73">
        <f>B21+1</f>
        <v>2</v>
      </c>
      <c r="C22" s="79" t="s">
        <v>975</v>
      </c>
      <c r="D22" s="75" t="s">
        <v>974</v>
      </c>
      <c r="E22" s="75">
        <f>'МЕДИЧНІ М'!E58</f>
        <v>26</v>
      </c>
      <c r="F22" s="86">
        <v>50</v>
      </c>
      <c r="G22" s="88">
        <f t="shared" ref="G22:G30" si="0">ROUND(E22/F22,2)</f>
        <v>0.52</v>
      </c>
      <c r="K22" s="352">
        <f>F747</f>
        <v>21</v>
      </c>
      <c r="L22" s="354" t="s">
        <v>753</v>
      </c>
      <c r="M22" s="355" t="s">
        <v>758</v>
      </c>
    </row>
    <row r="23" spans="2:13" x14ac:dyDescent="0.3">
      <c r="B23" s="73">
        <f t="shared" ref="B23:B35" si="1">B22+1</f>
        <v>3</v>
      </c>
      <c r="C23" s="79" t="s">
        <v>976</v>
      </c>
      <c r="D23" s="75" t="s">
        <v>977</v>
      </c>
      <c r="E23" s="75">
        <f>'МЕДИЧНІ М'!E68</f>
        <v>315</v>
      </c>
      <c r="F23" s="86">
        <v>800</v>
      </c>
      <c r="G23" s="88">
        <f t="shared" si="0"/>
        <v>0.39</v>
      </c>
      <c r="K23" s="352">
        <f>F804</f>
        <v>37</v>
      </c>
      <c r="L23" s="354" t="s">
        <v>755</v>
      </c>
      <c r="M23" s="355" t="s">
        <v>760</v>
      </c>
    </row>
    <row r="24" spans="2:13" x14ac:dyDescent="0.3">
      <c r="B24" s="73">
        <f t="shared" si="1"/>
        <v>4</v>
      </c>
      <c r="C24" s="79" t="s">
        <v>978</v>
      </c>
      <c r="D24" s="75" t="s">
        <v>947</v>
      </c>
      <c r="E24" s="75">
        <f>'МЕДИЧНІ М'!E15</f>
        <v>34</v>
      </c>
      <c r="F24" s="86">
        <v>800</v>
      </c>
      <c r="G24" s="88">
        <f t="shared" si="0"/>
        <v>0.04</v>
      </c>
      <c r="K24" s="352">
        <f>F860</f>
        <v>54</v>
      </c>
      <c r="L24" s="354" t="s">
        <v>757</v>
      </c>
      <c r="M24" s="355" t="s">
        <v>762</v>
      </c>
    </row>
    <row r="25" spans="2:13" x14ac:dyDescent="0.3">
      <c r="B25" s="73">
        <f t="shared" si="1"/>
        <v>5</v>
      </c>
      <c r="C25" s="79" t="s">
        <v>980</v>
      </c>
      <c r="D25" s="75" t="s">
        <v>974</v>
      </c>
      <c r="E25" s="75">
        <f>'МЕДИЧНІ М'!E33</f>
        <v>24.2</v>
      </c>
      <c r="F25" s="80">
        <v>50</v>
      </c>
      <c r="G25" s="88">
        <f t="shared" si="0"/>
        <v>0.48</v>
      </c>
      <c r="K25" s="352">
        <f>F918</f>
        <v>40</v>
      </c>
      <c r="L25" s="354" t="s">
        <v>759</v>
      </c>
      <c r="M25" s="355" t="s">
        <v>764</v>
      </c>
    </row>
    <row r="26" spans="2:13" x14ac:dyDescent="0.3">
      <c r="B26" s="73">
        <f t="shared" si="1"/>
        <v>6</v>
      </c>
      <c r="C26" s="79" t="s">
        <v>934</v>
      </c>
      <c r="D26" s="76" t="s">
        <v>941</v>
      </c>
      <c r="E26" s="76">
        <f>'МЕДИЧНІ М'!E59</f>
        <v>2.8</v>
      </c>
      <c r="F26" s="77">
        <v>10</v>
      </c>
      <c r="G26" s="88">
        <f t="shared" si="0"/>
        <v>0.28000000000000003</v>
      </c>
      <c r="K26" s="352">
        <f>F973</f>
        <v>40</v>
      </c>
      <c r="L26" s="354" t="s">
        <v>761</v>
      </c>
      <c r="M26" s="355" t="s">
        <v>766</v>
      </c>
    </row>
    <row r="27" spans="2:13" x14ac:dyDescent="0.3">
      <c r="B27" s="73">
        <f t="shared" si="1"/>
        <v>7</v>
      </c>
      <c r="C27" s="79" t="s">
        <v>981</v>
      </c>
      <c r="D27" s="76" t="s">
        <v>941</v>
      </c>
      <c r="E27" s="76">
        <f>'МЕДИЧНІ М'!E49</f>
        <v>0.6</v>
      </c>
      <c r="F27" s="77">
        <v>1</v>
      </c>
      <c r="G27" s="88">
        <f>ROUND(E27*F27,2)</f>
        <v>0.6</v>
      </c>
      <c r="K27" s="352">
        <f>F1028</f>
        <v>24</v>
      </c>
      <c r="L27" s="354" t="s">
        <v>763</v>
      </c>
      <c r="M27" s="355" t="s">
        <v>768</v>
      </c>
    </row>
    <row r="28" spans="2:13" ht="18.600000000000001" x14ac:dyDescent="0.3">
      <c r="B28" s="73">
        <f t="shared" si="1"/>
        <v>8</v>
      </c>
      <c r="C28" s="79" t="s">
        <v>982</v>
      </c>
      <c r="D28" s="76" t="s">
        <v>941</v>
      </c>
      <c r="E28" s="76">
        <f>'МЕДИЧНІ М'!E48</f>
        <v>11</v>
      </c>
      <c r="F28" s="77">
        <v>100</v>
      </c>
      <c r="G28" s="88">
        <f t="shared" si="0"/>
        <v>0.11</v>
      </c>
      <c r="K28" s="687">
        <f>F1083</f>
        <v>25</v>
      </c>
      <c r="L28" s="354" t="s">
        <v>765</v>
      </c>
      <c r="M28" s="355" t="s">
        <v>770</v>
      </c>
    </row>
    <row r="29" spans="2:13" ht="27.6" x14ac:dyDescent="0.45">
      <c r="B29" s="73">
        <f t="shared" si="1"/>
        <v>9</v>
      </c>
      <c r="C29" s="79" t="s">
        <v>983</v>
      </c>
      <c r="D29" s="76" t="s">
        <v>941</v>
      </c>
      <c r="E29" s="76">
        <f>'МЕДИЧНІ М'!E23</f>
        <v>7.5</v>
      </c>
      <c r="F29" s="77">
        <v>1000</v>
      </c>
      <c r="G29" s="88">
        <f t="shared" si="0"/>
        <v>0.01</v>
      </c>
      <c r="K29" s="686">
        <f>F1139</f>
        <v>79</v>
      </c>
      <c r="L29" s="354" t="s">
        <v>767</v>
      </c>
      <c r="M29" s="355" t="s">
        <v>142</v>
      </c>
    </row>
    <row r="30" spans="2:13" ht="27.6" x14ac:dyDescent="0.45">
      <c r="B30" s="73">
        <f t="shared" si="1"/>
        <v>10</v>
      </c>
      <c r="C30" s="79" t="s">
        <v>984</v>
      </c>
      <c r="D30" s="76" t="s">
        <v>941</v>
      </c>
      <c r="E30" s="76">
        <f>'МЕДИЧНІ М'!E64</f>
        <v>36</v>
      </c>
      <c r="F30" s="77">
        <v>1000</v>
      </c>
      <c r="G30" s="88">
        <f t="shared" si="0"/>
        <v>0.04</v>
      </c>
      <c r="K30" s="688">
        <f>F1196</f>
        <v>16</v>
      </c>
      <c r="L30" s="354" t="s">
        <v>769</v>
      </c>
      <c r="M30" s="355" t="s">
        <v>774</v>
      </c>
    </row>
    <row r="31" spans="2:13" ht="15" customHeight="1" x14ac:dyDescent="0.3">
      <c r="B31" s="73">
        <f t="shared" si="1"/>
        <v>11</v>
      </c>
      <c r="C31" s="79" t="s">
        <v>985</v>
      </c>
      <c r="D31" s="76" t="s">
        <v>937</v>
      </c>
      <c r="E31" s="76">
        <f>'МЕДИЧНІ М'!F39</f>
        <v>0.3</v>
      </c>
      <c r="F31" s="77">
        <v>1</v>
      </c>
      <c r="G31" s="88">
        <f>ROUND(E31*F31,2)</f>
        <v>0.3</v>
      </c>
      <c r="K31" s="352">
        <f>F1250</f>
        <v>23</v>
      </c>
      <c r="L31" s="354" t="s">
        <v>771</v>
      </c>
      <c r="M31" s="355" t="s">
        <v>776</v>
      </c>
    </row>
    <row r="32" spans="2:13" ht="15" customHeight="1" x14ac:dyDescent="0.3">
      <c r="B32" s="73">
        <f t="shared" si="1"/>
        <v>12</v>
      </c>
      <c r="C32" s="27" t="s">
        <v>940</v>
      </c>
      <c r="D32" s="28" t="s">
        <v>941</v>
      </c>
      <c r="E32" s="81">
        <f>'МЕДИЧНІ М'!E37</f>
        <v>2</v>
      </c>
      <c r="F32" s="28">
        <v>1.5</v>
      </c>
      <c r="G32" s="28">
        <f>ROUND(E32*F32,2)</f>
        <v>3</v>
      </c>
      <c r="H32" s="74"/>
      <c r="K32" s="352">
        <f>F1304</f>
        <v>48</v>
      </c>
      <c r="L32" s="354" t="s">
        <v>773</v>
      </c>
      <c r="M32" s="355" t="s">
        <v>1088</v>
      </c>
    </row>
    <row r="33" spans="2:13" x14ac:dyDescent="0.3">
      <c r="B33" s="73">
        <f t="shared" si="1"/>
        <v>13</v>
      </c>
      <c r="C33" s="27" t="s">
        <v>943</v>
      </c>
      <c r="D33" s="28" t="s">
        <v>944</v>
      </c>
      <c r="E33" s="81">
        <f>'МЕДИЧНІ М'!F21</f>
        <v>7.0000000000000007E-2</v>
      </c>
      <c r="F33" s="28">
        <v>0.14000000000000001</v>
      </c>
      <c r="G33" s="28">
        <f>ROUND(E33*F33,2)</f>
        <v>0.01</v>
      </c>
      <c r="H33" s="74"/>
      <c r="K33" s="352">
        <f>F1360</f>
        <v>46</v>
      </c>
      <c r="L33" s="354" t="s">
        <v>775</v>
      </c>
      <c r="M33" s="355" t="s">
        <v>1089</v>
      </c>
    </row>
    <row r="34" spans="2:13" x14ac:dyDescent="0.3">
      <c r="B34" s="73">
        <f t="shared" si="1"/>
        <v>14</v>
      </c>
      <c r="C34" s="27" t="s">
        <v>942</v>
      </c>
      <c r="D34" s="75" t="s">
        <v>974</v>
      </c>
      <c r="E34" s="76">
        <f>'МЕДИЧНІ М'!E65</f>
        <v>24.6</v>
      </c>
      <c r="F34" s="77">
        <v>100</v>
      </c>
      <c r="G34" s="78">
        <f>ROUND(E34/F34,2)</f>
        <v>0.25</v>
      </c>
      <c r="H34" s="74"/>
      <c r="K34" s="352">
        <f>F1416</f>
        <v>53</v>
      </c>
      <c r="L34" s="354" t="s">
        <v>777</v>
      </c>
      <c r="M34" s="355" t="s">
        <v>782</v>
      </c>
    </row>
    <row r="35" spans="2:13" x14ac:dyDescent="0.3">
      <c r="B35" s="73">
        <f t="shared" si="1"/>
        <v>15</v>
      </c>
      <c r="C35" s="27" t="s">
        <v>1124</v>
      </c>
      <c r="D35" s="28" t="s">
        <v>944</v>
      </c>
      <c r="E35" s="81">
        <f>'МЕДИЧНІ М'!E24</f>
        <v>0.5</v>
      </c>
      <c r="F35" s="81">
        <v>0.5</v>
      </c>
      <c r="G35" s="28">
        <f>ROUND(E35*F35,2)</f>
        <v>0.25</v>
      </c>
      <c r="K35" s="352">
        <f>F1472</f>
        <v>52</v>
      </c>
      <c r="L35" s="354" t="s">
        <v>779</v>
      </c>
      <c r="M35" s="355" t="s">
        <v>784</v>
      </c>
    </row>
    <row r="36" spans="2:13" x14ac:dyDescent="0.3">
      <c r="B36" s="1019" t="s">
        <v>945</v>
      </c>
      <c r="C36" s="1019"/>
      <c r="D36" s="1019"/>
      <c r="E36" s="1019"/>
      <c r="F36" s="1019"/>
      <c r="G36" s="89">
        <f>SUM(G21:G35)</f>
        <v>6.8299999999999992</v>
      </c>
      <c r="K36" s="352">
        <f>F1529</f>
        <v>52</v>
      </c>
      <c r="L36" s="354" t="s">
        <v>781</v>
      </c>
      <c r="M36" s="355" t="s">
        <v>785</v>
      </c>
    </row>
    <row r="37" spans="2:13" x14ac:dyDescent="0.3">
      <c r="K37" s="352">
        <f>F1584</f>
        <v>41</v>
      </c>
      <c r="L37" s="354" t="s">
        <v>783</v>
      </c>
      <c r="M37" s="355" t="s">
        <v>1081</v>
      </c>
    </row>
    <row r="38" spans="2:13" x14ac:dyDescent="0.3">
      <c r="C38" s="12" t="s">
        <v>968</v>
      </c>
      <c r="D38" s="12"/>
      <c r="E38" s="12"/>
      <c r="F38" s="11">
        <f>H41</f>
        <v>0.48</v>
      </c>
      <c r="G38" s="12" t="s">
        <v>971</v>
      </c>
    </row>
    <row r="39" spans="2:13" x14ac:dyDescent="0.3">
      <c r="C39" s="22"/>
      <c r="D39" s="22"/>
      <c r="E39" s="22"/>
      <c r="F39" s="23"/>
      <c r="G39" s="22"/>
    </row>
    <row r="40" spans="2:13" ht="27.6" x14ac:dyDescent="0.3">
      <c r="C40" s="14" t="s">
        <v>513</v>
      </c>
      <c r="D40" s="14" t="s">
        <v>1108</v>
      </c>
      <c r="E40" s="14" t="s">
        <v>516</v>
      </c>
      <c r="F40" s="14" t="s">
        <v>970</v>
      </c>
      <c r="G40" s="14" t="s">
        <v>930</v>
      </c>
      <c r="H40" s="14" t="s">
        <v>961</v>
      </c>
      <c r="L40" s="115"/>
    </row>
    <row r="41" spans="2:13" x14ac:dyDescent="0.3">
      <c r="C41" s="27" t="s">
        <v>1090</v>
      </c>
      <c r="D41" s="37">
        <f>АМОРТИЗАЦІЯ!C5</f>
        <v>34445.759999999995</v>
      </c>
      <c r="E41" s="17">
        <v>13679.5</v>
      </c>
      <c r="F41" s="17">
        <f>ROUND((D41/E41)/60,2)</f>
        <v>0.04</v>
      </c>
      <c r="G41" s="17">
        <f>E14+E13</f>
        <v>12</v>
      </c>
      <c r="H41" s="16">
        <f>ROUND(F41*G41,2)</f>
        <v>0.48</v>
      </c>
      <c r="I41" s="38"/>
    </row>
    <row r="43" spans="2:13" x14ac:dyDescent="0.3">
      <c r="C43" s="12" t="s">
        <v>948</v>
      </c>
      <c r="D43" s="12"/>
      <c r="E43" s="12"/>
      <c r="F43" s="11">
        <f>H56</f>
        <v>1.5599999999999998</v>
      </c>
      <c r="G43" s="12" t="s">
        <v>971</v>
      </c>
    </row>
    <row r="44" spans="2:13" x14ac:dyDescent="0.3">
      <c r="C44" s="22"/>
      <c r="D44" s="22"/>
      <c r="E44" s="22"/>
      <c r="F44" s="23"/>
    </row>
    <row r="45" spans="2:13" ht="27.6" x14ac:dyDescent="0.3">
      <c r="C45" s="14" t="s">
        <v>948</v>
      </c>
      <c r="D45" s="14" t="s">
        <v>1110</v>
      </c>
      <c r="E45" s="14" t="s">
        <v>516</v>
      </c>
      <c r="F45" s="14" t="s">
        <v>954</v>
      </c>
      <c r="G45" s="14" t="s">
        <v>930</v>
      </c>
      <c r="H45" s="14" t="s">
        <v>1111</v>
      </c>
    </row>
    <row r="46" spans="2:13" x14ac:dyDescent="0.3">
      <c r="C46" s="1009" t="str">
        <f>C9</f>
        <v>Лікар-лаборант</v>
      </c>
      <c r="D46" s="1010"/>
      <c r="E46" s="1010"/>
      <c r="F46" s="1010"/>
      <c r="G46" s="1010"/>
      <c r="H46" s="1011"/>
    </row>
    <row r="47" spans="2:13" x14ac:dyDescent="0.3">
      <c r="C47" s="17" t="s">
        <v>951</v>
      </c>
      <c r="D47" s="112">
        <f>НАКЛАДНІ!F4</f>
        <v>12188.608008565312</v>
      </c>
      <c r="E47" s="17">
        <f>I10</f>
        <v>1807.2</v>
      </c>
      <c r="F47" s="17">
        <f>ROUND((D47/E47)/60,2)</f>
        <v>0.11</v>
      </c>
      <c r="G47" s="17">
        <f>E13</f>
        <v>3</v>
      </c>
      <c r="H47" s="16">
        <f>ROUND(F47*G47,2)</f>
        <v>0.33</v>
      </c>
    </row>
    <row r="48" spans="2:13" x14ac:dyDescent="0.3">
      <c r="C48" s="17" t="s">
        <v>952</v>
      </c>
      <c r="D48" s="112">
        <f>НАКЛАДНІ!F5</f>
        <v>53.149721627408987</v>
      </c>
      <c r="E48" s="17">
        <f>I10</f>
        <v>1807.2</v>
      </c>
      <c r="F48" s="17">
        <f>ROUND((D48/E48)/60,2)</f>
        <v>0</v>
      </c>
      <c r="G48" s="17">
        <f>E13</f>
        <v>3</v>
      </c>
      <c r="H48" s="16">
        <f>ROUND(F48*G48,2)</f>
        <v>0</v>
      </c>
    </row>
    <row r="49" spans="1:20" x14ac:dyDescent="0.3">
      <c r="C49" s="17" t="s">
        <v>953</v>
      </c>
      <c r="D49" s="112">
        <f>НАКЛАДНІ!F6</f>
        <v>374.98368308351178</v>
      </c>
      <c r="E49" s="17">
        <f>I10</f>
        <v>1807.2</v>
      </c>
      <c r="F49" s="17">
        <f>ROUND((D49/E49)/60,2)</f>
        <v>0</v>
      </c>
      <c r="G49" s="17">
        <f>E13</f>
        <v>3</v>
      </c>
      <c r="H49" s="16">
        <f>ROUND(F49*G49,2)</f>
        <v>0</v>
      </c>
    </row>
    <row r="50" spans="1:20" x14ac:dyDescent="0.3">
      <c r="C50" s="17" t="s">
        <v>1109</v>
      </c>
      <c r="D50" s="112">
        <f>НАКЛАДНІ!F7</f>
        <v>1686.0389293361886</v>
      </c>
      <c r="E50" s="17">
        <f>I10</f>
        <v>1807.2</v>
      </c>
      <c r="F50" s="17">
        <f>ROUND((D50/E50)/60,2)</f>
        <v>0.02</v>
      </c>
      <c r="G50" s="17">
        <f>E13</f>
        <v>3</v>
      </c>
      <c r="H50" s="16">
        <f>ROUND(F50*G50,2)</f>
        <v>0.06</v>
      </c>
    </row>
    <row r="51" spans="1:20" x14ac:dyDescent="0.3">
      <c r="C51" s="1009" t="str">
        <f>C10</f>
        <v>Лаборант клінічної лабораторії</v>
      </c>
      <c r="D51" s="1010"/>
      <c r="E51" s="1010"/>
      <c r="F51" s="1010"/>
      <c r="G51" s="1010"/>
      <c r="H51" s="1011"/>
    </row>
    <row r="52" spans="1:20" x14ac:dyDescent="0.3">
      <c r="C52" s="17" t="s">
        <v>951</v>
      </c>
      <c r="D52" s="112">
        <f>D47</f>
        <v>12188.608008565312</v>
      </c>
      <c r="E52" s="17">
        <f>I10</f>
        <v>1807.2</v>
      </c>
      <c r="F52" s="17">
        <f>ROUND((D52/E52)/60,2)</f>
        <v>0.11</v>
      </c>
      <c r="G52" s="17">
        <f>E14</f>
        <v>9</v>
      </c>
      <c r="H52" s="16">
        <f>ROUND(F52*G52,2)</f>
        <v>0.99</v>
      </c>
    </row>
    <row r="53" spans="1:20" x14ac:dyDescent="0.3">
      <c r="C53" s="17" t="s">
        <v>952</v>
      </c>
      <c r="D53" s="112">
        <f>D48</f>
        <v>53.149721627408987</v>
      </c>
      <c r="E53" s="17">
        <f>I10</f>
        <v>1807.2</v>
      </c>
      <c r="F53" s="17">
        <f>ROUND((D53/E53)/60,2)</f>
        <v>0</v>
      </c>
      <c r="G53" s="17">
        <f>E14</f>
        <v>9</v>
      </c>
      <c r="H53" s="16">
        <f>ROUND(F53*G53,2)</f>
        <v>0</v>
      </c>
    </row>
    <row r="54" spans="1:20" ht="14.25" customHeight="1" x14ac:dyDescent="0.3">
      <c r="C54" s="17" t="s">
        <v>953</v>
      </c>
      <c r="D54" s="112">
        <f>D49</f>
        <v>374.98368308351178</v>
      </c>
      <c r="E54" s="17">
        <f>I10</f>
        <v>1807.2</v>
      </c>
      <c r="F54" s="17">
        <f>ROUND((D54/E54)/60,2)</f>
        <v>0</v>
      </c>
      <c r="G54" s="17">
        <f>E14</f>
        <v>9</v>
      </c>
      <c r="H54" s="16">
        <f>ROUND(F54*G54,2)</f>
        <v>0</v>
      </c>
    </row>
    <row r="55" spans="1:20" ht="14.25" customHeight="1" x14ac:dyDescent="0.3">
      <c r="C55" s="17" t="s">
        <v>1109</v>
      </c>
      <c r="D55" s="112">
        <f>D50</f>
        <v>1686.0389293361886</v>
      </c>
      <c r="E55" s="17">
        <f>I10</f>
        <v>1807.2</v>
      </c>
      <c r="F55" s="17">
        <f>ROUND((D55/E55)/60,2)</f>
        <v>0.02</v>
      </c>
      <c r="G55" s="17">
        <f>E14</f>
        <v>9</v>
      </c>
      <c r="H55" s="16">
        <f>ROUND(F55*G55,2)</f>
        <v>0.18</v>
      </c>
    </row>
    <row r="56" spans="1:20" x14ac:dyDescent="0.3">
      <c r="C56" s="1012" t="s">
        <v>957</v>
      </c>
      <c r="D56" s="1013"/>
      <c r="E56" s="1013"/>
      <c r="F56" s="1013"/>
      <c r="G56" s="1014"/>
      <c r="H56" s="18">
        <f>SUM(H47:H55)</f>
        <v>1.5599999999999998</v>
      </c>
    </row>
    <row r="57" spans="1:20" ht="7.5" customHeight="1" x14ac:dyDescent="0.3"/>
    <row r="58" spans="1:20" x14ac:dyDescent="0.3">
      <c r="C58" s="1015" t="s">
        <v>959</v>
      </c>
      <c r="D58" s="1015"/>
      <c r="E58" s="1015"/>
      <c r="F58" s="1015"/>
      <c r="G58" s="1015"/>
      <c r="H58" s="735">
        <f>F6+F18+F43+F38</f>
        <v>24.099999999999998</v>
      </c>
    </row>
    <row r="59" spans="1:20" ht="12.75" customHeight="1" x14ac:dyDescent="0.3">
      <c r="C59" s="33"/>
      <c r="D59" s="33"/>
      <c r="E59" s="33"/>
      <c r="F59" s="33"/>
      <c r="G59" s="33"/>
      <c r="H59" s="34"/>
    </row>
    <row r="60" spans="1:20" x14ac:dyDescent="0.3">
      <c r="C60" s="1015" t="s">
        <v>960</v>
      </c>
      <c r="D60" s="1015"/>
      <c r="E60" s="1015"/>
      <c r="F60" s="1015"/>
      <c r="G60" s="1015"/>
      <c r="H60" s="32">
        <f>ROUND(H58,0)</f>
        <v>24</v>
      </c>
    </row>
    <row r="62" spans="1:20" s="54" customFormat="1" ht="19.8" x14ac:dyDescent="0.4">
      <c r="A62" s="53"/>
      <c r="B62" s="1016" t="s">
        <v>958</v>
      </c>
      <c r="C62" s="1016"/>
      <c r="D62" s="1016"/>
      <c r="E62" s="1016"/>
      <c r="F62" s="1016"/>
      <c r="G62" s="1016"/>
      <c r="H62" s="1016"/>
      <c r="I62" s="1016"/>
      <c r="J62" s="1016"/>
      <c r="K62" s="137"/>
      <c r="L62" s="126"/>
      <c r="M62" s="126"/>
      <c r="N62" s="70"/>
      <c r="O62" s="53"/>
      <c r="P62" s="53"/>
      <c r="Q62" s="53"/>
      <c r="R62" s="53"/>
      <c r="S62" s="53"/>
      <c r="T62" s="53"/>
    </row>
    <row r="63" spans="1:20" s="54" customFormat="1" ht="19.8" x14ac:dyDescent="0.4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132"/>
      <c r="L63" s="126"/>
      <c r="M63" s="126"/>
      <c r="N63" s="70"/>
      <c r="O63" s="53"/>
      <c r="P63" s="53"/>
      <c r="Q63" s="53"/>
      <c r="R63" s="53"/>
      <c r="S63" s="53"/>
      <c r="T63" s="53"/>
    </row>
    <row r="64" spans="1:20" s="54" customFormat="1" ht="19.8" x14ac:dyDescent="0.4">
      <c r="A64" s="53"/>
      <c r="B64" s="50" t="s">
        <v>731</v>
      </c>
      <c r="C64" s="1017" t="s">
        <v>732</v>
      </c>
      <c r="D64" s="1017"/>
      <c r="E64" s="1017"/>
      <c r="F64" s="52">
        <f>H117</f>
        <v>31</v>
      </c>
      <c r="G64" s="52" t="s">
        <v>971</v>
      </c>
      <c r="H64" s="53"/>
      <c r="I64" s="53"/>
      <c r="J64" s="53"/>
      <c r="K64" s="132"/>
      <c r="L64" s="126"/>
      <c r="M64" s="126"/>
      <c r="N64" s="70"/>
      <c r="O64" s="53"/>
      <c r="P64" s="53"/>
      <c r="Q64" s="53"/>
      <c r="R64" s="53"/>
      <c r="S64" s="53"/>
      <c r="T64" s="53"/>
    </row>
    <row r="65" spans="2:11" ht="12" customHeight="1" x14ac:dyDescent="0.3"/>
    <row r="66" spans="2:11" x14ac:dyDescent="0.3">
      <c r="C66" s="1018" t="s">
        <v>932</v>
      </c>
      <c r="D66" s="1018"/>
      <c r="E66" s="10"/>
      <c r="F66" s="11">
        <f>F73+F76+F74</f>
        <v>22.18</v>
      </c>
      <c r="G66" s="12" t="s">
        <v>971</v>
      </c>
    </row>
    <row r="67" spans="2:11" ht="7.5" customHeight="1" x14ac:dyDescent="0.3"/>
    <row r="68" spans="2:11" x14ac:dyDescent="0.3">
      <c r="C68" s="13" t="s">
        <v>929</v>
      </c>
      <c r="D68" s="14" t="s">
        <v>928</v>
      </c>
      <c r="E68" s="14" t="s">
        <v>514</v>
      </c>
      <c r="F68" s="14" t="s">
        <v>515</v>
      </c>
      <c r="G68" s="14" t="s">
        <v>962</v>
      </c>
      <c r="H68" s="14" t="s">
        <v>926</v>
      </c>
      <c r="I68" s="14" t="s">
        <v>516</v>
      </c>
      <c r="J68" s="14" t="s">
        <v>961</v>
      </c>
      <c r="K68" s="138"/>
    </row>
    <row r="69" spans="2:11" x14ac:dyDescent="0.3">
      <c r="C69" s="17" t="str">
        <f>C9</f>
        <v>Лікар-лаборант</v>
      </c>
      <c r="D69" s="16">
        <f>D9</f>
        <v>10799.43</v>
      </c>
      <c r="E69" s="16">
        <f>D69*12</f>
        <v>129593.16</v>
      </c>
      <c r="F69" s="16">
        <f>F9</f>
        <v>8307.26</v>
      </c>
      <c r="G69" s="16">
        <f>G9</f>
        <v>4153.63</v>
      </c>
      <c r="H69" s="16">
        <f>E69+F69+G69</f>
        <v>142054.05000000002</v>
      </c>
      <c r="I69" s="17">
        <v>1807.2</v>
      </c>
      <c r="J69" s="16">
        <f>ROUND((H69/I69)/60,2)</f>
        <v>1.31</v>
      </c>
      <c r="K69" s="140"/>
    </row>
    <row r="70" spans="2:11" x14ac:dyDescent="0.3">
      <c r="C70" s="17" t="str">
        <f>C10</f>
        <v>Лаборант клінічної лабораторії</v>
      </c>
      <c r="D70" s="16">
        <f>D10</f>
        <v>7871.18</v>
      </c>
      <c r="E70" s="16">
        <f>D70*12</f>
        <v>94454.16</v>
      </c>
      <c r="F70" s="16">
        <f>F10</f>
        <v>6054.75</v>
      </c>
      <c r="G70" s="16">
        <f>G10</f>
        <v>3027.375</v>
      </c>
      <c r="H70" s="16">
        <f>E70+F70+G70</f>
        <v>103536.285</v>
      </c>
      <c r="I70" s="17">
        <v>1807.2</v>
      </c>
      <c r="J70" s="16">
        <f>ROUND((H70/I70)/60,2)</f>
        <v>0.95</v>
      </c>
      <c r="K70" s="140"/>
    </row>
    <row r="72" spans="2:11" ht="27.6" x14ac:dyDescent="0.3">
      <c r="C72" s="13" t="s">
        <v>929</v>
      </c>
      <c r="D72" s="14" t="s">
        <v>961</v>
      </c>
      <c r="E72" s="14" t="s">
        <v>930</v>
      </c>
      <c r="F72" s="14" t="s">
        <v>931</v>
      </c>
    </row>
    <row r="73" spans="2:11" x14ac:dyDescent="0.3">
      <c r="C73" s="15" t="str">
        <f>C69</f>
        <v>Лікар-лаборант</v>
      </c>
      <c r="D73" s="16">
        <f>J69</f>
        <v>1.31</v>
      </c>
      <c r="E73" s="17">
        <v>3</v>
      </c>
      <c r="F73" s="18">
        <f>ROUND(D73*E73,2)</f>
        <v>3.93</v>
      </c>
    </row>
    <row r="74" spans="2:11" x14ac:dyDescent="0.3">
      <c r="C74" s="15" t="str">
        <f>C70</f>
        <v>Лаборант клінічної лабораторії</v>
      </c>
      <c r="D74" s="16">
        <f>J70</f>
        <v>0.95</v>
      </c>
      <c r="E74" s="17">
        <v>15</v>
      </c>
      <c r="F74" s="18">
        <f>ROUND(D74*E74,2)</f>
        <v>14.25</v>
      </c>
    </row>
    <row r="75" spans="2:11" x14ac:dyDescent="0.3">
      <c r="D75" s="19"/>
      <c r="E75" s="7" t="s">
        <v>1016</v>
      </c>
    </row>
    <row r="76" spans="2:11" x14ac:dyDescent="0.3">
      <c r="C76" s="17" t="s">
        <v>933</v>
      </c>
      <c r="D76" s="16">
        <f>F73+F74</f>
        <v>18.18</v>
      </c>
      <c r="E76" s="20">
        <v>0.22</v>
      </c>
      <c r="F76" s="21">
        <f>ROUND(D76*E76,2)</f>
        <v>4</v>
      </c>
    </row>
    <row r="78" spans="2:11" x14ac:dyDescent="0.3">
      <c r="C78" s="12" t="s">
        <v>946</v>
      </c>
      <c r="D78" s="12"/>
      <c r="E78" s="12"/>
      <c r="F78" s="12">
        <f>G93</f>
        <v>5.64</v>
      </c>
      <c r="G78" s="12" t="s">
        <v>971</v>
      </c>
    </row>
    <row r="80" spans="2:11" ht="40.5" customHeight="1" x14ac:dyDescent="0.3">
      <c r="B80" s="82" t="s">
        <v>991</v>
      </c>
      <c r="C80" s="83" t="s">
        <v>986</v>
      </c>
      <c r="D80" s="83" t="s">
        <v>987</v>
      </c>
      <c r="E80" s="83" t="s">
        <v>988</v>
      </c>
      <c r="F80" s="83" t="s">
        <v>989</v>
      </c>
      <c r="G80" s="82" t="s">
        <v>990</v>
      </c>
    </row>
    <row r="81" spans="2:7" x14ac:dyDescent="0.3">
      <c r="B81" s="73">
        <v>1</v>
      </c>
      <c r="C81" s="79" t="s">
        <v>976</v>
      </c>
      <c r="D81" s="75" t="s">
        <v>977</v>
      </c>
      <c r="E81" s="75">
        <f>'МЕДИЧНІ М'!E68</f>
        <v>315</v>
      </c>
      <c r="F81" s="86">
        <v>800</v>
      </c>
      <c r="G81" s="88">
        <f t="shared" ref="G81:G87" si="2">ROUND(E81/F81,2)</f>
        <v>0.39</v>
      </c>
    </row>
    <row r="82" spans="2:7" x14ac:dyDescent="0.3">
      <c r="B82" s="73">
        <f>B81+1</f>
        <v>2</v>
      </c>
      <c r="C82" s="79" t="s">
        <v>978</v>
      </c>
      <c r="D82" s="75" t="s">
        <v>979</v>
      </c>
      <c r="E82" s="75">
        <f>'МЕДИЧНІ М'!E15</f>
        <v>34</v>
      </c>
      <c r="F82" s="86">
        <v>800</v>
      </c>
      <c r="G82" s="88">
        <f t="shared" si="2"/>
        <v>0.04</v>
      </c>
    </row>
    <row r="83" spans="2:7" x14ac:dyDescent="0.3">
      <c r="B83" s="73">
        <f t="shared" ref="B83:B92" si="3">B82+1</f>
        <v>3</v>
      </c>
      <c r="C83" s="79" t="s">
        <v>1017</v>
      </c>
      <c r="D83" s="76" t="s">
        <v>941</v>
      </c>
      <c r="E83" s="75">
        <f>'МЕДИЧНІ М'!E30</f>
        <v>400</v>
      </c>
      <c r="F83" s="86">
        <v>1000</v>
      </c>
      <c r="G83" s="88">
        <f t="shared" si="2"/>
        <v>0.4</v>
      </c>
    </row>
    <row r="84" spans="2:7" x14ac:dyDescent="0.3">
      <c r="B84" s="73">
        <f t="shared" si="3"/>
        <v>4</v>
      </c>
      <c r="C84" s="79" t="s">
        <v>934</v>
      </c>
      <c r="D84" s="76" t="s">
        <v>941</v>
      </c>
      <c r="E84" s="76">
        <f>'МЕДИЧНІ М'!E59</f>
        <v>2.8</v>
      </c>
      <c r="F84" s="80">
        <v>10</v>
      </c>
      <c r="G84" s="88">
        <f t="shared" si="2"/>
        <v>0.28000000000000003</v>
      </c>
    </row>
    <row r="85" spans="2:7" x14ac:dyDescent="0.3">
      <c r="B85" s="73">
        <f t="shared" si="3"/>
        <v>5</v>
      </c>
      <c r="C85" s="79" t="s">
        <v>981</v>
      </c>
      <c r="D85" s="76" t="s">
        <v>941</v>
      </c>
      <c r="E85" s="76">
        <f>'МЕДИЧНІ М'!E49</f>
        <v>0.6</v>
      </c>
      <c r="F85" s="77">
        <v>1</v>
      </c>
      <c r="G85" s="88">
        <f t="shared" si="2"/>
        <v>0.6</v>
      </c>
    </row>
    <row r="86" spans="2:7" x14ac:dyDescent="0.3">
      <c r="B86" s="73">
        <f t="shared" si="3"/>
        <v>6</v>
      </c>
      <c r="C86" s="79" t="s">
        <v>982</v>
      </c>
      <c r="D86" s="76" t="s">
        <v>941</v>
      </c>
      <c r="E86" s="76">
        <f>'МЕДИЧНІ М'!E48</f>
        <v>11</v>
      </c>
      <c r="F86" s="77">
        <v>100</v>
      </c>
      <c r="G86" s="88">
        <f t="shared" si="2"/>
        <v>0.11</v>
      </c>
    </row>
    <row r="87" spans="2:7" x14ac:dyDescent="0.3">
      <c r="B87" s="73">
        <f t="shared" si="3"/>
        <v>7</v>
      </c>
      <c r="C87" s="79" t="s">
        <v>983</v>
      </c>
      <c r="D87" s="76" t="s">
        <v>941</v>
      </c>
      <c r="E87" s="76">
        <f>'МЕДИЧНІ М'!E23</f>
        <v>7.5</v>
      </c>
      <c r="F87" s="77">
        <v>1000</v>
      </c>
      <c r="G87" s="88">
        <f t="shared" si="2"/>
        <v>0.01</v>
      </c>
    </row>
    <row r="88" spans="2:7" x14ac:dyDescent="0.3">
      <c r="B88" s="73">
        <f t="shared" si="3"/>
        <v>8</v>
      </c>
      <c r="C88" s="79" t="s">
        <v>985</v>
      </c>
      <c r="D88" s="76" t="s">
        <v>937</v>
      </c>
      <c r="E88" s="76">
        <f>'МЕДИЧНІ М'!F39</f>
        <v>0.3</v>
      </c>
      <c r="F88" s="77">
        <v>1</v>
      </c>
      <c r="G88" s="78">
        <f>ROUND(E88*F88,2)</f>
        <v>0.3</v>
      </c>
    </row>
    <row r="89" spans="2:7" x14ac:dyDescent="0.3">
      <c r="B89" s="73">
        <f t="shared" si="3"/>
        <v>9</v>
      </c>
      <c r="C89" s="27" t="s">
        <v>940</v>
      </c>
      <c r="D89" s="28" t="s">
        <v>941</v>
      </c>
      <c r="E89" s="81">
        <f>'МЕДИЧНІ М'!E37</f>
        <v>2</v>
      </c>
      <c r="F89" s="28">
        <v>1.5</v>
      </c>
      <c r="G89" s="81">
        <f>ROUND(E89*F89,2)</f>
        <v>3</v>
      </c>
    </row>
    <row r="90" spans="2:7" x14ac:dyDescent="0.3">
      <c r="B90" s="73">
        <f t="shared" si="3"/>
        <v>10</v>
      </c>
      <c r="C90" s="27" t="s">
        <v>943</v>
      </c>
      <c r="D90" s="28" t="s">
        <v>944</v>
      </c>
      <c r="E90" s="81">
        <f>'МЕДИЧНІ М'!F21</f>
        <v>7.0000000000000007E-2</v>
      </c>
      <c r="F90" s="28">
        <v>0.14000000000000001</v>
      </c>
      <c r="G90" s="28">
        <f>ROUND(E90*F90,2)</f>
        <v>0.01</v>
      </c>
    </row>
    <row r="91" spans="2:7" x14ac:dyDescent="0.3">
      <c r="B91" s="73">
        <f t="shared" si="3"/>
        <v>11</v>
      </c>
      <c r="C91" s="27" t="s">
        <v>942</v>
      </c>
      <c r="D91" s="75" t="s">
        <v>974</v>
      </c>
      <c r="E91" s="76">
        <f>'МЕДИЧНІ М'!E65</f>
        <v>24.6</v>
      </c>
      <c r="F91" s="77">
        <v>100</v>
      </c>
      <c r="G91" s="78">
        <f>ROUND(E91/F91,2)</f>
        <v>0.25</v>
      </c>
    </row>
    <row r="92" spans="2:7" x14ac:dyDescent="0.3">
      <c r="B92" s="73">
        <f t="shared" si="3"/>
        <v>12</v>
      </c>
      <c r="C92" s="27" t="s">
        <v>1124</v>
      </c>
      <c r="D92" s="28" t="s">
        <v>944</v>
      </c>
      <c r="E92" s="81">
        <f>'МЕДИЧНІ М'!E24</f>
        <v>0.5</v>
      </c>
      <c r="F92" s="81">
        <v>0.5</v>
      </c>
      <c r="G92" s="28">
        <f>ROUND(E92*F92,2)</f>
        <v>0.25</v>
      </c>
    </row>
    <row r="93" spans="2:7" x14ac:dyDescent="0.3">
      <c r="B93" s="1012" t="s">
        <v>945</v>
      </c>
      <c r="C93" s="1013"/>
      <c r="D93" s="1013"/>
      <c r="E93" s="1013"/>
      <c r="F93" s="1014"/>
      <c r="G93" s="89">
        <f>SUM(G81:G92)</f>
        <v>5.64</v>
      </c>
    </row>
    <row r="94" spans="2:7" ht="10.5" customHeight="1" x14ac:dyDescent="0.3"/>
    <row r="95" spans="2:7" x14ac:dyDescent="0.3">
      <c r="C95" s="12" t="s">
        <v>968</v>
      </c>
      <c r="D95" s="12"/>
      <c r="E95" s="12"/>
      <c r="F95" s="11">
        <f>H98</f>
        <v>0.72</v>
      </c>
      <c r="G95" s="12" t="s">
        <v>971</v>
      </c>
    </row>
    <row r="96" spans="2:7" x14ac:dyDescent="0.3">
      <c r="C96" s="22"/>
      <c r="D96" s="22"/>
      <c r="E96" s="22"/>
      <c r="F96" s="23"/>
      <c r="G96" s="22"/>
    </row>
    <row r="97" spans="3:9" ht="27.6" x14ac:dyDescent="0.3">
      <c r="C97" s="14" t="s">
        <v>513</v>
      </c>
      <c r="D97" s="14" t="s">
        <v>1108</v>
      </c>
      <c r="E97" s="14" t="s">
        <v>516</v>
      </c>
      <c r="F97" s="14" t="s">
        <v>970</v>
      </c>
      <c r="G97" s="14" t="s">
        <v>930</v>
      </c>
      <c r="H97" s="14" t="s">
        <v>961</v>
      </c>
    </row>
    <row r="98" spans="3:9" x14ac:dyDescent="0.3">
      <c r="C98" s="27" t="s">
        <v>1090</v>
      </c>
      <c r="D98" s="17">
        <f>АМОРТИЗАЦІЯ!C5</f>
        <v>34445.759999999995</v>
      </c>
      <c r="E98" s="17">
        <v>13679.5</v>
      </c>
      <c r="F98" s="17">
        <f>ROUND((D98/E98)/60,2)</f>
        <v>0.04</v>
      </c>
      <c r="G98" s="17">
        <f>E73+E74</f>
        <v>18</v>
      </c>
      <c r="H98" s="16">
        <f>ROUND(F98*G98,2)</f>
        <v>0.72</v>
      </c>
      <c r="I98" s="38"/>
    </row>
    <row r="100" spans="3:9" x14ac:dyDescent="0.3">
      <c r="C100" s="12" t="s">
        <v>948</v>
      </c>
      <c r="D100" s="12"/>
      <c r="E100" s="12"/>
      <c r="F100" s="11">
        <f>H113</f>
        <v>2.34</v>
      </c>
      <c r="G100" s="12" t="s">
        <v>971</v>
      </c>
    </row>
    <row r="101" spans="3:9" ht="3" customHeight="1" x14ac:dyDescent="0.3">
      <c r="C101" s="22"/>
      <c r="D101" s="22"/>
      <c r="E101" s="22"/>
      <c r="F101" s="23"/>
    </row>
    <row r="102" spans="3:9" ht="27.6" x14ac:dyDescent="0.3">
      <c r="C102" s="14" t="s">
        <v>948</v>
      </c>
      <c r="D102" s="14" t="s">
        <v>1110</v>
      </c>
      <c r="E102" s="14" t="s">
        <v>516</v>
      </c>
      <c r="F102" s="14" t="s">
        <v>954</v>
      </c>
      <c r="G102" s="14" t="s">
        <v>930</v>
      </c>
      <c r="H102" s="14" t="s">
        <v>1111</v>
      </c>
    </row>
    <row r="103" spans="3:9" x14ac:dyDescent="0.3">
      <c r="C103" s="1009" t="str">
        <f>C69</f>
        <v>Лікар-лаборант</v>
      </c>
      <c r="D103" s="1010"/>
      <c r="E103" s="1010"/>
      <c r="F103" s="1010"/>
      <c r="G103" s="1010"/>
      <c r="H103" s="1011"/>
    </row>
    <row r="104" spans="3:9" x14ac:dyDescent="0.3">
      <c r="C104" s="17" t="s">
        <v>951</v>
      </c>
      <c r="D104" s="112">
        <f>D47</f>
        <v>12188.608008565312</v>
      </c>
      <c r="E104" s="17">
        <f>I69</f>
        <v>1807.2</v>
      </c>
      <c r="F104" s="17">
        <f>ROUND((D104/E104)/60,2)</f>
        <v>0.11</v>
      </c>
      <c r="G104" s="17">
        <f>E73</f>
        <v>3</v>
      </c>
      <c r="H104" s="16">
        <f>ROUND(F104*G104,2)</f>
        <v>0.33</v>
      </c>
    </row>
    <row r="105" spans="3:9" x14ac:dyDescent="0.3">
      <c r="C105" s="17" t="s">
        <v>952</v>
      </c>
      <c r="D105" s="112">
        <f>D48</f>
        <v>53.149721627408987</v>
      </c>
      <c r="E105" s="17">
        <f>I69</f>
        <v>1807.2</v>
      </c>
      <c r="F105" s="17">
        <f>ROUND((D105/E105)/60,2)</f>
        <v>0</v>
      </c>
      <c r="G105" s="17">
        <f>E73</f>
        <v>3</v>
      </c>
      <c r="H105" s="16">
        <f>ROUND(F105*G105,2)</f>
        <v>0</v>
      </c>
    </row>
    <row r="106" spans="3:9" x14ac:dyDescent="0.3">
      <c r="C106" s="17" t="s">
        <v>953</v>
      </c>
      <c r="D106" s="112">
        <f>D49</f>
        <v>374.98368308351178</v>
      </c>
      <c r="E106" s="17">
        <f>I69</f>
        <v>1807.2</v>
      </c>
      <c r="F106" s="17">
        <f>ROUND((D106/E106)/60,2)</f>
        <v>0</v>
      </c>
      <c r="G106" s="17">
        <f>E73</f>
        <v>3</v>
      </c>
      <c r="H106" s="16">
        <f>ROUND(F106*G106,2)</f>
        <v>0</v>
      </c>
    </row>
    <row r="107" spans="3:9" x14ac:dyDescent="0.3">
      <c r="C107" s="17" t="s">
        <v>1109</v>
      </c>
      <c r="D107" s="112">
        <f>D50</f>
        <v>1686.0389293361886</v>
      </c>
      <c r="E107" s="17">
        <f>I70</f>
        <v>1807.2</v>
      </c>
      <c r="F107" s="17">
        <f>ROUND((D107/E107)/60,2)</f>
        <v>0.02</v>
      </c>
      <c r="G107" s="17">
        <f>E73</f>
        <v>3</v>
      </c>
      <c r="H107" s="16">
        <f>ROUND(F107*G107,2)</f>
        <v>0.06</v>
      </c>
    </row>
    <row r="108" spans="3:9" x14ac:dyDescent="0.3">
      <c r="C108" s="1009" t="str">
        <f>C70</f>
        <v>Лаборант клінічної лабораторії</v>
      </c>
      <c r="D108" s="1010"/>
      <c r="E108" s="1010"/>
      <c r="F108" s="1010"/>
      <c r="G108" s="1010"/>
      <c r="H108" s="1011"/>
    </row>
    <row r="109" spans="3:9" x14ac:dyDescent="0.3">
      <c r="C109" s="17" t="s">
        <v>951</v>
      </c>
      <c r="D109" s="112">
        <f>D52</f>
        <v>12188.608008565312</v>
      </c>
      <c r="E109" s="17">
        <f>I70</f>
        <v>1807.2</v>
      </c>
      <c r="F109" s="17">
        <f>ROUND((D109/E109)/60,2)</f>
        <v>0.11</v>
      </c>
      <c r="G109" s="17">
        <f>E74</f>
        <v>15</v>
      </c>
      <c r="H109" s="16">
        <f>ROUND(F109*G109,2)</f>
        <v>1.65</v>
      </c>
    </row>
    <row r="110" spans="3:9" x14ac:dyDescent="0.3">
      <c r="C110" s="17" t="s">
        <v>952</v>
      </c>
      <c r="D110" s="112">
        <f>D53</f>
        <v>53.149721627408987</v>
      </c>
      <c r="E110" s="17">
        <f>I70</f>
        <v>1807.2</v>
      </c>
      <c r="F110" s="17">
        <f>ROUND((D110/E110)/60,2)</f>
        <v>0</v>
      </c>
      <c r="G110" s="17">
        <f>E74</f>
        <v>15</v>
      </c>
      <c r="H110" s="16">
        <f>ROUND(F110*G110,2)</f>
        <v>0</v>
      </c>
    </row>
    <row r="111" spans="3:9" x14ac:dyDescent="0.3">
      <c r="C111" s="17" t="s">
        <v>953</v>
      </c>
      <c r="D111" s="112">
        <f>D54</f>
        <v>374.98368308351178</v>
      </c>
      <c r="E111" s="17">
        <f>I70</f>
        <v>1807.2</v>
      </c>
      <c r="F111" s="17">
        <f>ROUND((D111/E111)/60,2)</f>
        <v>0</v>
      </c>
      <c r="G111" s="17">
        <f>E74</f>
        <v>15</v>
      </c>
      <c r="H111" s="16">
        <f>ROUND(F111*G111,2)</f>
        <v>0</v>
      </c>
    </row>
    <row r="112" spans="3:9" x14ac:dyDescent="0.3">
      <c r="C112" s="17" t="s">
        <v>1109</v>
      </c>
      <c r="D112" s="112">
        <f>D55</f>
        <v>1686.0389293361886</v>
      </c>
      <c r="E112" s="17">
        <f>I70</f>
        <v>1807.2</v>
      </c>
      <c r="F112" s="17">
        <f>ROUND((D112/E112)/60,2)</f>
        <v>0.02</v>
      </c>
      <c r="G112" s="17">
        <f>E74</f>
        <v>15</v>
      </c>
      <c r="H112" s="16">
        <f>ROUND(F112*G112,2)</f>
        <v>0.3</v>
      </c>
    </row>
    <row r="113" spans="1:20" x14ac:dyDescent="0.3">
      <c r="C113" s="1012" t="s">
        <v>957</v>
      </c>
      <c r="D113" s="1013"/>
      <c r="E113" s="1013"/>
      <c r="F113" s="1013"/>
      <c r="G113" s="1014"/>
      <c r="H113" s="18">
        <f>SUM(H104:H112)</f>
        <v>2.34</v>
      </c>
    </row>
    <row r="114" spans="1:20" ht="4.5" customHeight="1" x14ac:dyDescent="0.3"/>
    <row r="115" spans="1:20" x14ac:dyDescent="0.3">
      <c r="C115" s="1015" t="s">
        <v>959</v>
      </c>
      <c r="D115" s="1015"/>
      <c r="E115" s="1015"/>
      <c r="F115" s="1015"/>
      <c r="G115" s="1015"/>
      <c r="H115" s="32">
        <f>F66+F78+F100+F95</f>
        <v>30.88</v>
      </c>
    </row>
    <row r="116" spans="1:20" x14ac:dyDescent="0.3">
      <c r="C116" s="33"/>
      <c r="D116" s="33"/>
      <c r="E116" s="33"/>
      <c r="F116" s="33"/>
      <c r="G116" s="33"/>
      <c r="H116" s="34"/>
    </row>
    <row r="117" spans="1:20" x14ac:dyDescent="0.3">
      <c r="C117" s="1015" t="s">
        <v>960</v>
      </c>
      <c r="D117" s="1015"/>
      <c r="E117" s="1015"/>
      <c r="F117" s="1015"/>
      <c r="G117" s="1015"/>
      <c r="H117" s="32">
        <f>ROUND(H115,0)</f>
        <v>31</v>
      </c>
    </row>
    <row r="119" spans="1:20" s="54" customFormat="1" ht="19.8" x14ac:dyDescent="0.4">
      <c r="A119" s="53"/>
      <c r="B119" s="1016" t="s">
        <v>958</v>
      </c>
      <c r="C119" s="1016"/>
      <c r="D119" s="1016"/>
      <c r="E119" s="1016"/>
      <c r="F119" s="1016"/>
      <c r="G119" s="1016"/>
      <c r="H119" s="1016"/>
      <c r="I119" s="1016"/>
      <c r="J119" s="1016"/>
      <c r="K119" s="137"/>
      <c r="L119" s="126"/>
      <c r="M119" s="126"/>
      <c r="N119" s="70"/>
      <c r="O119" s="53"/>
      <c r="P119" s="53"/>
      <c r="Q119" s="53"/>
      <c r="R119" s="53"/>
      <c r="S119" s="53"/>
      <c r="T119" s="53"/>
    </row>
    <row r="120" spans="1:20" s="54" customFormat="1" ht="19.8" x14ac:dyDescent="0.4">
      <c r="A120" s="53"/>
      <c r="B120" s="53"/>
      <c r="C120" s="53"/>
      <c r="D120" s="53"/>
      <c r="E120" s="53"/>
      <c r="F120" s="53"/>
      <c r="G120" s="53"/>
      <c r="H120" s="53"/>
      <c r="I120" s="53"/>
      <c r="J120" s="53"/>
      <c r="K120" s="132"/>
      <c r="L120" s="126"/>
      <c r="M120" s="126"/>
      <c r="N120" s="70"/>
      <c r="O120" s="53"/>
      <c r="P120" s="53"/>
      <c r="Q120" s="53"/>
      <c r="R120" s="53"/>
      <c r="S120" s="53"/>
      <c r="T120" s="53"/>
    </row>
    <row r="121" spans="1:20" s="54" customFormat="1" ht="19.8" x14ac:dyDescent="0.4">
      <c r="A121" s="53"/>
      <c r="B121" s="50" t="s">
        <v>733</v>
      </c>
      <c r="C121" s="1017" t="s">
        <v>734</v>
      </c>
      <c r="D121" s="1017"/>
      <c r="E121" s="1017"/>
      <c r="F121" s="52">
        <f>H171</f>
        <v>16</v>
      </c>
      <c r="G121" s="52" t="s">
        <v>971</v>
      </c>
      <c r="H121" s="53"/>
      <c r="I121" s="53"/>
      <c r="J121" s="53"/>
      <c r="K121" s="132"/>
      <c r="L121" s="126"/>
      <c r="M121" s="126"/>
      <c r="N121" s="70"/>
      <c r="O121" s="53"/>
      <c r="P121" s="53"/>
      <c r="Q121" s="53"/>
      <c r="R121" s="53"/>
      <c r="S121" s="53"/>
      <c r="T121" s="53"/>
    </row>
    <row r="123" spans="1:20" x14ac:dyDescent="0.3">
      <c r="C123" s="1018" t="s">
        <v>932</v>
      </c>
      <c r="D123" s="1018"/>
      <c r="E123" s="10"/>
      <c r="F123" s="11">
        <f>F130+F133+F131</f>
        <v>10.59</v>
      </c>
      <c r="G123" s="12" t="s">
        <v>971</v>
      </c>
    </row>
    <row r="125" spans="1:20" x14ac:dyDescent="0.3">
      <c r="C125" s="13" t="s">
        <v>929</v>
      </c>
      <c r="D125" s="14" t="s">
        <v>928</v>
      </c>
      <c r="E125" s="14" t="s">
        <v>514</v>
      </c>
      <c r="F125" s="14" t="s">
        <v>515</v>
      </c>
      <c r="G125" s="14" t="s">
        <v>962</v>
      </c>
      <c r="H125" s="14" t="s">
        <v>926</v>
      </c>
      <c r="I125" s="14" t="s">
        <v>516</v>
      </c>
      <c r="J125" s="14" t="s">
        <v>961</v>
      </c>
      <c r="K125" s="138"/>
    </row>
    <row r="126" spans="1:20" x14ac:dyDescent="0.3">
      <c r="C126" s="17" t="str">
        <f>C69</f>
        <v>Лікар-лаборант</v>
      </c>
      <c r="D126" s="16">
        <f>D69</f>
        <v>10799.43</v>
      </c>
      <c r="E126" s="16">
        <f>D126*12</f>
        <v>129593.16</v>
      </c>
      <c r="F126" s="16">
        <f>F69</f>
        <v>8307.26</v>
      </c>
      <c r="G126" s="16">
        <f>G69</f>
        <v>4153.63</v>
      </c>
      <c r="H126" s="16">
        <f>E126+F126+G126</f>
        <v>142054.05000000002</v>
      </c>
      <c r="I126" s="17">
        <v>1807.2</v>
      </c>
      <c r="J126" s="16">
        <f>ROUND((H126/I126)/60,2)</f>
        <v>1.31</v>
      </c>
      <c r="K126" s="140"/>
    </row>
    <row r="127" spans="1:20" x14ac:dyDescent="0.3">
      <c r="C127" s="17" t="str">
        <f>C70</f>
        <v>Лаборант клінічної лабораторії</v>
      </c>
      <c r="D127" s="16">
        <f>D70</f>
        <v>7871.18</v>
      </c>
      <c r="E127" s="16">
        <f>D127*12</f>
        <v>94454.16</v>
      </c>
      <c r="F127" s="16">
        <f>F70</f>
        <v>6054.75</v>
      </c>
      <c r="G127" s="16">
        <f>G70</f>
        <v>3027.375</v>
      </c>
      <c r="H127" s="16">
        <f>E127+F127+G127</f>
        <v>103536.285</v>
      </c>
      <c r="I127" s="17">
        <v>1807.2</v>
      </c>
      <c r="J127" s="16">
        <f>ROUND((H127/I127)/60,2)</f>
        <v>0.95</v>
      </c>
      <c r="K127" s="140"/>
    </row>
    <row r="129" spans="2:7" ht="27.6" x14ac:dyDescent="0.3">
      <c r="C129" s="13" t="s">
        <v>929</v>
      </c>
      <c r="D129" s="14" t="s">
        <v>961</v>
      </c>
      <c r="E129" s="14" t="s">
        <v>930</v>
      </c>
      <c r="F129" s="14" t="s">
        <v>931</v>
      </c>
    </row>
    <row r="130" spans="2:7" x14ac:dyDescent="0.3">
      <c r="C130" s="15" t="str">
        <f>C126</f>
        <v>Лікар-лаборант</v>
      </c>
      <c r="D130" s="16">
        <f>J126</f>
        <v>1.31</v>
      </c>
      <c r="E130" s="17">
        <v>3</v>
      </c>
      <c r="F130" s="18">
        <f>ROUND(D130*E130,2)</f>
        <v>3.93</v>
      </c>
    </row>
    <row r="131" spans="2:7" x14ac:dyDescent="0.3">
      <c r="C131" s="15" t="str">
        <f>C127</f>
        <v>Лаборант клінічної лабораторії</v>
      </c>
      <c r="D131" s="16">
        <f>J127</f>
        <v>0.95</v>
      </c>
      <c r="E131" s="17">
        <v>5</v>
      </c>
      <c r="F131" s="18">
        <f>ROUND(D131*E131,2)</f>
        <v>4.75</v>
      </c>
    </row>
    <row r="132" spans="2:7" x14ac:dyDescent="0.3">
      <c r="D132" s="19"/>
      <c r="E132" s="7" t="s">
        <v>1016</v>
      </c>
    </row>
    <row r="133" spans="2:7" x14ac:dyDescent="0.3">
      <c r="C133" s="17" t="s">
        <v>933</v>
      </c>
      <c r="D133" s="16">
        <f>F130+F131</f>
        <v>8.68</v>
      </c>
      <c r="E133" s="20">
        <v>0.22</v>
      </c>
      <c r="F133" s="21">
        <f>ROUND(D133*E133,2)</f>
        <v>1.91</v>
      </c>
    </row>
    <row r="135" spans="2:7" x14ac:dyDescent="0.3">
      <c r="C135" s="12" t="s">
        <v>946</v>
      </c>
      <c r="D135" s="12"/>
      <c r="E135" s="12"/>
      <c r="F135" s="12">
        <f>G147</f>
        <v>4.1500000000000004</v>
      </c>
      <c r="G135" s="12" t="s">
        <v>971</v>
      </c>
    </row>
    <row r="137" spans="2:7" ht="27.6" x14ac:dyDescent="0.3">
      <c r="B137" s="82" t="s">
        <v>991</v>
      </c>
      <c r="C137" s="83" t="s">
        <v>986</v>
      </c>
      <c r="D137" s="83" t="s">
        <v>987</v>
      </c>
      <c r="E137" s="83" t="s">
        <v>988</v>
      </c>
      <c r="F137" s="83" t="s">
        <v>989</v>
      </c>
      <c r="G137" s="82" t="s">
        <v>990</v>
      </c>
    </row>
    <row r="138" spans="2:7" x14ac:dyDescent="0.3">
      <c r="B138" s="84">
        <v>1</v>
      </c>
      <c r="C138" s="85" t="s">
        <v>1018</v>
      </c>
      <c r="D138" s="86" t="s">
        <v>941</v>
      </c>
      <c r="E138" s="87">
        <f>'МЕДИЧНІ М'!E75</f>
        <v>11</v>
      </c>
      <c r="F138" s="86">
        <v>1000</v>
      </c>
      <c r="G138" s="88">
        <f>ROUND(E138/F138,2)</f>
        <v>0.01</v>
      </c>
    </row>
    <row r="139" spans="2:7" x14ac:dyDescent="0.3">
      <c r="B139" s="73">
        <f>B138+1</f>
        <v>2</v>
      </c>
      <c r="C139" s="79" t="s">
        <v>934</v>
      </c>
      <c r="D139" s="76" t="s">
        <v>941</v>
      </c>
      <c r="E139" s="76">
        <f>'МЕДИЧНІ М'!E59</f>
        <v>2.8</v>
      </c>
      <c r="F139" s="86">
        <v>10</v>
      </c>
      <c r="G139" s="88">
        <f>ROUND(E139/F139,2)</f>
        <v>0.28000000000000003</v>
      </c>
    </row>
    <row r="140" spans="2:7" x14ac:dyDescent="0.3">
      <c r="B140" s="73">
        <f t="shared" ref="B140:B146" si="4">B139+1</f>
        <v>3</v>
      </c>
      <c r="C140" s="79" t="s">
        <v>984</v>
      </c>
      <c r="D140" s="76" t="s">
        <v>941</v>
      </c>
      <c r="E140" s="76">
        <f>'МЕДИЧНІ М'!E64</f>
        <v>36</v>
      </c>
      <c r="F140" s="77">
        <v>1000</v>
      </c>
      <c r="G140" s="88">
        <f>ROUND(E140/F140,2)</f>
        <v>0.04</v>
      </c>
    </row>
    <row r="141" spans="2:7" x14ac:dyDescent="0.3">
      <c r="B141" s="73">
        <f t="shared" si="4"/>
        <v>4</v>
      </c>
      <c r="C141" s="79" t="s">
        <v>985</v>
      </c>
      <c r="D141" s="76" t="s">
        <v>937</v>
      </c>
      <c r="E141" s="76">
        <f>'МЕДИЧНІ М'!F39</f>
        <v>0.3</v>
      </c>
      <c r="F141" s="77">
        <v>1</v>
      </c>
      <c r="G141" s="78">
        <f>ROUND(E141/F141,2)</f>
        <v>0.3</v>
      </c>
    </row>
    <row r="142" spans="2:7" x14ac:dyDescent="0.3">
      <c r="B142" s="73">
        <f t="shared" si="4"/>
        <v>5</v>
      </c>
      <c r="C142" s="79" t="s">
        <v>1049</v>
      </c>
      <c r="D142" s="75" t="s">
        <v>941</v>
      </c>
      <c r="E142" s="75">
        <f>'МЕДИЧНІ М'!E47</f>
        <v>7</v>
      </c>
      <c r="F142" s="86">
        <v>500</v>
      </c>
      <c r="G142" s="88">
        <f>ROUND(E142/F142,2)</f>
        <v>0.01</v>
      </c>
    </row>
    <row r="143" spans="2:7" x14ac:dyDescent="0.3">
      <c r="B143" s="73">
        <f t="shared" si="4"/>
        <v>6</v>
      </c>
      <c r="C143" s="27" t="s">
        <v>940</v>
      </c>
      <c r="D143" s="28" t="s">
        <v>941</v>
      </c>
      <c r="E143" s="81">
        <f>'МЕДИЧНІ М'!E37</f>
        <v>2</v>
      </c>
      <c r="F143" s="28">
        <v>1.5</v>
      </c>
      <c r="G143" s="28">
        <f>ROUND(E143*F143,2)</f>
        <v>3</v>
      </c>
    </row>
    <row r="144" spans="2:7" x14ac:dyDescent="0.3">
      <c r="B144" s="73">
        <f t="shared" si="4"/>
        <v>7</v>
      </c>
      <c r="C144" s="27" t="s">
        <v>943</v>
      </c>
      <c r="D144" s="28" t="s">
        <v>944</v>
      </c>
      <c r="E144" s="81">
        <f>'МЕДИЧНІ М'!F21</f>
        <v>7.0000000000000007E-2</v>
      </c>
      <c r="F144" s="28">
        <v>0.14000000000000001</v>
      </c>
      <c r="G144" s="28">
        <f>ROUND(E144*F144,2)</f>
        <v>0.01</v>
      </c>
    </row>
    <row r="145" spans="2:9" x14ac:dyDescent="0.3">
      <c r="B145" s="73">
        <f t="shared" si="4"/>
        <v>8</v>
      </c>
      <c r="C145" s="27" t="s">
        <v>942</v>
      </c>
      <c r="D145" s="75" t="s">
        <v>974</v>
      </c>
      <c r="E145" s="76">
        <f>'МЕДИЧНІ М'!E65</f>
        <v>24.6</v>
      </c>
      <c r="F145" s="77">
        <v>100</v>
      </c>
      <c r="G145" s="78">
        <f>ROUND(E145/F145,2)</f>
        <v>0.25</v>
      </c>
    </row>
    <row r="146" spans="2:9" x14ac:dyDescent="0.3">
      <c r="B146" s="73">
        <f t="shared" si="4"/>
        <v>9</v>
      </c>
      <c r="C146" s="27" t="s">
        <v>1124</v>
      </c>
      <c r="D146" s="28" t="s">
        <v>944</v>
      </c>
      <c r="E146" s="81">
        <f>'МЕДИЧНІ М'!F24</f>
        <v>0.5</v>
      </c>
      <c r="F146" s="81">
        <v>0.5</v>
      </c>
      <c r="G146" s="28">
        <f>ROUND(E146*F146,2)</f>
        <v>0.25</v>
      </c>
    </row>
    <row r="147" spans="2:9" x14ac:dyDescent="0.3">
      <c r="B147" s="1012" t="s">
        <v>945</v>
      </c>
      <c r="C147" s="1013"/>
      <c r="D147" s="1013"/>
      <c r="E147" s="1013"/>
      <c r="F147" s="1014"/>
      <c r="G147" s="89">
        <f>SUM(G138:G146)</f>
        <v>4.1500000000000004</v>
      </c>
    </row>
    <row r="149" spans="2:9" x14ac:dyDescent="0.3">
      <c r="C149" s="12" t="s">
        <v>968</v>
      </c>
      <c r="D149" s="12"/>
      <c r="E149" s="12"/>
      <c r="F149" s="11">
        <f>H152</f>
        <v>0.32</v>
      </c>
      <c r="G149" s="12" t="s">
        <v>971</v>
      </c>
    </row>
    <row r="150" spans="2:9" x14ac:dyDescent="0.3">
      <c r="C150" s="22"/>
      <c r="D150" s="22"/>
      <c r="E150" s="22"/>
      <c r="F150" s="23"/>
      <c r="G150" s="22"/>
    </row>
    <row r="151" spans="2:9" ht="27.6" x14ac:dyDescent="0.3">
      <c r="C151" s="14" t="s">
        <v>513</v>
      </c>
      <c r="D151" s="14" t="s">
        <v>969</v>
      </c>
      <c r="E151" s="14" t="s">
        <v>516</v>
      </c>
      <c r="F151" s="14" t="s">
        <v>970</v>
      </c>
      <c r="G151" s="14" t="s">
        <v>930</v>
      </c>
      <c r="H151" s="14" t="s">
        <v>961</v>
      </c>
    </row>
    <row r="152" spans="2:9" x14ac:dyDescent="0.3">
      <c r="C152" s="27" t="s">
        <v>1090</v>
      </c>
      <c r="D152" s="17">
        <f>АМОРТИЗАЦІЯ!C5</f>
        <v>34445.759999999995</v>
      </c>
      <c r="E152" s="17">
        <v>13679.5</v>
      </c>
      <c r="F152" s="17">
        <f>ROUND((D152/E152)/60,2)</f>
        <v>0.04</v>
      </c>
      <c r="G152" s="17">
        <f>E130+E131</f>
        <v>8</v>
      </c>
      <c r="H152" s="16">
        <f>ROUND(F152*G152,2)</f>
        <v>0.32</v>
      </c>
      <c r="I152" s="38"/>
    </row>
    <row r="154" spans="2:9" x14ac:dyDescent="0.3">
      <c r="C154" s="12" t="s">
        <v>948</v>
      </c>
      <c r="D154" s="12"/>
      <c r="E154" s="12"/>
      <c r="F154" s="11">
        <f>H167</f>
        <v>1.04</v>
      </c>
      <c r="G154" s="12" t="s">
        <v>971</v>
      </c>
    </row>
    <row r="155" spans="2:9" x14ac:dyDescent="0.3">
      <c r="C155" s="22"/>
      <c r="D155" s="22"/>
      <c r="E155" s="22"/>
      <c r="F155" s="23"/>
    </row>
    <row r="156" spans="2:9" ht="27.6" x14ac:dyDescent="0.3">
      <c r="C156" s="14" t="s">
        <v>948</v>
      </c>
      <c r="D156" s="14" t="s">
        <v>1110</v>
      </c>
      <c r="E156" s="14" t="s">
        <v>516</v>
      </c>
      <c r="F156" s="14" t="s">
        <v>954</v>
      </c>
      <c r="G156" s="14" t="s">
        <v>930</v>
      </c>
      <c r="H156" s="14" t="s">
        <v>1111</v>
      </c>
    </row>
    <row r="157" spans="2:9" x14ac:dyDescent="0.3">
      <c r="C157" s="1009" t="str">
        <f>C126</f>
        <v>Лікар-лаборант</v>
      </c>
      <c r="D157" s="1010"/>
      <c r="E157" s="1010"/>
      <c r="F157" s="1010"/>
      <c r="G157" s="1010"/>
      <c r="H157" s="1011"/>
    </row>
    <row r="158" spans="2:9" x14ac:dyDescent="0.3">
      <c r="C158" s="17" t="s">
        <v>951</v>
      </c>
      <c r="D158" s="112">
        <f>D104</f>
        <v>12188.608008565312</v>
      </c>
      <c r="E158" s="17">
        <f>I126</f>
        <v>1807.2</v>
      </c>
      <c r="F158" s="17">
        <f>ROUND((D158/E158)/60,2)</f>
        <v>0.11</v>
      </c>
      <c r="G158" s="17">
        <f>E130</f>
        <v>3</v>
      </c>
      <c r="H158" s="16">
        <f>ROUND(F158*G158,2)</f>
        <v>0.33</v>
      </c>
    </row>
    <row r="159" spans="2:9" x14ac:dyDescent="0.3">
      <c r="C159" s="17" t="s">
        <v>952</v>
      </c>
      <c r="D159" s="112">
        <f>D105</f>
        <v>53.149721627408987</v>
      </c>
      <c r="E159" s="17">
        <f>I126</f>
        <v>1807.2</v>
      </c>
      <c r="F159" s="17">
        <f>ROUND((D159/E159)/60,2)</f>
        <v>0</v>
      </c>
      <c r="G159" s="17">
        <f>E130</f>
        <v>3</v>
      </c>
      <c r="H159" s="16">
        <f>ROUND(F159*G159,2)</f>
        <v>0</v>
      </c>
    </row>
    <row r="160" spans="2:9" x14ac:dyDescent="0.3">
      <c r="C160" s="17" t="s">
        <v>953</v>
      </c>
      <c r="D160" s="112">
        <f>D106</f>
        <v>374.98368308351178</v>
      </c>
      <c r="E160" s="17">
        <f>I126</f>
        <v>1807.2</v>
      </c>
      <c r="F160" s="17">
        <f>ROUND((D160/E160)/60,2)</f>
        <v>0</v>
      </c>
      <c r="G160" s="17">
        <f>E130</f>
        <v>3</v>
      </c>
      <c r="H160" s="16">
        <f>ROUND(F160*G160,2)</f>
        <v>0</v>
      </c>
    </row>
    <row r="161" spans="1:20" x14ac:dyDescent="0.3">
      <c r="C161" s="17" t="s">
        <v>1109</v>
      </c>
      <c r="D161" s="112">
        <f>D107</f>
        <v>1686.0389293361886</v>
      </c>
      <c r="E161" s="17">
        <f>I126</f>
        <v>1807.2</v>
      </c>
      <c r="F161" s="17">
        <f>ROUND((D161/E161)/60,2)</f>
        <v>0.02</v>
      </c>
      <c r="G161" s="17">
        <f>E130</f>
        <v>3</v>
      </c>
      <c r="H161" s="16">
        <f>ROUND(F161*G161,2)</f>
        <v>0.06</v>
      </c>
    </row>
    <row r="162" spans="1:20" x14ac:dyDescent="0.3">
      <c r="C162" s="1009" t="str">
        <f>C127</f>
        <v>Лаборант клінічної лабораторії</v>
      </c>
      <c r="D162" s="1010"/>
      <c r="E162" s="1010"/>
      <c r="F162" s="1010"/>
      <c r="G162" s="1010"/>
      <c r="H162" s="1011"/>
    </row>
    <row r="163" spans="1:20" x14ac:dyDescent="0.3">
      <c r="C163" s="17" t="s">
        <v>951</v>
      </c>
      <c r="D163" s="112">
        <f>D109</f>
        <v>12188.608008565312</v>
      </c>
      <c r="E163" s="17">
        <f>I127</f>
        <v>1807.2</v>
      </c>
      <c r="F163" s="17">
        <f>ROUND((D163/E163)/60,2)</f>
        <v>0.11</v>
      </c>
      <c r="G163" s="17">
        <f>E131</f>
        <v>5</v>
      </c>
      <c r="H163" s="16">
        <f>ROUND(F163*G163,2)</f>
        <v>0.55000000000000004</v>
      </c>
    </row>
    <row r="164" spans="1:20" x14ac:dyDescent="0.3">
      <c r="C164" s="17" t="s">
        <v>952</v>
      </c>
      <c r="D164" s="112">
        <f>D110</f>
        <v>53.149721627408987</v>
      </c>
      <c r="E164" s="17">
        <f>I127</f>
        <v>1807.2</v>
      </c>
      <c r="F164" s="17">
        <f>ROUND((D164/E164)/60,2)</f>
        <v>0</v>
      </c>
      <c r="G164" s="17">
        <f>E131</f>
        <v>5</v>
      </c>
      <c r="H164" s="16">
        <f>ROUND(F164*G164,2)</f>
        <v>0</v>
      </c>
    </row>
    <row r="165" spans="1:20" x14ac:dyDescent="0.3">
      <c r="C165" s="17" t="s">
        <v>953</v>
      </c>
      <c r="D165" s="112">
        <f>D111</f>
        <v>374.98368308351178</v>
      </c>
      <c r="E165" s="17">
        <f>I127</f>
        <v>1807.2</v>
      </c>
      <c r="F165" s="17">
        <f>ROUND((D165/E165)/60,2)</f>
        <v>0</v>
      </c>
      <c r="G165" s="17">
        <f>E131</f>
        <v>5</v>
      </c>
      <c r="H165" s="16">
        <f>ROUND(F165*G165,2)</f>
        <v>0</v>
      </c>
    </row>
    <row r="166" spans="1:20" x14ac:dyDescent="0.3">
      <c r="C166" s="17" t="s">
        <v>1109</v>
      </c>
      <c r="D166" s="112">
        <f>D112</f>
        <v>1686.0389293361886</v>
      </c>
      <c r="E166" s="17">
        <f>I127</f>
        <v>1807.2</v>
      </c>
      <c r="F166" s="17">
        <f>ROUND((D166/E166)/60,2)</f>
        <v>0.02</v>
      </c>
      <c r="G166" s="17">
        <f>E131</f>
        <v>5</v>
      </c>
      <c r="H166" s="16">
        <f>ROUND(F166*G166,2)</f>
        <v>0.1</v>
      </c>
    </row>
    <row r="167" spans="1:20" x14ac:dyDescent="0.3">
      <c r="C167" s="1012" t="s">
        <v>957</v>
      </c>
      <c r="D167" s="1013"/>
      <c r="E167" s="1013"/>
      <c r="F167" s="1013"/>
      <c r="G167" s="1014"/>
      <c r="H167" s="18">
        <f>SUM(H158:H166)</f>
        <v>1.04</v>
      </c>
    </row>
    <row r="169" spans="1:20" x14ac:dyDescent="0.3">
      <c r="C169" s="1015" t="s">
        <v>959</v>
      </c>
      <c r="D169" s="1015"/>
      <c r="E169" s="1015"/>
      <c r="F169" s="1015"/>
      <c r="G169" s="1015"/>
      <c r="H169" s="32">
        <f>F123+F135+F154+F149</f>
        <v>16.100000000000001</v>
      </c>
    </row>
    <row r="170" spans="1:20" x14ac:dyDescent="0.3">
      <c r="C170" s="33"/>
      <c r="D170" s="33"/>
      <c r="E170" s="33"/>
      <c r="F170" s="33"/>
      <c r="G170" s="33"/>
      <c r="H170" s="34"/>
    </row>
    <row r="171" spans="1:20" x14ac:dyDescent="0.3">
      <c r="C171" s="1015" t="s">
        <v>960</v>
      </c>
      <c r="D171" s="1015"/>
      <c r="E171" s="1015"/>
      <c r="F171" s="1015"/>
      <c r="G171" s="1015"/>
      <c r="H171" s="32">
        <f>ROUND(H169,0)</f>
        <v>16</v>
      </c>
    </row>
    <row r="173" spans="1:20" s="54" customFormat="1" ht="19.8" x14ac:dyDescent="0.4">
      <c r="A173" s="53"/>
      <c r="B173" s="1016" t="s">
        <v>958</v>
      </c>
      <c r="C173" s="1016"/>
      <c r="D173" s="1016"/>
      <c r="E173" s="1016"/>
      <c r="F173" s="1016"/>
      <c r="G173" s="1016"/>
      <c r="H173" s="1016"/>
      <c r="I173" s="1016"/>
      <c r="J173" s="1016"/>
      <c r="K173" s="137"/>
      <c r="L173" s="126"/>
      <c r="M173" s="126"/>
      <c r="N173" s="70"/>
      <c r="O173" s="53"/>
      <c r="P173" s="53"/>
      <c r="Q173" s="53"/>
      <c r="R173" s="53"/>
      <c r="S173" s="53"/>
      <c r="T173" s="53"/>
    </row>
    <row r="174" spans="1:20" s="54" customFormat="1" ht="19.8" x14ac:dyDescent="0.4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132"/>
      <c r="L174" s="126"/>
      <c r="M174" s="126"/>
      <c r="N174" s="70"/>
      <c r="O174" s="53"/>
      <c r="P174" s="53"/>
      <c r="Q174" s="53"/>
      <c r="R174" s="53"/>
      <c r="S174" s="53"/>
      <c r="T174" s="53"/>
    </row>
    <row r="175" spans="1:20" s="54" customFormat="1" ht="19.8" x14ac:dyDescent="0.4">
      <c r="A175" s="53"/>
      <c r="B175" s="50" t="s">
        <v>735</v>
      </c>
      <c r="C175" s="1017" t="s">
        <v>736</v>
      </c>
      <c r="D175" s="1017"/>
      <c r="E175" s="1017"/>
      <c r="F175" s="52">
        <f>H227</f>
        <v>20</v>
      </c>
      <c r="G175" s="52" t="s">
        <v>971</v>
      </c>
      <c r="H175" s="53"/>
      <c r="I175" s="53"/>
      <c r="J175" s="53"/>
      <c r="K175" s="132"/>
      <c r="L175" s="126"/>
      <c r="M175" s="126"/>
      <c r="N175" s="70"/>
      <c r="O175" s="53"/>
      <c r="P175" s="53"/>
      <c r="Q175" s="53"/>
      <c r="R175" s="53"/>
      <c r="S175" s="53"/>
      <c r="T175" s="53"/>
    </row>
    <row r="177" spans="2:11" x14ac:dyDescent="0.3">
      <c r="C177" s="1018" t="s">
        <v>932</v>
      </c>
      <c r="D177" s="1018"/>
      <c r="E177" s="10"/>
      <c r="F177" s="11">
        <f>F184+F187+F185</f>
        <v>12.91</v>
      </c>
      <c r="G177" s="12" t="s">
        <v>971</v>
      </c>
    </row>
    <row r="179" spans="2:11" x14ac:dyDescent="0.3">
      <c r="C179" s="13" t="s">
        <v>929</v>
      </c>
      <c r="D179" s="14" t="s">
        <v>928</v>
      </c>
      <c r="E179" s="14" t="s">
        <v>514</v>
      </c>
      <c r="F179" s="14" t="s">
        <v>515</v>
      </c>
      <c r="G179" s="14" t="s">
        <v>962</v>
      </c>
      <c r="H179" s="14" t="s">
        <v>926</v>
      </c>
      <c r="I179" s="14" t="s">
        <v>516</v>
      </c>
      <c r="J179" s="14" t="s">
        <v>961</v>
      </c>
      <c r="K179" s="138"/>
    </row>
    <row r="180" spans="2:11" x14ac:dyDescent="0.3">
      <c r="C180" s="17" t="str">
        <f>C126</f>
        <v>Лікар-лаборант</v>
      </c>
      <c r="D180" s="16">
        <f>D126</f>
        <v>10799.43</v>
      </c>
      <c r="E180" s="16">
        <f>D180*12</f>
        <v>129593.16</v>
      </c>
      <c r="F180" s="16">
        <f>F126</f>
        <v>8307.26</v>
      </c>
      <c r="G180" s="16">
        <f>G126</f>
        <v>4153.63</v>
      </c>
      <c r="H180" s="16">
        <f>E180+F180+G180</f>
        <v>142054.05000000002</v>
      </c>
      <c r="I180" s="17">
        <v>1807.2</v>
      </c>
      <c r="J180" s="16">
        <f>ROUND((H180/I180)/60,2)</f>
        <v>1.31</v>
      </c>
      <c r="K180" s="140"/>
    </row>
    <row r="181" spans="2:11" x14ac:dyDescent="0.3">
      <c r="C181" s="17" t="str">
        <f>C127</f>
        <v>Лаборант клінічної лабораторії</v>
      </c>
      <c r="D181" s="16">
        <f>D127</f>
        <v>7871.18</v>
      </c>
      <c r="E181" s="16">
        <f>D181*12</f>
        <v>94454.16</v>
      </c>
      <c r="F181" s="16">
        <f>F127</f>
        <v>6054.75</v>
      </c>
      <c r="G181" s="16">
        <f>G127</f>
        <v>3027.375</v>
      </c>
      <c r="H181" s="16">
        <f>E181+F181+G181</f>
        <v>103536.285</v>
      </c>
      <c r="I181" s="17">
        <v>1807.2</v>
      </c>
      <c r="J181" s="16">
        <f>ROUND((H181/I181)/60,2)</f>
        <v>0.95</v>
      </c>
      <c r="K181" s="140"/>
    </row>
    <row r="183" spans="2:11" ht="27.6" x14ac:dyDescent="0.3">
      <c r="C183" s="13" t="s">
        <v>929</v>
      </c>
      <c r="D183" s="14" t="s">
        <v>961</v>
      </c>
      <c r="E183" s="14" t="s">
        <v>930</v>
      </c>
      <c r="F183" s="14" t="s">
        <v>931</v>
      </c>
    </row>
    <row r="184" spans="2:11" x14ac:dyDescent="0.3">
      <c r="C184" s="15" t="str">
        <f>C180</f>
        <v>Лікар-лаборант</v>
      </c>
      <c r="D184" s="16">
        <f>J180</f>
        <v>1.31</v>
      </c>
      <c r="E184" s="17">
        <v>3</v>
      </c>
      <c r="F184" s="18">
        <f>ROUND(D184*E184,2)</f>
        <v>3.93</v>
      </c>
    </row>
    <row r="185" spans="2:11" x14ac:dyDescent="0.3">
      <c r="C185" s="15" t="str">
        <f>C181</f>
        <v>Лаборант клінічної лабораторії</v>
      </c>
      <c r="D185" s="16">
        <f>J181</f>
        <v>0.95</v>
      </c>
      <c r="E185" s="17">
        <v>7</v>
      </c>
      <c r="F185" s="18">
        <f>ROUND(D185*E185,2)</f>
        <v>6.65</v>
      </c>
    </row>
    <row r="186" spans="2:11" x14ac:dyDescent="0.3">
      <c r="D186" s="19"/>
      <c r="E186" s="7" t="s">
        <v>1016</v>
      </c>
    </row>
    <row r="187" spans="2:11" x14ac:dyDescent="0.3">
      <c r="C187" s="17" t="s">
        <v>933</v>
      </c>
      <c r="D187" s="16">
        <f>F184+F185</f>
        <v>10.58</v>
      </c>
      <c r="E187" s="20">
        <v>0.22</v>
      </c>
      <c r="F187" s="21">
        <f>ROUND(D187*E187,2)</f>
        <v>2.33</v>
      </c>
    </row>
    <row r="189" spans="2:11" x14ac:dyDescent="0.3">
      <c r="C189" s="12" t="s">
        <v>946</v>
      </c>
      <c r="D189" s="12"/>
      <c r="E189" s="12"/>
      <c r="F189" s="12">
        <f>G203</f>
        <v>5.21</v>
      </c>
      <c r="G189" s="12" t="s">
        <v>971</v>
      </c>
    </row>
    <row r="190" spans="2:11" ht="9.75" customHeight="1" x14ac:dyDescent="0.3"/>
    <row r="191" spans="2:11" ht="27.6" x14ac:dyDescent="0.3">
      <c r="B191" s="82" t="s">
        <v>991</v>
      </c>
      <c r="C191" s="83" t="s">
        <v>986</v>
      </c>
      <c r="D191" s="83" t="s">
        <v>987</v>
      </c>
      <c r="E191" s="83" t="s">
        <v>988</v>
      </c>
      <c r="F191" s="83" t="s">
        <v>989</v>
      </c>
      <c r="G191" s="82" t="s">
        <v>990</v>
      </c>
    </row>
    <row r="192" spans="2:11" x14ac:dyDescent="0.3">
      <c r="B192" s="84">
        <v>1</v>
      </c>
      <c r="C192" s="85" t="s">
        <v>1031</v>
      </c>
      <c r="D192" s="86" t="s">
        <v>941</v>
      </c>
      <c r="E192" s="87">
        <f>'МЕДИЧНІ М'!E14</f>
        <v>92</v>
      </c>
      <c r="F192" s="86">
        <v>200</v>
      </c>
      <c r="G192" s="88">
        <f>ROUND(E192/F192,2)</f>
        <v>0.46</v>
      </c>
    </row>
    <row r="193" spans="2:9" x14ac:dyDescent="0.3">
      <c r="B193" s="73">
        <f>B192+1</f>
        <v>2</v>
      </c>
      <c r="C193" s="85" t="s">
        <v>1018</v>
      </c>
      <c r="D193" s="86" t="s">
        <v>941</v>
      </c>
      <c r="E193" s="87">
        <f>'МЕДИЧНІ М'!E75</f>
        <v>11</v>
      </c>
      <c r="F193" s="86">
        <v>1000</v>
      </c>
      <c r="G193" s="88">
        <f>ROUND(E193/F193,2)</f>
        <v>0.01</v>
      </c>
    </row>
    <row r="194" spans="2:9" x14ac:dyDescent="0.3">
      <c r="B194" s="73">
        <f t="shared" ref="B194:B202" si="5">B193+1</f>
        <v>3</v>
      </c>
      <c r="C194" s="79" t="s">
        <v>934</v>
      </c>
      <c r="D194" s="76" t="s">
        <v>941</v>
      </c>
      <c r="E194" s="76">
        <f>'МЕДИЧНІ М'!E59</f>
        <v>2.8</v>
      </c>
      <c r="F194" s="86">
        <v>10</v>
      </c>
      <c r="G194" s="88">
        <f>ROUND(E194/F194,2)</f>
        <v>0.28000000000000003</v>
      </c>
    </row>
    <row r="195" spans="2:9" x14ac:dyDescent="0.3">
      <c r="B195" s="73">
        <f t="shared" si="5"/>
        <v>4</v>
      </c>
      <c r="C195" s="79" t="s">
        <v>981</v>
      </c>
      <c r="D195" s="76" t="s">
        <v>941</v>
      </c>
      <c r="E195" s="76">
        <f>'МЕДИЧНІ М'!E49</f>
        <v>0.6</v>
      </c>
      <c r="F195" s="77">
        <v>1</v>
      </c>
      <c r="G195" s="88">
        <f>ROUND(E195*F195,2)</f>
        <v>0.6</v>
      </c>
    </row>
    <row r="196" spans="2:9" x14ac:dyDescent="0.3">
      <c r="B196" s="73">
        <f t="shared" si="5"/>
        <v>5</v>
      </c>
      <c r="C196" s="79" t="s">
        <v>984</v>
      </c>
      <c r="D196" s="76" t="s">
        <v>941</v>
      </c>
      <c r="E196" s="76">
        <f>'МЕДИЧНІ М'!E64</f>
        <v>36</v>
      </c>
      <c r="F196" s="77">
        <v>1000</v>
      </c>
      <c r="G196" s="88">
        <f>ROUND(E196/F196,2)</f>
        <v>0.04</v>
      </c>
    </row>
    <row r="197" spans="2:9" x14ac:dyDescent="0.3">
      <c r="B197" s="73">
        <f t="shared" si="5"/>
        <v>6</v>
      </c>
      <c r="C197" s="79" t="s">
        <v>985</v>
      </c>
      <c r="D197" s="76" t="s">
        <v>937</v>
      </c>
      <c r="E197" s="76">
        <f>'МЕДИЧНІ М'!F39</f>
        <v>0.3</v>
      </c>
      <c r="F197" s="77">
        <v>1</v>
      </c>
      <c r="G197" s="78">
        <f>ROUND(E197/F197,2)</f>
        <v>0.3</v>
      </c>
    </row>
    <row r="198" spans="2:9" x14ac:dyDescent="0.3">
      <c r="B198" s="73">
        <f t="shared" si="5"/>
        <v>7</v>
      </c>
      <c r="C198" s="79" t="s">
        <v>1049</v>
      </c>
      <c r="D198" s="75" t="s">
        <v>941</v>
      </c>
      <c r="E198" s="75">
        <f>'МЕДИЧНІ М'!E47</f>
        <v>7</v>
      </c>
      <c r="F198" s="86">
        <v>500</v>
      </c>
      <c r="G198" s="88">
        <f>ROUND(E198/F198,2)</f>
        <v>0.01</v>
      </c>
    </row>
    <row r="199" spans="2:9" x14ac:dyDescent="0.3">
      <c r="B199" s="73">
        <f t="shared" si="5"/>
        <v>8</v>
      </c>
      <c r="C199" s="27" t="s">
        <v>940</v>
      </c>
      <c r="D199" s="28" t="s">
        <v>941</v>
      </c>
      <c r="E199" s="81">
        <f>'МЕДИЧНІ М'!E37</f>
        <v>2</v>
      </c>
      <c r="F199" s="28">
        <v>1.5</v>
      </c>
      <c r="G199" s="28">
        <f>ROUND(E199*F199,2)</f>
        <v>3</v>
      </c>
    </row>
    <row r="200" spans="2:9" x14ac:dyDescent="0.3">
      <c r="B200" s="73">
        <f t="shared" si="5"/>
        <v>9</v>
      </c>
      <c r="C200" s="27" t="s">
        <v>943</v>
      </c>
      <c r="D200" s="28" t="s">
        <v>944</v>
      </c>
      <c r="E200" s="81">
        <f>'МЕДИЧНІ М'!F21</f>
        <v>7.0000000000000007E-2</v>
      </c>
      <c r="F200" s="28">
        <v>0.14000000000000001</v>
      </c>
      <c r="G200" s="28">
        <f>ROUND(E200*F200,2)</f>
        <v>0.01</v>
      </c>
    </row>
    <row r="201" spans="2:9" x14ac:dyDescent="0.3">
      <c r="B201" s="73">
        <f t="shared" si="5"/>
        <v>10</v>
      </c>
      <c r="C201" s="27" t="s">
        <v>942</v>
      </c>
      <c r="D201" s="75" t="s">
        <v>974</v>
      </c>
      <c r="E201" s="76">
        <f>'МЕДИЧНІ М'!E65</f>
        <v>24.6</v>
      </c>
      <c r="F201" s="77">
        <v>100</v>
      </c>
      <c r="G201" s="78">
        <f>ROUND(E201/F201,2)</f>
        <v>0.25</v>
      </c>
    </row>
    <row r="202" spans="2:9" x14ac:dyDescent="0.3">
      <c r="B202" s="73">
        <f t="shared" si="5"/>
        <v>11</v>
      </c>
      <c r="C202" s="27" t="s">
        <v>1124</v>
      </c>
      <c r="D202" s="28" t="s">
        <v>944</v>
      </c>
      <c r="E202" s="81">
        <f>'МЕДИЧНІ М'!E24</f>
        <v>0.5</v>
      </c>
      <c r="F202" s="81">
        <v>0.5</v>
      </c>
      <c r="G202" s="28">
        <f>ROUND(E202*F202,2)</f>
        <v>0.25</v>
      </c>
    </row>
    <row r="203" spans="2:9" x14ac:dyDescent="0.3">
      <c r="B203" s="1012" t="s">
        <v>945</v>
      </c>
      <c r="C203" s="1013"/>
      <c r="D203" s="1013"/>
      <c r="E203" s="1013"/>
      <c r="F203" s="1014"/>
      <c r="G203" s="89">
        <f>SUM(G192:G202)</f>
        <v>5.21</v>
      </c>
    </row>
    <row r="205" spans="2:9" x14ac:dyDescent="0.3">
      <c r="C205" s="12" t="s">
        <v>968</v>
      </c>
      <c r="D205" s="12"/>
      <c r="E205" s="12"/>
      <c r="F205" s="11">
        <f>H208</f>
        <v>0.4</v>
      </c>
      <c r="G205" s="12" t="s">
        <v>971</v>
      </c>
    </row>
    <row r="206" spans="2:9" x14ac:dyDescent="0.3">
      <c r="C206" s="22"/>
      <c r="D206" s="22"/>
      <c r="E206" s="22"/>
      <c r="F206" s="23"/>
      <c r="G206" s="22"/>
    </row>
    <row r="207" spans="2:9" ht="27.6" x14ac:dyDescent="0.3">
      <c r="C207" s="14" t="s">
        <v>513</v>
      </c>
      <c r="D207" s="14" t="s">
        <v>1108</v>
      </c>
      <c r="E207" s="14" t="s">
        <v>516</v>
      </c>
      <c r="F207" s="14" t="s">
        <v>970</v>
      </c>
      <c r="G207" s="14" t="s">
        <v>930</v>
      </c>
      <c r="H207" s="14" t="s">
        <v>961</v>
      </c>
    </row>
    <row r="208" spans="2:9" x14ac:dyDescent="0.3">
      <c r="C208" s="27" t="s">
        <v>1090</v>
      </c>
      <c r="D208" s="17">
        <f>АМОРТИЗАЦІЯ!C5</f>
        <v>34445.759999999995</v>
      </c>
      <c r="E208" s="17">
        <v>13679.5</v>
      </c>
      <c r="F208" s="17">
        <f>ROUND((D208/E208)/60,2)</f>
        <v>0.04</v>
      </c>
      <c r="G208" s="17">
        <f>E184+E185</f>
        <v>10</v>
      </c>
      <c r="H208" s="16">
        <f>ROUND(F208*G208,2)</f>
        <v>0.4</v>
      </c>
      <c r="I208" s="38"/>
    </row>
    <row r="210" spans="3:8" x14ac:dyDescent="0.3">
      <c r="C210" s="12" t="s">
        <v>948</v>
      </c>
      <c r="D210" s="12"/>
      <c r="E210" s="12"/>
      <c r="F210" s="11">
        <f>H223</f>
        <v>1.3000000000000003</v>
      </c>
      <c r="G210" s="12" t="s">
        <v>971</v>
      </c>
    </row>
    <row r="211" spans="3:8" x14ac:dyDescent="0.3">
      <c r="C211" s="22"/>
      <c r="D211" s="22"/>
      <c r="E211" s="22"/>
      <c r="F211" s="23"/>
    </row>
    <row r="212" spans="3:8" ht="27.6" x14ac:dyDescent="0.3">
      <c r="C212" s="14" t="s">
        <v>948</v>
      </c>
      <c r="D212" s="14" t="s">
        <v>1110</v>
      </c>
      <c r="E212" s="14" t="s">
        <v>516</v>
      </c>
      <c r="F212" s="14" t="s">
        <v>954</v>
      </c>
      <c r="G212" s="14" t="s">
        <v>930</v>
      </c>
      <c r="H212" s="14" t="s">
        <v>1111</v>
      </c>
    </row>
    <row r="213" spans="3:8" x14ac:dyDescent="0.3">
      <c r="C213" s="1009" t="str">
        <f>C180</f>
        <v>Лікар-лаборант</v>
      </c>
      <c r="D213" s="1010"/>
      <c r="E213" s="1010"/>
      <c r="F213" s="1010"/>
      <c r="G213" s="1010"/>
      <c r="H213" s="1011"/>
    </row>
    <row r="214" spans="3:8" x14ac:dyDescent="0.3">
      <c r="C214" s="17" t="s">
        <v>951</v>
      </c>
      <c r="D214" s="112">
        <f>D158</f>
        <v>12188.608008565312</v>
      </c>
      <c r="E214" s="17">
        <f>I180</f>
        <v>1807.2</v>
      </c>
      <c r="F214" s="17">
        <f>ROUND((D214/E214)/60,2)</f>
        <v>0.11</v>
      </c>
      <c r="G214" s="17">
        <f>E184</f>
        <v>3</v>
      </c>
      <c r="H214" s="16">
        <f>ROUND(F214*G214,2)</f>
        <v>0.33</v>
      </c>
    </row>
    <row r="215" spans="3:8" x14ac:dyDescent="0.3">
      <c r="C215" s="17" t="s">
        <v>952</v>
      </c>
      <c r="D215" s="112">
        <f>D159</f>
        <v>53.149721627408987</v>
      </c>
      <c r="E215" s="17">
        <f>I180</f>
        <v>1807.2</v>
      </c>
      <c r="F215" s="17">
        <f>ROUND((D215/E215)/60,2)</f>
        <v>0</v>
      </c>
      <c r="G215" s="17">
        <f>E184</f>
        <v>3</v>
      </c>
      <c r="H215" s="16">
        <f>ROUND(F215*G215,2)</f>
        <v>0</v>
      </c>
    </row>
    <row r="216" spans="3:8" x14ac:dyDescent="0.3">
      <c r="C216" s="17" t="s">
        <v>953</v>
      </c>
      <c r="D216" s="112">
        <f>D160</f>
        <v>374.98368308351178</v>
      </c>
      <c r="E216" s="17">
        <f>I180</f>
        <v>1807.2</v>
      </c>
      <c r="F216" s="17">
        <f>ROUND((D216/E216)/60,2)</f>
        <v>0</v>
      </c>
      <c r="G216" s="17">
        <f>E184</f>
        <v>3</v>
      </c>
      <c r="H216" s="16">
        <f>ROUND(F216*G216,2)</f>
        <v>0</v>
      </c>
    </row>
    <row r="217" spans="3:8" x14ac:dyDescent="0.3">
      <c r="C217" s="17" t="s">
        <v>1109</v>
      </c>
      <c r="D217" s="112">
        <f>D161</f>
        <v>1686.0389293361886</v>
      </c>
      <c r="E217" s="17">
        <f>I180</f>
        <v>1807.2</v>
      </c>
      <c r="F217" s="17">
        <f>ROUND((D217/E217)/60,2)</f>
        <v>0.02</v>
      </c>
      <c r="G217" s="17">
        <f>E184</f>
        <v>3</v>
      </c>
      <c r="H217" s="16">
        <f>ROUND(F217*G217,2)</f>
        <v>0.06</v>
      </c>
    </row>
    <row r="218" spans="3:8" x14ac:dyDescent="0.3">
      <c r="C218" s="1009" t="str">
        <f>C181</f>
        <v>Лаборант клінічної лабораторії</v>
      </c>
      <c r="D218" s="1010"/>
      <c r="E218" s="1010"/>
      <c r="F218" s="1010"/>
      <c r="G218" s="1010"/>
      <c r="H218" s="1011"/>
    </row>
    <row r="219" spans="3:8" x14ac:dyDescent="0.3">
      <c r="C219" s="17" t="s">
        <v>951</v>
      </c>
      <c r="D219" s="112">
        <f>D163</f>
        <v>12188.608008565312</v>
      </c>
      <c r="E219" s="17">
        <f>I181</f>
        <v>1807.2</v>
      </c>
      <c r="F219" s="17">
        <f>ROUND((D219/E219)/60,2)</f>
        <v>0.11</v>
      </c>
      <c r="G219" s="17">
        <f>E185</f>
        <v>7</v>
      </c>
      <c r="H219" s="16">
        <f>ROUND(F219*G219,2)</f>
        <v>0.77</v>
      </c>
    </row>
    <row r="220" spans="3:8" x14ac:dyDescent="0.3">
      <c r="C220" s="17" t="s">
        <v>952</v>
      </c>
      <c r="D220" s="112">
        <f>D164</f>
        <v>53.149721627408987</v>
      </c>
      <c r="E220" s="17">
        <f>I181</f>
        <v>1807.2</v>
      </c>
      <c r="F220" s="17">
        <f>ROUND((D220/E220)/60,2)</f>
        <v>0</v>
      </c>
      <c r="G220" s="17">
        <f>E185</f>
        <v>7</v>
      </c>
      <c r="H220" s="16">
        <f>ROUND(F220*G220,2)</f>
        <v>0</v>
      </c>
    </row>
    <row r="221" spans="3:8" x14ac:dyDescent="0.3">
      <c r="C221" s="17" t="s">
        <v>953</v>
      </c>
      <c r="D221" s="112">
        <f>D165</f>
        <v>374.98368308351178</v>
      </c>
      <c r="E221" s="17">
        <f>I181</f>
        <v>1807.2</v>
      </c>
      <c r="F221" s="17">
        <f>ROUND((D221/E221)/60,2)</f>
        <v>0</v>
      </c>
      <c r="G221" s="17">
        <f>E185</f>
        <v>7</v>
      </c>
      <c r="H221" s="16">
        <f>ROUND(F221*G221,2)</f>
        <v>0</v>
      </c>
    </row>
    <row r="222" spans="3:8" x14ac:dyDescent="0.3">
      <c r="C222" s="17" t="s">
        <v>1109</v>
      </c>
      <c r="D222" s="112">
        <f>D166</f>
        <v>1686.0389293361886</v>
      </c>
      <c r="E222" s="17">
        <f>I181</f>
        <v>1807.2</v>
      </c>
      <c r="F222" s="17">
        <f>ROUND((D222/E222)/60,2)</f>
        <v>0.02</v>
      </c>
      <c r="G222" s="17">
        <f>E185</f>
        <v>7</v>
      </c>
      <c r="H222" s="16">
        <f>ROUND(F222*G222,2)</f>
        <v>0.14000000000000001</v>
      </c>
    </row>
    <row r="223" spans="3:8" x14ac:dyDescent="0.3">
      <c r="C223" s="1012" t="s">
        <v>957</v>
      </c>
      <c r="D223" s="1013"/>
      <c r="E223" s="1013"/>
      <c r="F223" s="1013"/>
      <c r="G223" s="1014"/>
      <c r="H223" s="18">
        <f>SUM(H214:H222)</f>
        <v>1.3000000000000003</v>
      </c>
    </row>
    <row r="224" spans="3:8" ht="8.25" customHeight="1" x14ac:dyDescent="0.3"/>
    <row r="225" spans="1:20" x14ac:dyDescent="0.3">
      <c r="C225" s="1015" t="s">
        <v>959</v>
      </c>
      <c r="D225" s="1015"/>
      <c r="E225" s="1015"/>
      <c r="F225" s="1015"/>
      <c r="G225" s="1015"/>
      <c r="H225" s="32">
        <f>F177+F189+F210+F205</f>
        <v>19.82</v>
      </c>
    </row>
    <row r="226" spans="1:20" ht="11.25" customHeight="1" x14ac:dyDescent="0.3">
      <c r="C226" s="33"/>
      <c r="D226" s="33"/>
      <c r="E226" s="33"/>
      <c r="F226" s="33"/>
      <c r="G226" s="33"/>
      <c r="H226" s="34"/>
    </row>
    <row r="227" spans="1:20" x14ac:dyDescent="0.3">
      <c r="C227" s="1015" t="s">
        <v>960</v>
      </c>
      <c r="D227" s="1015"/>
      <c r="E227" s="1015"/>
      <c r="F227" s="1015"/>
      <c r="G227" s="1015"/>
      <c r="H227" s="32">
        <f>ROUND(H225,0)</f>
        <v>20</v>
      </c>
    </row>
    <row r="229" spans="1:20" s="54" customFormat="1" ht="19.8" x14ac:dyDescent="0.4">
      <c r="A229" s="53"/>
      <c r="B229" s="1016" t="s">
        <v>958</v>
      </c>
      <c r="C229" s="1016"/>
      <c r="D229" s="1016"/>
      <c r="E229" s="1016"/>
      <c r="F229" s="1016"/>
      <c r="G229" s="1016"/>
      <c r="H229" s="1016"/>
      <c r="I229" s="1016"/>
      <c r="J229" s="1016"/>
      <c r="K229" s="137"/>
      <c r="L229" s="126"/>
      <c r="M229" s="126"/>
      <c r="N229" s="70"/>
      <c r="O229" s="53"/>
      <c r="P229" s="53"/>
      <c r="Q229" s="53"/>
      <c r="R229" s="53"/>
      <c r="S229" s="53"/>
      <c r="T229" s="53"/>
    </row>
    <row r="230" spans="1:20" s="54" customFormat="1" ht="19.8" x14ac:dyDescent="0.4">
      <c r="A230" s="53"/>
      <c r="B230" s="53"/>
      <c r="C230" s="53"/>
      <c r="D230" s="53"/>
      <c r="E230" s="53"/>
      <c r="F230" s="53"/>
      <c r="G230" s="53"/>
      <c r="H230" s="53"/>
      <c r="I230" s="53"/>
      <c r="J230" s="53"/>
      <c r="K230" s="132"/>
      <c r="L230" s="126"/>
      <c r="M230" s="126"/>
      <c r="N230" s="70"/>
      <c r="O230" s="53"/>
      <c r="P230" s="53"/>
      <c r="Q230" s="53"/>
      <c r="R230" s="53"/>
      <c r="S230" s="53"/>
      <c r="T230" s="53"/>
    </row>
    <row r="231" spans="1:20" s="54" customFormat="1" ht="19.8" x14ac:dyDescent="0.4">
      <c r="A231" s="53"/>
      <c r="B231" s="50" t="s">
        <v>737</v>
      </c>
      <c r="C231" s="1017" t="s">
        <v>738</v>
      </c>
      <c r="D231" s="1017"/>
      <c r="E231" s="1017"/>
      <c r="F231" s="52">
        <f>H281</f>
        <v>16</v>
      </c>
      <c r="G231" s="52" t="s">
        <v>971</v>
      </c>
      <c r="H231" s="53"/>
      <c r="I231" s="53"/>
      <c r="J231" s="53"/>
      <c r="K231" s="132"/>
      <c r="L231" s="126"/>
      <c r="M231" s="126"/>
      <c r="N231" s="70"/>
      <c r="O231" s="53"/>
      <c r="P231" s="53"/>
      <c r="Q231" s="53"/>
      <c r="R231" s="53"/>
      <c r="S231" s="53"/>
      <c r="T231" s="53"/>
    </row>
    <row r="233" spans="1:20" x14ac:dyDescent="0.3">
      <c r="C233" s="1018" t="s">
        <v>932</v>
      </c>
      <c r="D233" s="1018"/>
      <c r="E233" s="10"/>
      <c r="F233" s="11">
        <f>F240+F243+F241</f>
        <v>10.59</v>
      </c>
      <c r="G233" s="12" t="s">
        <v>971</v>
      </c>
    </row>
    <row r="235" spans="1:20" x14ac:dyDescent="0.3">
      <c r="C235" s="13" t="s">
        <v>929</v>
      </c>
      <c r="D235" s="14" t="s">
        <v>928</v>
      </c>
      <c r="E235" s="14" t="s">
        <v>514</v>
      </c>
      <c r="F235" s="14" t="s">
        <v>515</v>
      </c>
      <c r="G235" s="14" t="s">
        <v>962</v>
      </c>
      <c r="H235" s="14" t="s">
        <v>926</v>
      </c>
      <c r="I235" s="14" t="s">
        <v>516</v>
      </c>
      <c r="J235" s="14" t="s">
        <v>961</v>
      </c>
      <c r="K235" s="138"/>
    </row>
    <row r="236" spans="1:20" x14ac:dyDescent="0.3">
      <c r="C236" s="17" t="str">
        <f>C180</f>
        <v>Лікар-лаборант</v>
      </c>
      <c r="D236" s="16">
        <f>D180</f>
        <v>10799.43</v>
      </c>
      <c r="E236" s="16">
        <f>D236*12</f>
        <v>129593.16</v>
      </c>
      <c r="F236" s="16">
        <f>F180</f>
        <v>8307.26</v>
      </c>
      <c r="G236" s="16">
        <f>G180</f>
        <v>4153.63</v>
      </c>
      <c r="H236" s="16">
        <f>E236+F236+G236</f>
        <v>142054.05000000002</v>
      </c>
      <c r="I236" s="17">
        <v>1807.2</v>
      </c>
      <c r="J236" s="16">
        <f>ROUND((H236/I236)/60,2)</f>
        <v>1.31</v>
      </c>
      <c r="K236" s="140"/>
    </row>
    <row r="237" spans="1:20" x14ac:dyDescent="0.3">
      <c r="C237" s="17" t="str">
        <f>C181</f>
        <v>Лаборант клінічної лабораторії</v>
      </c>
      <c r="D237" s="16">
        <f>D181</f>
        <v>7871.18</v>
      </c>
      <c r="E237" s="16">
        <f>D237*12</f>
        <v>94454.16</v>
      </c>
      <c r="F237" s="16">
        <f>F181</f>
        <v>6054.75</v>
      </c>
      <c r="G237" s="16">
        <f>G181</f>
        <v>3027.375</v>
      </c>
      <c r="H237" s="16">
        <f>E237+F237+G237</f>
        <v>103536.285</v>
      </c>
      <c r="I237" s="17">
        <v>1807.2</v>
      </c>
      <c r="J237" s="16">
        <f>ROUND((H237/I237)/60,2)</f>
        <v>0.95</v>
      </c>
      <c r="K237" s="140"/>
    </row>
    <row r="239" spans="1:20" ht="27.6" x14ac:dyDescent="0.3">
      <c r="C239" s="13" t="s">
        <v>929</v>
      </c>
      <c r="D239" s="14" t="s">
        <v>961</v>
      </c>
      <c r="E239" s="14" t="s">
        <v>930</v>
      </c>
      <c r="F239" s="14" t="s">
        <v>931</v>
      </c>
    </row>
    <row r="240" spans="1:20" x14ac:dyDescent="0.3">
      <c r="C240" s="15" t="str">
        <f>C236</f>
        <v>Лікар-лаборант</v>
      </c>
      <c r="D240" s="16">
        <f>J236</f>
        <v>1.31</v>
      </c>
      <c r="E240" s="17">
        <v>3</v>
      </c>
      <c r="F240" s="18">
        <f>ROUND(D240*E240,2)</f>
        <v>3.93</v>
      </c>
    </row>
    <row r="241" spans="2:7" x14ac:dyDescent="0.3">
      <c r="C241" s="15" t="str">
        <f>C237</f>
        <v>Лаборант клінічної лабораторії</v>
      </c>
      <c r="D241" s="16">
        <f>J237</f>
        <v>0.95</v>
      </c>
      <c r="E241" s="17">
        <v>5</v>
      </c>
      <c r="F241" s="18">
        <f>ROUND(D241*E241,2)</f>
        <v>4.75</v>
      </c>
    </row>
    <row r="242" spans="2:7" x14ac:dyDescent="0.3">
      <c r="D242" s="19"/>
      <c r="E242" s="7" t="s">
        <v>1016</v>
      </c>
    </row>
    <row r="243" spans="2:7" x14ac:dyDescent="0.3">
      <c r="C243" s="17" t="s">
        <v>933</v>
      </c>
      <c r="D243" s="16">
        <f>F240+F241</f>
        <v>8.68</v>
      </c>
      <c r="E243" s="20">
        <v>0.22</v>
      </c>
      <c r="F243" s="21">
        <f>ROUND(D243*E243,2)</f>
        <v>1.91</v>
      </c>
    </row>
    <row r="245" spans="2:7" x14ac:dyDescent="0.3">
      <c r="C245" s="12" t="s">
        <v>946</v>
      </c>
      <c r="D245" s="12"/>
      <c r="E245" s="12"/>
      <c r="F245" s="12">
        <f>G257</f>
        <v>4.1500000000000004</v>
      </c>
      <c r="G245" s="12" t="s">
        <v>971</v>
      </c>
    </row>
    <row r="247" spans="2:7" ht="27.6" x14ac:dyDescent="0.3">
      <c r="B247" s="82" t="s">
        <v>991</v>
      </c>
      <c r="C247" s="83" t="s">
        <v>986</v>
      </c>
      <c r="D247" s="83" t="s">
        <v>987</v>
      </c>
      <c r="E247" s="83" t="s">
        <v>988</v>
      </c>
      <c r="F247" s="83" t="s">
        <v>989</v>
      </c>
      <c r="G247" s="82" t="s">
        <v>990</v>
      </c>
    </row>
    <row r="248" spans="2:7" x14ac:dyDescent="0.3">
      <c r="B248" s="84">
        <v>1</v>
      </c>
      <c r="C248" s="85" t="s">
        <v>1018</v>
      </c>
      <c r="D248" s="86" t="s">
        <v>941</v>
      </c>
      <c r="E248" s="87">
        <f>'МЕДИЧНІ М'!E75</f>
        <v>11</v>
      </c>
      <c r="F248" s="86">
        <v>1000</v>
      </c>
      <c r="G248" s="88">
        <f>ROUND(E248/F248,2)</f>
        <v>0.01</v>
      </c>
    </row>
    <row r="249" spans="2:7" x14ac:dyDescent="0.3">
      <c r="B249" s="73">
        <f>B248+1</f>
        <v>2</v>
      </c>
      <c r="C249" s="79" t="s">
        <v>934</v>
      </c>
      <c r="D249" s="76" t="s">
        <v>941</v>
      </c>
      <c r="E249" s="76">
        <f>'МЕДИЧНІ М'!E59</f>
        <v>2.8</v>
      </c>
      <c r="F249" s="86">
        <v>10</v>
      </c>
      <c r="G249" s="88">
        <f>ROUND(E249/F249,2)</f>
        <v>0.28000000000000003</v>
      </c>
    </row>
    <row r="250" spans="2:7" x14ac:dyDescent="0.3">
      <c r="B250" s="73">
        <f t="shared" ref="B250:B256" si="6">B249+1</f>
        <v>3</v>
      </c>
      <c r="C250" s="79" t="s">
        <v>984</v>
      </c>
      <c r="D250" s="76" t="s">
        <v>941</v>
      </c>
      <c r="E250" s="76">
        <f>'МЕДИЧНІ М'!E64</f>
        <v>36</v>
      </c>
      <c r="F250" s="77">
        <v>1000</v>
      </c>
      <c r="G250" s="88">
        <f>ROUND(E250/F250,2)</f>
        <v>0.04</v>
      </c>
    </row>
    <row r="251" spans="2:7" x14ac:dyDescent="0.3">
      <c r="B251" s="73">
        <f t="shared" si="6"/>
        <v>4</v>
      </c>
      <c r="C251" s="79" t="s">
        <v>985</v>
      </c>
      <c r="D251" s="76" t="s">
        <v>937</v>
      </c>
      <c r="E251" s="76">
        <f>'МЕДИЧНІ М'!F39</f>
        <v>0.3</v>
      </c>
      <c r="F251" s="77">
        <v>1</v>
      </c>
      <c r="G251" s="78">
        <f>ROUND(E251/F251,2)</f>
        <v>0.3</v>
      </c>
    </row>
    <row r="252" spans="2:7" x14ac:dyDescent="0.3">
      <c r="B252" s="73">
        <f t="shared" si="6"/>
        <v>5</v>
      </c>
      <c r="C252" s="79" t="s">
        <v>1049</v>
      </c>
      <c r="D252" s="75" t="s">
        <v>941</v>
      </c>
      <c r="E252" s="75">
        <f>'МЕДИЧНІ М'!E47</f>
        <v>7</v>
      </c>
      <c r="F252" s="86">
        <v>500</v>
      </c>
      <c r="G252" s="88">
        <f>ROUND(E252/F252,2)</f>
        <v>0.01</v>
      </c>
    </row>
    <row r="253" spans="2:7" x14ac:dyDescent="0.3">
      <c r="B253" s="73">
        <f t="shared" si="6"/>
        <v>6</v>
      </c>
      <c r="C253" s="27" t="s">
        <v>940</v>
      </c>
      <c r="D253" s="28" t="s">
        <v>941</v>
      </c>
      <c r="E253" s="81">
        <f>'МЕДИЧНІ М'!E37</f>
        <v>2</v>
      </c>
      <c r="F253" s="28">
        <v>1.5</v>
      </c>
      <c r="G253" s="28">
        <f>ROUND(E253*F253,2)</f>
        <v>3</v>
      </c>
    </row>
    <row r="254" spans="2:7" x14ac:dyDescent="0.3">
      <c r="B254" s="73">
        <f t="shared" si="6"/>
        <v>7</v>
      </c>
      <c r="C254" s="27" t="s">
        <v>943</v>
      </c>
      <c r="D254" s="28" t="s">
        <v>944</v>
      </c>
      <c r="E254" s="81">
        <f>'МЕДИЧНІ М'!F21</f>
        <v>7.0000000000000007E-2</v>
      </c>
      <c r="F254" s="28">
        <v>0.14000000000000001</v>
      </c>
      <c r="G254" s="28">
        <f>ROUND(E254*F254,2)</f>
        <v>0.01</v>
      </c>
    </row>
    <row r="255" spans="2:7" x14ac:dyDescent="0.3">
      <c r="B255" s="73">
        <f t="shared" si="6"/>
        <v>8</v>
      </c>
      <c r="C255" s="27" t="s">
        <v>942</v>
      </c>
      <c r="D255" s="75" t="s">
        <v>974</v>
      </c>
      <c r="E255" s="76">
        <f>'МЕДИЧНІ М'!E65</f>
        <v>24.6</v>
      </c>
      <c r="F255" s="77">
        <v>100</v>
      </c>
      <c r="G255" s="78">
        <f>ROUND(E255/F255,2)</f>
        <v>0.25</v>
      </c>
    </row>
    <row r="256" spans="2:7" x14ac:dyDescent="0.3">
      <c r="B256" s="73">
        <f t="shared" si="6"/>
        <v>9</v>
      </c>
      <c r="C256" s="27" t="s">
        <v>1124</v>
      </c>
      <c r="D256" s="28" t="s">
        <v>944</v>
      </c>
      <c r="E256" s="81">
        <f>'МЕДИЧНІ М'!E24</f>
        <v>0.5</v>
      </c>
      <c r="F256" s="81">
        <v>0.5</v>
      </c>
      <c r="G256" s="28">
        <f>ROUND(E256*F256,2)</f>
        <v>0.25</v>
      </c>
    </row>
    <row r="257" spans="2:9" x14ac:dyDescent="0.3">
      <c r="B257" s="1012" t="s">
        <v>945</v>
      </c>
      <c r="C257" s="1013"/>
      <c r="D257" s="1013"/>
      <c r="E257" s="1013"/>
      <c r="F257" s="1014"/>
      <c r="G257" s="89">
        <f>SUM(G248:G256)</f>
        <v>4.1500000000000004</v>
      </c>
    </row>
    <row r="259" spans="2:9" x14ac:dyDescent="0.3">
      <c r="C259" s="12" t="s">
        <v>968</v>
      </c>
      <c r="D259" s="12"/>
      <c r="E259" s="12"/>
      <c r="F259" s="11">
        <f>H262</f>
        <v>0.32</v>
      </c>
      <c r="G259" s="12" t="s">
        <v>971</v>
      </c>
    </row>
    <row r="260" spans="2:9" x14ac:dyDescent="0.3">
      <c r="C260" s="22"/>
      <c r="D260" s="22"/>
      <c r="E260" s="22"/>
      <c r="F260" s="23"/>
      <c r="G260" s="22"/>
    </row>
    <row r="261" spans="2:9" ht="27.6" x14ac:dyDescent="0.3">
      <c r="C261" s="14" t="s">
        <v>513</v>
      </c>
      <c r="D261" s="14" t="s">
        <v>1108</v>
      </c>
      <c r="E261" s="14" t="s">
        <v>516</v>
      </c>
      <c r="F261" s="14" t="s">
        <v>970</v>
      </c>
      <c r="G261" s="14" t="s">
        <v>930</v>
      </c>
      <c r="H261" s="14" t="s">
        <v>961</v>
      </c>
    </row>
    <row r="262" spans="2:9" x14ac:dyDescent="0.3">
      <c r="C262" s="27" t="s">
        <v>1090</v>
      </c>
      <c r="D262" s="17">
        <f>АМОРТИЗАЦІЯ!C5</f>
        <v>34445.759999999995</v>
      </c>
      <c r="E262" s="17">
        <v>13679.5</v>
      </c>
      <c r="F262" s="17">
        <f>ROUND((D262/E262)/60,2)</f>
        <v>0.04</v>
      </c>
      <c r="G262" s="17">
        <f>E240+E241</f>
        <v>8</v>
      </c>
      <c r="H262" s="16">
        <f>ROUND(F262*G262,2)</f>
        <v>0.32</v>
      </c>
      <c r="I262" s="38"/>
    </row>
    <row r="264" spans="2:9" x14ac:dyDescent="0.3">
      <c r="C264" s="12" t="s">
        <v>948</v>
      </c>
      <c r="D264" s="12"/>
      <c r="E264" s="12"/>
      <c r="F264" s="11">
        <f>H277</f>
        <v>1.04</v>
      </c>
      <c r="G264" s="12" t="s">
        <v>971</v>
      </c>
    </row>
    <row r="265" spans="2:9" x14ac:dyDescent="0.3">
      <c r="C265" s="22"/>
      <c r="D265" s="22"/>
      <c r="E265" s="22"/>
      <c r="F265" s="23"/>
    </row>
    <row r="266" spans="2:9" ht="27.6" x14ac:dyDescent="0.3">
      <c r="C266" s="14" t="s">
        <v>948</v>
      </c>
      <c r="D266" s="14" t="s">
        <v>1110</v>
      </c>
      <c r="E266" s="14" t="s">
        <v>516</v>
      </c>
      <c r="F266" s="14" t="s">
        <v>954</v>
      </c>
      <c r="G266" s="14" t="s">
        <v>930</v>
      </c>
      <c r="H266" s="14" t="s">
        <v>1111</v>
      </c>
    </row>
    <row r="267" spans="2:9" x14ac:dyDescent="0.3">
      <c r="C267" s="1009" t="str">
        <f>C236</f>
        <v>Лікар-лаборант</v>
      </c>
      <c r="D267" s="1010"/>
      <c r="E267" s="1010"/>
      <c r="F267" s="1010"/>
      <c r="G267" s="1010"/>
      <c r="H267" s="1011"/>
    </row>
    <row r="268" spans="2:9" x14ac:dyDescent="0.3">
      <c r="C268" s="17" t="s">
        <v>951</v>
      </c>
      <c r="D268" s="112">
        <f>D214</f>
        <v>12188.608008565312</v>
      </c>
      <c r="E268" s="17">
        <f>I236</f>
        <v>1807.2</v>
      </c>
      <c r="F268" s="17">
        <f>ROUND((D268/E268)/60,2)</f>
        <v>0.11</v>
      </c>
      <c r="G268" s="17">
        <f>E240</f>
        <v>3</v>
      </c>
      <c r="H268" s="16">
        <f>ROUND(F268*G268,2)</f>
        <v>0.33</v>
      </c>
    </row>
    <row r="269" spans="2:9" x14ac:dyDescent="0.3">
      <c r="C269" s="17" t="s">
        <v>952</v>
      </c>
      <c r="D269" s="112">
        <f>D215</f>
        <v>53.149721627408987</v>
      </c>
      <c r="E269" s="17">
        <f>I236</f>
        <v>1807.2</v>
      </c>
      <c r="F269" s="17">
        <f>ROUND((D269/E269)/60,2)</f>
        <v>0</v>
      </c>
      <c r="G269" s="17">
        <f>E240</f>
        <v>3</v>
      </c>
      <c r="H269" s="16">
        <f>ROUND(F269*G269,2)</f>
        <v>0</v>
      </c>
    </row>
    <row r="270" spans="2:9" x14ac:dyDescent="0.3">
      <c r="C270" s="17" t="s">
        <v>953</v>
      </c>
      <c r="D270" s="112">
        <f>D216</f>
        <v>374.98368308351178</v>
      </c>
      <c r="E270" s="17">
        <f>I236</f>
        <v>1807.2</v>
      </c>
      <c r="F270" s="17">
        <f>ROUND((D270/E270)/60,2)</f>
        <v>0</v>
      </c>
      <c r="G270" s="17">
        <f>E240</f>
        <v>3</v>
      </c>
      <c r="H270" s="16">
        <f>ROUND(F270*G270,2)</f>
        <v>0</v>
      </c>
    </row>
    <row r="271" spans="2:9" x14ac:dyDescent="0.3">
      <c r="C271" s="17" t="s">
        <v>1109</v>
      </c>
      <c r="D271" s="112">
        <f>D217</f>
        <v>1686.0389293361886</v>
      </c>
      <c r="E271" s="17">
        <f>I236</f>
        <v>1807.2</v>
      </c>
      <c r="F271" s="17">
        <f>ROUND((D271/E271)/60,2)</f>
        <v>0.02</v>
      </c>
      <c r="G271" s="17">
        <f>E240</f>
        <v>3</v>
      </c>
      <c r="H271" s="16">
        <f>ROUND(F271*G271,2)</f>
        <v>0.06</v>
      </c>
    </row>
    <row r="272" spans="2:9" x14ac:dyDescent="0.3">
      <c r="C272" s="1009" t="str">
        <f>C237</f>
        <v>Лаборант клінічної лабораторії</v>
      </c>
      <c r="D272" s="1010"/>
      <c r="E272" s="1010"/>
      <c r="F272" s="1010"/>
      <c r="G272" s="1010"/>
      <c r="H272" s="1011"/>
    </row>
    <row r="273" spans="1:20" x14ac:dyDescent="0.3">
      <c r="C273" s="17" t="s">
        <v>951</v>
      </c>
      <c r="D273" s="112">
        <f>D219</f>
        <v>12188.608008565312</v>
      </c>
      <c r="E273" s="17">
        <f>I237</f>
        <v>1807.2</v>
      </c>
      <c r="F273" s="17">
        <f>ROUND((D273/E273)/60,2)</f>
        <v>0.11</v>
      </c>
      <c r="G273" s="17">
        <f>E241</f>
        <v>5</v>
      </c>
      <c r="H273" s="16">
        <f>ROUND(F273*G273,2)</f>
        <v>0.55000000000000004</v>
      </c>
    </row>
    <row r="274" spans="1:20" x14ac:dyDescent="0.3">
      <c r="C274" s="17" t="s">
        <v>952</v>
      </c>
      <c r="D274" s="112">
        <f>D220</f>
        <v>53.149721627408987</v>
      </c>
      <c r="E274" s="17">
        <f>I237</f>
        <v>1807.2</v>
      </c>
      <c r="F274" s="17">
        <f>ROUND((D274/E274)/60,2)</f>
        <v>0</v>
      </c>
      <c r="G274" s="17">
        <f>E241</f>
        <v>5</v>
      </c>
      <c r="H274" s="16">
        <f>ROUND(F274*G274,2)</f>
        <v>0</v>
      </c>
    </row>
    <row r="275" spans="1:20" x14ac:dyDescent="0.3">
      <c r="C275" s="17" t="s">
        <v>953</v>
      </c>
      <c r="D275" s="112">
        <f>D221</f>
        <v>374.98368308351178</v>
      </c>
      <c r="E275" s="17">
        <f>I237</f>
        <v>1807.2</v>
      </c>
      <c r="F275" s="17">
        <f>ROUND((D275/E275)/60,2)</f>
        <v>0</v>
      </c>
      <c r="G275" s="17">
        <f>E241</f>
        <v>5</v>
      </c>
      <c r="H275" s="16">
        <f>ROUND(F275*G275,2)</f>
        <v>0</v>
      </c>
    </row>
    <row r="276" spans="1:20" x14ac:dyDescent="0.3">
      <c r="C276" s="17" t="s">
        <v>1109</v>
      </c>
      <c r="D276" s="112">
        <f>D222</f>
        <v>1686.0389293361886</v>
      </c>
      <c r="E276" s="17">
        <f>I237</f>
        <v>1807.2</v>
      </c>
      <c r="F276" s="17">
        <f>ROUND((D276/E276)/60,2)</f>
        <v>0.02</v>
      </c>
      <c r="G276" s="17">
        <f>E241</f>
        <v>5</v>
      </c>
      <c r="H276" s="16">
        <f>ROUND(F276*G276,2)</f>
        <v>0.1</v>
      </c>
    </row>
    <row r="277" spans="1:20" x14ac:dyDescent="0.3">
      <c r="C277" s="1012" t="s">
        <v>957</v>
      </c>
      <c r="D277" s="1013"/>
      <c r="E277" s="1013"/>
      <c r="F277" s="1013"/>
      <c r="G277" s="1014"/>
      <c r="H277" s="18">
        <f>SUM(H268:H276)</f>
        <v>1.04</v>
      </c>
    </row>
    <row r="279" spans="1:20" x14ac:dyDescent="0.3">
      <c r="C279" s="1015" t="s">
        <v>959</v>
      </c>
      <c r="D279" s="1015"/>
      <c r="E279" s="1015"/>
      <c r="F279" s="1015"/>
      <c r="G279" s="1015"/>
      <c r="H279" s="32">
        <f>F233+F245+F264+F259</f>
        <v>16.100000000000001</v>
      </c>
    </row>
    <row r="280" spans="1:20" x14ac:dyDescent="0.3">
      <c r="C280" s="33"/>
      <c r="D280" s="33"/>
      <c r="E280" s="33"/>
      <c r="F280" s="33"/>
      <c r="G280" s="33"/>
      <c r="H280" s="34"/>
    </row>
    <row r="281" spans="1:20" x14ac:dyDescent="0.3">
      <c r="C281" s="1015" t="s">
        <v>960</v>
      </c>
      <c r="D281" s="1015"/>
      <c r="E281" s="1015"/>
      <c r="F281" s="1015"/>
      <c r="G281" s="1015"/>
      <c r="H281" s="32">
        <f>ROUND(H279,0)</f>
        <v>16</v>
      </c>
    </row>
    <row r="283" spans="1:20" s="54" customFormat="1" ht="19.8" x14ac:dyDescent="0.4">
      <c r="A283" s="53"/>
      <c r="B283" s="1016" t="s">
        <v>958</v>
      </c>
      <c r="C283" s="1016"/>
      <c r="D283" s="1016"/>
      <c r="E283" s="1016"/>
      <c r="F283" s="1016"/>
      <c r="G283" s="1016"/>
      <c r="H283" s="1016"/>
      <c r="I283" s="1016"/>
      <c r="J283" s="1016"/>
      <c r="K283" s="137"/>
      <c r="L283" s="126"/>
      <c r="M283" s="126"/>
      <c r="N283" s="70"/>
      <c r="O283" s="53"/>
      <c r="P283" s="53"/>
      <c r="Q283" s="53"/>
      <c r="R283" s="53"/>
      <c r="S283" s="53"/>
      <c r="T283" s="53"/>
    </row>
    <row r="284" spans="1:20" s="54" customFormat="1" ht="19.8" x14ac:dyDescent="0.4">
      <c r="A284" s="53"/>
      <c r="B284" s="53"/>
      <c r="C284" s="53"/>
      <c r="D284" s="53"/>
      <c r="E284" s="53"/>
      <c r="F284" s="53"/>
      <c r="G284" s="53"/>
      <c r="H284" s="53"/>
      <c r="I284" s="53"/>
      <c r="J284" s="53"/>
      <c r="K284" s="132"/>
      <c r="L284" s="126"/>
      <c r="M284" s="126"/>
      <c r="N284" s="70"/>
      <c r="O284" s="53"/>
      <c r="P284" s="53"/>
      <c r="Q284" s="53"/>
      <c r="R284" s="53"/>
      <c r="S284" s="53"/>
      <c r="T284" s="53"/>
    </row>
    <row r="285" spans="1:20" s="54" customFormat="1" ht="19.8" x14ac:dyDescent="0.4">
      <c r="A285" s="53"/>
      <c r="B285" s="50" t="s">
        <v>739</v>
      </c>
      <c r="C285" s="1017" t="s">
        <v>740</v>
      </c>
      <c r="D285" s="1017"/>
      <c r="E285" s="1017"/>
      <c r="F285" s="52">
        <f>H336</f>
        <v>33</v>
      </c>
      <c r="G285" s="52" t="s">
        <v>971</v>
      </c>
      <c r="H285" s="53"/>
      <c r="I285" s="53"/>
      <c r="J285" s="53"/>
      <c r="K285" s="132"/>
      <c r="L285" s="126"/>
      <c r="M285" s="126"/>
      <c r="N285" s="70"/>
      <c r="O285" s="53"/>
      <c r="P285" s="53"/>
      <c r="Q285" s="53"/>
      <c r="R285" s="53"/>
      <c r="S285" s="53"/>
      <c r="T285" s="53"/>
    </row>
    <row r="287" spans="1:20" x14ac:dyDescent="0.3">
      <c r="C287" s="1018" t="s">
        <v>932</v>
      </c>
      <c r="D287" s="1018"/>
      <c r="E287" s="10"/>
      <c r="F287" s="11">
        <f>F294+F297+F295</f>
        <v>16.380000000000003</v>
      </c>
      <c r="G287" s="12" t="s">
        <v>971</v>
      </c>
    </row>
    <row r="289" spans="2:11" x14ac:dyDescent="0.3">
      <c r="C289" s="13" t="s">
        <v>929</v>
      </c>
      <c r="D289" s="14" t="s">
        <v>928</v>
      </c>
      <c r="E289" s="14" t="s">
        <v>514</v>
      </c>
      <c r="F289" s="14" t="s">
        <v>515</v>
      </c>
      <c r="G289" s="14" t="s">
        <v>962</v>
      </c>
      <c r="H289" s="14" t="s">
        <v>926</v>
      </c>
      <c r="I289" s="14" t="s">
        <v>516</v>
      </c>
      <c r="J289" s="14" t="s">
        <v>961</v>
      </c>
      <c r="K289" s="138"/>
    </row>
    <row r="290" spans="2:11" x14ac:dyDescent="0.3">
      <c r="C290" s="17" t="str">
        <f>C236</f>
        <v>Лікар-лаборант</v>
      </c>
      <c r="D290" s="16">
        <f>D236</f>
        <v>10799.43</v>
      </c>
      <c r="E290" s="16">
        <f>D290*12</f>
        <v>129593.16</v>
      </c>
      <c r="F290" s="16">
        <f>F236</f>
        <v>8307.26</v>
      </c>
      <c r="G290" s="16">
        <f>G236</f>
        <v>4153.63</v>
      </c>
      <c r="H290" s="16">
        <f>E290+F290+G290</f>
        <v>142054.05000000002</v>
      </c>
      <c r="I290" s="17">
        <v>1807.2</v>
      </c>
      <c r="J290" s="16">
        <f>ROUND((H290/I290)/60,2)</f>
        <v>1.31</v>
      </c>
      <c r="K290" s="140"/>
    </row>
    <row r="291" spans="2:11" x14ac:dyDescent="0.3">
      <c r="C291" s="17" t="str">
        <f>C237</f>
        <v>Лаборант клінічної лабораторії</v>
      </c>
      <c r="D291" s="16">
        <f>D237</f>
        <v>7871.18</v>
      </c>
      <c r="E291" s="16">
        <f>D291*12</f>
        <v>94454.16</v>
      </c>
      <c r="F291" s="16">
        <f>F237</f>
        <v>6054.75</v>
      </c>
      <c r="G291" s="16">
        <f>G237</f>
        <v>3027.375</v>
      </c>
      <c r="H291" s="16">
        <f>E291+F291+G291</f>
        <v>103536.285</v>
      </c>
      <c r="I291" s="17">
        <v>1807.2</v>
      </c>
      <c r="J291" s="16">
        <f>ROUND((H291/I291)/60,2)</f>
        <v>0.95</v>
      </c>
      <c r="K291" s="140"/>
    </row>
    <row r="293" spans="2:11" ht="27.6" x14ac:dyDescent="0.3">
      <c r="C293" s="13" t="s">
        <v>929</v>
      </c>
      <c r="D293" s="14" t="s">
        <v>961</v>
      </c>
      <c r="E293" s="14" t="s">
        <v>930</v>
      </c>
      <c r="F293" s="14" t="s">
        <v>931</v>
      </c>
    </row>
    <row r="294" spans="2:11" x14ac:dyDescent="0.3">
      <c r="C294" s="15" t="str">
        <f>C290</f>
        <v>Лікар-лаборант</v>
      </c>
      <c r="D294" s="16">
        <f>J290</f>
        <v>1.31</v>
      </c>
      <c r="E294" s="17">
        <v>3</v>
      </c>
      <c r="F294" s="18">
        <f>ROUND(D294*E294,2)</f>
        <v>3.93</v>
      </c>
    </row>
    <row r="295" spans="2:11" x14ac:dyDescent="0.3">
      <c r="C295" s="15" t="str">
        <f>C291</f>
        <v>Лаборант клінічної лабораторії</v>
      </c>
      <c r="D295" s="16">
        <f>J291</f>
        <v>0.95</v>
      </c>
      <c r="E295" s="17">
        <v>10</v>
      </c>
      <c r="F295" s="18">
        <f>ROUND(D295*E295,2)</f>
        <v>9.5</v>
      </c>
    </row>
    <row r="296" spans="2:11" x14ac:dyDescent="0.3">
      <c r="D296" s="19"/>
      <c r="E296" s="7" t="s">
        <v>1016</v>
      </c>
    </row>
    <row r="297" spans="2:11" x14ac:dyDescent="0.3">
      <c r="C297" s="17" t="s">
        <v>933</v>
      </c>
      <c r="D297" s="16">
        <f>F294+F295</f>
        <v>13.43</v>
      </c>
      <c r="E297" s="20">
        <v>0.22</v>
      </c>
      <c r="F297" s="21">
        <f>ROUND(D297*E297,2)</f>
        <v>2.95</v>
      </c>
    </row>
    <row r="299" spans="2:11" x14ac:dyDescent="0.3">
      <c r="C299" s="12" t="s">
        <v>946</v>
      </c>
      <c r="D299" s="12"/>
      <c r="E299" s="12"/>
      <c r="F299" s="12">
        <f>G312</f>
        <v>14.049999999999999</v>
      </c>
      <c r="G299" s="12" t="s">
        <v>971</v>
      </c>
    </row>
    <row r="301" spans="2:11" ht="27.6" x14ac:dyDescent="0.3">
      <c r="B301" s="82" t="s">
        <v>991</v>
      </c>
      <c r="C301" s="83" t="s">
        <v>986</v>
      </c>
      <c r="D301" s="83" t="s">
        <v>987</v>
      </c>
      <c r="E301" s="83" t="s">
        <v>988</v>
      </c>
      <c r="F301" s="83" t="s">
        <v>989</v>
      </c>
      <c r="G301" s="82" t="s">
        <v>990</v>
      </c>
    </row>
    <row r="302" spans="2:11" x14ac:dyDescent="0.3">
      <c r="B302" s="84">
        <v>1</v>
      </c>
      <c r="C302" s="85" t="s">
        <v>1018</v>
      </c>
      <c r="D302" s="86" t="s">
        <v>941</v>
      </c>
      <c r="E302" s="87">
        <f>'МЕДИЧНІ М'!E75</f>
        <v>11</v>
      </c>
      <c r="F302" s="86">
        <v>1000</v>
      </c>
      <c r="G302" s="88">
        <f>ROUND(E302/F302,2)</f>
        <v>0.01</v>
      </c>
    </row>
    <row r="303" spans="2:11" x14ac:dyDescent="0.3">
      <c r="B303" s="73">
        <f>B302+1</f>
        <v>2</v>
      </c>
      <c r="C303" s="79" t="s">
        <v>934</v>
      </c>
      <c r="D303" s="76" t="s">
        <v>941</v>
      </c>
      <c r="E303" s="76">
        <f>'МЕДИЧНІ М'!E59</f>
        <v>2.8</v>
      </c>
      <c r="F303" s="86">
        <v>10</v>
      </c>
      <c r="G303" s="88">
        <f>ROUND(E303/F303,2)</f>
        <v>0.28000000000000003</v>
      </c>
    </row>
    <row r="304" spans="2:11" x14ac:dyDescent="0.3">
      <c r="B304" s="73">
        <f t="shared" ref="B304:B311" si="7">B303+1</f>
        <v>3</v>
      </c>
      <c r="C304" s="79" t="s">
        <v>984</v>
      </c>
      <c r="D304" s="76" t="s">
        <v>941</v>
      </c>
      <c r="E304" s="76">
        <f>'МЕДИЧНІ М'!E64</f>
        <v>36</v>
      </c>
      <c r="F304" s="77">
        <v>1000</v>
      </c>
      <c r="G304" s="88">
        <f>ROUND(E304/F304,2)</f>
        <v>0.04</v>
      </c>
    </row>
    <row r="305" spans="2:9" x14ac:dyDescent="0.3">
      <c r="B305" s="73">
        <f t="shared" si="7"/>
        <v>4</v>
      </c>
      <c r="C305" s="79" t="s">
        <v>985</v>
      </c>
      <c r="D305" s="76" t="s">
        <v>937</v>
      </c>
      <c r="E305" s="76">
        <v>0.21</v>
      </c>
      <c r="F305" s="77">
        <v>1</v>
      </c>
      <c r="G305" s="78">
        <f>ROUND(E305/F305,2)</f>
        <v>0.21</v>
      </c>
    </row>
    <row r="306" spans="2:9" x14ac:dyDescent="0.3">
      <c r="B306" s="73">
        <f t="shared" si="7"/>
        <v>5</v>
      </c>
      <c r="C306" s="27" t="s">
        <v>940</v>
      </c>
      <c r="D306" s="28" t="s">
        <v>941</v>
      </c>
      <c r="E306" s="81">
        <f>'МЕДИЧНІ М'!E37</f>
        <v>2</v>
      </c>
      <c r="F306" s="28">
        <v>1.5</v>
      </c>
      <c r="G306" s="28">
        <f>ROUND(E306*F306,2)</f>
        <v>3</v>
      </c>
    </row>
    <row r="307" spans="2:9" x14ac:dyDescent="0.3">
      <c r="B307" s="73">
        <f t="shared" si="7"/>
        <v>6</v>
      </c>
      <c r="C307" s="79" t="s">
        <v>1049</v>
      </c>
      <c r="D307" s="75" t="s">
        <v>941</v>
      </c>
      <c r="E307" s="75">
        <f>'МЕДИЧНІ М'!E47</f>
        <v>7</v>
      </c>
      <c r="F307" s="86">
        <v>1</v>
      </c>
      <c r="G307" s="88">
        <f>ROUND(E307/F307,2)</f>
        <v>7</v>
      </c>
    </row>
    <row r="308" spans="2:9" x14ac:dyDescent="0.3">
      <c r="B308" s="73">
        <f t="shared" si="7"/>
        <v>7</v>
      </c>
      <c r="C308" s="27" t="s">
        <v>940</v>
      </c>
      <c r="D308" s="28" t="s">
        <v>941</v>
      </c>
      <c r="E308" s="81">
        <f>'МЕДИЧНІ М'!E37</f>
        <v>2</v>
      </c>
      <c r="F308" s="28">
        <v>1.5</v>
      </c>
      <c r="G308" s="28">
        <f>ROUND(E308*F308,2)</f>
        <v>3</v>
      </c>
    </row>
    <row r="309" spans="2:9" x14ac:dyDescent="0.3">
      <c r="B309" s="73">
        <f t="shared" si="7"/>
        <v>8</v>
      </c>
      <c r="C309" s="27" t="s">
        <v>943</v>
      </c>
      <c r="D309" s="28" t="s">
        <v>944</v>
      </c>
      <c r="E309" s="81">
        <f>'МЕДИЧНІ М'!F21</f>
        <v>7.0000000000000007E-2</v>
      </c>
      <c r="F309" s="28">
        <v>0.14000000000000001</v>
      </c>
      <c r="G309" s="28">
        <f>ROUND(E309*F309,2)</f>
        <v>0.01</v>
      </c>
    </row>
    <row r="310" spans="2:9" x14ac:dyDescent="0.3">
      <c r="B310" s="73">
        <f t="shared" si="7"/>
        <v>9</v>
      </c>
      <c r="C310" s="27" t="s">
        <v>942</v>
      </c>
      <c r="D310" s="75" t="s">
        <v>974</v>
      </c>
      <c r="E310" s="76">
        <f>'МЕДИЧНІ М'!E65</f>
        <v>24.6</v>
      </c>
      <c r="F310" s="77">
        <v>100</v>
      </c>
      <c r="G310" s="78">
        <f>ROUND(E310/F310,2)</f>
        <v>0.25</v>
      </c>
    </row>
    <row r="311" spans="2:9" x14ac:dyDescent="0.3">
      <c r="B311" s="73">
        <f t="shared" si="7"/>
        <v>10</v>
      </c>
      <c r="C311" s="27" t="s">
        <v>1124</v>
      </c>
      <c r="D311" s="28" t="s">
        <v>944</v>
      </c>
      <c r="E311" s="81">
        <f>'МЕДИЧНІ М'!E24</f>
        <v>0.5</v>
      </c>
      <c r="F311" s="81">
        <v>0.5</v>
      </c>
      <c r="G311" s="28">
        <f>ROUND(E311*F311,2)</f>
        <v>0.25</v>
      </c>
    </row>
    <row r="312" spans="2:9" x14ac:dyDescent="0.3">
      <c r="B312" s="1012" t="s">
        <v>945</v>
      </c>
      <c r="C312" s="1013"/>
      <c r="D312" s="1013"/>
      <c r="E312" s="1013"/>
      <c r="F312" s="1014"/>
      <c r="G312" s="89">
        <f>SUM(G302:G311)</f>
        <v>14.049999999999999</v>
      </c>
    </row>
    <row r="314" spans="2:9" x14ac:dyDescent="0.3">
      <c r="C314" s="12" t="s">
        <v>968</v>
      </c>
      <c r="D314" s="12"/>
      <c r="E314" s="12"/>
      <c r="F314" s="11">
        <f>H317</f>
        <v>0.52</v>
      </c>
      <c r="G314" s="12" t="s">
        <v>971</v>
      </c>
    </row>
    <row r="315" spans="2:9" x14ac:dyDescent="0.3">
      <c r="C315" s="22"/>
      <c r="D315" s="22"/>
      <c r="E315" s="22"/>
      <c r="F315" s="23"/>
      <c r="G315" s="22"/>
    </row>
    <row r="316" spans="2:9" ht="27.6" x14ac:dyDescent="0.3">
      <c r="C316" s="14" t="s">
        <v>513</v>
      </c>
      <c r="D316" s="14" t="s">
        <v>1108</v>
      </c>
      <c r="E316" s="14" t="s">
        <v>516</v>
      </c>
      <c r="F316" s="14" t="s">
        <v>970</v>
      </c>
      <c r="G316" s="14" t="s">
        <v>930</v>
      </c>
      <c r="H316" s="14" t="s">
        <v>961</v>
      </c>
    </row>
    <row r="317" spans="2:9" x14ac:dyDescent="0.3">
      <c r="C317" s="27" t="s">
        <v>1090</v>
      </c>
      <c r="D317" s="17">
        <f>АМОРТИЗАЦІЯ!C5</f>
        <v>34445.759999999995</v>
      </c>
      <c r="E317" s="17">
        <v>13679.5</v>
      </c>
      <c r="F317" s="17">
        <f>ROUND((D317/E317)/60,2)</f>
        <v>0.04</v>
      </c>
      <c r="G317" s="17">
        <f>E295+E294</f>
        <v>13</v>
      </c>
      <c r="H317" s="16">
        <f>ROUND(F317*G317,2)</f>
        <v>0.52</v>
      </c>
      <c r="I317" s="38"/>
    </row>
    <row r="318" spans="2:9" ht="14.25" customHeight="1" x14ac:dyDescent="0.3"/>
    <row r="319" spans="2:9" x14ac:dyDescent="0.3">
      <c r="C319" s="12" t="s">
        <v>948</v>
      </c>
      <c r="D319" s="12"/>
      <c r="E319" s="12"/>
      <c r="F319" s="11">
        <f>H332</f>
        <v>1.6900000000000002</v>
      </c>
      <c r="G319" s="12" t="s">
        <v>971</v>
      </c>
    </row>
    <row r="320" spans="2:9" x14ac:dyDescent="0.3">
      <c r="C320" s="22"/>
      <c r="D320" s="22"/>
      <c r="E320" s="22"/>
      <c r="F320" s="23"/>
    </row>
    <row r="321" spans="3:8" ht="27.6" x14ac:dyDescent="0.3">
      <c r="C321" s="14" t="s">
        <v>948</v>
      </c>
      <c r="D321" s="14" t="s">
        <v>1110</v>
      </c>
      <c r="E321" s="14" t="s">
        <v>516</v>
      </c>
      <c r="F321" s="14" t="s">
        <v>954</v>
      </c>
      <c r="G321" s="14" t="s">
        <v>930</v>
      </c>
      <c r="H321" s="14" t="s">
        <v>1111</v>
      </c>
    </row>
    <row r="322" spans="3:8" x14ac:dyDescent="0.3">
      <c r="C322" s="1009" t="str">
        <f>C290</f>
        <v>Лікар-лаборант</v>
      </c>
      <c r="D322" s="1010"/>
      <c r="E322" s="1010"/>
      <c r="F322" s="1010"/>
      <c r="G322" s="1010"/>
      <c r="H322" s="1011"/>
    </row>
    <row r="323" spans="3:8" x14ac:dyDescent="0.3">
      <c r="C323" s="17" t="s">
        <v>951</v>
      </c>
      <c r="D323" s="112">
        <f>D268</f>
        <v>12188.608008565312</v>
      </c>
      <c r="E323" s="17">
        <f>I290</f>
        <v>1807.2</v>
      </c>
      <c r="F323" s="17">
        <f>ROUND((D323/E323)/60,2)</f>
        <v>0.11</v>
      </c>
      <c r="G323" s="17">
        <f>E294</f>
        <v>3</v>
      </c>
      <c r="H323" s="16">
        <f>ROUND(F323*G323,2)</f>
        <v>0.33</v>
      </c>
    </row>
    <row r="324" spans="3:8" x14ac:dyDescent="0.3">
      <c r="C324" s="17" t="s">
        <v>952</v>
      </c>
      <c r="D324" s="112">
        <f>D269</f>
        <v>53.149721627408987</v>
      </c>
      <c r="E324" s="17">
        <f>I290</f>
        <v>1807.2</v>
      </c>
      <c r="F324" s="17">
        <f>ROUND((D324/E324)/60,2)</f>
        <v>0</v>
      </c>
      <c r="G324" s="17">
        <f>E294</f>
        <v>3</v>
      </c>
      <c r="H324" s="16">
        <f>ROUND(F324*G324,2)</f>
        <v>0</v>
      </c>
    </row>
    <row r="325" spans="3:8" x14ac:dyDescent="0.3">
      <c r="C325" s="17" t="s">
        <v>953</v>
      </c>
      <c r="D325" s="112">
        <f>D270</f>
        <v>374.98368308351178</v>
      </c>
      <c r="E325" s="17">
        <f>I290</f>
        <v>1807.2</v>
      </c>
      <c r="F325" s="17">
        <f>ROUND((D325/E325)/60,2)</f>
        <v>0</v>
      </c>
      <c r="G325" s="17">
        <f>E294</f>
        <v>3</v>
      </c>
      <c r="H325" s="16">
        <f>ROUND(F325*G325,2)</f>
        <v>0</v>
      </c>
    </row>
    <row r="326" spans="3:8" x14ac:dyDescent="0.3">
      <c r="C326" s="17" t="s">
        <v>1109</v>
      </c>
      <c r="D326" s="112">
        <f>D271</f>
        <v>1686.0389293361886</v>
      </c>
      <c r="E326" s="17">
        <f>I290</f>
        <v>1807.2</v>
      </c>
      <c r="F326" s="17">
        <f>ROUND((D326/E326)/60,2)</f>
        <v>0.02</v>
      </c>
      <c r="G326" s="17">
        <f>E294</f>
        <v>3</v>
      </c>
      <c r="H326" s="16">
        <f>ROUND(F326*G326,2)</f>
        <v>0.06</v>
      </c>
    </row>
    <row r="327" spans="3:8" x14ac:dyDescent="0.3">
      <c r="C327" s="1009" t="str">
        <f>C291</f>
        <v>Лаборант клінічної лабораторії</v>
      </c>
      <c r="D327" s="1010"/>
      <c r="E327" s="1010"/>
      <c r="F327" s="1010"/>
      <c r="G327" s="1010"/>
      <c r="H327" s="1011"/>
    </row>
    <row r="328" spans="3:8" x14ac:dyDescent="0.3">
      <c r="C328" s="17" t="s">
        <v>951</v>
      </c>
      <c r="D328" s="112">
        <f>D273</f>
        <v>12188.608008565312</v>
      </c>
      <c r="E328" s="17">
        <f>I291</f>
        <v>1807.2</v>
      </c>
      <c r="F328" s="17">
        <f>ROUND((D328/E328)/60,2)</f>
        <v>0.11</v>
      </c>
      <c r="G328" s="17">
        <f>E295</f>
        <v>10</v>
      </c>
      <c r="H328" s="16">
        <f>ROUND(F328*G328,2)</f>
        <v>1.1000000000000001</v>
      </c>
    </row>
    <row r="329" spans="3:8" x14ac:dyDescent="0.3">
      <c r="C329" s="17" t="s">
        <v>952</v>
      </c>
      <c r="D329" s="112">
        <f>D274</f>
        <v>53.149721627408987</v>
      </c>
      <c r="E329" s="17">
        <f>I291</f>
        <v>1807.2</v>
      </c>
      <c r="F329" s="17">
        <f>ROUND((D329/E329)/60,2)</f>
        <v>0</v>
      </c>
      <c r="G329" s="17">
        <f>E295</f>
        <v>10</v>
      </c>
      <c r="H329" s="16">
        <f>ROUND(F329*G329,2)</f>
        <v>0</v>
      </c>
    </row>
    <row r="330" spans="3:8" x14ac:dyDescent="0.3">
      <c r="C330" s="17" t="s">
        <v>953</v>
      </c>
      <c r="D330" s="112">
        <f>D275</f>
        <v>374.98368308351178</v>
      </c>
      <c r="E330" s="17">
        <f>I291</f>
        <v>1807.2</v>
      </c>
      <c r="F330" s="17">
        <f>ROUND((D330/E330)/60,2)</f>
        <v>0</v>
      </c>
      <c r="G330" s="17">
        <f>E295</f>
        <v>10</v>
      </c>
      <c r="H330" s="16">
        <f>ROUND(F330*G330,2)</f>
        <v>0</v>
      </c>
    </row>
    <row r="331" spans="3:8" x14ac:dyDescent="0.3">
      <c r="C331" s="17" t="s">
        <v>1109</v>
      </c>
      <c r="D331" s="112">
        <f>D276</f>
        <v>1686.0389293361886</v>
      </c>
      <c r="E331" s="17">
        <f>I291</f>
        <v>1807.2</v>
      </c>
      <c r="F331" s="17">
        <f>ROUND((D331/E331)/60,2)</f>
        <v>0.02</v>
      </c>
      <c r="G331" s="17">
        <f>E295</f>
        <v>10</v>
      </c>
      <c r="H331" s="16">
        <f>ROUND(F331*G331,2)</f>
        <v>0.2</v>
      </c>
    </row>
    <row r="332" spans="3:8" x14ac:dyDescent="0.3">
      <c r="C332" s="1012" t="s">
        <v>957</v>
      </c>
      <c r="D332" s="1013"/>
      <c r="E332" s="1013"/>
      <c r="F332" s="1013"/>
      <c r="G332" s="1014"/>
      <c r="H332" s="18">
        <f>SUM(H323:H331)</f>
        <v>1.6900000000000002</v>
      </c>
    </row>
    <row r="333" spans="3:8" ht="9.75" customHeight="1" x14ac:dyDescent="0.3"/>
    <row r="334" spans="3:8" x14ac:dyDescent="0.3">
      <c r="C334" s="1015" t="s">
        <v>959</v>
      </c>
      <c r="D334" s="1015"/>
      <c r="E334" s="1015"/>
      <c r="F334" s="1015"/>
      <c r="G334" s="1015"/>
      <c r="H334" s="32">
        <f>F287+F299+F319+F314</f>
        <v>32.64</v>
      </c>
    </row>
    <row r="335" spans="3:8" x14ac:dyDescent="0.3">
      <c r="C335" s="33"/>
      <c r="D335" s="33"/>
      <c r="E335" s="33"/>
      <c r="F335" s="33"/>
      <c r="G335" s="33"/>
      <c r="H335" s="34"/>
    </row>
    <row r="336" spans="3:8" x14ac:dyDescent="0.3">
      <c r="C336" s="1015" t="s">
        <v>960</v>
      </c>
      <c r="D336" s="1015"/>
      <c r="E336" s="1015"/>
      <c r="F336" s="1015"/>
      <c r="G336" s="1015"/>
      <c r="H336" s="32">
        <f>ROUND(H334,0)</f>
        <v>33</v>
      </c>
    </row>
    <row r="339" spans="1:20" ht="18.600000000000001" x14ac:dyDescent="0.3">
      <c r="B339" s="1016" t="s">
        <v>958</v>
      </c>
      <c r="C339" s="1016"/>
      <c r="D339" s="1016"/>
      <c r="E339" s="1016"/>
      <c r="F339" s="1016"/>
      <c r="G339" s="1016"/>
      <c r="H339" s="1016"/>
      <c r="I339" s="1016"/>
      <c r="J339" s="1016"/>
      <c r="K339" s="141"/>
    </row>
    <row r="341" spans="1:20" s="54" customFormat="1" ht="35.25" customHeight="1" x14ac:dyDescent="0.4">
      <c r="A341" s="53"/>
      <c r="B341" s="50" t="s">
        <v>741</v>
      </c>
      <c r="C341" s="1017" t="s">
        <v>742</v>
      </c>
      <c r="D341" s="1017"/>
      <c r="E341" s="1017"/>
      <c r="F341" s="52">
        <f>H392</f>
        <v>41</v>
      </c>
      <c r="G341" s="52" t="s">
        <v>971</v>
      </c>
      <c r="H341" s="53"/>
      <c r="I341" s="53"/>
      <c r="J341" s="53"/>
      <c r="K341" s="132"/>
      <c r="L341" s="126"/>
      <c r="M341" s="126"/>
      <c r="N341" s="70"/>
      <c r="O341" s="53"/>
      <c r="P341" s="53"/>
      <c r="Q341" s="53"/>
      <c r="R341" s="53"/>
      <c r="S341" s="53"/>
      <c r="T341" s="53"/>
    </row>
    <row r="342" spans="1:20" s="54" customFormat="1" ht="19.8" x14ac:dyDescent="0.4">
      <c r="A342" s="53"/>
      <c r="B342" s="53"/>
      <c r="C342" s="53"/>
      <c r="D342" s="53"/>
      <c r="E342" s="53"/>
      <c r="F342" s="53"/>
      <c r="G342" s="53"/>
      <c r="H342" s="53"/>
      <c r="I342" s="53"/>
      <c r="J342" s="53"/>
      <c r="K342" s="132"/>
      <c r="L342" s="126"/>
      <c r="M342" s="126"/>
      <c r="N342" s="70"/>
      <c r="O342" s="53"/>
      <c r="P342" s="53"/>
      <c r="Q342" s="53"/>
      <c r="R342" s="53"/>
      <c r="S342" s="53"/>
      <c r="T342" s="53"/>
    </row>
    <row r="343" spans="1:20" s="54" customFormat="1" ht="19.8" x14ac:dyDescent="0.4">
      <c r="A343" s="53"/>
      <c r="B343" s="53"/>
      <c r="C343" s="1037" t="s">
        <v>932</v>
      </c>
      <c r="D343" s="1037"/>
      <c r="E343" s="68"/>
      <c r="F343" s="92">
        <f>F350+F353+F351</f>
        <v>22.18</v>
      </c>
      <c r="G343" s="93" t="s">
        <v>971</v>
      </c>
      <c r="H343" s="53"/>
      <c r="I343" s="53"/>
      <c r="J343" s="53"/>
      <c r="K343" s="132"/>
      <c r="L343" s="126"/>
      <c r="M343" s="126"/>
      <c r="N343" s="70"/>
      <c r="O343" s="53"/>
      <c r="P343" s="53"/>
      <c r="Q343" s="53"/>
      <c r="R343" s="53"/>
      <c r="S343" s="53"/>
      <c r="T343" s="53"/>
    </row>
    <row r="345" spans="1:20" x14ac:dyDescent="0.3">
      <c r="C345" s="13" t="s">
        <v>929</v>
      </c>
      <c r="D345" s="14" t="s">
        <v>928</v>
      </c>
      <c r="E345" s="14" t="s">
        <v>514</v>
      </c>
      <c r="F345" s="14" t="s">
        <v>515</v>
      </c>
      <c r="G345" s="14" t="s">
        <v>962</v>
      </c>
      <c r="H345" s="14" t="s">
        <v>926</v>
      </c>
      <c r="I345" s="14" t="s">
        <v>516</v>
      </c>
      <c r="J345" s="14" t="s">
        <v>961</v>
      </c>
      <c r="K345" s="138"/>
    </row>
    <row r="346" spans="1:20" x14ac:dyDescent="0.3">
      <c r="C346" s="17" t="str">
        <f>C290</f>
        <v>Лікар-лаборант</v>
      </c>
      <c r="D346" s="16">
        <f>D290</f>
        <v>10799.43</v>
      </c>
      <c r="E346" s="16">
        <f>D346*12</f>
        <v>129593.16</v>
      </c>
      <c r="F346" s="16">
        <f>F290</f>
        <v>8307.26</v>
      </c>
      <c r="G346" s="16">
        <f>G290</f>
        <v>4153.63</v>
      </c>
      <c r="H346" s="16">
        <f>E346+F346+G346</f>
        <v>142054.05000000002</v>
      </c>
      <c r="I346" s="17">
        <v>1807.2</v>
      </c>
      <c r="J346" s="16">
        <f>ROUND((H346/I346)/60,2)</f>
        <v>1.31</v>
      </c>
      <c r="K346" s="140"/>
    </row>
    <row r="347" spans="1:20" x14ac:dyDescent="0.3">
      <c r="C347" s="17" t="str">
        <f>C291</f>
        <v>Лаборант клінічної лабораторії</v>
      </c>
      <c r="D347" s="16">
        <f>D291</f>
        <v>7871.18</v>
      </c>
      <c r="E347" s="16">
        <f>D347*12</f>
        <v>94454.16</v>
      </c>
      <c r="F347" s="16">
        <f>F291</f>
        <v>6054.75</v>
      </c>
      <c r="G347" s="16">
        <f>G291</f>
        <v>3027.375</v>
      </c>
      <c r="H347" s="16">
        <f>E347+F347+G347</f>
        <v>103536.285</v>
      </c>
      <c r="I347" s="17">
        <v>1807.2</v>
      </c>
      <c r="J347" s="16">
        <f>ROUND((H347/I347)/60,2)</f>
        <v>0.95</v>
      </c>
      <c r="K347" s="140"/>
    </row>
    <row r="349" spans="1:20" ht="27.6" x14ac:dyDescent="0.3">
      <c r="C349" s="13" t="s">
        <v>929</v>
      </c>
      <c r="D349" s="14" t="s">
        <v>961</v>
      </c>
      <c r="E349" s="14" t="s">
        <v>930</v>
      </c>
      <c r="F349" s="14" t="s">
        <v>931</v>
      </c>
    </row>
    <row r="350" spans="1:20" x14ac:dyDescent="0.3">
      <c r="C350" s="15" t="str">
        <f>C346</f>
        <v>Лікар-лаборант</v>
      </c>
      <c r="D350" s="16">
        <f>J346</f>
        <v>1.31</v>
      </c>
      <c r="E350" s="17">
        <v>3</v>
      </c>
      <c r="F350" s="18">
        <f>ROUND(D350*E350,2)</f>
        <v>3.93</v>
      </c>
    </row>
    <row r="351" spans="1:20" x14ac:dyDescent="0.3">
      <c r="C351" s="15" t="str">
        <f>C347</f>
        <v>Лаборант клінічної лабораторії</v>
      </c>
      <c r="D351" s="16">
        <f>J347</f>
        <v>0.95</v>
      </c>
      <c r="E351" s="17">
        <v>15</v>
      </c>
      <c r="F351" s="18">
        <f>ROUND(D351*E351,2)</f>
        <v>14.25</v>
      </c>
    </row>
    <row r="352" spans="1:20" x14ac:dyDescent="0.3">
      <c r="D352" s="19"/>
      <c r="E352" s="7" t="s">
        <v>1016</v>
      </c>
    </row>
    <row r="353" spans="2:7" x14ac:dyDescent="0.3">
      <c r="C353" s="17" t="s">
        <v>933</v>
      </c>
      <c r="D353" s="16">
        <f>F350+F351</f>
        <v>18.18</v>
      </c>
      <c r="E353" s="20">
        <v>0.22</v>
      </c>
      <c r="F353" s="21">
        <f>ROUND(D353*E353,2)</f>
        <v>4</v>
      </c>
    </row>
    <row r="354" spans="2:7" ht="7.5" customHeight="1" x14ac:dyDescent="0.3"/>
    <row r="355" spans="2:7" x14ac:dyDescent="0.3">
      <c r="C355" s="12" t="s">
        <v>946</v>
      </c>
      <c r="D355" s="12"/>
      <c r="E355" s="12"/>
      <c r="F355" s="12">
        <f>G368</f>
        <v>15.940000000000001</v>
      </c>
      <c r="G355" s="12" t="s">
        <v>971</v>
      </c>
    </row>
    <row r="356" spans="2:7" ht="8.25" customHeight="1" x14ac:dyDescent="0.3"/>
    <row r="357" spans="2:7" ht="27.6" x14ac:dyDescent="0.3">
      <c r="B357" s="82" t="s">
        <v>991</v>
      </c>
      <c r="C357" s="83" t="s">
        <v>986</v>
      </c>
      <c r="D357" s="83" t="s">
        <v>987</v>
      </c>
      <c r="E357" s="83" t="s">
        <v>988</v>
      </c>
      <c r="F357" s="83" t="s">
        <v>989</v>
      </c>
      <c r="G357" s="82" t="s">
        <v>990</v>
      </c>
    </row>
    <row r="358" spans="2:7" x14ac:dyDescent="0.3">
      <c r="B358" s="84">
        <v>1</v>
      </c>
      <c r="C358" s="79" t="s">
        <v>1032</v>
      </c>
      <c r="D358" s="75" t="s">
        <v>1033</v>
      </c>
      <c r="E358" s="75">
        <f>'МЕДИЧНІ М'!E26</f>
        <v>187</v>
      </c>
      <c r="F358" s="86">
        <v>50</v>
      </c>
      <c r="G358" s="88">
        <f t="shared" ref="G358:G363" si="8">ROUND(E358/F358,2)</f>
        <v>3.74</v>
      </c>
    </row>
    <row r="359" spans="2:7" x14ac:dyDescent="0.3">
      <c r="B359" s="73">
        <f>B358+1</f>
        <v>2</v>
      </c>
      <c r="C359" s="79" t="s">
        <v>1034</v>
      </c>
      <c r="D359" s="75" t="s">
        <v>974</v>
      </c>
      <c r="E359" s="75">
        <f>'МЕДИЧНІ М'!E27</f>
        <v>39.299999999999997</v>
      </c>
      <c r="F359" s="86">
        <v>400</v>
      </c>
      <c r="G359" s="88">
        <f t="shared" si="8"/>
        <v>0.1</v>
      </c>
    </row>
    <row r="360" spans="2:7" x14ac:dyDescent="0.3">
      <c r="B360" s="73">
        <f t="shared" ref="B360:B367" si="9">B359+1</f>
        <v>3</v>
      </c>
      <c r="C360" s="79" t="s">
        <v>934</v>
      </c>
      <c r="D360" s="76" t="s">
        <v>941</v>
      </c>
      <c r="E360" s="76">
        <f>'МЕДИЧНІ М'!E59</f>
        <v>2.8</v>
      </c>
      <c r="F360" s="86">
        <v>10</v>
      </c>
      <c r="G360" s="88">
        <f t="shared" si="8"/>
        <v>0.28000000000000003</v>
      </c>
    </row>
    <row r="361" spans="2:7" x14ac:dyDescent="0.3">
      <c r="B361" s="73">
        <f t="shared" si="9"/>
        <v>4</v>
      </c>
      <c r="C361" s="79" t="s">
        <v>984</v>
      </c>
      <c r="D361" s="76" t="s">
        <v>941</v>
      </c>
      <c r="E361" s="76">
        <f>'МЕДИЧНІ М'!E64</f>
        <v>36</v>
      </c>
      <c r="F361" s="77">
        <v>1000</v>
      </c>
      <c r="G361" s="88">
        <f t="shared" si="8"/>
        <v>0.04</v>
      </c>
    </row>
    <row r="362" spans="2:7" x14ac:dyDescent="0.3">
      <c r="B362" s="73">
        <f t="shared" si="9"/>
        <v>5</v>
      </c>
      <c r="C362" s="79" t="s">
        <v>985</v>
      </c>
      <c r="D362" s="76" t="s">
        <v>937</v>
      </c>
      <c r="E362" s="76">
        <f>'МЕДИЧНІ М'!F39</f>
        <v>0.3</v>
      </c>
      <c r="F362" s="77">
        <v>1</v>
      </c>
      <c r="G362" s="78">
        <f t="shared" si="8"/>
        <v>0.3</v>
      </c>
    </row>
    <row r="363" spans="2:7" x14ac:dyDescent="0.3">
      <c r="B363" s="73">
        <f t="shared" si="9"/>
        <v>6</v>
      </c>
      <c r="C363" s="79" t="s">
        <v>1049</v>
      </c>
      <c r="D363" s="75" t="s">
        <v>941</v>
      </c>
      <c r="E363" s="75">
        <f>'МЕДИЧНІ М'!E47</f>
        <v>7</v>
      </c>
      <c r="F363" s="86">
        <v>1</v>
      </c>
      <c r="G363" s="88">
        <f t="shared" si="8"/>
        <v>7</v>
      </c>
    </row>
    <row r="364" spans="2:7" x14ac:dyDescent="0.3">
      <c r="B364" s="73">
        <f t="shared" si="9"/>
        <v>7</v>
      </c>
      <c r="C364" s="27" t="s">
        <v>940</v>
      </c>
      <c r="D364" s="28" t="s">
        <v>941</v>
      </c>
      <c r="E364" s="81">
        <f>'МЕДИЧНІ М'!E37</f>
        <v>2</v>
      </c>
      <c r="F364" s="28">
        <v>1.5</v>
      </c>
      <c r="G364" s="28">
        <f>ROUND(E364*F364,2)</f>
        <v>3</v>
      </c>
    </row>
    <row r="365" spans="2:7" x14ac:dyDescent="0.3">
      <c r="B365" s="73">
        <f t="shared" si="9"/>
        <v>8</v>
      </c>
      <c r="C365" s="27" t="s">
        <v>943</v>
      </c>
      <c r="D365" s="28" t="s">
        <v>944</v>
      </c>
      <c r="E365" s="81">
        <f>'МЕДИЧНІ М'!E21</f>
        <v>7</v>
      </c>
      <c r="F365" s="28">
        <v>0.14000000000000001</v>
      </c>
      <c r="G365" s="28">
        <f>ROUND(E365*F365,2)</f>
        <v>0.98</v>
      </c>
    </row>
    <row r="366" spans="2:7" x14ac:dyDescent="0.3">
      <c r="B366" s="73">
        <f t="shared" si="9"/>
        <v>9</v>
      </c>
      <c r="C366" s="27" t="s">
        <v>942</v>
      </c>
      <c r="D366" s="75" t="s">
        <v>974</v>
      </c>
      <c r="E366" s="76">
        <f>'МЕДИЧНІ М'!E65</f>
        <v>24.6</v>
      </c>
      <c r="F366" s="77">
        <v>100</v>
      </c>
      <c r="G366" s="78">
        <f>ROUND(E366/F366,2)</f>
        <v>0.25</v>
      </c>
    </row>
    <row r="367" spans="2:7" x14ac:dyDescent="0.3">
      <c r="B367" s="73">
        <f t="shared" si="9"/>
        <v>10</v>
      </c>
      <c r="C367" s="27" t="s">
        <v>1124</v>
      </c>
      <c r="D367" s="28" t="s">
        <v>944</v>
      </c>
      <c r="E367" s="81">
        <f>'МЕДИЧНІ М'!E24</f>
        <v>0.5</v>
      </c>
      <c r="F367" s="81">
        <v>0.5</v>
      </c>
      <c r="G367" s="28">
        <f>ROUND(E367*F367,2)</f>
        <v>0.25</v>
      </c>
    </row>
    <row r="368" spans="2:7" x14ac:dyDescent="0.3">
      <c r="B368" s="1012" t="s">
        <v>945</v>
      </c>
      <c r="C368" s="1013"/>
      <c r="D368" s="1013"/>
      <c r="E368" s="1013"/>
      <c r="F368" s="1014"/>
      <c r="G368" s="89">
        <f>SUM(G358:G367)</f>
        <v>15.940000000000001</v>
      </c>
    </row>
    <row r="369" spans="3:9" ht="7.5" customHeight="1" x14ac:dyDescent="0.3"/>
    <row r="370" spans="3:9" x14ac:dyDescent="0.3">
      <c r="C370" s="12" t="s">
        <v>968</v>
      </c>
      <c r="D370" s="12"/>
      <c r="E370" s="12"/>
      <c r="F370" s="11">
        <f>H373</f>
        <v>0.72</v>
      </c>
      <c r="G370" s="12" t="s">
        <v>971</v>
      </c>
    </row>
    <row r="371" spans="3:9" x14ac:dyDescent="0.3">
      <c r="C371" s="22"/>
      <c r="D371" s="22"/>
      <c r="E371" s="22"/>
      <c r="F371" s="23"/>
      <c r="G371" s="22"/>
    </row>
    <row r="372" spans="3:9" ht="27.6" x14ac:dyDescent="0.3">
      <c r="C372" s="14" t="s">
        <v>513</v>
      </c>
      <c r="D372" s="14" t="s">
        <v>1108</v>
      </c>
      <c r="E372" s="14" t="s">
        <v>516</v>
      </c>
      <c r="F372" s="14" t="s">
        <v>970</v>
      </c>
      <c r="G372" s="14" t="s">
        <v>930</v>
      </c>
      <c r="H372" s="14" t="s">
        <v>961</v>
      </c>
    </row>
    <row r="373" spans="3:9" x14ac:dyDescent="0.3">
      <c r="C373" s="27" t="s">
        <v>1090</v>
      </c>
      <c r="D373" s="17">
        <f>АМОРТИЗАЦІЯ!C5</f>
        <v>34445.759999999995</v>
      </c>
      <c r="E373" s="17">
        <v>13679.5</v>
      </c>
      <c r="F373" s="17">
        <f>ROUND((D373/E373)/60,2)</f>
        <v>0.04</v>
      </c>
      <c r="G373" s="17">
        <f>E351+E350</f>
        <v>18</v>
      </c>
      <c r="H373" s="16">
        <f>ROUND(F373*G373,2)</f>
        <v>0.72</v>
      </c>
      <c r="I373" s="38"/>
    </row>
    <row r="374" spans="3:9" ht="8.25" customHeight="1" x14ac:dyDescent="0.3"/>
    <row r="375" spans="3:9" x14ac:dyDescent="0.3">
      <c r="C375" s="12" t="s">
        <v>948</v>
      </c>
      <c r="D375" s="12"/>
      <c r="E375" s="12"/>
      <c r="F375" s="11">
        <f>H388</f>
        <v>2.34</v>
      </c>
      <c r="G375" s="12" t="s">
        <v>971</v>
      </c>
    </row>
    <row r="376" spans="3:9" ht="5.25" customHeight="1" x14ac:dyDescent="0.3">
      <c r="C376" s="22"/>
      <c r="D376" s="22"/>
      <c r="E376" s="22"/>
      <c r="F376" s="23"/>
    </row>
    <row r="377" spans="3:9" ht="27.6" x14ac:dyDescent="0.3">
      <c r="C377" s="14" t="s">
        <v>948</v>
      </c>
      <c r="D377" s="14" t="s">
        <v>1110</v>
      </c>
      <c r="E377" s="14" t="s">
        <v>516</v>
      </c>
      <c r="F377" s="14" t="s">
        <v>954</v>
      </c>
      <c r="G377" s="14" t="s">
        <v>930</v>
      </c>
      <c r="H377" s="14" t="s">
        <v>1111</v>
      </c>
    </row>
    <row r="378" spans="3:9" x14ac:dyDescent="0.3">
      <c r="C378" s="1009" t="str">
        <f>C346</f>
        <v>Лікар-лаборант</v>
      </c>
      <c r="D378" s="1010"/>
      <c r="E378" s="1010"/>
      <c r="F378" s="1010"/>
      <c r="G378" s="1010"/>
      <c r="H378" s="1011"/>
    </row>
    <row r="379" spans="3:9" x14ac:dyDescent="0.3">
      <c r="C379" s="17" t="s">
        <v>951</v>
      </c>
      <c r="D379" s="112">
        <f>D323</f>
        <v>12188.608008565312</v>
      </c>
      <c r="E379" s="17">
        <f>I346</f>
        <v>1807.2</v>
      </c>
      <c r="F379" s="17">
        <f>ROUND((D379/E379)/60,2)</f>
        <v>0.11</v>
      </c>
      <c r="G379" s="17">
        <f>E350</f>
        <v>3</v>
      </c>
      <c r="H379" s="16">
        <f>ROUND(F379*G379,2)</f>
        <v>0.33</v>
      </c>
    </row>
    <row r="380" spans="3:9" x14ac:dyDescent="0.3">
      <c r="C380" s="17" t="s">
        <v>952</v>
      </c>
      <c r="D380" s="112">
        <f>D324</f>
        <v>53.149721627408987</v>
      </c>
      <c r="E380" s="17">
        <f>I346</f>
        <v>1807.2</v>
      </c>
      <c r="F380" s="17">
        <f>ROUND((D380/E380)/60,2)</f>
        <v>0</v>
      </c>
      <c r="G380" s="17">
        <f>E350</f>
        <v>3</v>
      </c>
      <c r="H380" s="16">
        <f>ROUND(F380*G380,2)</f>
        <v>0</v>
      </c>
    </row>
    <row r="381" spans="3:9" x14ac:dyDescent="0.3">
      <c r="C381" s="17" t="s">
        <v>953</v>
      </c>
      <c r="D381" s="112">
        <f>D325</f>
        <v>374.98368308351178</v>
      </c>
      <c r="E381" s="17">
        <f>I346</f>
        <v>1807.2</v>
      </c>
      <c r="F381" s="17">
        <f>ROUND((D381/E381)/60,2)</f>
        <v>0</v>
      </c>
      <c r="G381" s="17">
        <f>E350</f>
        <v>3</v>
      </c>
      <c r="H381" s="16">
        <f>ROUND(F381*G381,2)</f>
        <v>0</v>
      </c>
    </row>
    <row r="382" spans="3:9" x14ac:dyDescent="0.3">
      <c r="C382" s="17" t="s">
        <v>1109</v>
      </c>
      <c r="D382" s="112">
        <f>D326</f>
        <v>1686.0389293361886</v>
      </c>
      <c r="E382" s="17">
        <f>I346</f>
        <v>1807.2</v>
      </c>
      <c r="F382" s="17">
        <f>ROUND((D382/E382)/60,2)</f>
        <v>0.02</v>
      </c>
      <c r="G382" s="17">
        <f>E350</f>
        <v>3</v>
      </c>
      <c r="H382" s="16">
        <f>ROUND(F382*G382,2)</f>
        <v>0.06</v>
      </c>
    </row>
    <row r="383" spans="3:9" x14ac:dyDescent="0.3">
      <c r="C383" s="1009" t="str">
        <f>C347</f>
        <v>Лаборант клінічної лабораторії</v>
      </c>
      <c r="D383" s="1010"/>
      <c r="E383" s="1010"/>
      <c r="F383" s="1010"/>
      <c r="G383" s="1010"/>
      <c r="H383" s="1011"/>
    </row>
    <row r="384" spans="3:9" x14ac:dyDescent="0.3">
      <c r="C384" s="17" t="s">
        <v>951</v>
      </c>
      <c r="D384" s="112">
        <f>D328</f>
        <v>12188.608008565312</v>
      </c>
      <c r="E384" s="17">
        <f>I347</f>
        <v>1807.2</v>
      </c>
      <c r="F384" s="17">
        <f>ROUND((D384/E384)/60,2)</f>
        <v>0.11</v>
      </c>
      <c r="G384" s="17">
        <f>E351</f>
        <v>15</v>
      </c>
      <c r="H384" s="16">
        <f>ROUND(F384*G384,2)</f>
        <v>1.65</v>
      </c>
    </row>
    <row r="385" spans="1:20" x14ac:dyDescent="0.3">
      <c r="C385" s="17" t="s">
        <v>952</v>
      </c>
      <c r="D385" s="112">
        <f>D329</f>
        <v>53.149721627408987</v>
      </c>
      <c r="E385" s="17">
        <f>I347</f>
        <v>1807.2</v>
      </c>
      <c r="F385" s="17">
        <f>ROUND((D385/E385)/60,2)</f>
        <v>0</v>
      </c>
      <c r="G385" s="17">
        <f>E351</f>
        <v>15</v>
      </c>
      <c r="H385" s="16">
        <f>ROUND(F385*G385,2)</f>
        <v>0</v>
      </c>
    </row>
    <row r="386" spans="1:20" x14ac:dyDescent="0.3">
      <c r="C386" s="17" t="s">
        <v>953</v>
      </c>
      <c r="D386" s="112">
        <f>D330</f>
        <v>374.98368308351178</v>
      </c>
      <c r="E386" s="17">
        <f>I347</f>
        <v>1807.2</v>
      </c>
      <c r="F386" s="17">
        <f>ROUND((D386/E386)/60,2)</f>
        <v>0</v>
      </c>
      <c r="G386" s="17">
        <f>E351</f>
        <v>15</v>
      </c>
      <c r="H386" s="16">
        <f>ROUND(F386*G386,2)</f>
        <v>0</v>
      </c>
    </row>
    <row r="387" spans="1:20" x14ac:dyDescent="0.3">
      <c r="C387" s="17" t="s">
        <v>1109</v>
      </c>
      <c r="D387" s="112">
        <f>D331</f>
        <v>1686.0389293361886</v>
      </c>
      <c r="E387" s="17">
        <f>I347</f>
        <v>1807.2</v>
      </c>
      <c r="F387" s="17">
        <f>ROUND((D387/E387)/60,2)</f>
        <v>0.02</v>
      </c>
      <c r="G387" s="17">
        <f>E351</f>
        <v>15</v>
      </c>
      <c r="H387" s="16">
        <f>ROUND(F387*G387,2)</f>
        <v>0.3</v>
      </c>
    </row>
    <row r="388" spans="1:20" x14ac:dyDescent="0.3">
      <c r="C388" s="1012" t="s">
        <v>957</v>
      </c>
      <c r="D388" s="1013"/>
      <c r="E388" s="1013"/>
      <c r="F388" s="1013"/>
      <c r="G388" s="1014"/>
      <c r="H388" s="18">
        <f>SUM(H379:H387)</f>
        <v>2.34</v>
      </c>
    </row>
    <row r="389" spans="1:20" ht="6" customHeight="1" x14ac:dyDescent="0.3"/>
    <row r="390" spans="1:20" x14ac:dyDescent="0.3">
      <c r="C390" s="1015" t="s">
        <v>959</v>
      </c>
      <c r="D390" s="1015"/>
      <c r="E390" s="1015"/>
      <c r="F390" s="1015"/>
      <c r="G390" s="1015"/>
      <c r="H390" s="32">
        <f>F343+F355+F375+F370</f>
        <v>41.180000000000007</v>
      </c>
    </row>
    <row r="391" spans="1:20" ht="15.75" customHeight="1" x14ac:dyDescent="0.3">
      <c r="C391" s="33"/>
      <c r="D391" s="33"/>
      <c r="E391" s="33"/>
      <c r="F391" s="33"/>
      <c r="G391" s="33"/>
      <c r="H391" s="34"/>
    </row>
    <row r="392" spans="1:20" x14ac:dyDescent="0.3">
      <c r="C392" s="1015" t="s">
        <v>960</v>
      </c>
      <c r="D392" s="1015"/>
      <c r="E392" s="1015"/>
      <c r="F392" s="1015"/>
      <c r="G392" s="1015"/>
      <c r="H392" s="32">
        <f>ROUND(H390,0)</f>
        <v>41</v>
      </c>
    </row>
    <row r="393" spans="1:20" ht="10.5" customHeight="1" x14ac:dyDescent="0.3"/>
    <row r="394" spans="1:20" s="54" customFormat="1" ht="16.5" customHeight="1" x14ac:dyDescent="0.4">
      <c r="A394" s="53"/>
      <c r="B394" s="1016" t="s">
        <v>958</v>
      </c>
      <c r="C394" s="1016"/>
      <c r="D394" s="1016"/>
      <c r="E394" s="1016"/>
      <c r="F394" s="1016"/>
      <c r="G394" s="1016"/>
      <c r="H394" s="1016"/>
      <c r="I394" s="1016"/>
      <c r="J394" s="1016"/>
      <c r="K394" s="137"/>
      <c r="L394" s="126"/>
      <c r="M394" s="126"/>
      <c r="N394" s="70"/>
      <c r="O394" s="53"/>
      <c r="P394" s="53"/>
      <c r="Q394" s="53"/>
      <c r="R394" s="53"/>
      <c r="S394" s="53"/>
      <c r="T394" s="53"/>
    </row>
    <row r="395" spans="1:20" s="54" customFormat="1" ht="7.5" customHeight="1" x14ac:dyDescent="0.4">
      <c r="A395" s="53"/>
      <c r="B395" s="53"/>
      <c r="C395" s="53"/>
      <c r="D395" s="53"/>
      <c r="E395" s="53"/>
      <c r="F395" s="53"/>
      <c r="G395" s="53"/>
      <c r="H395" s="53"/>
      <c r="I395" s="53"/>
      <c r="J395" s="53"/>
      <c r="K395" s="132"/>
      <c r="L395" s="126"/>
      <c r="M395" s="126"/>
      <c r="N395" s="70"/>
      <c r="O395" s="53"/>
      <c r="P395" s="53"/>
      <c r="Q395" s="53"/>
      <c r="R395" s="53"/>
      <c r="S395" s="53"/>
      <c r="T395" s="53"/>
    </row>
    <row r="396" spans="1:20" s="54" customFormat="1" ht="56.25" customHeight="1" x14ac:dyDescent="0.4">
      <c r="A396" s="53"/>
      <c r="B396" s="50" t="s">
        <v>743</v>
      </c>
      <c r="C396" s="1017" t="s">
        <v>1208</v>
      </c>
      <c r="D396" s="1017"/>
      <c r="E396" s="1017"/>
      <c r="F396" s="52">
        <f>H452</f>
        <v>44</v>
      </c>
      <c r="G396" s="52" t="s">
        <v>971</v>
      </c>
      <c r="H396" s="53"/>
      <c r="I396" s="53"/>
      <c r="J396" s="53"/>
      <c r="K396" s="132"/>
      <c r="L396" s="126"/>
      <c r="M396" s="126"/>
      <c r="N396" s="70"/>
      <c r="O396" s="53"/>
      <c r="P396" s="53"/>
      <c r="Q396" s="53"/>
      <c r="R396" s="53"/>
      <c r="S396" s="53"/>
      <c r="T396" s="53"/>
    </row>
    <row r="397" spans="1:20" ht="9" customHeight="1" x14ac:dyDescent="0.3"/>
    <row r="398" spans="1:20" x14ac:dyDescent="0.3">
      <c r="C398" s="1018" t="s">
        <v>932</v>
      </c>
      <c r="D398" s="1018"/>
      <c r="E398" s="10"/>
      <c r="F398" s="11">
        <f>F405+F408+F406</f>
        <v>33.769999999999996</v>
      </c>
      <c r="G398" s="12" t="s">
        <v>971</v>
      </c>
    </row>
    <row r="399" spans="1:20" ht="6" customHeight="1" x14ac:dyDescent="0.3"/>
    <row r="400" spans="1:20" x14ac:dyDescent="0.3">
      <c r="C400" s="13" t="s">
        <v>929</v>
      </c>
      <c r="D400" s="14" t="s">
        <v>928</v>
      </c>
      <c r="E400" s="14" t="s">
        <v>514</v>
      </c>
      <c r="F400" s="14" t="s">
        <v>515</v>
      </c>
      <c r="G400" s="14" t="s">
        <v>962</v>
      </c>
      <c r="H400" s="14" t="s">
        <v>926</v>
      </c>
      <c r="I400" s="14" t="s">
        <v>516</v>
      </c>
      <c r="J400" s="14" t="s">
        <v>961</v>
      </c>
      <c r="K400" s="138"/>
    </row>
    <row r="401" spans="2:11" x14ac:dyDescent="0.3">
      <c r="C401" s="17" t="str">
        <f>C346</f>
        <v>Лікар-лаборант</v>
      </c>
      <c r="D401" s="16">
        <f>D346</f>
        <v>10799.43</v>
      </c>
      <c r="E401" s="16">
        <f>D401*12</f>
        <v>129593.16</v>
      </c>
      <c r="F401" s="16">
        <f>F346</f>
        <v>8307.26</v>
      </c>
      <c r="G401" s="16">
        <f>G346</f>
        <v>4153.63</v>
      </c>
      <c r="H401" s="16">
        <f>E401+F401+G401</f>
        <v>142054.05000000002</v>
      </c>
      <c r="I401" s="17">
        <v>1807.2</v>
      </c>
      <c r="J401" s="16">
        <f>ROUND((H401/I401)/60,2)</f>
        <v>1.31</v>
      </c>
      <c r="K401" s="140"/>
    </row>
    <row r="402" spans="2:11" x14ac:dyDescent="0.3">
      <c r="C402" s="17" t="str">
        <f>C347</f>
        <v>Лаборант клінічної лабораторії</v>
      </c>
      <c r="D402" s="16">
        <f>D347</f>
        <v>7871.18</v>
      </c>
      <c r="E402" s="16">
        <f>D402*12</f>
        <v>94454.16</v>
      </c>
      <c r="F402" s="16">
        <f>F347</f>
        <v>6054.75</v>
      </c>
      <c r="G402" s="16">
        <f>G347</f>
        <v>3027.375</v>
      </c>
      <c r="H402" s="16">
        <f>E402+F402+G402</f>
        <v>103536.285</v>
      </c>
      <c r="I402" s="17">
        <v>1807.2</v>
      </c>
      <c r="J402" s="16">
        <f>ROUND((H402/I402)/60,2)</f>
        <v>0.95</v>
      </c>
      <c r="K402" s="140"/>
    </row>
    <row r="403" spans="2:11" ht="6" customHeight="1" x14ac:dyDescent="0.3"/>
    <row r="404" spans="2:11" ht="27.6" x14ac:dyDescent="0.3">
      <c r="C404" s="13" t="s">
        <v>929</v>
      </c>
      <c r="D404" s="14" t="s">
        <v>961</v>
      </c>
      <c r="E404" s="14" t="s">
        <v>930</v>
      </c>
      <c r="F404" s="14" t="s">
        <v>931</v>
      </c>
    </row>
    <row r="405" spans="2:11" x14ac:dyDescent="0.3">
      <c r="C405" s="15" t="str">
        <f>C401</f>
        <v>Лікар-лаборант</v>
      </c>
      <c r="D405" s="16">
        <f>J401</f>
        <v>1.31</v>
      </c>
      <c r="E405" s="17">
        <v>3</v>
      </c>
      <c r="F405" s="18">
        <f>ROUND(D405*E405,2)</f>
        <v>3.93</v>
      </c>
    </row>
    <row r="406" spans="2:11" x14ac:dyDescent="0.3">
      <c r="C406" s="15" t="str">
        <f>C402</f>
        <v>Лаборант клінічної лабораторії</v>
      </c>
      <c r="D406" s="16">
        <f>J402</f>
        <v>0.95</v>
      </c>
      <c r="E406" s="17">
        <v>25</v>
      </c>
      <c r="F406" s="18">
        <f>ROUND(D406*E406,2)</f>
        <v>23.75</v>
      </c>
    </row>
    <row r="407" spans="2:11" ht="9" customHeight="1" x14ac:dyDescent="0.3">
      <c r="D407" s="19"/>
      <c r="E407" s="7" t="s">
        <v>1016</v>
      </c>
    </row>
    <row r="408" spans="2:11" x14ac:dyDescent="0.3">
      <c r="C408" s="17" t="s">
        <v>933</v>
      </c>
      <c r="D408" s="16">
        <f>F405+F406</f>
        <v>27.68</v>
      </c>
      <c r="E408" s="20">
        <v>0.22</v>
      </c>
      <c r="F408" s="21">
        <f>ROUND(D408*E408,2)</f>
        <v>6.09</v>
      </c>
    </row>
    <row r="409" spans="2:11" ht="4.5" customHeight="1" x14ac:dyDescent="0.3"/>
    <row r="410" spans="2:11" x14ac:dyDescent="0.3">
      <c r="C410" s="12" t="s">
        <v>946</v>
      </c>
      <c r="D410" s="12"/>
      <c r="E410" s="12"/>
      <c r="F410" s="12">
        <f>G428</f>
        <v>5.96</v>
      </c>
      <c r="G410" s="12" t="s">
        <v>971</v>
      </c>
    </row>
    <row r="411" spans="2:11" ht="3" customHeight="1" x14ac:dyDescent="0.3"/>
    <row r="412" spans="2:11" ht="27.6" x14ac:dyDescent="0.3">
      <c r="B412" s="82" t="s">
        <v>991</v>
      </c>
      <c r="C412" s="83" t="s">
        <v>986</v>
      </c>
      <c r="D412" s="83" t="s">
        <v>987</v>
      </c>
      <c r="E412" s="83" t="s">
        <v>988</v>
      </c>
      <c r="F412" s="83" t="s">
        <v>989</v>
      </c>
      <c r="G412" s="82" t="s">
        <v>990</v>
      </c>
    </row>
    <row r="413" spans="2:11" x14ac:dyDescent="0.3">
      <c r="B413" s="84">
        <v>1</v>
      </c>
      <c r="C413" s="85" t="s">
        <v>1035</v>
      </c>
      <c r="D413" s="86" t="s">
        <v>1036</v>
      </c>
      <c r="E413" s="87">
        <f>'МЕДИЧНІ М'!E41</f>
        <v>135</v>
      </c>
      <c r="F413" s="86">
        <v>800</v>
      </c>
      <c r="G413" s="88">
        <f t="shared" ref="G413:G421" si="10">ROUND(E413/F413,2)</f>
        <v>0.17</v>
      </c>
    </row>
    <row r="414" spans="2:11" x14ac:dyDescent="0.3">
      <c r="B414" s="73">
        <f>B413+1</f>
        <v>2</v>
      </c>
      <c r="C414" s="85" t="s">
        <v>1018</v>
      </c>
      <c r="D414" s="86" t="s">
        <v>941</v>
      </c>
      <c r="E414" s="87">
        <f>'МЕДИЧНІ М'!E75</f>
        <v>11</v>
      </c>
      <c r="F414" s="86">
        <v>200</v>
      </c>
      <c r="G414" s="88">
        <f t="shared" si="10"/>
        <v>0.06</v>
      </c>
    </row>
    <row r="415" spans="2:11" x14ac:dyDescent="0.3">
      <c r="B415" s="73">
        <f t="shared" ref="B415:B427" si="11">B414+1</f>
        <v>3</v>
      </c>
      <c r="C415" s="79" t="s">
        <v>1037</v>
      </c>
      <c r="D415" s="75" t="s">
        <v>1038</v>
      </c>
      <c r="E415" s="75">
        <f>'МЕДИЧНІ М'!E46</f>
        <v>80</v>
      </c>
      <c r="F415" s="86">
        <v>200</v>
      </c>
      <c r="G415" s="88">
        <f t="shared" si="10"/>
        <v>0.4</v>
      </c>
    </row>
    <row r="416" spans="2:11" x14ac:dyDescent="0.3">
      <c r="B416" s="73">
        <f t="shared" si="11"/>
        <v>4</v>
      </c>
      <c r="C416" s="79" t="s">
        <v>1039</v>
      </c>
      <c r="D416" s="75" t="s">
        <v>977</v>
      </c>
      <c r="E416" s="75">
        <f>'МЕДИЧНІ М'!E45</f>
        <v>86</v>
      </c>
      <c r="F416" s="86">
        <v>800</v>
      </c>
      <c r="G416" s="88">
        <f t="shared" si="10"/>
        <v>0.11</v>
      </c>
    </row>
    <row r="417" spans="2:8" x14ac:dyDescent="0.3">
      <c r="B417" s="73">
        <f t="shared" si="11"/>
        <v>5</v>
      </c>
      <c r="C417" s="79" t="s">
        <v>1040</v>
      </c>
      <c r="D417" s="76" t="s">
        <v>941</v>
      </c>
      <c r="E417" s="75">
        <f>'МЕДИЧНІ М'!E31</f>
        <v>7.4</v>
      </c>
      <c r="F417" s="80">
        <v>50</v>
      </c>
      <c r="G417" s="88">
        <f t="shared" si="10"/>
        <v>0.15</v>
      </c>
    </row>
    <row r="418" spans="2:8" x14ac:dyDescent="0.3">
      <c r="B418" s="73">
        <f t="shared" si="11"/>
        <v>6</v>
      </c>
      <c r="C418" s="79" t="s">
        <v>934</v>
      </c>
      <c r="D418" s="76" t="s">
        <v>941</v>
      </c>
      <c r="E418" s="76">
        <f>'МЕДИЧНІ М'!E59</f>
        <v>2.8</v>
      </c>
      <c r="F418" s="86">
        <v>10</v>
      </c>
      <c r="G418" s="88">
        <f t="shared" si="10"/>
        <v>0.28000000000000003</v>
      </c>
    </row>
    <row r="419" spans="2:8" x14ac:dyDescent="0.3">
      <c r="B419" s="73">
        <f t="shared" si="11"/>
        <v>7</v>
      </c>
      <c r="C419" s="27" t="s">
        <v>942</v>
      </c>
      <c r="D419" s="75" t="s">
        <v>974</v>
      </c>
      <c r="E419" s="76">
        <f>'МЕДИЧНІ М'!E65</f>
        <v>24.6</v>
      </c>
      <c r="F419" s="77">
        <v>100</v>
      </c>
      <c r="G419" s="78">
        <f t="shared" si="10"/>
        <v>0.25</v>
      </c>
    </row>
    <row r="420" spans="2:8" x14ac:dyDescent="0.3">
      <c r="B420" s="73">
        <f t="shared" si="11"/>
        <v>8</v>
      </c>
      <c r="C420" s="79" t="s">
        <v>985</v>
      </c>
      <c r="D420" s="76" t="s">
        <v>937</v>
      </c>
      <c r="E420" s="76">
        <f>'МЕДИЧНІ М'!F39</f>
        <v>0.3</v>
      </c>
      <c r="F420" s="77">
        <v>1</v>
      </c>
      <c r="G420" s="78">
        <f t="shared" si="10"/>
        <v>0.3</v>
      </c>
    </row>
    <row r="421" spans="2:8" x14ac:dyDescent="0.3">
      <c r="B421" s="73">
        <f t="shared" si="11"/>
        <v>9</v>
      </c>
      <c r="C421" s="79" t="s">
        <v>983</v>
      </c>
      <c r="D421" s="76" t="s">
        <v>941</v>
      </c>
      <c r="E421" s="76">
        <f>'МЕДИЧНІ М'!E23</f>
        <v>7.5</v>
      </c>
      <c r="F421" s="77">
        <v>1000</v>
      </c>
      <c r="G421" s="88">
        <f t="shared" si="10"/>
        <v>0.01</v>
      </c>
    </row>
    <row r="422" spans="2:8" x14ac:dyDescent="0.3">
      <c r="B422" s="73">
        <f t="shared" si="11"/>
        <v>10</v>
      </c>
      <c r="C422" s="79" t="s">
        <v>981</v>
      </c>
      <c r="D422" s="76" t="s">
        <v>941</v>
      </c>
      <c r="E422" s="76">
        <f>'МЕДИЧНІ М'!E49</f>
        <v>0.6</v>
      </c>
      <c r="F422" s="77">
        <v>1</v>
      </c>
      <c r="G422" s="88">
        <f>ROUND(E422*F422,2)</f>
        <v>0.6</v>
      </c>
    </row>
    <row r="423" spans="2:8" x14ac:dyDescent="0.3">
      <c r="B423" s="73">
        <f t="shared" si="11"/>
        <v>11</v>
      </c>
      <c r="C423" s="79" t="s">
        <v>1041</v>
      </c>
      <c r="D423" s="76" t="s">
        <v>941</v>
      </c>
      <c r="E423" s="76">
        <f>'МЕДИЧНІ М'!E63</f>
        <v>0.2</v>
      </c>
      <c r="F423" s="77">
        <v>1</v>
      </c>
      <c r="G423" s="88">
        <f>ROUND(E423*F423,2)</f>
        <v>0.2</v>
      </c>
    </row>
    <row r="424" spans="2:8" x14ac:dyDescent="0.3">
      <c r="B424" s="73">
        <f t="shared" si="11"/>
        <v>12</v>
      </c>
      <c r="C424" s="27" t="s">
        <v>972</v>
      </c>
      <c r="D424" s="76" t="s">
        <v>944</v>
      </c>
      <c r="E424" s="76">
        <f>'МЕДИЧНІ М'!E21</f>
        <v>7</v>
      </c>
      <c r="F424" s="86">
        <v>100</v>
      </c>
      <c r="G424" s="88">
        <f>ROUND(E424/F424,2)</f>
        <v>7.0000000000000007E-2</v>
      </c>
    </row>
    <row r="425" spans="2:8" x14ac:dyDescent="0.3">
      <c r="B425" s="73">
        <f t="shared" si="11"/>
        <v>13</v>
      </c>
      <c r="C425" s="79" t="s">
        <v>982</v>
      </c>
      <c r="D425" s="76" t="s">
        <v>941</v>
      </c>
      <c r="E425" s="76">
        <f>'МЕДИЧНІ М'!E48</f>
        <v>11</v>
      </c>
      <c r="F425" s="77">
        <v>100</v>
      </c>
      <c r="G425" s="88">
        <f>ROUND(E425/F425,2)</f>
        <v>0.11</v>
      </c>
    </row>
    <row r="426" spans="2:8" x14ac:dyDescent="0.3">
      <c r="B426" s="73">
        <f t="shared" si="11"/>
        <v>14</v>
      </c>
      <c r="C426" s="27" t="s">
        <v>940</v>
      </c>
      <c r="D426" s="28" t="s">
        <v>941</v>
      </c>
      <c r="E426" s="81">
        <f>'МЕДИЧНІ М'!E37</f>
        <v>2</v>
      </c>
      <c r="F426" s="28">
        <v>1.5</v>
      </c>
      <c r="G426" s="28">
        <f>ROUND(E426*F426,2)</f>
        <v>3</v>
      </c>
    </row>
    <row r="427" spans="2:8" x14ac:dyDescent="0.3">
      <c r="B427" s="73">
        <f t="shared" si="11"/>
        <v>15</v>
      </c>
      <c r="C427" s="27" t="s">
        <v>1124</v>
      </c>
      <c r="D427" s="28" t="s">
        <v>944</v>
      </c>
      <c r="E427" s="81">
        <f>'МЕДИЧНІ М'!E24</f>
        <v>0.5</v>
      </c>
      <c r="F427" s="81">
        <v>0.5</v>
      </c>
      <c r="G427" s="28">
        <f>ROUND(E427*F427,2)</f>
        <v>0.25</v>
      </c>
    </row>
    <row r="428" spans="2:8" x14ac:dyDescent="0.3">
      <c r="B428" s="1012" t="s">
        <v>945</v>
      </c>
      <c r="C428" s="1013"/>
      <c r="D428" s="1013"/>
      <c r="E428" s="1013"/>
      <c r="F428" s="1014"/>
      <c r="G428" s="89">
        <f>SUM(G413:G427)</f>
        <v>5.96</v>
      </c>
    </row>
    <row r="429" spans="2:8" ht="4.5" customHeight="1" x14ac:dyDescent="0.3"/>
    <row r="430" spans="2:8" x14ac:dyDescent="0.3">
      <c r="C430" s="12" t="s">
        <v>968</v>
      </c>
      <c r="D430" s="12"/>
      <c r="E430" s="12"/>
      <c r="F430" s="11">
        <f>H433</f>
        <v>1.1200000000000001</v>
      </c>
      <c r="G430" s="12" t="s">
        <v>971</v>
      </c>
    </row>
    <row r="431" spans="2:8" ht="4.5" customHeight="1" x14ac:dyDescent="0.3">
      <c r="C431" s="22"/>
      <c r="D431" s="22"/>
      <c r="E431" s="22"/>
      <c r="F431" s="23"/>
      <c r="G431" s="22"/>
    </row>
    <row r="432" spans="2:8" ht="27.6" x14ac:dyDescent="0.3">
      <c r="C432" s="14" t="s">
        <v>513</v>
      </c>
      <c r="D432" s="14" t="s">
        <v>1108</v>
      </c>
      <c r="E432" s="14" t="s">
        <v>516</v>
      </c>
      <c r="F432" s="14" t="s">
        <v>970</v>
      </c>
      <c r="G432" s="14" t="s">
        <v>930</v>
      </c>
      <c r="H432" s="14" t="s">
        <v>961</v>
      </c>
    </row>
    <row r="433" spans="3:9" x14ac:dyDescent="0.3">
      <c r="C433" s="27" t="s">
        <v>1090</v>
      </c>
      <c r="D433" s="17">
        <f>АМОРТИЗАЦІЯ!C5</f>
        <v>34445.759999999995</v>
      </c>
      <c r="E433" s="17">
        <v>13679.5</v>
      </c>
      <c r="F433" s="17">
        <f>ROUND((D433/E433)/60,2)</f>
        <v>0.04</v>
      </c>
      <c r="G433" s="17">
        <f>E406+E405</f>
        <v>28</v>
      </c>
      <c r="H433" s="16">
        <f>ROUND(F433*G433,2)</f>
        <v>1.1200000000000001</v>
      </c>
      <c r="I433" s="38"/>
    </row>
    <row r="434" spans="3:9" ht="5.25" customHeight="1" x14ac:dyDescent="0.3"/>
    <row r="435" spans="3:9" x14ac:dyDescent="0.3">
      <c r="C435" s="12" t="s">
        <v>948</v>
      </c>
      <c r="D435" s="12"/>
      <c r="E435" s="12"/>
      <c r="F435" s="11">
        <f>H448</f>
        <v>3.64</v>
      </c>
      <c r="G435" s="12" t="s">
        <v>971</v>
      </c>
    </row>
    <row r="436" spans="3:9" ht="1.5" customHeight="1" x14ac:dyDescent="0.3">
      <c r="C436" s="22"/>
      <c r="D436" s="22"/>
      <c r="E436" s="22"/>
      <c r="F436" s="23"/>
    </row>
    <row r="437" spans="3:9" ht="27.6" x14ac:dyDescent="0.3">
      <c r="C437" s="14" t="s">
        <v>948</v>
      </c>
      <c r="D437" s="14" t="s">
        <v>1110</v>
      </c>
      <c r="E437" s="14" t="s">
        <v>516</v>
      </c>
      <c r="F437" s="14" t="s">
        <v>954</v>
      </c>
      <c r="G437" s="14" t="s">
        <v>930</v>
      </c>
      <c r="H437" s="14" t="s">
        <v>1111</v>
      </c>
    </row>
    <row r="438" spans="3:9" x14ac:dyDescent="0.3">
      <c r="C438" s="1009" t="str">
        <f>C401</f>
        <v>Лікар-лаборант</v>
      </c>
      <c r="D438" s="1010"/>
      <c r="E438" s="1010"/>
      <c r="F438" s="1010"/>
      <c r="G438" s="1010"/>
      <c r="H438" s="1011"/>
    </row>
    <row r="439" spans="3:9" x14ac:dyDescent="0.3">
      <c r="C439" s="17" t="s">
        <v>951</v>
      </c>
      <c r="D439" s="112">
        <f>D379</f>
        <v>12188.608008565312</v>
      </c>
      <c r="E439" s="17">
        <f>I401</f>
        <v>1807.2</v>
      </c>
      <c r="F439" s="17">
        <f>ROUND((D439/E439)/60,2)</f>
        <v>0.11</v>
      </c>
      <c r="G439" s="17">
        <f>E405</f>
        <v>3</v>
      </c>
      <c r="H439" s="16">
        <f>ROUND(F439*G439,2)</f>
        <v>0.33</v>
      </c>
    </row>
    <row r="440" spans="3:9" x14ac:dyDescent="0.3">
      <c r="C440" s="17" t="s">
        <v>952</v>
      </c>
      <c r="D440" s="112">
        <f>D380</f>
        <v>53.149721627408987</v>
      </c>
      <c r="E440" s="17">
        <f>I401</f>
        <v>1807.2</v>
      </c>
      <c r="F440" s="17">
        <f>ROUND((D440/E440)/60,2)</f>
        <v>0</v>
      </c>
      <c r="G440" s="17">
        <f>E405</f>
        <v>3</v>
      </c>
      <c r="H440" s="16">
        <f>ROUND(F440*G440,2)</f>
        <v>0</v>
      </c>
    </row>
    <row r="441" spans="3:9" x14ac:dyDescent="0.3">
      <c r="C441" s="17" t="s">
        <v>953</v>
      </c>
      <c r="D441" s="112">
        <f>D381</f>
        <v>374.98368308351178</v>
      </c>
      <c r="E441" s="17">
        <f>I401</f>
        <v>1807.2</v>
      </c>
      <c r="F441" s="17">
        <f>ROUND((D441/E441)/60,2)</f>
        <v>0</v>
      </c>
      <c r="G441" s="17">
        <f>E405</f>
        <v>3</v>
      </c>
      <c r="H441" s="16">
        <f>ROUND(F441*G441,2)</f>
        <v>0</v>
      </c>
    </row>
    <row r="442" spans="3:9" x14ac:dyDescent="0.3">
      <c r="C442" s="17" t="s">
        <v>1109</v>
      </c>
      <c r="D442" s="112">
        <f>D382</f>
        <v>1686.0389293361886</v>
      </c>
      <c r="E442" s="17">
        <f>I401</f>
        <v>1807.2</v>
      </c>
      <c r="F442" s="17">
        <f>ROUND((D442/E442)/60,2)</f>
        <v>0.02</v>
      </c>
      <c r="G442" s="17">
        <f>E405</f>
        <v>3</v>
      </c>
      <c r="H442" s="16">
        <f>ROUND(F442*G442,2)</f>
        <v>0.06</v>
      </c>
    </row>
    <row r="443" spans="3:9" x14ac:dyDescent="0.3">
      <c r="C443" s="1009" t="str">
        <f>C402</f>
        <v>Лаборант клінічної лабораторії</v>
      </c>
      <c r="D443" s="1010"/>
      <c r="E443" s="1010"/>
      <c r="F443" s="1010"/>
      <c r="G443" s="1010"/>
      <c r="H443" s="1011"/>
    </row>
    <row r="444" spans="3:9" x14ac:dyDescent="0.3">
      <c r="C444" s="17" t="s">
        <v>951</v>
      </c>
      <c r="D444" s="112">
        <f>D384</f>
        <v>12188.608008565312</v>
      </c>
      <c r="E444" s="17">
        <f>I402</f>
        <v>1807.2</v>
      </c>
      <c r="F444" s="17">
        <f>ROUND((D444/E444)/60,2)</f>
        <v>0.11</v>
      </c>
      <c r="G444" s="17">
        <f>E406</f>
        <v>25</v>
      </c>
      <c r="H444" s="16">
        <f>ROUND(F444*G444,2)</f>
        <v>2.75</v>
      </c>
    </row>
    <row r="445" spans="3:9" x14ac:dyDescent="0.3">
      <c r="C445" s="17" t="s">
        <v>952</v>
      </c>
      <c r="D445" s="112">
        <f>D385</f>
        <v>53.149721627408987</v>
      </c>
      <c r="E445" s="17">
        <f>I402</f>
        <v>1807.2</v>
      </c>
      <c r="F445" s="17">
        <f>ROUND((D445/E445)/60,2)</f>
        <v>0</v>
      </c>
      <c r="G445" s="17">
        <f>E406</f>
        <v>25</v>
      </c>
      <c r="H445" s="16">
        <f>ROUND(F445*G445,2)</f>
        <v>0</v>
      </c>
    </row>
    <row r="446" spans="3:9" x14ac:dyDescent="0.3">
      <c r="C446" s="17" t="s">
        <v>953</v>
      </c>
      <c r="D446" s="112">
        <f>D386</f>
        <v>374.98368308351178</v>
      </c>
      <c r="E446" s="17">
        <f>I402</f>
        <v>1807.2</v>
      </c>
      <c r="F446" s="17">
        <f>ROUND((D446/E446)/60,2)</f>
        <v>0</v>
      </c>
      <c r="G446" s="17">
        <f>E406</f>
        <v>25</v>
      </c>
      <c r="H446" s="16">
        <f>ROUND(F446*G446,2)</f>
        <v>0</v>
      </c>
    </row>
    <row r="447" spans="3:9" x14ac:dyDescent="0.3">
      <c r="C447" s="17" t="s">
        <v>1109</v>
      </c>
      <c r="D447" s="112">
        <f>D387</f>
        <v>1686.0389293361886</v>
      </c>
      <c r="E447" s="17">
        <f>I402</f>
        <v>1807.2</v>
      </c>
      <c r="F447" s="17">
        <f>ROUND((D447/E447)/60,2)</f>
        <v>0.02</v>
      </c>
      <c r="G447" s="17">
        <f>E406</f>
        <v>25</v>
      </c>
      <c r="H447" s="16">
        <f>ROUND(F447*G447,2)</f>
        <v>0.5</v>
      </c>
    </row>
    <row r="448" spans="3:9" x14ac:dyDescent="0.3">
      <c r="C448" s="1012" t="s">
        <v>957</v>
      </c>
      <c r="D448" s="1013"/>
      <c r="E448" s="1013"/>
      <c r="F448" s="1013"/>
      <c r="G448" s="1014"/>
      <c r="H448" s="18">
        <f>SUM(H439:H447)</f>
        <v>3.64</v>
      </c>
    </row>
    <row r="449" spans="1:20" ht="2.25" customHeight="1" x14ac:dyDescent="0.3"/>
    <row r="450" spans="1:20" x14ac:dyDescent="0.3">
      <c r="C450" s="1015" t="s">
        <v>959</v>
      </c>
      <c r="D450" s="1015"/>
      <c r="E450" s="1015"/>
      <c r="F450" s="1015"/>
      <c r="G450" s="1015"/>
      <c r="H450" s="32">
        <f>F398+F410+F435+F430</f>
        <v>44.489999999999995</v>
      </c>
    </row>
    <row r="451" spans="1:20" ht="9" customHeight="1" x14ac:dyDescent="0.3">
      <c r="C451" s="33"/>
      <c r="D451" s="33"/>
      <c r="E451" s="33"/>
      <c r="F451" s="33"/>
      <c r="G451" s="33"/>
      <c r="H451" s="34"/>
    </row>
    <row r="452" spans="1:20" x14ac:dyDescent="0.3">
      <c r="C452" s="1015" t="s">
        <v>960</v>
      </c>
      <c r="D452" s="1015"/>
      <c r="E452" s="1015"/>
      <c r="F452" s="1015"/>
      <c r="G452" s="1015"/>
      <c r="H452" s="32">
        <f>ROUND(H450,0)</f>
        <v>44</v>
      </c>
    </row>
    <row r="453" spans="1:20" ht="16.5" customHeight="1" x14ac:dyDescent="0.3"/>
    <row r="454" spans="1:20" s="54" customFormat="1" ht="19.8" x14ac:dyDescent="0.4">
      <c r="A454" s="53"/>
      <c r="B454" s="1016" t="s">
        <v>958</v>
      </c>
      <c r="C454" s="1016"/>
      <c r="D454" s="1016"/>
      <c r="E454" s="1016"/>
      <c r="F454" s="1016"/>
      <c r="G454" s="1016"/>
      <c r="H454" s="1016"/>
      <c r="I454" s="1016"/>
      <c r="J454" s="1016"/>
      <c r="K454" s="137"/>
      <c r="L454" s="126"/>
      <c r="M454" s="126"/>
      <c r="N454" s="70"/>
      <c r="O454" s="53"/>
      <c r="P454" s="53"/>
      <c r="Q454" s="53"/>
      <c r="R454" s="53"/>
      <c r="S454" s="53"/>
      <c r="T454" s="53"/>
    </row>
    <row r="455" spans="1:20" s="54" customFormat="1" ht="3" customHeight="1" x14ac:dyDescent="0.4">
      <c r="A455" s="53"/>
      <c r="B455" s="53"/>
      <c r="C455" s="53"/>
      <c r="D455" s="53"/>
      <c r="E455" s="53"/>
      <c r="F455" s="53"/>
      <c r="G455" s="53"/>
      <c r="H455" s="53"/>
      <c r="I455" s="53"/>
      <c r="J455" s="53"/>
      <c r="K455" s="132"/>
      <c r="L455" s="126"/>
      <c r="M455" s="126"/>
      <c r="N455" s="70"/>
      <c r="O455" s="53"/>
      <c r="P455" s="53"/>
      <c r="Q455" s="53"/>
      <c r="R455" s="53"/>
      <c r="S455" s="53"/>
      <c r="T455" s="53"/>
    </row>
    <row r="456" spans="1:20" s="54" customFormat="1" ht="35.25" customHeight="1" x14ac:dyDescent="0.4">
      <c r="A456" s="53"/>
      <c r="B456" s="50" t="s">
        <v>745</v>
      </c>
      <c r="C456" s="1017" t="s">
        <v>746</v>
      </c>
      <c r="D456" s="1017"/>
      <c r="E456" s="1017"/>
      <c r="F456" s="52">
        <f>H516</f>
        <v>84</v>
      </c>
      <c r="G456" s="52" t="s">
        <v>971</v>
      </c>
      <c r="H456" s="53"/>
      <c r="I456" s="53"/>
      <c r="J456" s="53"/>
      <c r="K456" s="132"/>
      <c r="L456" s="126"/>
      <c r="M456" s="126"/>
      <c r="N456" s="70"/>
      <c r="O456" s="53"/>
      <c r="P456" s="53"/>
      <c r="Q456" s="53"/>
      <c r="R456" s="53"/>
      <c r="S456" s="53"/>
      <c r="T456" s="53"/>
    </row>
    <row r="457" spans="1:20" ht="3.75" customHeight="1" x14ac:dyDescent="0.3"/>
    <row r="458" spans="1:20" x14ac:dyDescent="0.3">
      <c r="C458" s="1018" t="s">
        <v>932</v>
      </c>
      <c r="D458" s="1018"/>
      <c r="E458" s="10"/>
      <c r="F458" s="11">
        <f>F465+F468+F466</f>
        <v>69.67</v>
      </c>
      <c r="G458" s="12" t="s">
        <v>971</v>
      </c>
    </row>
    <row r="459" spans="1:20" ht="5.25" customHeight="1" x14ac:dyDescent="0.3"/>
    <row r="460" spans="1:20" x14ac:dyDescent="0.3">
      <c r="C460" s="13" t="s">
        <v>929</v>
      </c>
      <c r="D460" s="14" t="s">
        <v>928</v>
      </c>
      <c r="E460" s="14" t="s">
        <v>514</v>
      </c>
      <c r="F460" s="14" t="s">
        <v>515</v>
      </c>
      <c r="G460" s="14" t="s">
        <v>962</v>
      </c>
      <c r="H460" s="14" t="s">
        <v>926</v>
      </c>
      <c r="I460" s="14" t="s">
        <v>516</v>
      </c>
      <c r="J460" s="14" t="s">
        <v>961</v>
      </c>
      <c r="K460" s="138"/>
    </row>
    <row r="461" spans="1:20" x14ac:dyDescent="0.3">
      <c r="C461" s="17" t="str">
        <f>C401</f>
        <v>Лікар-лаборант</v>
      </c>
      <c r="D461" s="16">
        <f>D401</f>
        <v>10799.43</v>
      </c>
      <c r="E461" s="16">
        <f>D461*12</f>
        <v>129593.16</v>
      </c>
      <c r="F461" s="16">
        <f>F401</f>
        <v>8307.26</v>
      </c>
      <c r="G461" s="16">
        <f>G401</f>
        <v>4153.63</v>
      </c>
      <c r="H461" s="16">
        <f>E461+F461+G461</f>
        <v>142054.05000000002</v>
      </c>
      <c r="I461" s="17">
        <v>1807.2</v>
      </c>
      <c r="J461" s="16">
        <f>ROUND((H461/I461)/60,2)</f>
        <v>1.31</v>
      </c>
      <c r="K461" s="140"/>
    </row>
    <row r="462" spans="1:20" x14ac:dyDescent="0.3">
      <c r="C462" s="17" t="str">
        <f>C402</f>
        <v>Лаборант клінічної лабораторії</v>
      </c>
      <c r="D462" s="16">
        <f>D402</f>
        <v>7871.18</v>
      </c>
      <c r="E462" s="16">
        <f>D462*12</f>
        <v>94454.16</v>
      </c>
      <c r="F462" s="16">
        <f>F402</f>
        <v>6054.75</v>
      </c>
      <c r="G462" s="16">
        <f>G402</f>
        <v>3027.375</v>
      </c>
      <c r="H462" s="16">
        <f>E462+F462+G462</f>
        <v>103536.285</v>
      </c>
      <c r="I462" s="17">
        <v>1807.2</v>
      </c>
      <c r="J462" s="16">
        <f>ROUND((H462/I462)/60,2)</f>
        <v>0.95</v>
      </c>
      <c r="K462" s="140"/>
    </row>
    <row r="463" spans="1:20" ht="4.5" customHeight="1" x14ac:dyDescent="0.3"/>
    <row r="464" spans="1:20" ht="27.6" x14ac:dyDescent="0.3">
      <c r="C464" s="13" t="s">
        <v>929</v>
      </c>
      <c r="D464" s="14" t="s">
        <v>961</v>
      </c>
      <c r="E464" s="14" t="s">
        <v>930</v>
      </c>
      <c r="F464" s="14" t="s">
        <v>931</v>
      </c>
    </row>
    <row r="465" spans="2:7" x14ac:dyDescent="0.3">
      <c r="C465" s="15" t="str">
        <f>C461</f>
        <v>Лікар-лаборант</v>
      </c>
      <c r="D465" s="16">
        <f>J461</f>
        <v>1.31</v>
      </c>
      <c r="E465" s="17">
        <v>42.5</v>
      </c>
      <c r="F465" s="18">
        <f>ROUND(D465*E465,2)</f>
        <v>55.68</v>
      </c>
    </row>
    <row r="466" spans="2:7" x14ac:dyDescent="0.3">
      <c r="C466" s="15" t="str">
        <f>C462</f>
        <v>Лаборант клінічної лабораторії</v>
      </c>
      <c r="D466" s="16">
        <f>J462</f>
        <v>0.95</v>
      </c>
      <c r="E466" s="17">
        <v>1.5</v>
      </c>
      <c r="F466" s="18">
        <f>ROUND(D466*E466,2)</f>
        <v>1.43</v>
      </c>
    </row>
    <row r="467" spans="2:7" ht="4.5" customHeight="1" x14ac:dyDescent="0.3">
      <c r="D467" s="19"/>
      <c r="E467" s="7" t="s">
        <v>1016</v>
      </c>
    </row>
    <row r="468" spans="2:7" x14ac:dyDescent="0.3">
      <c r="C468" s="17" t="s">
        <v>933</v>
      </c>
      <c r="D468" s="16">
        <f>F465+F466</f>
        <v>57.11</v>
      </c>
      <c r="E468" s="20">
        <v>0.22</v>
      </c>
      <c r="F468" s="21">
        <f>ROUND(D468*E468,2)</f>
        <v>12.56</v>
      </c>
    </row>
    <row r="469" spans="2:7" ht="4.5" customHeight="1" x14ac:dyDescent="0.3"/>
    <row r="470" spans="2:7" x14ac:dyDescent="0.3">
      <c r="C470" s="12" t="s">
        <v>946</v>
      </c>
      <c r="D470" s="12"/>
      <c r="E470" s="12"/>
      <c r="F470" s="12">
        <f>G492</f>
        <v>6.5200000000000005</v>
      </c>
      <c r="G470" s="12" t="s">
        <v>971</v>
      </c>
    </row>
    <row r="471" spans="2:7" ht="3" customHeight="1" x14ac:dyDescent="0.3"/>
    <row r="472" spans="2:7" ht="19.5" customHeight="1" x14ac:dyDescent="0.3">
      <c r="B472" s="82" t="s">
        <v>991</v>
      </c>
      <c r="C472" s="83" t="s">
        <v>986</v>
      </c>
      <c r="D472" s="83" t="s">
        <v>1112</v>
      </c>
      <c r="E472" s="83" t="s">
        <v>988</v>
      </c>
      <c r="F472" s="83" t="s">
        <v>1113</v>
      </c>
      <c r="G472" s="82" t="s">
        <v>988</v>
      </c>
    </row>
    <row r="473" spans="2:7" x14ac:dyDescent="0.3">
      <c r="B473" s="84">
        <v>1</v>
      </c>
      <c r="C473" s="85" t="s">
        <v>1035</v>
      </c>
      <c r="D473" s="86" t="s">
        <v>1036</v>
      </c>
      <c r="E473" s="87">
        <f>'МЕДИЧНІ М'!E41</f>
        <v>135</v>
      </c>
      <c r="F473" s="86">
        <v>800</v>
      </c>
      <c r="G473" s="88">
        <f t="shared" ref="G473:G481" si="12">ROUND(E473/F473,2)</f>
        <v>0.17</v>
      </c>
    </row>
    <row r="474" spans="2:7" x14ac:dyDescent="0.3">
      <c r="B474" s="73">
        <f>B473+1</f>
        <v>2</v>
      </c>
      <c r="C474" s="85" t="s">
        <v>1018</v>
      </c>
      <c r="D474" s="86" t="s">
        <v>941</v>
      </c>
      <c r="E474" s="87">
        <f>'МЕДИЧНІ М'!E75</f>
        <v>11</v>
      </c>
      <c r="F474" s="86">
        <v>200</v>
      </c>
      <c r="G474" s="88">
        <f t="shared" si="12"/>
        <v>0.06</v>
      </c>
    </row>
    <row r="475" spans="2:7" x14ac:dyDescent="0.3">
      <c r="B475" s="73">
        <f t="shared" ref="B475:B491" si="13">B474+1</f>
        <v>3</v>
      </c>
      <c r="C475" s="79" t="s">
        <v>1037</v>
      </c>
      <c r="D475" s="75" t="s">
        <v>1038</v>
      </c>
      <c r="E475" s="75">
        <f>'МЕДИЧНІ М'!E46</f>
        <v>80</v>
      </c>
      <c r="F475" s="86">
        <v>200</v>
      </c>
      <c r="G475" s="88">
        <f t="shared" si="12"/>
        <v>0.4</v>
      </c>
    </row>
    <row r="476" spans="2:7" x14ac:dyDescent="0.3">
      <c r="B476" s="73">
        <f t="shared" si="13"/>
        <v>4</v>
      </c>
      <c r="C476" s="79" t="s">
        <v>1039</v>
      </c>
      <c r="D476" s="75" t="s">
        <v>977</v>
      </c>
      <c r="E476" s="75">
        <f>'МЕДИЧНІ М'!E45</f>
        <v>86</v>
      </c>
      <c r="F476" s="86">
        <v>800</v>
      </c>
      <c r="G476" s="88">
        <f t="shared" si="12"/>
        <v>0.11</v>
      </c>
    </row>
    <row r="477" spans="2:7" x14ac:dyDescent="0.3">
      <c r="B477" s="73">
        <f t="shared" si="13"/>
        <v>5</v>
      </c>
      <c r="C477" s="79" t="s">
        <v>1040</v>
      </c>
      <c r="D477" s="76" t="s">
        <v>941</v>
      </c>
      <c r="E477" s="75">
        <f>'МЕДИЧНІ М'!E31</f>
        <v>7.4</v>
      </c>
      <c r="F477" s="80">
        <v>50</v>
      </c>
      <c r="G477" s="88">
        <f t="shared" si="12"/>
        <v>0.15</v>
      </c>
    </row>
    <row r="478" spans="2:7" x14ac:dyDescent="0.3">
      <c r="B478" s="73">
        <f t="shared" si="13"/>
        <v>6</v>
      </c>
      <c r="C478" s="79" t="s">
        <v>934</v>
      </c>
      <c r="D478" s="76" t="s">
        <v>941</v>
      </c>
      <c r="E478" s="76">
        <f>'МЕДИЧНІ М'!E59</f>
        <v>2.8</v>
      </c>
      <c r="F478" s="86">
        <v>10</v>
      </c>
      <c r="G478" s="88">
        <f t="shared" si="12"/>
        <v>0.28000000000000003</v>
      </c>
    </row>
    <row r="479" spans="2:7" x14ac:dyDescent="0.3">
      <c r="B479" s="73">
        <f t="shared" si="13"/>
        <v>7</v>
      </c>
      <c r="C479" s="27" t="s">
        <v>942</v>
      </c>
      <c r="D479" s="75" t="s">
        <v>974</v>
      </c>
      <c r="E479" s="76">
        <f>'МЕДИЧНІ М'!E65</f>
        <v>24.6</v>
      </c>
      <c r="F479" s="77">
        <v>100</v>
      </c>
      <c r="G479" s="78">
        <f t="shared" si="12"/>
        <v>0.25</v>
      </c>
    </row>
    <row r="480" spans="2:7" x14ac:dyDescent="0.3">
      <c r="B480" s="73">
        <f t="shared" si="13"/>
        <v>8</v>
      </c>
      <c r="C480" s="79" t="s">
        <v>985</v>
      </c>
      <c r="D480" s="76" t="s">
        <v>937</v>
      </c>
      <c r="E480" s="76">
        <f>'МЕДИЧНІ М'!F39</f>
        <v>0.3</v>
      </c>
      <c r="F480" s="77">
        <v>1</v>
      </c>
      <c r="G480" s="78">
        <f t="shared" si="12"/>
        <v>0.3</v>
      </c>
    </row>
    <row r="481" spans="2:8" x14ac:dyDescent="0.3">
      <c r="B481" s="73">
        <f t="shared" si="13"/>
        <v>9</v>
      </c>
      <c r="C481" s="79" t="s">
        <v>983</v>
      </c>
      <c r="D481" s="76" t="s">
        <v>941</v>
      </c>
      <c r="E481" s="76">
        <f>'МЕДИЧНІ М'!E23</f>
        <v>7.5</v>
      </c>
      <c r="F481" s="77">
        <v>1000</v>
      </c>
      <c r="G481" s="88">
        <f t="shared" si="12"/>
        <v>0.01</v>
      </c>
    </row>
    <row r="482" spans="2:8" x14ac:dyDescent="0.3">
      <c r="B482" s="73">
        <f t="shared" si="13"/>
        <v>10</v>
      </c>
      <c r="C482" s="79" t="s">
        <v>981</v>
      </c>
      <c r="D482" s="76" t="s">
        <v>941</v>
      </c>
      <c r="E482" s="76">
        <f>'МЕДИЧНІ М'!E49</f>
        <v>0.6</v>
      </c>
      <c r="F482" s="77">
        <v>1</v>
      </c>
      <c r="G482" s="88">
        <f>ROUND(E482*F482,2)</f>
        <v>0.6</v>
      </c>
    </row>
    <row r="483" spans="2:8" x14ac:dyDescent="0.3">
      <c r="B483" s="73">
        <f t="shared" si="13"/>
        <v>11</v>
      </c>
      <c r="C483" s="79" t="s">
        <v>1041</v>
      </c>
      <c r="D483" s="76" t="s">
        <v>941</v>
      </c>
      <c r="E483" s="76">
        <f>'МЕДИЧНІ М'!E63</f>
        <v>0.2</v>
      </c>
      <c r="F483" s="77">
        <v>1</v>
      </c>
      <c r="G483" s="88">
        <f>ROUND(E483*F483,2)</f>
        <v>0.2</v>
      </c>
    </row>
    <row r="484" spans="2:8" x14ac:dyDescent="0.3">
      <c r="B484" s="73">
        <f t="shared" si="13"/>
        <v>12</v>
      </c>
      <c r="C484" s="79" t="s">
        <v>982</v>
      </c>
      <c r="D484" s="76" t="s">
        <v>941</v>
      </c>
      <c r="E484" s="76">
        <f>'МЕДИЧНІ М'!E48</f>
        <v>11</v>
      </c>
      <c r="F484" s="77">
        <v>100</v>
      </c>
      <c r="G484" s="88">
        <f t="shared" ref="G484:G489" si="14">ROUND(E484/F484,2)</f>
        <v>0.11</v>
      </c>
    </row>
    <row r="485" spans="2:8" x14ac:dyDescent="0.3">
      <c r="B485" s="73">
        <f t="shared" si="13"/>
        <v>13</v>
      </c>
      <c r="C485" s="79" t="s">
        <v>1034</v>
      </c>
      <c r="D485" s="75" t="s">
        <v>974</v>
      </c>
      <c r="E485" s="75">
        <f>'МЕДИЧНІ М'!E27</f>
        <v>39.299999999999997</v>
      </c>
      <c r="F485" s="86">
        <v>400</v>
      </c>
      <c r="G485" s="88">
        <f t="shared" si="14"/>
        <v>0.1</v>
      </c>
    </row>
    <row r="486" spans="2:8" x14ac:dyDescent="0.3">
      <c r="B486" s="73">
        <f t="shared" si="13"/>
        <v>14</v>
      </c>
      <c r="C486" s="79" t="s">
        <v>1042</v>
      </c>
      <c r="D486" s="78" t="s">
        <v>974</v>
      </c>
      <c r="E486" s="78">
        <f>'МЕДИЧНІ М'!E74</f>
        <v>238</v>
      </c>
      <c r="F486" s="84">
        <v>1000</v>
      </c>
      <c r="G486" s="88">
        <f t="shared" si="14"/>
        <v>0.24</v>
      </c>
    </row>
    <row r="487" spans="2:8" x14ac:dyDescent="0.3">
      <c r="B487" s="73">
        <f t="shared" si="13"/>
        <v>15</v>
      </c>
      <c r="C487" s="79" t="s">
        <v>1043</v>
      </c>
      <c r="D487" s="78" t="s">
        <v>974</v>
      </c>
      <c r="E487" s="78">
        <f>'МЕДИЧНІ М'!E73</f>
        <v>180</v>
      </c>
      <c r="F487" s="84">
        <v>1000</v>
      </c>
      <c r="G487" s="88">
        <f t="shared" si="14"/>
        <v>0.18</v>
      </c>
    </row>
    <row r="488" spans="2:8" x14ac:dyDescent="0.3">
      <c r="B488" s="73">
        <f t="shared" si="13"/>
        <v>16</v>
      </c>
      <c r="C488" s="79" t="s">
        <v>984</v>
      </c>
      <c r="D488" s="76" t="s">
        <v>941</v>
      </c>
      <c r="E488" s="76">
        <f>'МЕДИЧНІ М'!E64</f>
        <v>36</v>
      </c>
      <c r="F488" s="77">
        <v>1000</v>
      </c>
      <c r="G488" s="88">
        <f t="shared" si="14"/>
        <v>0.04</v>
      </c>
    </row>
    <row r="489" spans="2:8" x14ac:dyDescent="0.3">
      <c r="B489" s="73">
        <f t="shared" si="13"/>
        <v>17</v>
      </c>
      <c r="C489" s="27" t="s">
        <v>972</v>
      </c>
      <c r="D489" s="76" t="s">
        <v>944</v>
      </c>
      <c r="E489" s="76">
        <f>'МЕДИЧНІ М'!E21</f>
        <v>7</v>
      </c>
      <c r="F489" s="86">
        <v>100</v>
      </c>
      <c r="G489" s="88">
        <f t="shared" si="14"/>
        <v>7.0000000000000007E-2</v>
      </c>
    </row>
    <row r="490" spans="2:8" x14ac:dyDescent="0.3">
      <c r="B490" s="73">
        <f t="shared" si="13"/>
        <v>18</v>
      </c>
      <c r="C490" s="27" t="s">
        <v>940</v>
      </c>
      <c r="D490" s="28" t="s">
        <v>941</v>
      </c>
      <c r="E490" s="81">
        <f>'МЕДИЧНІ М'!E37</f>
        <v>2</v>
      </c>
      <c r="F490" s="28">
        <v>1.5</v>
      </c>
      <c r="G490" s="28">
        <f>ROUND(E490*F490,2)</f>
        <v>3</v>
      </c>
    </row>
    <row r="491" spans="2:8" x14ac:dyDescent="0.3">
      <c r="B491" s="73">
        <f t="shared" si="13"/>
        <v>19</v>
      </c>
      <c r="C491" s="27" t="s">
        <v>1124</v>
      </c>
      <c r="D491" s="28" t="s">
        <v>944</v>
      </c>
      <c r="E491" s="81">
        <f>'МЕДИЧНІ М'!E24</f>
        <v>0.5</v>
      </c>
      <c r="F491" s="81">
        <v>0.5</v>
      </c>
      <c r="G491" s="28">
        <f>ROUND(E491*F491,2)</f>
        <v>0.25</v>
      </c>
    </row>
    <row r="492" spans="2:8" x14ac:dyDescent="0.3">
      <c r="B492" s="1012" t="s">
        <v>945</v>
      </c>
      <c r="C492" s="1013"/>
      <c r="D492" s="1013"/>
      <c r="E492" s="1013"/>
      <c r="F492" s="1014"/>
      <c r="G492" s="89">
        <f>SUM(G473:G491)</f>
        <v>6.5200000000000005</v>
      </c>
    </row>
    <row r="493" spans="2:8" ht="6" customHeight="1" x14ac:dyDescent="0.3"/>
    <row r="494" spans="2:8" x14ac:dyDescent="0.3">
      <c r="C494" s="12" t="s">
        <v>968</v>
      </c>
      <c r="D494" s="12"/>
      <c r="E494" s="12"/>
      <c r="F494" s="11">
        <f>H497</f>
        <v>1.76</v>
      </c>
      <c r="G494" s="12" t="s">
        <v>971</v>
      </c>
    </row>
    <row r="495" spans="2:8" ht="5.25" customHeight="1" x14ac:dyDescent="0.3">
      <c r="C495" s="22"/>
      <c r="D495" s="22"/>
      <c r="E495" s="22"/>
      <c r="F495" s="23"/>
      <c r="G495" s="22"/>
    </row>
    <row r="496" spans="2:8" ht="27.6" x14ac:dyDescent="0.3">
      <c r="C496" s="14" t="s">
        <v>513</v>
      </c>
      <c r="D496" s="14" t="s">
        <v>1114</v>
      </c>
      <c r="E496" s="14" t="s">
        <v>516</v>
      </c>
      <c r="F496" s="14" t="s">
        <v>970</v>
      </c>
      <c r="G496" s="14" t="s">
        <v>930</v>
      </c>
      <c r="H496" s="14" t="s">
        <v>961</v>
      </c>
    </row>
    <row r="497" spans="3:9" x14ac:dyDescent="0.3">
      <c r="C497" s="27" t="s">
        <v>1090</v>
      </c>
      <c r="D497" s="17">
        <f>АМОРТИЗАЦІЯ!C5</f>
        <v>34445.759999999995</v>
      </c>
      <c r="E497" s="17">
        <v>13679.5</v>
      </c>
      <c r="F497" s="17">
        <f>ROUND((D497/E497)/60,2)</f>
        <v>0.04</v>
      </c>
      <c r="G497" s="17">
        <f>E466+E465</f>
        <v>44</v>
      </c>
      <c r="H497" s="16">
        <f>ROUND(F497*G497,2)</f>
        <v>1.76</v>
      </c>
      <c r="I497" s="38"/>
    </row>
    <row r="498" spans="3:9" ht="6" customHeight="1" x14ac:dyDescent="0.3"/>
    <row r="499" spans="3:9" x14ac:dyDescent="0.3">
      <c r="C499" s="12" t="s">
        <v>948</v>
      </c>
      <c r="D499" s="12"/>
      <c r="E499" s="12"/>
      <c r="F499" s="11">
        <f>H512</f>
        <v>5.7299999999999995</v>
      </c>
      <c r="G499" s="12" t="s">
        <v>971</v>
      </c>
    </row>
    <row r="500" spans="3:9" ht="2.25" customHeight="1" x14ac:dyDescent="0.3">
      <c r="C500" s="22"/>
      <c r="D500" s="22"/>
      <c r="E500" s="22"/>
      <c r="F500" s="23"/>
    </row>
    <row r="501" spans="3:9" ht="27.6" x14ac:dyDescent="0.3">
      <c r="C501" s="14" t="s">
        <v>948</v>
      </c>
      <c r="D501" s="14" t="s">
        <v>1110</v>
      </c>
      <c r="E501" s="14" t="s">
        <v>516</v>
      </c>
      <c r="F501" s="14" t="s">
        <v>954</v>
      </c>
      <c r="G501" s="14" t="s">
        <v>930</v>
      </c>
      <c r="H501" s="14" t="s">
        <v>1111</v>
      </c>
    </row>
    <row r="502" spans="3:9" ht="14.25" customHeight="1" x14ac:dyDescent="0.3">
      <c r="C502" s="1009" t="str">
        <f>C461</f>
        <v>Лікар-лаборант</v>
      </c>
      <c r="D502" s="1010"/>
      <c r="E502" s="1010"/>
      <c r="F502" s="1010"/>
      <c r="G502" s="1010"/>
      <c r="H502" s="1011"/>
    </row>
    <row r="503" spans="3:9" x14ac:dyDescent="0.3">
      <c r="C503" s="17" t="s">
        <v>951</v>
      </c>
      <c r="D503" s="112">
        <f>D439</f>
        <v>12188.608008565312</v>
      </c>
      <c r="E503" s="17">
        <f>I461</f>
        <v>1807.2</v>
      </c>
      <c r="F503" s="17">
        <f>ROUND((D503/E503)/60,2)</f>
        <v>0.11</v>
      </c>
      <c r="G503" s="17">
        <f>E465</f>
        <v>42.5</v>
      </c>
      <c r="H503" s="16">
        <f>ROUND(F503*G503,2)</f>
        <v>4.68</v>
      </c>
    </row>
    <row r="504" spans="3:9" x14ac:dyDescent="0.3">
      <c r="C504" s="17" t="s">
        <v>952</v>
      </c>
      <c r="D504" s="112">
        <f>D440</f>
        <v>53.149721627408987</v>
      </c>
      <c r="E504" s="17">
        <f>I461</f>
        <v>1807.2</v>
      </c>
      <c r="F504" s="17">
        <f>ROUND((D504/E504)/60,2)</f>
        <v>0</v>
      </c>
      <c r="G504" s="17">
        <f>E465</f>
        <v>42.5</v>
      </c>
      <c r="H504" s="16">
        <f>ROUND(F504*G504,2)</f>
        <v>0</v>
      </c>
    </row>
    <row r="505" spans="3:9" x14ac:dyDescent="0.3">
      <c r="C505" s="17" t="s">
        <v>953</v>
      </c>
      <c r="D505" s="112">
        <f>D441</f>
        <v>374.98368308351178</v>
      </c>
      <c r="E505" s="17">
        <f>I461</f>
        <v>1807.2</v>
      </c>
      <c r="F505" s="17">
        <f>ROUND((D505/E505)/60,2)</f>
        <v>0</v>
      </c>
      <c r="G505" s="17">
        <f>E465</f>
        <v>42.5</v>
      </c>
      <c r="H505" s="16">
        <f>ROUND(F505*G505,2)</f>
        <v>0</v>
      </c>
    </row>
    <row r="506" spans="3:9" x14ac:dyDescent="0.3">
      <c r="C506" s="17" t="s">
        <v>1109</v>
      </c>
      <c r="D506" s="112">
        <f>D442</f>
        <v>1686.0389293361886</v>
      </c>
      <c r="E506" s="17">
        <f>I461</f>
        <v>1807.2</v>
      </c>
      <c r="F506" s="17">
        <f>ROUND((D506/E506)/60,2)</f>
        <v>0.02</v>
      </c>
      <c r="G506" s="17">
        <f>E465</f>
        <v>42.5</v>
      </c>
      <c r="H506" s="16">
        <f>ROUND(F506*G506,2)</f>
        <v>0.85</v>
      </c>
    </row>
    <row r="507" spans="3:9" ht="12" customHeight="1" x14ac:dyDescent="0.3">
      <c r="C507" s="1009" t="str">
        <f>C462</f>
        <v>Лаборант клінічної лабораторії</v>
      </c>
      <c r="D507" s="1010"/>
      <c r="E507" s="1010"/>
      <c r="F507" s="1010"/>
      <c r="G507" s="1010"/>
      <c r="H507" s="1011"/>
    </row>
    <row r="508" spans="3:9" x14ac:dyDescent="0.3">
      <c r="C508" s="17" t="s">
        <v>951</v>
      </c>
      <c r="D508" s="112">
        <f>D444</f>
        <v>12188.608008565312</v>
      </c>
      <c r="E508" s="17">
        <f>I462</f>
        <v>1807.2</v>
      </c>
      <c r="F508" s="17">
        <f>ROUND((D508/E508)/60,2)</f>
        <v>0.11</v>
      </c>
      <c r="G508" s="17">
        <f>E466</f>
        <v>1.5</v>
      </c>
      <c r="H508" s="16">
        <f>ROUND(F508*G508,2)</f>
        <v>0.17</v>
      </c>
    </row>
    <row r="509" spans="3:9" x14ac:dyDescent="0.3">
      <c r="C509" s="17" t="s">
        <v>952</v>
      </c>
      <c r="D509" s="112">
        <f>D445</f>
        <v>53.149721627408987</v>
      </c>
      <c r="E509" s="17">
        <f>I462</f>
        <v>1807.2</v>
      </c>
      <c r="F509" s="17">
        <f>ROUND((D509/E509)/60,2)</f>
        <v>0</v>
      </c>
      <c r="G509" s="17">
        <f>E466</f>
        <v>1.5</v>
      </c>
      <c r="H509" s="16">
        <f>ROUND(F509*G509,2)</f>
        <v>0</v>
      </c>
    </row>
    <row r="510" spans="3:9" x14ac:dyDescent="0.3">
      <c r="C510" s="17" t="s">
        <v>953</v>
      </c>
      <c r="D510" s="112">
        <f>D446</f>
        <v>374.98368308351178</v>
      </c>
      <c r="E510" s="17">
        <f>I462</f>
        <v>1807.2</v>
      </c>
      <c r="F510" s="17">
        <f>ROUND((D510/E510)/60,2)</f>
        <v>0</v>
      </c>
      <c r="G510" s="17">
        <f>E466</f>
        <v>1.5</v>
      </c>
      <c r="H510" s="16">
        <f>ROUND(F510*G510,2)</f>
        <v>0</v>
      </c>
    </row>
    <row r="511" spans="3:9" x14ac:dyDescent="0.3">
      <c r="C511" s="17" t="s">
        <v>1109</v>
      </c>
      <c r="D511" s="112">
        <f>D447</f>
        <v>1686.0389293361886</v>
      </c>
      <c r="E511" s="17">
        <f>I462</f>
        <v>1807.2</v>
      </c>
      <c r="F511" s="17">
        <f>ROUND((D511/E511)/60,2)</f>
        <v>0.02</v>
      </c>
      <c r="G511" s="17">
        <f>E466</f>
        <v>1.5</v>
      </c>
      <c r="H511" s="16">
        <f>ROUND(F511*G511,2)</f>
        <v>0.03</v>
      </c>
    </row>
    <row r="512" spans="3:9" x14ac:dyDescent="0.3">
      <c r="C512" s="1012" t="s">
        <v>957</v>
      </c>
      <c r="D512" s="1013"/>
      <c r="E512" s="1013"/>
      <c r="F512" s="1013"/>
      <c r="G512" s="1014"/>
      <c r="H512" s="18">
        <f>SUM(H503:H511)</f>
        <v>5.7299999999999995</v>
      </c>
    </row>
    <row r="513" spans="1:20" ht="6" customHeight="1" x14ac:dyDescent="0.3"/>
    <row r="514" spans="1:20" x14ac:dyDescent="0.3">
      <c r="C514" s="1015" t="s">
        <v>959</v>
      </c>
      <c r="D514" s="1015"/>
      <c r="E514" s="1015"/>
      <c r="F514" s="1015"/>
      <c r="G514" s="1015"/>
      <c r="H514" s="32">
        <f>F458+F470+F499+F494</f>
        <v>83.68</v>
      </c>
    </row>
    <row r="515" spans="1:20" x14ac:dyDescent="0.3">
      <c r="C515" s="33"/>
      <c r="D515" s="33"/>
      <c r="E515" s="33"/>
      <c r="F515" s="33"/>
      <c r="G515" s="33"/>
      <c r="H515" s="34"/>
    </row>
    <row r="516" spans="1:20" x14ac:dyDescent="0.3">
      <c r="C516" s="1015" t="s">
        <v>960</v>
      </c>
      <c r="D516" s="1015"/>
      <c r="E516" s="1015"/>
      <c r="F516" s="1015"/>
      <c r="G516" s="1015"/>
      <c r="H516" s="32">
        <f>ROUND(H514,0)</f>
        <v>84</v>
      </c>
    </row>
    <row r="518" spans="1:20" s="54" customFormat="1" ht="19.8" x14ac:dyDescent="0.4">
      <c r="A518" s="53"/>
      <c r="B518" s="1016" t="s">
        <v>958</v>
      </c>
      <c r="C518" s="1016"/>
      <c r="D518" s="1016"/>
      <c r="E518" s="1016"/>
      <c r="F518" s="1016"/>
      <c r="G518" s="1016"/>
      <c r="H518" s="1016"/>
      <c r="I518" s="1016"/>
      <c r="J518" s="1016"/>
      <c r="K518" s="137"/>
      <c r="L518" s="126"/>
      <c r="M518" s="126"/>
      <c r="N518" s="70"/>
      <c r="O518" s="53"/>
      <c r="P518" s="53"/>
      <c r="Q518" s="53"/>
      <c r="R518" s="53"/>
      <c r="S518" s="53"/>
      <c r="T518" s="53"/>
    </row>
    <row r="519" spans="1:20" s="54" customFormat="1" ht="19.8" x14ac:dyDescent="0.4">
      <c r="A519" s="53"/>
      <c r="B519" s="53"/>
      <c r="C519" s="53"/>
      <c r="D519" s="53"/>
      <c r="E519" s="53"/>
      <c r="F519" s="53"/>
      <c r="G519" s="53"/>
      <c r="H519" s="53"/>
      <c r="I519" s="53"/>
      <c r="J519" s="53"/>
      <c r="K519" s="132"/>
      <c r="L519" s="126"/>
      <c r="M519" s="126"/>
      <c r="N519" s="70"/>
      <c r="O519" s="53"/>
      <c r="P519" s="53"/>
      <c r="Q519" s="53"/>
      <c r="R519" s="53"/>
      <c r="S519" s="53"/>
      <c r="T519" s="53"/>
    </row>
    <row r="520" spans="1:20" s="54" customFormat="1" ht="19.8" x14ac:dyDescent="0.4">
      <c r="A520" s="53"/>
      <c r="B520" s="50" t="s">
        <v>747</v>
      </c>
      <c r="C520" s="1017" t="s">
        <v>749</v>
      </c>
      <c r="D520" s="1017"/>
      <c r="E520" s="1017"/>
      <c r="F520" s="52">
        <f>H572</f>
        <v>24</v>
      </c>
      <c r="G520" s="52" t="s">
        <v>971</v>
      </c>
      <c r="H520" s="53"/>
      <c r="I520" s="53"/>
      <c r="J520" s="53"/>
      <c r="K520" s="132"/>
      <c r="L520" s="126"/>
      <c r="M520" s="126"/>
      <c r="N520" s="70"/>
      <c r="O520" s="53"/>
      <c r="P520" s="53"/>
      <c r="Q520" s="53"/>
      <c r="R520" s="53"/>
      <c r="S520" s="53"/>
      <c r="T520" s="53"/>
    </row>
    <row r="522" spans="1:20" x14ac:dyDescent="0.3">
      <c r="C522" s="1018" t="s">
        <v>932</v>
      </c>
      <c r="D522" s="1018"/>
      <c r="E522" s="10"/>
      <c r="F522" s="11">
        <f>F529+F532+F530</f>
        <v>16.380000000000003</v>
      </c>
      <c r="G522" s="12" t="s">
        <v>971</v>
      </c>
    </row>
    <row r="524" spans="1:20" x14ac:dyDescent="0.3">
      <c r="C524" s="13" t="s">
        <v>929</v>
      </c>
      <c r="D524" s="14" t="s">
        <v>928</v>
      </c>
      <c r="E524" s="14" t="s">
        <v>514</v>
      </c>
      <c r="F524" s="14" t="s">
        <v>515</v>
      </c>
      <c r="G524" s="14" t="s">
        <v>962</v>
      </c>
      <c r="H524" s="14" t="s">
        <v>926</v>
      </c>
      <c r="I524" s="14" t="s">
        <v>516</v>
      </c>
      <c r="J524" s="14" t="s">
        <v>961</v>
      </c>
      <c r="K524" s="138"/>
    </row>
    <row r="525" spans="1:20" x14ac:dyDescent="0.3">
      <c r="C525" s="17" t="str">
        <f>C461</f>
        <v>Лікар-лаборант</v>
      </c>
      <c r="D525" s="16">
        <f>D461</f>
        <v>10799.43</v>
      </c>
      <c r="E525" s="16">
        <f>D525*12</f>
        <v>129593.16</v>
      </c>
      <c r="F525" s="16">
        <f>F461</f>
        <v>8307.26</v>
      </c>
      <c r="G525" s="16">
        <f>G461</f>
        <v>4153.63</v>
      </c>
      <c r="H525" s="16">
        <f>E525+F525+G525</f>
        <v>142054.05000000002</v>
      </c>
      <c r="I525" s="17">
        <v>1807.2</v>
      </c>
      <c r="J525" s="16">
        <f>ROUND((H525/I525)/60,2)</f>
        <v>1.31</v>
      </c>
      <c r="K525" s="140"/>
    </row>
    <row r="526" spans="1:20" x14ac:dyDescent="0.3">
      <c r="C526" s="17" t="str">
        <f>C462</f>
        <v>Лаборант клінічної лабораторії</v>
      </c>
      <c r="D526" s="16">
        <f>D462</f>
        <v>7871.18</v>
      </c>
      <c r="E526" s="16">
        <f>D526*12</f>
        <v>94454.16</v>
      </c>
      <c r="F526" s="16">
        <f>F462</f>
        <v>6054.75</v>
      </c>
      <c r="G526" s="16">
        <f>G462</f>
        <v>3027.375</v>
      </c>
      <c r="H526" s="16">
        <f>E526+F526+G526</f>
        <v>103536.285</v>
      </c>
      <c r="I526" s="17">
        <v>1807.2</v>
      </c>
      <c r="J526" s="16">
        <f>ROUND((H526/I526)/60,2)</f>
        <v>0.95</v>
      </c>
      <c r="K526" s="140"/>
    </row>
    <row r="528" spans="1:20" ht="27.6" x14ac:dyDescent="0.3">
      <c r="C528" s="13" t="s">
        <v>929</v>
      </c>
      <c r="D528" s="14" t="s">
        <v>961</v>
      </c>
      <c r="E528" s="14" t="s">
        <v>930</v>
      </c>
      <c r="F528" s="14" t="s">
        <v>931</v>
      </c>
    </row>
    <row r="529" spans="2:7" x14ac:dyDescent="0.3">
      <c r="C529" s="15" t="str">
        <f>C525</f>
        <v>Лікар-лаборант</v>
      </c>
      <c r="D529" s="16">
        <f>J525</f>
        <v>1.31</v>
      </c>
      <c r="E529" s="17">
        <v>3</v>
      </c>
      <c r="F529" s="18">
        <f>ROUND(D529*E529,2)</f>
        <v>3.93</v>
      </c>
    </row>
    <row r="530" spans="2:7" x14ac:dyDescent="0.3">
      <c r="C530" s="15" t="str">
        <f>C526</f>
        <v>Лаборант клінічної лабораторії</v>
      </c>
      <c r="D530" s="16">
        <f>J526</f>
        <v>0.95</v>
      </c>
      <c r="E530" s="17">
        <v>10</v>
      </c>
      <c r="F530" s="18">
        <f>ROUND(D530*E530,2)</f>
        <v>9.5</v>
      </c>
    </row>
    <row r="531" spans="2:7" x14ac:dyDescent="0.3">
      <c r="D531" s="19"/>
      <c r="E531" s="7" t="s">
        <v>1016</v>
      </c>
    </row>
    <row r="532" spans="2:7" x14ac:dyDescent="0.3">
      <c r="C532" s="17" t="s">
        <v>933</v>
      </c>
      <c r="D532" s="16">
        <f>F529+F530</f>
        <v>13.43</v>
      </c>
      <c r="E532" s="20">
        <v>0.22</v>
      </c>
      <c r="F532" s="21">
        <f>ROUND(D532*E532,2)</f>
        <v>2.95</v>
      </c>
    </row>
    <row r="533" spans="2:7" ht="7.5" customHeight="1" x14ac:dyDescent="0.3"/>
    <row r="534" spans="2:7" x14ac:dyDescent="0.3">
      <c r="C534" s="12" t="s">
        <v>946</v>
      </c>
      <c r="D534" s="12"/>
      <c r="E534" s="12"/>
      <c r="F534" s="12">
        <f>G548</f>
        <v>5.74</v>
      </c>
      <c r="G534" s="12" t="s">
        <v>971</v>
      </c>
    </row>
    <row r="536" spans="2:7" ht="27.6" x14ac:dyDescent="0.3">
      <c r="B536" s="82" t="s">
        <v>991</v>
      </c>
      <c r="C536" s="83" t="s">
        <v>986</v>
      </c>
      <c r="D536" s="83" t="s">
        <v>987</v>
      </c>
      <c r="E536" s="83" t="s">
        <v>988</v>
      </c>
      <c r="F536" s="83" t="s">
        <v>989</v>
      </c>
      <c r="G536" s="82" t="s">
        <v>990</v>
      </c>
    </row>
    <row r="537" spans="2:7" x14ac:dyDescent="0.3">
      <c r="B537" s="84">
        <v>1</v>
      </c>
      <c r="C537" s="85" t="s">
        <v>1044</v>
      </c>
      <c r="D537" s="75" t="s">
        <v>1045</v>
      </c>
      <c r="E537" s="87">
        <f>'МЕДИЧНІ М'!E42</f>
        <v>167</v>
      </c>
      <c r="F537" s="86">
        <v>250</v>
      </c>
      <c r="G537" s="78">
        <f>ROUND(E537/F537,2)</f>
        <v>0.67</v>
      </c>
    </row>
    <row r="538" spans="2:7" x14ac:dyDescent="0.3">
      <c r="B538" s="73">
        <f>B537+1</f>
        <v>2</v>
      </c>
      <c r="C538" s="27" t="s">
        <v>942</v>
      </c>
      <c r="D538" s="75" t="s">
        <v>974</v>
      </c>
      <c r="E538" s="76">
        <f>'МЕДИЧНІ М'!E65</f>
        <v>24.6</v>
      </c>
      <c r="F538" s="77">
        <v>100</v>
      </c>
      <c r="G538" s="78">
        <f>ROUND(E538/F538,2)</f>
        <v>0.25</v>
      </c>
    </row>
    <row r="539" spans="2:7" x14ac:dyDescent="0.3">
      <c r="B539" s="73">
        <f t="shared" ref="B539:B547" si="15">B538+1</f>
        <v>3</v>
      </c>
      <c r="C539" s="79" t="s">
        <v>934</v>
      </c>
      <c r="D539" s="76" t="s">
        <v>941</v>
      </c>
      <c r="E539" s="76">
        <f>'МЕДИЧНІ М'!E59</f>
        <v>2.8</v>
      </c>
      <c r="F539" s="86">
        <v>10</v>
      </c>
      <c r="G539" s="88">
        <f>ROUND(E539/F539,2)</f>
        <v>0.28000000000000003</v>
      </c>
    </row>
    <row r="540" spans="2:7" x14ac:dyDescent="0.3">
      <c r="B540" s="73">
        <f t="shared" si="15"/>
        <v>4</v>
      </c>
      <c r="C540" s="79" t="s">
        <v>982</v>
      </c>
      <c r="D540" s="76" t="s">
        <v>941</v>
      </c>
      <c r="E540" s="76">
        <f>'МЕДИЧНІ М'!E48</f>
        <v>11</v>
      </c>
      <c r="F540" s="77">
        <v>100</v>
      </c>
      <c r="G540" s="88">
        <f>ROUND(E540/F540,2)</f>
        <v>0.11</v>
      </c>
    </row>
    <row r="541" spans="2:7" x14ac:dyDescent="0.3">
      <c r="B541" s="73">
        <f t="shared" si="15"/>
        <v>5</v>
      </c>
      <c r="C541" s="79" t="s">
        <v>983</v>
      </c>
      <c r="D541" s="76" t="s">
        <v>941</v>
      </c>
      <c r="E541" s="76">
        <f>'МЕДИЧНІ М'!E23</f>
        <v>7.5</v>
      </c>
      <c r="F541" s="77">
        <v>1000</v>
      </c>
      <c r="G541" s="88">
        <f>ROUND(E541/F541,2)</f>
        <v>0.01</v>
      </c>
    </row>
    <row r="542" spans="2:7" x14ac:dyDescent="0.3">
      <c r="B542" s="73">
        <f t="shared" si="15"/>
        <v>6</v>
      </c>
      <c r="C542" s="79" t="s">
        <v>981</v>
      </c>
      <c r="D542" s="76" t="s">
        <v>941</v>
      </c>
      <c r="E542" s="76">
        <f>'МЕДИЧНІ М'!E49</f>
        <v>0.6</v>
      </c>
      <c r="F542" s="77">
        <v>1</v>
      </c>
      <c r="G542" s="88">
        <f>ROUND(E542*F542,2)</f>
        <v>0.6</v>
      </c>
    </row>
    <row r="543" spans="2:7" x14ac:dyDescent="0.3">
      <c r="B543" s="73">
        <f t="shared" si="15"/>
        <v>7</v>
      </c>
      <c r="C543" s="79" t="s">
        <v>1041</v>
      </c>
      <c r="D543" s="76" t="s">
        <v>941</v>
      </c>
      <c r="E543" s="76">
        <f>'МЕДИЧНІ М'!E63</f>
        <v>0.2</v>
      </c>
      <c r="F543" s="77">
        <v>1</v>
      </c>
      <c r="G543" s="88">
        <f>ROUND(E543*F543,2)</f>
        <v>0.2</v>
      </c>
    </row>
    <row r="544" spans="2:7" x14ac:dyDescent="0.3">
      <c r="B544" s="73">
        <f>B543+1</f>
        <v>8</v>
      </c>
      <c r="C544" s="79" t="s">
        <v>985</v>
      </c>
      <c r="D544" s="76" t="s">
        <v>937</v>
      </c>
      <c r="E544" s="76">
        <f>'МЕДИЧНІ М'!F39</f>
        <v>0.3</v>
      </c>
      <c r="F544" s="77">
        <v>1</v>
      </c>
      <c r="G544" s="78">
        <f>ROUND(E544/F544,2)</f>
        <v>0.3</v>
      </c>
    </row>
    <row r="545" spans="2:9" x14ac:dyDescent="0.3">
      <c r="B545" s="73">
        <f t="shared" si="15"/>
        <v>9</v>
      </c>
      <c r="C545" s="27" t="s">
        <v>972</v>
      </c>
      <c r="D545" s="76" t="s">
        <v>944</v>
      </c>
      <c r="E545" s="76">
        <f>'МЕДИЧНІ М'!E21</f>
        <v>7</v>
      </c>
      <c r="F545" s="86">
        <v>100</v>
      </c>
      <c r="G545" s="88">
        <f>ROUND(E545/F545,2)</f>
        <v>7.0000000000000007E-2</v>
      </c>
    </row>
    <row r="546" spans="2:9" x14ac:dyDescent="0.3">
      <c r="B546" s="73">
        <f t="shared" si="15"/>
        <v>10</v>
      </c>
      <c r="C546" s="27" t="s">
        <v>940</v>
      </c>
      <c r="D546" s="28" t="s">
        <v>941</v>
      </c>
      <c r="E546" s="81">
        <f>'МЕДИЧНІ М'!E37</f>
        <v>2</v>
      </c>
      <c r="F546" s="28">
        <v>1.5</v>
      </c>
      <c r="G546" s="28">
        <f>ROUND(E546*F546,2)</f>
        <v>3</v>
      </c>
    </row>
    <row r="547" spans="2:9" x14ac:dyDescent="0.3">
      <c r="B547" s="73">
        <f t="shared" si="15"/>
        <v>11</v>
      </c>
      <c r="C547" s="27" t="s">
        <v>1124</v>
      </c>
      <c r="D547" s="28" t="s">
        <v>944</v>
      </c>
      <c r="E547" s="81">
        <f>'МЕДИЧНІ М'!E24</f>
        <v>0.5</v>
      </c>
      <c r="F547" s="81">
        <v>0.5</v>
      </c>
      <c r="G547" s="28">
        <f>ROUND(E547*F547,2)</f>
        <v>0.25</v>
      </c>
    </row>
    <row r="548" spans="2:9" x14ac:dyDescent="0.3">
      <c r="B548" s="1012" t="s">
        <v>945</v>
      </c>
      <c r="C548" s="1013"/>
      <c r="D548" s="1013"/>
      <c r="E548" s="1013"/>
      <c r="F548" s="1014"/>
      <c r="G548" s="89">
        <f>SUM(G537:G547)</f>
        <v>5.74</v>
      </c>
    </row>
    <row r="549" spans="2:9" ht="6" customHeight="1" x14ac:dyDescent="0.3"/>
    <row r="550" spans="2:9" x14ac:dyDescent="0.3">
      <c r="C550" s="12" t="s">
        <v>968</v>
      </c>
      <c r="D550" s="12"/>
      <c r="E550" s="12"/>
      <c r="F550" s="11">
        <f>H553</f>
        <v>0.52</v>
      </c>
      <c r="G550" s="12" t="s">
        <v>971</v>
      </c>
    </row>
    <row r="551" spans="2:9" ht="9" customHeight="1" x14ac:dyDescent="0.3">
      <c r="C551" s="22"/>
      <c r="D551" s="22"/>
      <c r="E551" s="22"/>
      <c r="F551" s="23"/>
      <c r="G551" s="22"/>
    </row>
    <row r="552" spans="2:9" ht="27.6" x14ac:dyDescent="0.3">
      <c r="C552" s="14" t="s">
        <v>513</v>
      </c>
      <c r="D552" s="14" t="s">
        <v>969</v>
      </c>
      <c r="E552" s="14" t="s">
        <v>516</v>
      </c>
      <c r="F552" s="14" t="s">
        <v>970</v>
      </c>
      <c r="G552" s="14" t="s">
        <v>930</v>
      </c>
      <c r="H552" s="14" t="s">
        <v>961</v>
      </c>
    </row>
    <row r="553" spans="2:9" x14ac:dyDescent="0.3">
      <c r="C553" s="27" t="s">
        <v>1090</v>
      </c>
      <c r="D553" s="17">
        <f>АМОРТИЗАЦІЯ!C5</f>
        <v>34445.759999999995</v>
      </c>
      <c r="E553" s="17">
        <v>13679.5</v>
      </c>
      <c r="F553" s="17">
        <f>ROUND((D553/E553)/60,2)</f>
        <v>0.04</v>
      </c>
      <c r="G553" s="17">
        <f>E530+E529</f>
        <v>13</v>
      </c>
      <c r="H553" s="16">
        <f>ROUND(F553*G553,2)</f>
        <v>0.52</v>
      </c>
      <c r="I553" s="38"/>
    </row>
    <row r="554" spans="2:9" ht="8.25" customHeight="1" x14ac:dyDescent="0.3"/>
    <row r="555" spans="2:9" x14ac:dyDescent="0.3">
      <c r="C555" s="12" t="s">
        <v>948</v>
      </c>
      <c r="D555" s="12"/>
      <c r="E555" s="12"/>
      <c r="F555" s="11">
        <f>H568</f>
        <v>1.6900000000000002</v>
      </c>
      <c r="G555" s="12" t="s">
        <v>971</v>
      </c>
    </row>
    <row r="556" spans="2:9" x14ac:dyDescent="0.3">
      <c r="C556" s="22"/>
      <c r="D556" s="22"/>
      <c r="E556" s="22"/>
      <c r="F556" s="23"/>
    </row>
    <row r="557" spans="2:9" ht="27.6" x14ac:dyDescent="0.3">
      <c r="C557" s="14" t="s">
        <v>948</v>
      </c>
      <c r="D557" s="14" t="s">
        <v>1110</v>
      </c>
      <c r="E557" s="14" t="s">
        <v>516</v>
      </c>
      <c r="F557" s="14" t="s">
        <v>954</v>
      </c>
      <c r="G557" s="14" t="s">
        <v>930</v>
      </c>
      <c r="H557" s="14" t="s">
        <v>1111</v>
      </c>
    </row>
    <row r="558" spans="2:9" x14ac:dyDescent="0.3">
      <c r="C558" s="1009" t="str">
        <f>C525</f>
        <v>Лікар-лаборант</v>
      </c>
      <c r="D558" s="1010"/>
      <c r="E558" s="1010"/>
      <c r="F558" s="1010"/>
      <c r="G558" s="1010"/>
      <c r="H558" s="1011"/>
    </row>
    <row r="559" spans="2:9" x14ac:dyDescent="0.3">
      <c r="C559" s="17" t="s">
        <v>951</v>
      </c>
      <c r="D559" s="112">
        <f>D503</f>
        <v>12188.608008565312</v>
      </c>
      <c r="E559" s="17">
        <f>I525</f>
        <v>1807.2</v>
      </c>
      <c r="F559" s="17">
        <f>ROUND((D559/E559)/60,2)</f>
        <v>0.11</v>
      </c>
      <c r="G559" s="17">
        <f>E529</f>
        <v>3</v>
      </c>
      <c r="H559" s="16">
        <f>ROUND(F559*G559,2)</f>
        <v>0.33</v>
      </c>
    </row>
    <row r="560" spans="2:9" x14ac:dyDescent="0.3">
      <c r="C560" s="17" t="s">
        <v>952</v>
      </c>
      <c r="D560" s="112">
        <f>D504</f>
        <v>53.149721627408987</v>
      </c>
      <c r="E560" s="17">
        <f>I525</f>
        <v>1807.2</v>
      </c>
      <c r="F560" s="17">
        <f>ROUND((D560/E560)/60,2)</f>
        <v>0</v>
      </c>
      <c r="G560" s="17">
        <f>E529</f>
        <v>3</v>
      </c>
      <c r="H560" s="16">
        <f>ROUND(F560*G560,2)</f>
        <v>0</v>
      </c>
    </row>
    <row r="561" spans="1:20" x14ac:dyDescent="0.3">
      <c r="C561" s="17" t="s">
        <v>953</v>
      </c>
      <c r="D561" s="112">
        <f>D505</f>
        <v>374.98368308351178</v>
      </c>
      <c r="E561" s="17">
        <f>I525</f>
        <v>1807.2</v>
      </c>
      <c r="F561" s="17">
        <f>ROUND((D561/E561)/60,2)</f>
        <v>0</v>
      </c>
      <c r="G561" s="17">
        <f>E529</f>
        <v>3</v>
      </c>
      <c r="H561" s="16">
        <f>ROUND(F561*G561,2)</f>
        <v>0</v>
      </c>
    </row>
    <row r="562" spans="1:20" x14ac:dyDescent="0.3">
      <c r="C562" s="17" t="s">
        <v>1109</v>
      </c>
      <c r="D562" s="112">
        <f>D506</f>
        <v>1686.0389293361886</v>
      </c>
      <c r="E562" s="17">
        <f>I525</f>
        <v>1807.2</v>
      </c>
      <c r="F562" s="17">
        <f>ROUND((D562/E562)/60,2)</f>
        <v>0.02</v>
      </c>
      <c r="G562" s="17">
        <f>E529</f>
        <v>3</v>
      </c>
      <c r="H562" s="16">
        <f>ROUND(F562*G562,2)</f>
        <v>0.06</v>
      </c>
    </row>
    <row r="563" spans="1:20" x14ac:dyDescent="0.3">
      <c r="C563" s="1009" t="str">
        <f>C526</f>
        <v>Лаборант клінічної лабораторії</v>
      </c>
      <c r="D563" s="1010"/>
      <c r="E563" s="1010"/>
      <c r="F563" s="1010"/>
      <c r="G563" s="1010"/>
      <c r="H563" s="1011"/>
    </row>
    <row r="564" spans="1:20" x14ac:dyDescent="0.3">
      <c r="C564" s="17" t="s">
        <v>951</v>
      </c>
      <c r="D564" s="112">
        <f>D508</f>
        <v>12188.608008565312</v>
      </c>
      <c r="E564" s="17">
        <f>I526</f>
        <v>1807.2</v>
      </c>
      <c r="F564" s="17">
        <f>ROUND((D564/E564)/60,2)</f>
        <v>0.11</v>
      </c>
      <c r="G564" s="17">
        <f>E530</f>
        <v>10</v>
      </c>
      <c r="H564" s="16">
        <f>ROUND(F564*G564,2)</f>
        <v>1.1000000000000001</v>
      </c>
    </row>
    <row r="565" spans="1:20" x14ac:dyDescent="0.3">
      <c r="C565" s="17" t="s">
        <v>952</v>
      </c>
      <c r="D565" s="112">
        <f>D509</f>
        <v>53.149721627408987</v>
      </c>
      <c r="E565" s="17">
        <f>I526</f>
        <v>1807.2</v>
      </c>
      <c r="F565" s="17">
        <f>ROUND((D565/E565)/60,2)</f>
        <v>0</v>
      </c>
      <c r="G565" s="17">
        <f>E530</f>
        <v>10</v>
      </c>
      <c r="H565" s="16">
        <f>ROUND(F565*G565,2)</f>
        <v>0</v>
      </c>
    </row>
    <row r="566" spans="1:20" x14ac:dyDescent="0.3">
      <c r="C566" s="17" t="s">
        <v>953</v>
      </c>
      <c r="D566" s="112">
        <f>D510</f>
        <v>374.98368308351178</v>
      </c>
      <c r="E566" s="17">
        <f>I526</f>
        <v>1807.2</v>
      </c>
      <c r="F566" s="17">
        <f>ROUND((D566/E566)/60,2)</f>
        <v>0</v>
      </c>
      <c r="G566" s="17">
        <f>E530</f>
        <v>10</v>
      </c>
      <c r="H566" s="16">
        <f>ROUND(F566*G566,2)</f>
        <v>0</v>
      </c>
    </row>
    <row r="567" spans="1:20" x14ac:dyDescent="0.3">
      <c r="C567" s="17" t="s">
        <v>1109</v>
      </c>
      <c r="D567" s="112">
        <f>D511</f>
        <v>1686.0389293361886</v>
      </c>
      <c r="E567" s="17">
        <f>I526</f>
        <v>1807.2</v>
      </c>
      <c r="F567" s="17">
        <f>ROUND((D567/E567)/60,2)</f>
        <v>0.02</v>
      </c>
      <c r="G567" s="17">
        <f>E530</f>
        <v>10</v>
      </c>
      <c r="H567" s="16">
        <f>ROUND(F567*G567,2)</f>
        <v>0.2</v>
      </c>
    </row>
    <row r="568" spans="1:20" x14ac:dyDescent="0.3">
      <c r="C568" s="1012" t="s">
        <v>957</v>
      </c>
      <c r="D568" s="1013"/>
      <c r="E568" s="1013"/>
      <c r="F568" s="1013"/>
      <c r="G568" s="1014"/>
      <c r="H568" s="18">
        <f>SUM(H559:H567)</f>
        <v>1.6900000000000002</v>
      </c>
    </row>
    <row r="570" spans="1:20" x14ac:dyDescent="0.3">
      <c r="C570" s="1015" t="s">
        <v>959</v>
      </c>
      <c r="D570" s="1015"/>
      <c r="E570" s="1015"/>
      <c r="F570" s="1015"/>
      <c r="G570" s="1015"/>
      <c r="H570" s="32">
        <f>F522+F534+F555+F550</f>
        <v>24.330000000000005</v>
      </c>
    </row>
    <row r="571" spans="1:20" ht="13.5" customHeight="1" x14ac:dyDescent="0.3">
      <c r="C571" s="33"/>
      <c r="D571" s="33"/>
      <c r="E571" s="33"/>
      <c r="F571" s="33"/>
      <c r="G571" s="33"/>
      <c r="H571" s="34"/>
    </row>
    <row r="572" spans="1:20" x14ac:dyDescent="0.3">
      <c r="C572" s="1015" t="s">
        <v>960</v>
      </c>
      <c r="D572" s="1015"/>
      <c r="E572" s="1015"/>
      <c r="F572" s="1015"/>
      <c r="G572" s="1015"/>
      <c r="H572" s="32">
        <f>ROUND(H570,0)</f>
        <v>24</v>
      </c>
    </row>
    <row r="574" spans="1:20" s="54" customFormat="1" ht="19.8" x14ac:dyDescent="0.4">
      <c r="A574" s="53"/>
      <c r="B574" s="1016" t="s">
        <v>958</v>
      </c>
      <c r="C574" s="1016"/>
      <c r="D574" s="1016"/>
      <c r="E574" s="1016"/>
      <c r="F574" s="1016"/>
      <c r="G574" s="1016"/>
      <c r="H574" s="1016"/>
      <c r="I574" s="1016"/>
      <c r="J574" s="1016"/>
      <c r="K574" s="137"/>
      <c r="L574" s="126"/>
      <c r="M574" s="126"/>
      <c r="N574" s="70"/>
      <c r="O574" s="53"/>
      <c r="P574" s="53"/>
      <c r="Q574" s="53"/>
      <c r="R574" s="53"/>
      <c r="S574" s="53"/>
      <c r="T574" s="53"/>
    </row>
    <row r="575" spans="1:20" s="54" customFormat="1" ht="19.8" x14ac:dyDescent="0.4">
      <c r="A575" s="53"/>
      <c r="B575" s="53"/>
      <c r="C575" s="53"/>
      <c r="D575" s="53"/>
      <c r="E575" s="53"/>
      <c r="F575" s="53"/>
      <c r="G575" s="53"/>
      <c r="H575" s="53"/>
      <c r="I575" s="53"/>
      <c r="J575" s="53"/>
      <c r="K575" s="132"/>
      <c r="L575" s="126"/>
      <c r="M575" s="126"/>
      <c r="N575" s="70"/>
      <c r="O575" s="53"/>
      <c r="P575" s="53"/>
      <c r="Q575" s="53"/>
      <c r="R575" s="53"/>
      <c r="S575" s="53"/>
      <c r="T575" s="53"/>
    </row>
    <row r="576" spans="1:20" s="54" customFormat="1" ht="34.5" customHeight="1" x14ac:dyDescent="0.4">
      <c r="A576" s="53"/>
      <c r="B576" s="50" t="s">
        <v>748</v>
      </c>
      <c r="C576" s="1017" t="s">
        <v>751</v>
      </c>
      <c r="D576" s="1017"/>
      <c r="E576" s="1017"/>
      <c r="F576" s="52">
        <f>H629</f>
        <v>30</v>
      </c>
      <c r="G576" s="52" t="s">
        <v>971</v>
      </c>
      <c r="H576" s="53"/>
      <c r="I576" s="53"/>
      <c r="J576" s="53"/>
      <c r="K576" s="132"/>
      <c r="L576" s="126"/>
      <c r="M576" s="126"/>
      <c r="N576" s="70"/>
      <c r="O576" s="53"/>
      <c r="P576" s="53"/>
      <c r="Q576" s="53"/>
      <c r="R576" s="53"/>
      <c r="S576" s="53"/>
      <c r="T576" s="53"/>
    </row>
    <row r="578" spans="2:11" x14ac:dyDescent="0.3">
      <c r="C578" s="1018" t="s">
        <v>932</v>
      </c>
      <c r="D578" s="1018"/>
      <c r="E578" s="10"/>
      <c r="F578" s="11">
        <f>F585+F588+F586</f>
        <v>18.700000000000003</v>
      </c>
      <c r="G578" s="12" t="s">
        <v>971</v>
      </c>
    </row>
    <row r="580" spans="2:11" x14ac:dyDescent="0.3">
      <c r="C580" s="13" t="s">
        <v>929</v>
      </c>
      <c r="D580" s="14" t="s">
        <v>928</v>
      </c>
      <c r="E580" s="14" t="s">
        <v>514</v>
      </c>
      <c r="F580" s="14" t="s">
        <v>515</v>
      </c>
      <c r="G580" s="14" t="s">
        <v>962</v>
      </c>
      <c r="H580" s="14" t="s">
        <v>926</v>
      </c>
      <c r="I580" s="14" t="s">
        <v>516</v>
      </c>
      <c r="J580" s="14" t="s">
        <v>961</v>
      </c>
      <c r="K580" s="138"/>
    </row>
    <row r="581" spans="2:11" x14ac:dyDescent="0.3">
      <c r="C581" s="17" t="str">
        <f>C525</f>
        <v>Лікар-лаборант</v>
      </c>
      <c r="D581" s="16">
        <f>D525</f>
        <v>10799.43</v>
      </c>
      <c r="E581" s="16">
        <f>D581*12</f>
        <v>129593.16</v>
      </c>
      <c r="F581" s="16">
        <f>F525</f>
        <v>8307.26</v>
      </c>
      <c r="G581" s="16">
        <f>G525</f>
        <v>4153.63</v>
      </c>
      <c r="H581" s="16">
        <f>E581+F581+G581</f>
        <v>142054.05000000002</v>
      </c>
      <c r="I581" s="17">
        <v>1807.2</v>
      </c>
      <c r="J581" s="16">
        <f>ROUND((H581/I581)/60,2)</f>
        <v>1.31</v>
      </c>
      <c r="K581" s="140"/>
    </row>
    <row r="582" spans="2:11" x14ac:dyDescent="0.3">
      <c r="C582" s="17" t="str">
        <f>C526</f>
        <v>Лаборант клінічної лабораторії</v>
      </c>
      <c r="D582" s="16">
        <f>D526</f>
        <v>7871.18</v>
      </c>
      <c r="E582" s="16">
        <f>D582*12</f>
        <v>94454.16</v>
      </c>
      <c r="F582" s="16">
        <f>F526</f>
        <v>6054.75</v>
      </c>
      <c r="G582" s="16">
        <f>G526</f>
        <v>3027.375</v>
      </c>
      <c r="H582" s="16">
        <f>E582+F582+G582</f>
        <v>103536.285</v>
      </c>
      <c r="I582" s="17">
        <v>1807.2</v>
      </c>
      <c r="J582" s="16">
        <f>ROUND((H582/I582)/60,2)</f>
        <v>0.95</v>
      </c>
      <c r="K582" s="140"/>
    </row>
    <row r="583" spans="2:11" ht="9.75" customHeight="1" x14ac:dyDescent="0.3"/>
    <row r="584" spans="2:11" ht="27.6" x14ac:dyDescent="0.3">
      <c r="C584" s="13" t="s">
        <v>929</v>
      </c>
      <c r="D584" s="14" t="s">
        <v>961</v>
      </c>
      <c r="E584" s="14" t="s">
        <v>930</v>
      </c>
      <c r="F584" s="14" t="s">
        <v>931</v>
      </c>
    </row>
    <row r="585" spans="2:11" x14ac:dyDescent="0.3">
      <c r="C585" s="15" t="str">
        <f>C581</f>
        <v>Лікар-лаборант</v>
      </c>
      <c r="D585" s="16">
        <f>J581</f>
        <v>1.31</v>
      </c>
      <c r="E585" s="17">
        <v>3</v>
      </c>
      <c r="F585" s="18">
        <f>ROUND(D585*E585,2)</f>
        <v>3.93</v>
      </c>
    </row>
    <row r="586" spans="2:11" x14ac:dyDescent="0.3">
      <c r="C586" s="15" t="str">
        <f>C582</f>
        <v>Лаборант клінічної лабораторії</v>
      </c>
      <c r="D586" s="16">
        <f>J582</f>
        <v>0.95</v>
      </c>
      <c r="E586" s="17">
        <v>12</v>
      </c>
      <c r="F586" s="18">
        <f>ROUND(D586*E586,2)</f>
        <v>11.4</v>
      </c>
    </row>
    <row r="587" spans="2:11" x14ac:dyDescent="0.3">
      <c r="D587" s="19"/>
      <c r="E587" s="7" t="s">
        <v>1016</v>
      </c>
    </row>
    <row r="588" spans="2:11" x14ac:dyDescent="0.3">
      <c r="C588" s="17" t="s">
        <v>933</v>
      </c>
      <c r="D588" s="16">
        <f>F585+F586</f>
        <v>15.33</v>
      </c>
      <c r="E588" s="20">
        <v>0.22</v>
      </c>
      <c r="F588" s="21">
        <f>ROUND(D588*E588,2)</f>
        <v>3.37</v>
      </c>
    </row>
    <row r="589" spans="2:11" ht="6.75" customHeight="1" x14ac:dyDescent="0.3"/>
    <row r="590" spans="2:11" x14ac:dyDescent="0.3">
      <c r="C590" s="12" t="s">
        <v>946</v>
      </c>
      <c r="D590" s="12"/>
      <c r="E590" s="12"/>
      <c r="F590" s="12">
        <f>G605</f>
        <v>8.6700000000000017</v>
      </c>
      <c r="G590" s="12" t="s">
        <v>971</v>
      </c>
    </row>
    <row r="591" spans="2:11" ht="6" customHeight="1" x14ac:dyDescent="0.3"/>
    <row r="592" spans="2:11" ht="27.6" x14ac:dyDescent="0.3">
      <c r="B592" s="82" t="s">
        <v>991</v>
      </c>
      <c r="C592" s="83" t="s">
        <v>986</v>
      </c>
      <c r="D592" s="83" t="s">
        <v>987</v>
      </c>
      <c r="E592" s="83" t="s">
        <v>988</v>
      </c>
      <c r="F592" s="83" t="s">
        <v>989</v>
      </c>
      <c r="G592" s="82" t="s">
        <v>990</v>
      </c>
    </row>
    <row r="593" spans="2:7" x14ac:dyDescent="0.3">
      <c r="B593" s="84">
        <v>1</v>
      </c>
      <c r="C593" s="85" t="s">
        <v>1046</v>
      </c>
      <c r="D593" s="86" t="s">
        <v>974</v>
      </c>
      <c r="E593" s="87">
        <f>'МЕДИЧНІ М'!E53</f>
        <v>55</v>
      </c>
      <c r="F593" s="86">
        <v>80</v>
      </c>
      <c r="G593" s="88">
        <f>ROUND(E593/F593,2)</f>
        <v>0.69</v>
      </c>
    </row>
    <row r="594" spans="2:7" x14ac:dyDescent="0.3">
      <c r="B594" s="73">
        <f>B593+1</f>
        <v>2</v>
      </c>
      <c r="C594" s="85" t="s">
        <v>1047</v>
      </c>
      <c r="D594" s="86" t="s">
        <v>974</v>
      </c>
      <c r="E594" s="75">
        <f>'МЕДИЧНІ М'!E54</f>
        <v>55</v>
      </c>
      <c r="F594" s="86">
        <v>80</v>
      </c>
      <c r="G594" s="88">
        <f>ROUND(E594/F594,2)</f>
        <v>0.69</v>
      </c>
    </row>
    <row r="595" spans="2:7" x14ac:dyDescent="0.3">
      <c r="B595" s="73">
        <f t="shared" ref="B595:B604" si="16">B594+1</f>
        <v>3</v>
      </c>
      <c r="C595" s="85" t="s">
        <v>1048</v>
      </c>
      <c r="D595" s="86" t="s">
        <v>974</v>
      </c>
      <c r="E595" s="75">
        <f>'МЕДИЧНІ М'!E55</f>
        <v>130</v>
      </c>
      <c r="F595" s="86">
        <v>80</v>
      </c>
      <c r="G595" s="88">
        <f>ROUND(E595/F595,2)</f>
        <v>1.63</v>
      </c>
    </row>
    <row r="596" spans="2:7" x14ac:dyDescent="0.3">
      <c r="B596" s="73">
        <f t="shared" si="16"/>
        <v>4</v>
      </c>
      <c r="C596" s="79" t="s">
        <v>1049</v>
      </c>
      <c r="D596" s="75" t="s">
        <v>941</v>
      </c>
      <c r="E596" s="75">
        <f>'МЕДИЧНІ М'!E47</f>
        <v>7</v>
      </c>
      <c r="F596" s="86">
        <v>500</v>
      </c>
      <c r="G596" s="88">
        <f>ROUND(E596/F596,2)</f>
        <v>0.01</v>
      </c>
    </row>
    <row r="597" spans="2:7" x14ac:dyDescent="0.3">
      <c r="B597" s="73">
        <f t="shared" si="16"/>
        <v>5</v>
      </c>
      <c r="C597" s="79" t="s">
        <v>934</v>
      </c>
      <c r="D597" s="76" t="s">
        <v>941</v>
      </c>
      <c r="E597" s="76">
        <f>'МЕДИЧНІ М'!E59</f>
        <v>2.8</v>
      </c>
      <c r="F597" s="86">
        <v>10</v>
      </c>
      <c r="G597" s="88">
        <f>ROUND(E597/F597,2)</f>
        <v>0.28000000000000003</v>
      </c>
    </row>
    <row r="598" spans="2:7" x14ac:dyDescent="0.3">
      <c r="B598" s="73">
        <f t="shared" si="16"/>
        <v>6</v>
      </c>
      <c r="C598" s="79" t="s">
        <v>981</v>
      </c>
      <c r="D598" s="76" t="s">
        <v>941</v>
      </c>
      <c r="E598" s="76">
        <f>'МЕДИЧНІ М'!E49</f>
        <v>0.6</v>
      </c>
      <c r="F598" s="77">
        <v>1</v>
      </c>
      <c r="G598" s="88">
        <f>ROUND(E598*F598,2)</f>
        <v>0.6</v>
      </c>
    </row>
    <row r="599" spans="2:7" x14ac:dyDescent="0.3">
      <c r="B599" s="73">
        <f t="shared" si="16"/>
        <v>7</v>
      </c>
      <c r="C599" s="79" t="s">
        <v>985</v>
      </c>
      <c r="D599" s="76" t="s">
        <v>937</v>
      </c>
      <c r="E599" s="76">
        <f>'МЕДИЧНІ М'!F39</f>
        <v>0.3</v>
      </c>
      <c r="F599" s="77">
        <v>1</v>
      </c>
      <c r="G599" s="78">
        <f>ROUND(E599/F599,2)</f>
        <v>0.3</v>
      </c>
    </row>
    <row r="600" spans="2:7" x14ac:dyDescent="0.3">
      <c r="B600" s="73">
        <f t="shared" si="16"/>
        <v>8</v>
      </c>
      <c r="C600" s="79" t="s">
        <v>1050</v>
      </c>
      <c r="D600" s="76" t="s">
        <v>941</v>
      </c>
      <c r="E600" s="76">
        <f>'МЕДИЧНІ М'!E77</f>
        <v>0.9</v>
      </c>
      <c r="F600" s="77">
        <v>1</v>
      </c>
      <c r="G600" s="78">
        <f>ROUND(E600/F600,2)</f>
        <v>0.9</v>
      </c>
    </row>
    <row r="601" spans="2:7" x14ac:dyDescent="0.3">
      <c r="B601" s="73">
        <f t="shared" si="16"/>
        <v>9</v>
      </c>
      <c r="C601" s="27" t="s">
        <v>972</v>
      </c>
      <c r="D601" s="76" t="s">
        <v>944</v>
      </c>
      <c r="E601" s="76">
        <f>'МЕДИЧНІ М'!E21</f>
        <v>7</v>
      </c>
      <c r="F601" s="86">
        <v>100</v>
      </c>
      <c r="G601" s="88">
        <f>ROUND(E601/F601,2)</f>
        <v>7.0000000000000007E-2</v>
      </c>
    </row>
    <row r="602" spans="2:7" x14ac:dyDescent="0.3">
      <c r="B602" s="73">
        <f t="shared" si="16"/>
        <v>10</v>
      </c>
      <c r="C602" s="27" t="s">
        <v>942</v>
      </c>
      <c r="D602" s="78" t="s">
        <v>974</v>
      </c>
      <c r="E602" s="76">
        <f>'МЕДИЧНІ М'!E65</f>
        <v>24.6</v>
      </c>
      <c r="F602" s="77">
        <v>100</v>
      </c>
      <c r="G602" s="78">
        <f>ROUND(E602/F602,2)</f>
        <v>0.25</v>
      </c>
    </row>
    <row r="603" spans="2:7" x14ac:dyDescent="0.3">
      <c r="B603" s="73">
        <f t="shared" si="16"/>
        <v>11</v>
      </c>
      <c r="C603" s="27" t="s">
        <v>940</v>
      </c>
      <c r="D603" s="28" t="s">
        <v>941</v>
      </c>
      <c r="E603" s="81">
        <f>'МЕДИЧНІ М'!E37</f>
        <v>2</v>
      </c>
      <c r="F603" s="28">
        <v>1.5</v>
      </c>
      <c r="G603" s="28">
        <f>ROUND(E603*F603,2)</f>
        <v>3</v>
      </c>
    </row>
    <row r="604" spans="2:7" x14ac:dyDescent="0.3">
      <c r="B604" s="73">
        <f t="shared" si="16"/>
        <v>12</v>
      </c>
      <c r="C604" s="27" t="s">
        <v>1124</v>
      </c>
      <c r="D604" s="28" t="s">
        <v>944</v>
      </c>
      <c r="E604" s="81">
        <f>'МЕДИЧНІ М'!E24</f>
        <v>0.5</v>
      </c>
      <c r="F604" s="81">
        <v>0.5</v>
      </c>
      <c r="G604" s="28">
        <f>ROUND(E604*F604,2)</f>
        <v>0.25</v>
      </c>
    </row>
    <row r="605" spans="2:7" x14ac:dyDescent="0.3">
      <c r="B605" s="1012" t="s">
        <v>945</v>
      </c>
      <c r="C605" s="1013"/>
      <c r="D605" s="1013"/>
      <c r="E605" s="1013"/>
      <c r="F605" s="1014"/>
      <c r="G605" s="89">
        <f>SUM(G593:G604)</f>
        <v>8.6700000000000017</v>
      </c>
    </row>
    <row r="606" spans="2:7" ht="6.75" customHeight="1" x14ac:dyDescent="0.3"/>
    <row r="607" spans="2:7" x14ac:dyDescent="0.3">
      <c r="C607" s="12" t="s">
        <v>968</v>
      </c>
      <c r="D607" s="12"/>
      <c r="E607" s="12"/>
      <c r="F607" s="11">
        <f>H610</f>
        <v>0.6</v>
      </c>
      <c r="G607" s="12" t="s">
        <v>971</v>
      </c>
    </row>
    <row r="608" spans="2:7" ht="6.75" customHeight="1" x14ac:dyDescent="0.3">
      <c r="C608" s="22"/>
      <c r="D608" s="22"/>
      <c r="E608" s="22"/>
      <c r="F608" s="23"/>
      <c r="G608" s="22"/>
    </row>
    <row r="609" spans="3:9" ht="27.6" x14ac:dyDescent="0.3">
      <c r="C609" s="14" t="s">
        <v>513</v>
      </c>
      <c r="D609" s="14" t="s">
        <v>969</v>
      </c>
      <c r="E609" s="14" t="s">
        <v>516</v>
      </c>
      <c r="F609" s="14" t="s">
        <v>970</v>
      </c>
      <c r="G609" s="14" t="s">
        <v>930</v>
      </c>
      <c r="H609" s="14" t="s">
        <v>961</v>
      </c>
    </row>
    <row r="610" spans="3:9" x14ac:dyDescent="0.3">
      <c r="C610" s="27" t="s">
        <v>1090</v>
      </c>
      <c r="D610" s="17">
        <f>АМОРТИЗАЦІЯ!C5</f>
        <v>34445.759999999995</v>
      </c>
      <c r="E610" s="17">
        <v>13679.5</v>
      </c>
      <c r="F610" s="17">
        <f>ROUND((D610/E610)/60,2)</f>
        <v>0.04</v>
      </c>
      <c r="G610" s="17">
        <f>E586+E585</f>
        <v>15</v>
      </c>
      <c r="H610" s="16">
        <f>ROUND(F610*G610,2)</f>
        <v>0.6</v>
      </c>
      <c r="I610" s="38"/>
    </row>
    <row r="611" spans="3:9" ht="4.5" customHeight="1" x14ac:dyDescent="0.3"/>
    <row r="612" spans="3:9" x14ac:dyDescent="0.3">
      <c r="C612" s="12" t="s">
        <v>948</v>
      </c>
      <c r="D612" s="12"/>
      <c r="E612" s="12"/>
      <c r="F612" s="11">
        <f>H625</f>
        <v>1.95</v>
      </c>
      <c r="G612" s="12" t="s">
        <v>971</v>
      </c>
    </row>
    <row r="613" spans="3:9" ht="5.25" customHeight="1" x14ac:dyDescent="0.3">
      <c r="C613" s="22"/>
      <c r="D613" s="22"/>
      <c r="E613" s="22"/>
      <c r="F613" s="23"/>
    </row>
    <row r="614" spans="3:9" ht="27.6" x14ac:dyDescent="0.3">
      <c r="C614" s="14" t="s">
        <v>948</v>
      </c>
      <c r="D614" s="14" t="s">
        <v>1110</v>
      </c>
      <c r="E614" s="14" t="s">
        <v>516</v>
      </c>
      <c r="F614" s="14" t="s">
        <v>954</v>
      </c>
      <c r="G614" s="14" t="s">
        <v>930</v>
      </c>
      <c r="H614" s="14" t="s">
        <v>1111</v>
      </c>
    </row>
    <row r="615" spans="3:9" x14ac:dyDescent="0.3">
      <c r="C615" s="1009" t="str">
        <f>C581</f>
        <v>Лікар-лаборант</v>
      </c>
      <c r="D615" s="1010"/>
      <c r="E615" s="1010"/>
      <c r="F615" s="1010"/>
      <c r="G615" s="1010"/>
      <c r="H615" s="1011"/>
    </row>
    <row r="616" spans="3:9" x14ac:dyDescent="0.3">
      <c r="C616" s="17" t="s">
        <v>951</v>
      </c>
      <c r="D616" s="112">
        <f>D559</f>
        <v>12188.608008565312</v>
      </c>
      <c r="E616" s="17">
        <f>I581</f>
        <v>1807.2</v>
      </c>
      <c r="F616" s="17">
        <f>ROUND((D616/E616)/60,2)</f>
        <v>0.11</v>
      </c>
      <c r="G616" s="17">
        <f>E585</f>
        <v>3</v>
      </c>
      <c r="H616" s="16">
        <f>ROUND(F616*G616,2)</f>
        <v>0.33</v>
      </c>
    </row>
    <row r="617" spans="3:9" x14ac:dyDescent="0.3">
      <c r="C617" s="17" t="s">
        <v>952</v>
      </c>
      <c r="D617" s="112">
        <f>D560</f>
        <v>53.149721627408987</v>
      </c>
      <c r="E617" s="17">
        <f>I581</f>
        <v>1807.2</v>
      </c>
      <c r="F617" s="17">
        <f>ROUND((D617/E617)/60,2)</f>
        <v>0</v>
      </c>
      <c r="G617" s="17">
        <f>E585</f>
        <v>3</v>
      </c>
      <c r="H617" s="16">
        <f>ROUND(F617*G617,2)</f>
        <v>0</v>
      </c>
    </row>
    <row r="618" spans="3:9" x14ac:dyDescent="0.3">
      <c r="C618" s="17" t="s">
        <v>953</v>
      </c>
      <c r="D618" s="112">
        <f>D561</f>
        <v>374.98368308351178</v>
      </c>
      <c r="E618" s="17">
        <f>I581</f>
        <v>1807.2</v>
      </c>
      <c r="F618" s="17">
        <f>ROUND((D618/E618)/60,2)</f>
        <v>0</v>
      </c>
      <c r="G618" s="17">
        <f>E585</f>
        <v>3</v>
      </c>
      <c r="H618" s="16">
        <f>ROUND(F618*G618,2)</f>
        <v>0</v>
      </c>
    </row>
    <row r="619" spans="3:9" x14ac:dyDescent="0.3">
      <c r="C619" s="17" t="s">
        <v>1109</v>
      </c>
      <c r="D619" s="112">
        <f>D562</f>
        <v>1686.0389293361886</v>
      </c>
      <c r="E619" s="17">
        <f>I581</f>
        <v>1807.2</v>
      </c>
      <c r="F619" s="17">
        <f>ROUND((D619/E619)/60,2)</f>
        <v>0.02</v>
      </c>
      <c r="G619" s="17">
        <f>E585</f>
        <v>3</v>
      </c>
      <c r="H619" s="16">
        <f>ROUND(F619*G619,2)</f>
        <v>0.06</v>
      </c>
    </row>
    <row r="620" spans="3:9" x14ac:dyDescent="0.3">
      <c r="C620" s="1009" t="str">
        <f>C582</f>
        <v>Лаборант клінічної лабораторії</v>
      </c>
      <c r="D620" s="1010"/>
      <c r="E620" s="1010"/>
      <c r="F620" s="1010"/>
      <c r="G620" s="1010"/>
      <c r="H620" s="1011"/>
    </row>
    <row r="621" spans="3:9" x14ac:dyDescent="0.3">
      <c r="C621" s="17" t="s">
        <v>951</v>
      </c>
      <c r="D621" s="112">
        <f>D564</f>
        <v>12188.608008565312</v>
      </c>
      <c r="E621" s="17">
        <f>I582</f>
        <v>1807.2</v>
      </c>
      <c r="F621" s="17">
        <f>ROUND((D621/E621)/60,2)</f>
        <v>0.11</v>
      </c>
      <c r="G621" s="17">
        <f>E586</f>
        <v>12</v>
      </c>
      <c r="H621" s="16">
        <f>ROUND(F621*G621,2)</f>
        <v>1.32</v>
      </c>
    </row>
    <row r="622" spans="3:9" x14ac:dyDescent="0.3">
      <c r="C622" s="17" t="s">
        <v>952</v>
      </c>
      <c r="D622" s="112">
        <f>D565</f>
        <v>53.149721627408987</v>
      </c>
      <c r="E622" s="17">
        <f>I582</f>
        <v>1807.2</v>
      </c>
      <c r="F622" s="17">
        <f>ROUND((D622/E622)/60,2)</f>
        <v>0</v>
      </c>
      <c r="G622" s="17">
        <f>E586</f>
        <v>12</v>
      </c>
      <c r="H622" s="16">
        <f>ROUND(F622*G622,2)</f>
        <v>0</v>
      </c>
    </row>
    <row r="623" spans="3:9" x14ac:dyDescent="0.3">
      <c r="C623" s="17" t="s">
        <v>953</v>
      </c>
      <c r="D623" s="112">
        <f>D566</f>
        <v>374.98368308351178</v>
      </c>
      <c r="E623" s="17">
        <f>I582</f>
        <v>1807.2</v>
      </c>
      <c r="F623" s="17">
        <f>ROUND((D623/E623)/60,2)</f>
        <v>0</v>
      </c>
      <c r="G623" s="17">
        <f>E586</f>
        <v>12</v>
      </c>
      <c r="H623" s="16">
        <f>ROUND(F623*G623,2)</f>
        <v>0</v>
      </c>
    </row>
    <row r="624" spans="3:9" x14ac:dyDescent="0.3">
      <c r="C624" s="17" t="s">
        <v>1109</v>
      </c>
      <c r="D624" s="112">
        <f>D567</f>
        <v>1686.0389293361886</v>
      </c>
      <c r="E624" s="17">
        <f>I582</f>
        <v>1807.2</v>
      </c>
      <c r="F624" s="17">
        <f>ROUND((D624/E624)/60,2)</f>
        <v>0.02</v>
      </c>
      <c r="G624" s="17">
        <f>E586</f>
        <v>12</v>
      </c>
      <c r="H624" s="16">
        <f>ROUND(F624*G624,2)</f>
        <v>0.24</v>
      </c>
    </row>
    <row r="625" spans="1:20" x14ac:dyDescent="0.3">
      <c r="C625" s="1012" t="s">
        <v>957</v>
      </c>
      <c r="D625" s="1013"/>
      <c r="E625" s="1013"/>
      <c r="F625" s="1013"/>
      <c r="G625" s="1014"/>
      <c r="H625" s="18">
        <f>SUM(H616:H624)</f>
        <v>1.95</v>
      </c>
    </row>
    <row r="627" spans="1:20" x14ac:dyDescent="0.3">
      <c r="C627" s="1015" t="s">
        <v>959</v>
      </c>
      <c r="D627" s="1015"/>
      <c r="E627" s="1015"/>
      <c r="F627" s="1015"/>
      <c r="G627" s="1015"/>
      <c r="H627" s="32">
        <f>F578+F590+F612+F607</f>
        <v>29.920000000000005</v>
      </c>
    </row>
    <row r="628" spans="1:20" ht="9" customHeight="1" x14ac:dyDescent="0.3">
      <c r="C628" s="33"/>
      <c r="D628" s="33"/>
      <c r="E628" s="33"/>
      <c r="F628" s="33"/>
      <c r="G628" s="33"/>
      <c r="H628" s="34"/>
    </row>
    <row r="629" spans="1:20" x14ac:dyDescent="0.3">
      <c r="C629" s="1015" t="s">
        <v>960</v>
      </c>
      <c r="D629" s="1015"/>
      <c r="E629" s="1015"/>
      <c r="F629" s="1015"/>
      <c r="G629" s="1015"/>
      <c r="H629" s="32">
        <f>ROUND(H627,0)</f>
        <v>30</v>
      </c>
    </row>
    <row r="631" spans="1:20" s="54" customFormat="1" ht="19.8" x14ac:dyDescent="0.4">
      <c r="A631" s="53"/>
      <c r="B631" s="1016" t="s">
        <v>958</v>
      </c>
      <c r="C631" s="1016"/>
      <c r="D631" s="1016"/>
      <c r="E631" s="1016"/>
      <c r="F631" s="1016"/>
      <c r="G631" s="1016"/>
      <c r="H631" s="1016"/>
      <c r="I631" s="1016"/>
      <c r="J631" s="1016"/>
      <c r="K631" s="137"/>
      <c r="L631" s="126"/>
      <c r="M631" s="126"/>
      <c r="N631" s="70"/>
      <c r="O631" s="53"/>
      <c r="P631" s="53"/>
      <c r="Q631" s="53"/>
      <c r="R631" s="53"/>
      <c r="S631" s="53"/>
      <c r="T631" s="53"/>
    </row>
    <row r="632" spans="1:20" s="54" customFormat="1" ht="10.5" customHeight="1" x14ac:dyDescent="0.4">
      <c r="A632" s="53"/>
      <c r="B632" s="53"/>
      <c r="C632" s="53"/>
      <c r="D632" s="53"/>
      <c r="E632" s="53"/>
      <c r="F632" s="53"/>
      <c r="G632" s="53"/>
      <c r="H632" s="53"/>
      <c r="I632" s="53"/>
      <c r="J632" s="53"/>
      <c r="K632" s="132"/>
      <c r="L632" s="126"/>
      <c r="M632" s="126"/>
      <c r="N632" s="70"/>
      <c r="O632" s="53"/>
      <c r="P632" s="53"/>
      <c r="Q632" s="53"/>
      <c r="R632" s="53"/>
      <c r="S632" s="53"/>
      <c r="T632" s="53"/>
    </row>
    <row r="633" spans="1:20" s="54" customFormat="1" ht="19.8" x14ac:dyDescent="0.4">
      <c r="A633" s="53"/>
      <c r="B633" s="50" t="s">
        <v>750</v>
      </c>
      <c r="C633" s="1017" t="s">
        <v>754</v>
      </c>
      <c r="D633" s="1017"/>
      <c r="E633" s="1017"/>
      <c r="F633" s="52">
        <f>H685</f>
        <v>31</v>
      </c>
      <c r="G633" s="52" t="s">
        <v>971</v>
      </c>
      <c r="H633" s="53"/>
      <c r="I633" s="53"/>
      <c r="J633" s="53"/>
      <c r="K633" s="132"/>
      <c r="L633" s="126"/>
      <c r="M633" s="126"/>
      <c r="N633" s="70"/>
      <c r="O633" s="53"/>
      <c r="P633" s="53"/>
      <c r="Q633" s="53"/>
      <c r="R633" s="53"/>
      <c r="S633" s="53"/>
      <c r="T633" s="53"/>
    </row>
    <row r="634" spans="1:20" ht="11.25" customHeight="1" x14ac:dyDescent="0.3"/>
    <row r="635" spans="1:20" x14ac:dyDescent="0.3">
      <c r="C635" s="1018" t="s">
        <v>932</v>
      </c>
      <c r="D635" s="1018"/>
      <c r="E635" s="10"/>
      <c r="F635" s="11">
        <f>F642+F645+F643</f>
        <v>16.380000000000003</v>
      </c>
      <c r="G635" s="12" t="s">
        <v>971</v>
      </c>
    </row>
    <row r="636" spans="1:20" ht="7.5" customHeight="1" x14ac:dyDescent="0.3"/>
    <row r="637" spans="1:20" x14ac:dyDescent="0.3">
      <c r="C637" s="13" t="s">
        <v>929</v>
      </c>
      <c r="D637" s="14" t="s">
        <v>928</v>
      </c>
      <c r="E637" s="14" t="s">
        <v>514</v>
      </c>
      <c r="F637" s="14" t="s">
        <v>515</v>
      </c>
      <c r="G637" s="14" t="s">
        <v>962</v>
      </c>
      <c r="H637" s="14" t="s">
        <v>926</v>
      </c>
      <c r="I637" s="14" t="s">
        <v>516</v>
      </c>
      <c r="J637" s="14" t="s">
        <v>961</v>
      </c>
      <c r="K637" s="138"/>
    </row>
    <row r="638" spans="1:20" x14ac:dyDescent="0.3">
      <c r="C638" s="17" t="str">
        <f>C581</f>
        <v>Лікар-лаборант</v>
      </c>
      <c r="D638" s="16">
        <f>D581</f>
        <v>10799.43</v>
      </c>
      <c r="E638" s="16">
        <f>D638*12</f>
        <v>129593.16</v>
      </c>
      <c r="F638" s="16">
        <f>F581</f>
        <v>8307.26</v>
      </c>
      <c r="G638" s="16">
        <f>G581</f>
        <v>4153.63</v>
      </c>
      <c r="H638" s="16">
        <f>E638+F638+G638</f>
        <v>142054.05000000002</v>
      </c>
      <c r="I638" s="17">
        <v>1807.2</v>
      </c>
      <c r="J638" s="16">
        <f>ROUND((H638/I638)/60,2)</f>
        <v>1.31</v>
      </c>
      <c r="K638" s="140"/>
    </row>
    <row r="639" spans="1:20" x14ac:dyDescent="0.3">
      <c r="C639" s="17" t="str">
        <f>C582</f>
        <v>Лаборант клінічної лабораторії</v>
      </c>
      <c r="D639" s="16">
        <f>D582</f>
        <v>7871.18</v>
      </c>
      <c r="E639" s="16">
        <f>D639*12</f>
        <v>94454.16</v>
      </c>
      <c r="F639" s="16">
        <f>F582</f>
        <v>6054.75</v>
      </c>
      <c r="G639" s="16">
        <f>G582</f>
        <v>3027.375</v>
      </c>
      <c r="H639" s="16">
        <f>E639+F639+G639</f>
        <v>103536.285</v>
      </c>
      <c r="I639" s="17">
        <v>1807.2</v>
      </c>
      <c r="J639" s="16">
        <f>ROUND((H639/I639)/60,2)</f>
        <v>0.95</v>
      </c>
      <c r="K639" s="140"/>
    </row>
    <row r="641" spans="2:7" ht="27.6" x14ac:dyDescent="0.3">
      <c r="C641" s="13" t="s">
        <v>929</v>
      </c>
      <c r="D641" s="14" t="s">
        <v>961</v>
      </c>
      <c r="E641" s="14" t="s">
        <v>930</v>
      </c>
      <c r="F641" s="14" t="s">
        <v>931</v>
      </c>
    </row>
    <row r="642" spans="2:7" x14ac:dyDescent="0.3">
      <c r="C642" s="15" t="str">
        <f>C638</f>
        <v>Лікар-лаборант</v>
      </c>
      <c r="D642" s="16">
        <f>J638</f>
        <v>1.31</v>
      </c>
      <c r="E642" s="17">
        <v>3</v>
      </c>
      <c r="F642" s="18">
        <f>ROUND(D642*E642,2)</f>
        <v>3.93</v>
      </c>
    </row>
    <row r="643" spans="2:7" x14ac:dyDescent="0.3">
      <c r="C643" s="15" t="str">
        <f>C639</f>
        <v>Лаборант клінічної лабораторії</v>
      </c>
      <c r="D643" s="16">
        <f>J639</f>
        <v>0.95</v>
      </c>
      <c r="E643" s="17">
        <v>10</v>
      </c>
      <c r="F643" s="18">
        <f>ROUND(D643*E643,2)</f>
        <v>9.5</v>
      </c>
    </row>
    <row r="644" spans="2:7" x14ac:dyDescent="0.3">
      <c r="D644" s="19"/>
      <c r="E644" s="7" t="s">
        <v>1016</v>
      </c>
    </row>
    <row r="645" spans="2:7" x14ac:dyDescent="0.3">
      <c r="C645" s="17" t="s">
        <v>933</v>
      </c>
      <c r="D645" s="16">
        <f>F642+F643</f>
        <v>13.43</v>
      </c>
      <c r="E645" s="20">
        <v>0.22</v>
      </c>
      <c r="F645" s="21">
        <f>ROUND(D645*E645,2)</f>
        <v>2.95</v>
      </c>
    </row>
    <row r="647" spans="2:7" x14ac:dyDescent="0.3">
      <c r="C647" s="12" t="s">
        <v>946</v>
      </c>
      <c r="D647" s="12"/>
      <c r="E647" s="12"/>
      <c r="F647" s="12">
        <f>G661</f>
        <v>12.419999999999998</v>
      </c>
      <c r="G647" s="12" t="s">
        <v>971</v>
      </c>
    </row>
    <row r="648" spans="2:7" ht="2.25" customHeight="1" x14ac:dyDescent="0.3"/>
    <row r="649" spans="2:7" ht="27.6" x14ac:dyDescent="0.3">
      <c r="B649" s="82" t="s">
        <v>991</v>
      </c>
      <c r="C649" s="83" t="s">
        <v>986</v>
      </c>
      <c r="D649" s="83" t="s">
        <v>987</v>
      </c>
      <c r="E649" s="83" t="s">
        <v>988</v>
      </c>
      <c r="F649" s="83" t="s">
        <v>989</v>
      </c>
      <c r="G649" s="82" t="s">
        <v>990</v>
      </c>
    </row>
    <row r="650" spans="2:7" x14ac:dyDescent="0.3">
      <c r="B650" s="84">
        <v>1</v>
      </c>
      <c r="C650" s="85" t="s">
        <v>1051</v>
      </c>
      <c r="D650" s="86" t="s">
        <v>1045</v>
      </c>
      <c r="E650" s="87">
        <f>'МЕДИЧНІ М'!E62</f>
        <v>539</v>
      </c>
      <c r="F650" s="86">
        <v>100</v>
      </c>
      <c r="G650" s="88">
        <f>ROUND(E650/F650,2)</f>
        <v>5.39</v>
      </c>
    </row>
    <row r="651" spans="2:7" x14ac:dyDescent="0.3">
      <c r="B651" s="73">
        <f>B650+1</f>
        <v>2</v>
      </c>
      <c r="C651" s="79" t="s">
        <v>1052</v>
      </c>
      <c r="D651" s="86" t="s">
        <v>1045</v>
      </c>
      <c r="E651" s="75">
        <f>'МЕДИЧНІ М'!E35</f>
        <v>253</v>
      </c>
      <c r="F651" s="86">
        <v>200</v>
      </c>
      <c r="G651" s="88">
        <f>ROUND(E651/F651,2)</f>
        <v>1.27</v>
      </c>
    </row>
    <row r="652" spans="2:7" x14ac:dyDescent="0.3">
      <c r="B652" s="73">
        <f t="shared" ref="B652:B660" si="17">B651+1</f>
        <v>3</v>
      </c>
      <c r="C652" s="79" t="s">
        <v>981</v>
      </c>
      <c r="D652" s="76" t="s">
        <v>941</v>
      </c>
      <c r="E652" s="76">
        <f>'МЕДИЧНІ М'!E49</f>
        <v>0.6</v>
      </c>
      <c r="F652" s="77">
        <v>1</v>
      </c>
      <c r="G652" s="88">
        <f>ROUND(E652*F652,2)</f>
        <v>0.6</v>
      </c>
    </row>
    <row r="653" spans="2:7" x14ac:dyDescent="0.3">
      <c r="B653" s="73">
        <f t="shared" si="17"/>
        <v>4</v>
      </c>
      <c r="C653" s="79" t="s">
        <v>985</v>
      </c>
      <c r="D653" s="76" t="s">
        <v>937</v>
      </c>
      <c r="E653" s="76">
        <f>'МЕДИЧНІ М'!F39</f>
        <v>0.3</v>
      </c>
      <c r="F653" s="77">
        <v>1</v>
      </c>
      <c r="G653" s="78">
        <f t="shared" ref="G653:G658" si="18">ROUND(E653/F653,2)</f>
        <v>0.3</v>
      </c>
    </row>
    <row r="654" spans="2:7" x14ac:dyDescent="0.3">
      <c r="B654" s="73">
        <f t="shared" si="17"/>
        <v>5</v>
      </c>
      <c r="C654" s="79" t="s">
        <v>1050</v>
      </c>
      <c r="D654" s="76" t="s">
        <v>941</v>
      </c>
      <c r="E654" s="76">
        <f>'МЕДИЧНІ М'!E77</f>
        <v>0.9</v>
      </c>
      <c r="F654" s="77">
        <v>1</v>
      </c>
      <c r="G654" s="78">
        <f t="shared" si="18"/>
        <v>0.9</v>
      </c>
    </row>
    <row r="655" spans="2:7" x14ac:dyDescent="0.3">
      <c r="B655" s="73">
        <f t="shared" si="17"/>
        <v>6</v>
      </c>
      <c r="C655" s="27" t="s">
        <v>942</v>
      </c>
      <c r="D655" s="78" t="s">
        <v>974</v>
      </c>
      <c r="E655" s="76">
        <f>'МЕДИЧНІ М'!E65</f>
        <v>24.6</v>
      </c>
      <c r="F655" s="77">
        <v>100</v>
      </c>
      <c r="G655" s="78">
        <f t="shared" si="18"/>
        <v>0.25</v>
      </c>
    </row>
    <row r="656" spans="2:7" x14ac:dyDescent="0.3">
      <c r="B656" s="73">
        <f t="shared" si="17"/>
        <v>7</v>
      </c>
      <c r="C656" s="79" t="s">
        <v>934</v>
      </c>
      <c r="D656" s="76" t="s">
        <v>941</v>
      </c>
      <c r="E656" s="76">
        <f>'МЕДИЧНІ М'!E59</f>
        <v>2.8</v>
      </c>
      <c r="F656" s="86">
        <v>10</v>
      </c>
      <c r="G656" s="88">
        <f t="shared" si="18"/>
        <v>0.28000000000000003</v>
      </c>
    </row>
    <row r="657" spans="2:9" x14ac:dyDescent="0.3">
      <c r="B657" s="73">
        <f t="shared" si="17"/>
        <v>8</v>
      </c>
      <c r="C657" s="27" t="s">
        <v>972</v>
      </c>
      <c r="D657" s="76" t="s">
        <v>944</v>
      </c>
      <c r="E657" s="76">
        <f>'МЕДИЧНІ М'!E21</f>
        <v>7</v>
      </c>
      <c r="F657" s="86">
        <v>100</v>
      </c>
      <c r="G657" s="88">
        <f t="shared" si="18"/>
        <v>7.0000000000000007E-2</v>
      </c>
    </row>
    <row r="658" spans="2:9" ht="15.75" customHeight="1" x14ac:dyDescent="0.3">
      <c r="B658" s="73">
        <f t="shared" si="17"/>
        <v>9</v>
      </c>
      <c r="C658" s="79" t="s">
        <v>982</v>
      </c>
      <c r="D658" s="76" t="s">
        <v>941</v>
      </c>
      <c r="E658" s="76">
        <f>'МЕДИЧНІ М'!E48</f>
        <v>11</v>
      </c>
      <c r="F658" s="77">
        <v>100</v>
      </c>
      <c r="G658" s="88">
        <f t="shared" si="18"/>
        <v>0.11</v>
      </c>
    </row>
    <row r="659" spans="2:9" ht="15.75" customHeight="1" x14ac:dyDescent="0.3">
      <c r="B659" s="73">
        <f t="shared" si="17"/>
        <v>10</v>
      </c>
      <c r="C659" s="27" t="s">
        <v>940</v>
      </c>
      <c r="D659" s="28" t="s">
        <v>941</v>
      </c>
      <c r="E659" s="81">
        <f>'МЕДИЧНІ М'!E37</f>
        <v>2</v>
      </c>
      <c r="F659" s="28">
        <v>1.5</v>
      </c>
      <c r="G659" s="28">
        <f>ROUND(E659*F659,2)</f>
        <v>3</v>
      </c>
    </row>
    <row r="660" spans="2:9" ht="15.75" customHeight="1" x14ac:dyDescent="0.3">
      <c r="B660" s="73">
        <f t="shared" si="17"/>
        <v>11</v>
      </c>
      <c r="C660" s="27" t="s">
        <v>1124</v>
      </c>
      <c r="D660" s="28" t="s">
        <v>944</v>
      </c>
      <c r="E660" s="81">
        <f>'МЕДИЧНІ М'!E24</f>
        <v>0.5</v>
      </c>
      <c r="F660" s="81">
        <v>0.5</v>
      </c>
      <c r="G660" s="28">
        <f>ROUND(E660*F660,2)</f>
        <v>0.25</v>
      </c>
    </row>
    <row r="661" spans="2:9" x14ac:dyDescent="0.3">
      <c r="B661" s="1012" t="s">
        <v>945</v>
      </c>
      <c r="C661" s="1013"/>
      <c r="D661" s="1013"/>
      <c r="E661" s="1013"/>
      <c r="F661" s="1014"/>
      <c r="G661" s="89">
        <f>SUM(G650:G660)</f>
        <v>12.419999999999998</v>
      </c>
    </row>
    <row r="663" spans="2:9" x14ac:dyDescent="0.3">
      <c r="C663" s="12" t="s">
        <v>968</v>
      </c>
      <c r="D663" s="12"/>
      <c r="E663" s="12"/>
      <c r="F663" s="11">
        <f>H666</f>
        <v>0.52</v>
      </c>
      <c r="G663" s="12" t="s">
        <v>971</v>
      </c>
    </row>
    <row r="664" spans="2:9" x14ac:dyDescent="0.3">
      <c r="C664" s="22"/>
      <c r="D664" s="22"/>
      <c r="E664" s="22"/>
      <c r="F664" s="23"/>
      <c r="G664" s="22"/>
    </row>
    <row r="665" spans="2:9" ht="27.6" x14ac:dyDescent="0.3">
      <c r="C665" s="14" t="s">
        <v>513</v>
      </c>
      <c r="D665" s="14" t="s">
        <v>969</v>
      </c>
      <c r="E665" s="14" t="s">
        <v>516</v>
      </c>
      <c r="F665" s="14" t="s">
        <v>970</v>
      </c>
      <c r="G665" s="14" t="s">
        <v>930</v>
      </c>
      <c r="H665" s="14" t="s">
        <v>961</v>
      </c>
    </row>
    <row r="666" spans="2:9" x14ac:dyDescent="0.3">
      <c r="C666" s="27" t="s">
        <v>1090</v>
      </c>
      <c r="D666" s="17">
        <f>АМОРТИЗАЦІЯ!C5</f>
        <v>34445.759999999995</v>
      </c>
      <c r="E666" s="17">
        <v>13679.5</v>
      </c>
      <c r="F666" s="17">
        <f>ROUND((D666/E666)/60,2)</f>
        <v>0.04</v>
      </c>
      <c r="G666" s="17">
        <f>E643+E642</f>
        <v>13</v>
      </c>
      <c r="H666" s="16">
        <f>ROUND(F666*G666,2)</f>
        <v>0.52</v>
      </c>
      <c r="I666" s="38"/>
    </row>
    <row r="668" spans="2:9" x14ac:dyDescent="0.3">
      <c r="C668" s="22" t="s">
        <v>948</v>
      </c>
      <c r="D668" s="22"/>
      <c r="E668" s="22"/>
      <c r="F668" s="23">
        <f>H681</f>
        <v>1.6900000000000002</v>
      </c>
    </row>
    <row r="669" spans="2:9" ht="8.25" customHeight="1" x14ac:dyDescent="0.3">
      <c r="C669" s="22"/>
      <c r="D669" s="22"/>
      <c r="E669" s="22"/>
      <c r="F669" s="23"/>
    </row>
    <row r="670" spans="2:9" ht="27.6" x14ac:dyDescent="0.3">
      <c r="C670" s="14" t="s">
        <v>948</v>
      </c>
      <c r="D670" s="14" t="s">
        <v>1110</v>
      </c>
      <c r="E670" s="14" t="s">
        <v>516</v>
      </c>
      <c r="F670" s="14" t="s">
        <v>954</v>
      </c>
      <c r="G670" s="14" t="s">
        <v>930</v>
      </c>
      <c r="H670" s="14" t="s">
        <v>1111</v>
      </c>
    </row>
    <row r="671" spans="2:9" x14ac:dyDescent="0.3">
      <c r="C671" s="1009" t="str">
        <f>C638</f>
        <v>Лікар-лаборант</v>
      </c>
      <c r="D671" s="1010"/>
      <c r="E671" s="1010"/>
      <c r="F671" s="1010"/>
      <c r="G671" s="1010"/>
      <c r="H671" s="1011"/>
    </row>
    <row r="672" spans="2:9" x14ac:dyDescent="0.3">
      <c r="C672" s="17" t="s">
        <v>951</v>
      </c>
      <c r="D672" s="112">
        <f>D616</f>
        <v>12188.608008565312</v>
      </c>
      <c r="E672" s="17">
        <f>I638</f>
        <v>1807.2</v>
      </c>
      <c r="F672" s="17">
        <f>ROUND((D672/E672)/60,2)</f>
        <v>0.11</v>
      </c>
      <c r="G672" s="17">
        <f>E642</f>
        <v>3</v>
      </c>
      <c r="H672" s="16">
        <f>ROUND(F672*G672,2)</f>
        <v>0.33</v>
      </c>
    </row>
    <row r="673" spans="1:20" x14ac:dyDescent="0.3">
      <c r="C673" s="17" t="s">
        <v>952</v>
      </c>
      <c r="D673" s="112">
        <f>D617</f>
        <v>53.149721627408987</v>
      </c>
      <c r="E673" s="17">
        <f>I638</f>
        <v>1807.2</v>
      </c>
      <c r="F673" s="17">
        <f>ROUND((D673/E673)/60,2)</f>
        <v>0</v>
      </c>
      <c r="G673" s="17">
        <f>E642</f>
        <v>3</v>
      </c>
      <c r="H673" s="16">
        <f>ROUND(F673*G673,2)</f>
        <v>0</v>
      </c>
    </row>
    <row r="674" spans="1:20" x14ac:dyDescent="0.3">
      <c r="C674" s="17" t="s">
        <v>953</v>
      </c>
      <c r="D674" s="112">
        <f>D618</f>
        <v>374.98368308351178</v>
      </c>
      <c r="E674" s="17">
        <f>I638</f>
        <v>1807.2</v>
      </c>
      <c r="F674" s="17">
        <f>ROUND((D674/E674)/60,2)</f>
        <v>0</v>
      </c>
      <c r="G674" s="17">
        <f>E642</f>
        <v>3</v>
      </c>
      <c r="H674" s="16">
        <f>ROUND(F674*G674,2)</f>
        <v>0</v>
      </c>
    </row>
    <row r="675" spans="1:20" x14ac:dyDescent="0.3">
      <c r="C675" s="17" t="s">
        <v>1109</v>
      </c>
      <c r="D675" s="112">
        <f>D619</f>
        <v>1686.0389293361886</v>
      </c>
      <c r="E675" s="17">
        <f>I638</f>
        <v>1807.2</v>
      </c>
      <c r="F675" s="17">
        <f>ROUND((D675/E675)/60,2)</f>
        <v>0.02</v>
      </c>
      <c r="G675" s="17">
        <f>E642</f>
        <v>3</v>
      </c>
      <c r="H675" s="16">
        <f>ROUND(F675*G675,2)</f>
        <v>0.06</v>
      </c>
    </row>
    <row r="676" spans="1:20" x14ac:dyDescent="0.3">
      <c r="C676" s="1009" t="str">
        <f>C639</f>
        <v>Лаборант клінічної лабораторії</v>
      </c>
      <c r="D676" s="1010"/>
      <c r="E676" s="1010"/>
      <c r="F676" s="1010"/>
      <c r="G676" s="1010"/>
      <c r="H676" s="1011"/>
    </row>
    <row r="677" spans="1:20" x14ac:dyDescent="0.3">
      <c r="C677" s="17" t="s">
        <v>951</v>
      </c>
      <c r="D677" s="112">
        <f>D621</f>
        <v>12188.608008565312</v>
      </c>
      <c r="E677" s="17">
        <f>I639</f>
        <v>1807.2</v>
      </c>
      <c r="F677" s="17">
        <f>ROUND((D677/E677)/60,2)</f>
        <v>0.11</v>
      </c>
      <c r="G677" s="17">
        <f>E643</f>
        <v>10</v>
      </c>
      <c r="H677" s="16">
        <f>ROUND(F677*G677,2)</f>
        <v>1.1000000000000001</v>
      </c>
    </row>
    <row r="678" spans="1:20" x14ac:dyDescent="0.3">
      <c r="C678" s="17" t="s">
        <v>952</v>
      </c>
      <c r="D678" s="112">
        <f>D622</f>
        <v>53.149721627408987</v>
      </c>
      <c r="E678" s="17">
        <f>I639</f>
        <v>1807.2</v>
      </c>
      <c r="F678" s="17">
        <f>ROUND((D678/E678)/60,2)</f>
        <v>0</v>
      </c>
      <c r="G678" s="17">
        <f>E643</f>
        <v>10</v>
      </c>
      <c r="H678" s="16">
        <f>ROUND(F678*G678,2)</f>
        <v>0</v>
      </c>
    </row>
    <row r="679" spans="1:20" x14ac:dyDescent="0.3">
      <c r="C679" s="17" t="s">
        <v>953</v>
      </c>
      <c r="D679" s="112">
        <f>D623</f>
        <v>374.98368308351178</v>
      </c>
      <c r="E679" s="17">
        <f>I639</f>
        <v>1807.2</v>
      </c>
      <c r="F679" s="17">
        <f>ROUND((D679/E679)/60,2)</f>
        <v>0</v>
      </c>
      <c r="G679" s="17">
        <f>E643</f>
        <v>10</v>
      </c>
      <c r="H679" s="16">
        <f>ROUND(F679*G679,2)</f>
        <v>0</v>
      </c>
    </row>
    <row r="680" spans="1:20" x14ac:dyDescent="0.3">
      <c r="C680" s="17" t="s">
        <v>1109</v>
      </c>
      <c r="D680" s="112">
        <f>D624</f>
        <v>1686.0389293361886</v>
      </c>
      <c r="E680" s="17">
        <f>I639</f>
        <v>1807.2</v>
      </c>
      <c r="F680" s="17">
        <f>ROUND((D680/E680)/60,2)</f>
        <v>0.02</v>
      </c>
      <c r="G680" s="17">
        <f>E643</f>
        <v>10</v>
      </c>
      <c r="H680" s="16">
        <f>ROUND(F680*G680,2)</f>
        <v>0.2</v>
      </c>
    </row>
    <row r="681" spans="1:20" x14ac:dyDescent="0.3">
      <c r="C681" s="1012" t="s">
        <v>957</v>
      </c>
      <c r="D681" s="1013"/>
      <c r="E681" s="1013"/>
      <c r="F681" s="1013"/>
      <c r="G681" s="1014"/>
      <c r="H681" s="18">
        <f>SUM(H672:H680)</f>
        <v>1.6900000000000002</v>
      </c>
    </row>
    <row r="682" spans="1:20" ht="7.5" customHeight="1" x14ac:dyDescent="0.3"/>
    <row r="683" spans="1:20" x14ac:dyDescent="0.3">
      <c r="C683" s="1015" t="s">
        <v>959</v>
      </c>
      <c r="D683" s="1015"/>
      <c r="E683" s="1015"/>
      <c r="F683" s="1015"/>
      <c r="G683" s="1015"/>
      <c r="H683" s="32">
        <f>F635+F647+F668+F663</f>
        <v>31.01</v>
      </c>
    </row>
    <row r="684" spans="1:20" ht="11.25" customHeight="1" x14ac:dyDescent="0.3">
      <c r="C684" s="33"/>
      <c r="D684" s="33"/>
      <c r="E684" s="33"/>
      <c r="F684" s="33"/>
      <c r="G684" s="33"/>
      <c r="H684" s="34"/>
    </row>
    <row r="685" spans="1:20" x14ac:dyDescent="0.3">
      <c r="C685" s="1015" t="s">
        <v>960</v>
      </c>
      <c r="D685" s="1015"/>
      <c r="E685" s="1015"/>
      <c r="F685" s="1015"/>
      <c r="G685" s="1015"/>
      <c r="H685" s="32">
        <f>ROUND(H683,0)</f>
        <v>31</v>
      </c>
    </row>
    <row r="687" spans="1:20" s="54" customFormat="1" ht="19.8" x14ac:dyDescent="0.4">
      <c r="A687" s="53"/>
      <c r="B687" s="1016" t="s">
        <v>958</v>
      </c>
      <c r="C687" s="1016"/>
      <c r="D687" s="1016"/>
      <c r="E687" s="1016"/>
      <c r="F687" s="1016"/>
      <c r="G687" s="1016"/>
      <c r="H687" s="1016"/>
      <c r="I687" s="1016"/>
      <c r="J687" s="1016"/>
      <c r="K687" s="137"/>
      <c r="L687" s="126"/>
      <c r="M687" s="126"/>
      <c r="N687" s="70"/>
      <c r="O687" s="53"/>
      <c r="P687" s="53"/>
      <c r="Q687" s="53"/>
      <c r="R687" s="53"/>
      <c r="S687" s="53"/>
      <c r="T687" s="53"/>
    </row>
    <row r="688" spans="1:20" s="54" customFormat="1" ht="19.8" x14ac:dyDescent="0.4">
      <c r="A688" s="53"/>
      <c r="B688" s="53"/>
      <c r="C688" s="53"/>
      <c r="D688" s="53"/>
      <c r="E688" s="53"/>
      <c r="F688" s="53"/>
      <c r="G688" s="53"/>
      <c r="H688" s="53"/>
      <c r="I688" s="53"/>
      <c r="J688" s="53"/>
      <c r="K688" s="132"/>
      <c r="L688" s="126"/>
      <c r="M688" s="126"/>
      <c r="N688" s="70"/>
      <c r="O688" s="53"/>
      <c r="P688" s="53"/>
      <c r="Q688" s="53"/>
      <c r="R688" s="53"/>
      <c r="S688" s="53"/>
      <c r="T688" s="53"/>
    </row>
    <row r="689" spans="1:20" s="54" customFormat="1" ht="19.8" x14ac:dyDescent="0.4">
      <c r="A689" s="53"/>
      <c r="B689" s="50" t="s">
        <v>752</v>
      </c>
      <c r="C689" s="1017" t="s">
        <v>756</v>
      </c>
      <c r="D689" s="1017"/>
      <c r="E689" s="1017"/>
      <c r="F689" s="52">
        <f>H743</f>
        <v>48</v>
      </c>
      <c r="G689" s="52" t="s">
        <v>971</v>
      </c>
      <c r="H689" s="53"/>
      <c r="I689" s="53"/>
      <c r="J689" s="53"/>
      <c r="K689" s="132"/>
      <c r="L689" s="126"/>
      <c r="M689" s="126"/>
      <c r="N689" s="70"/>
      <c r="O689" s="53"/>
      <c r="P689" s="53"/>
      <c r="Q689" s="53"/>
      <c r="R689" s="53"/>
      <c r="S689" s="53"/>
      <c r="T689" s="53"/>
    </row>
    <row r="690" spans="1:20" ht="9" customHeight="1" x14ac:dyDescent="0.3"/>
    <row r="691" spans="1:20" x14ac:dyDescent="0.3">
      <c r="C691" s="1018" t="s">
        <v>932</v>
      </c>
      <c r="D691" s="1018"/>
      <c r="E691" s="10"/>
      <c r="F691" s="11">
        <f>F698+F701+F699</f>
        <v>33.769999999999996</v>
      </c>
      <c r="G691" s="12" t="s">
        <v>971</v>
      </c>
    </row>
    <row r="692" spans="1:20" ht="2.25" customHeight="1" x14ac:dyDescent="0.3"/>
    <row r="693" spans="1:20" x14ac:dyDescent="0.3">
      <c r="C693" s="13" t="s">
        <v>929</v>
      </c>
      <c r="D693" s="14" t="s">
        <v>928</v>
      </c>
      <c r="E693" s="14" t="s">
        <v>514</v>
      </c>
      <c r="F693" s="14" t="s">
        <v>515</v>
      </c>
      <c r="G693" s="14" t="s">
        <v>962</v>
      </c>
      <c r="H693" s="14" t="s">
        <v>926</v>
      </c>
      <c r="I693" s="14" t="s">
        <v>516</v>
      </c>
      <c r="J693" s="14" t="s">
        <v>961</v>
      </c>
      <c r="K693" s="138"/>
    </row>
    <row r="694" spans="1:20" x14ac:dyDescent="0.3">
      <c r="C694" s="17" t="str">
        <f>C638</f>
        <v>Лікар-лаборант</v>
      </c>
      <c r="D694" s="16">
        <f>D638</f>
        <v>10799.43</v>
      </c>
      <c r="E694" s="16">
        <f>D694*12</f>
        <v>129593.16</v>
      </c>
      <c r="F694" s="16">
        <f>F638</f>
        <v>8307.26</v>
      </c>
      <c r="G694" s="16">
        <f>G638</f>
        <v>4153.63</v>
      </c>
      <c r="H694" s="16">
        <f>E694+F694+G694</f>
        <v>142054.05000000002</v>
      </c>
      <c r="I694" s="17">
        <v>1807.2</v>
      </c>
      <c r="J694" s="16">
        <f>ROUND((H694/I694)/60,2)</f>
        <v>1.31</v>
      </c>
      <c r="K694" s="140"/>
    </row>
    <row r="695" spans="1:20" x14ac:dyDescent="0.3">
      <c r="C695" s="17" t="str">
        <f>C639</f>
        <v>Лаборант клінічної лабораторії</v>
      </c>
      <c r="D695" s="16">
        <f>D639</f>
        <v>7871.18</v>
      </c>
      <c r="E695" s="16">
        <f>D695*12</f>
        <v>94454.16</v>
      </c>
      <c r="F695" s="16">
        <f>F639</f>
        <v>6054.75</v>
      </c>
      <c r="G695" s="16">
        <f>G639</f>
        <v>3027.375</v>
      </c>
      <c r="H695" s="16">
        <f>E695+F695+G695</f>
        <v>103536.285</v>
      </c>
      <c r="I695" s="17">
        <v>1807.2</v>
      </c>
      <c r="J695" s="16">
        <f>ROUND((H695/I695)/60,2)</f>
        <v>0.95</v>
      </c>
      <c r="K695" s="140"/>
    </row>
    <row r="696" spans="1:20" ht="6.75" customHeight="1" x14ac:dyDescent="0.3"/>
    <row r="697" spans="1:20" ht="27.6" x14ac:dyDescent="0.3">
      <c r="C697" s="13" t="s">
        <v>929</v>
      </c>
      <c r="D697" s="14" t="s">
        <v>961</v>
      </c>
      <c r="E697" s="14" t="s">
        <v>930</v>
      </c>
      <c r="F697" s="14" t="s">
        <v>931</v>
      </c>
    </row>
    <row r="698" spans="1:20" x14ac:dyDescent="0.3">
      <c r="C698" s="15" t="str">
        <f>C694</f>
        <v>Лікар-лаборант</v>
      </c>
      <c r="D698" s="16">
        <f>J694</f>
        <v>1.31</v>
      </c>
      <c r="E698" s="17">
        <v>3</v>
      </c>
      <c r="F698" s="18">
        <f>ROUND(D698*E698,2)</f>
        <v>3.93</v>
      </c>
    </row>
    <row r="699" spans="1:20" x14ac:dyDescent="0.3">
      <c r="C699" s="15" t="str">
        <f>C695</f>
        <v>Лаборант клінічної лабораторії</v>
      </c>
      <c r="D699" s="16">
        <f>J695</f>
        <v>0.95</v>
      </c>
      <c r="E699" s="17">
        <v>25</v>
      </c>
      <c r="F699" s="18">
        <f>ROUND(D699*E699,2)</f>
        <v>23.75</v>
      </c>
    </row>
    <row r="700" spans="1:20" ht="6.75" customHeight="1" x14ac:dyDescent="0.3">
      <c r="D700" s="19"/>
      <c r="E700" s="7" t="s">
        <v>1016</v>
      </c>
    </row>
    <row r="701" spans="1:20" x14ac:dyDescent="0.3">
      <c r="C701" s="17" t="s">
        <v>933</v>
      </c>
      <c r="D701" s="16">
        <f>F698+F699</f>
        <v>27.68</v>
      </c>
      <c r="E701" s="20">
        <v>0.22</v>
      </c>
      <c r="F701" s="21">
        <f>ROUND(D701*E701,2)</f>
        <v>6.09</v>
      </c>
    </row>
    <row r="702" spans="1:20" ht="5.25" customHeight="1" x14ac:dyDescent="0.3"/>
    <row r="703" spans="1:20" x14ac:dyDescent="0.3">
      <c r="C703" s="12" t="s">
        <v>946</v>
      </c>
      <c r="D703" s="12"/>
      <c r="E703" s="12"/>
      <c r="F703" s="12">
        <f>G719</f>
        <v>8.9700000000000024</v>
      </c>
      <c r="G703" s="12" t="s">
        <v>971</v>
      </c>
    </row>
    <row r="704" spans="1:20" ht="6.75" customHeight="1" x14ac:dyDescent="0.3"/>
    <row r="705" spans="2:7" ht="27.6" x14ac:dyDescent="0.3">
      <c r="B705" s="82" t="s">
        <v>991</v>
      </c>
      <c r="C705" s="83" t="s">
        <v>986</v>
      </c>
      <c r="D705" s="83" t="s">
        <v>987</v>
      </c>
      <c r="E705" s="83" t="s">
        <v>988</v>
      </c>
      <c r="F705" s="83" t="s">
        <v>989</v>
      </c>
      <c r="G705" s="82" t="s">
        <v>990</v>
      </c>
    </row>
    <row r="706" spans="2:7" x14ac:dyDescent="0.3">
      <c r="B706" s="84">
        <v>1</v>
      </c>
      <c r="C706" s="85" t="s">
        <v>1053</v>
      </c>
      <c r="D706" s="86"/>
      <c r="E706" s="87">
        <f>'МЕДИЧНІ М'!E17</f>
        <v>153</v>
      </c>
      <c r="F706" s="86">
        <v>400</v>
      </c>
      <c r="G706" s="88">
        <f>ROUND(E706/F706,2)</f>
        <v>0.38</v>
      </c>
    </row>
    <row r="707" spans="2:7" x14ac:dyDescent="0.3">
      <c r="B707" s="73">
        <f>B706+1</f>
        <v>2</v>
      </c>
      <c r="C707" s="79" t="s">
        <v>1054</v>
      </c>
      <c r="D707" s="75"/>
      <c r="E707" s="75">
        <f>'МЕДИЧНІ М'!E16</f>
        <v>153</v>
      </c>
      <c r="F707" s="86">
        <v>400</v>
      </c>
      <c r="G707" s="88">
        <f>ROUND(E707/F707,2)</f>
        <v>0.38</v>
      </c>
    </row>
    <row r="708" spans="2:7" x14ac:dyDescent="0.3">
      <c r="B708" s="73">
        <f t="shared" ref="B708:B718" si="19">B707+1</f>
        <v>3</v>
      </c>
      <c r="C708" s="79" t="s">
        <v>1055</v>
      </c>
      <c r="D708" s="75"/>
      <c r="E708" s="75">
        <f>'МЕДИЧНІ М'!E18</f>
        <v>144</v>
      </c>
      <c r="F708" s="86">
        <v>100</v>
      </c>
      <c r="G708" s="88">
        <f>ROUND(E708/F708,2)</f>
        <v>1.44</v>
      </c>
    </row>
    <row r="709" spans="2:7" x14ac:dyDescent="0.3">
      <c r="B709" s="73">
        <f t="shared" si="19"/>
        <v>4</v>
      </c>
      <c r="C709" s="79" t="s">
        <v>1056</v>
      </c>
      <c r="D709" s="75"/>
      <c r="E709" s="75">
        <f>'МЕДИЧНІ М'!E69</f>
        <v>152</v>
      </c>
      <c r="F709" s="86">
        <v>150</v>
      </c>
      <c r="G709" s="88">
        <f>ROUND(E709/F709,2)</f>
        <v>1.01</v>
      </c>
    </row>
    <row r="710" spans="2:7" x14ac:dyDescent="0.3">
      <c r="B710" s="73">
        <f t="shared" si="19"/>
        <v>5</v>
      </c>
      <c r="C710" s="79" t="s">
        <v>981</v>
      </c>
      <c r="D710" s="76" t="s">
        <v>941</v>
      </c>
      <c r="E710" s="76">
        <f>'МЕДИЧНІ М'!E49</f>
        <v>0.6</v>
      </c>
      <c r="F710" s="77">
        <v>1</v>
      </c>
      <c r="G710" s="88">
        <f>ROUND(E710*F710,2)</f>
        <v>0.6</v>
      </c>
    </row>
    <row r="711" spans="2:7" x14ac:dyDescent="0.3">
      <c r="B711" s="73">
        <f t="shared" si="19"/>
        <v>6</v>
      </c>
      <c r="C711" s="79" t="s">
        <v>985</v>
      </c>
      <c r="D711" s="76" t="s">
        <v>937</v>
      </c>
      <c r="E711" s="76">
        <f>'МЕДИЧНІ М'!F39</f>
        <v>0.3</v>
      </c>
      <c r="F711" s="77">
        <v>1</v>
      </c>
      <c r="G711" s="78">
        <f t="shared" ref="G711:G716" si="20">ROUND(E711/F711,2)</f>
        <v>0.3</v>
      </c>
    </row>
    <row r="712" spans="2:7" x14ac:dyDescent="0.3">
      <c r="B712" s="73">
        <f t="shared" si="19"/>
        <v>7</v>
      </c>
      <c r="C712" s="79" t="s">
        <v>1050</v>
      </c>
      <c r="D712" s="76" t="s">
        <v>941</v>
      </c>
      <c r="E712" s="76">
        <f>'МЕДИЧНІ М'!E77</f>
        <v>0.9</v>
      </c>
      <c r="F712" s="77">
        <v>1</v>
      </c>
      <c r="G712" s="78">
        <f t="shared" si="20"/>
        <v>0.9</v>
      </c>
    </row>
    <row r="713" spans="2:7" x14ac:dyDescent="0.3">
      <c r="B713" s="73">
        <f t="shared" si="19"/>
        <v>8</v>
      </c>
      <c r="C713" s="27" t="s">
        <v>942</v>
      </c>
      <c r="D713" s="78" t="s">
        <v>974</v>
      </c>
      <c r="E713" s="76">
        <f>'МЕДИЧНІ М'!E65</f>
        <v>24.6</v>
      </c>
      <c r="F713" s="77">
        <v>100</v>
      </c>
      <c r="G713" s="78">
        <f t="shared" si="20"/>
        <v>0.25</v>
      </c>
    </row>
    <row r="714" spans="2:7" x14ac:dyDescent="0.3">
      <c r="B714" s="73">
        <f t="shared" si="19"/>
        <v>9</v>
      </c>
      <c r="C714" s="79" t="s">
        <v>934</v>
      </c>
      <c r="D714" s="76" t="s">
        <v>941</v>
      </c>
      <c r="E714" s="76">
        <f>'МЕДИЧНІ М'!E59</f>
        <v>2.8</v>
      </c>
      <c r="F714" s="86">
        <v>10</v>
      </c>
      <c r="G714" s="88">
        <f t="shared" si="20"/>
        <v>0.28000000000000003</v>
      </c>
    </row>
    <row r="715" spans="2:7" x14ac:dyDescent="0.3">
      <c r="B715" s="73">
        <f t="shared" si="19"/>
        <v>10</v>
      </c>
      <c r="C715" s="27" t="s">
        <v>972</v>
      </c>
      <c r="D715" s="76" t="s">
        <v>944</v>
      </c>
      <c r="E715" s="76">
        <f>'МЕДИЧНІ М'!E21</f>
        <v>7</v>
      </c>
      <c r="F715" s="86">
        <v>100</v>
      </c>
      <c r="G715" s="88">
        <f t="shared" si="20"/>
        <v>7.0000000000000007E-2</v>
      </c>
    </row>
    <row r="716" spans="2:7" x14ac:dyDescent="0.3">
      <c r="B716" s="73">
        <f t="shared" si="19"/>
        <v>11</v>
      </c>
      <c r="C716" s="79" t="s">
        <v>982</v>
      </c>
      <c r="D716" s="76" t="s">
        <v>941</v>
      </c>
      <c r="E716" s="76">
        <f>'МЕДИЧНІ М'!E48</f>
        <v>11</v>
      </c>
      <c r="F716" s="77">
        <v>100</v>
      </c>
      <c r="G716" s="88">
        <f t="shared" si="20"/>
        <v>0.11</v>
      </c>
    </row>
    <row r="717" spans="2:7" x14ac:dyDescent="0.3">
      <c r="B717" s="73">
        <f t="shared" si="19"/>
        <v>12</v>
      </c>
      <c r="C717" s="27" t="s">
        <v>940</v>
      </c>
      <c r="D717" s="28" t="s">
        <v>941</v>
      </c>
      <c r="E717" s="81">
        <f>'МЕДИЧНІ М'!E37</f>
        <v>2</v>
      </c>
      <c r="F717" s="28">
        <v>1.5</v>
      </c>
      <c r="G717" s="28">
        <f>ROUND(E717*F717,2)</f>
        <v>3</v>
      </c>
    </row>
    <row r="718" spans="2:7" x14ac:dyDescent="0.3">
      <c r="B718" s="73">
        <f t="shared" si="19"/>
        <v>13</v>
      </c>
      <c r="C718" s="27" t="s">
        <v>1124</v>
      </c>
      <c r="D718" s="28" t="s">
        <v>944</v>
      </c>
      <c r="E718" s="81">
        <f>'МЕДИЧНІ М'!E24</f>
        <v>0.5</v>
      </c>
      <c r="F718" s="81">
        <v>0.5</v>
      </c>
      <c r="G718" s="28">
        <f>ROUND(E718*F718,2)</f>
        <v>0.25</v>
      </c>
    </row>
    <row r="719" spans="2:7" x14ac:dyDescent="0.3">
      <c r="B719" s="1012" t="s">
        <v>945</v>
      </c>
      <c r="C719" s="1013"/>
      <c r="D719" s="1013"/>
      <c r="E719" s="1013"/>
      <c r="F719" s="1014"/>
      <c r="G719" s="89">
        <f>SUM(G706:G718)</f>
        <v>8.9700000000000024</v>
      </c>
    </row>
    <row r="720" spans="2:7" ht="9.75" customHeight="1" x14ac:dyDescent="0.3"/>
    <row r="721" spans="3:9" x14ac:dyDescent="0.3">
      <c r="C721" s="12" t="s">
        <v>968</v>
      </c>
      <c r="D721" s="12"/>
      <c r="E721" s="12"/>
      <c r="F721" s="11">
        <f>H724</f>
        <v>1.1200000000000001</v>
      </c>
      <c r="G721" s="12" t="s">
        <v>971</v>
      </c>
    </row>
    <row r="722" spans="3:9" ht="7.5" customHeight="1" x14ac:dyDescent="0.3">
      <c r="C722" s="22"/>
      <c r="D722" s="22"/>
      <c r="E722" s="22"/>
      <c r="F722" s="23"/>
      <c r="G722" s="22"/>
    </row>
    <row r="723" spans="3:9" ht="27.6" x14ac:dyDescent="0.3">
      <c r="C723" s="14" t="s">
        <v>513</v>
      </c>
      <c r="D723" s="14" t="s">
        <v>969</v>
      </c>
      <c r="E723" s="14" t="s">
        <v>516</v>
      </c>
      <c r="F723" s="14" t="s">
        <v>970</v>
      </c>
      <c r="G723" s="14" t="s">
        <v>930</v>
      </c>
      <c r="H723" s="14" t="s">
        <v>961</v>
      </c>
    </row>
    <row r="724" spans="3:9" x14ac:dyDescent="0.3">
      <c r="C724" s="27" t="s">
        <v>1090</v>
      </c>
      <c r="D724" s="17">
        <f>АМОРТИЗАЦІЯ!C5</f>
        <v>34445.759999999995</v>
      </c>
      <c r="E724" s="17">
        <v>13679.5</v>
      </c>
      <c r="F724" s="17">
        <f>ROUND((D724/E724)/60,2)</f>
        <v>0.04</v>
      </c>
      <c r="G724" s="17">
        <f>E699+E698</f>
        <v>28</v>
      </c>
      <c r="H724" s="16">
        <f>ROUND(F724*G724,2)</f>
        <v>1.1200000000000001</v>
      </c>
      <c r="I724" s="38"/>
    </row>
    <row r="726" spans="3:9" x14ac:dyDescent="0.3">
      <c r="C726" s="12" t="s">
        <v>948</v>
      </c>
      <c r="D726" s="12"/>
      <c r="E726" s="12"/>
      <c r="F726" s="11">
        <f>H739</f>
        <v>3.64</v>
      </c>
      <c r="G726" s="12" t="s">
        <v>971</v>
      </c>
    </row>
    <row r="727" spans="3:9" ht="4.5" customHeight="1" x14ac:dyDescent="0.3">
      <c r="C727" s="22"/>
      <c r="D727" s="22"/>
      <c r="E727" s="22"/>
      <c r="F727" s="23"/>
    </row>
    <row r="728" spans="3:9" ht="27.6" x14ac:dyDescent="0.3">
      <c r="C728" s="14" t="s">
        <v>948</v>
      </c>
      <c r="D728" s="14" t="s">
        <v>1110</v>
      </c>
      <c r="E728" s="14" t="s">
        <v>516</v>
      </c>
      <c r="F728" s="14" t="s">
        <v>954</v>
      </c>
      <c r="G728" s="14" t="s">
        <v>930</v>
      </c>
      <c r="H728" s="14" t="s">
        <v>1111</v>
      </c>
    </row>
    <row r="729" spans="3:9" x14ac:dyDescent="0.3">
      <c r="C729" s="1009" t="str">
        <f>C694</f>
        <v>Лікар-лаборант</v>
      </c>
      <c r="D729" s="1010"/>
      <c r="E729" s="1010"/>
      <c r="F729" s="1010"/>
      <c r="G729" s="1010"/>
      <c r="H729" s="1011"/>
    </row>
    <row r="730" spans="3:9" x14ac:dyDescent="0.3">
      <c r="C730" s="17" t="s">
        <v>951</v>
      </c>
      <c r="D730" s="112">
        <f>D672</f>
        <v>12188.608008565312</v>
      </c>
      <c r="E730" s="17">
        <f>I694</f>
        <v>1807.2</v>
      </c>
      <c r="F730" s="17">
        <f>ROUND((D730/E730)/60,2)</f>
        <v>0.11</v>
      </c>
      <c r="G730" s="17">
        <f>E698</f>
        <v>3</v>
      </c>
      <c r="H730" s="16">
        <f>ROUND(F730*G730,2)</f>
        <v>0.33</v>
      </c>
    </row>
    <row r="731" spans="3:9" x14ac:dyDescent="0.3">
      <c r="C731" s="17" t="s">
        <v>952</v>
      </c>
      <c r="D731" s="112">
        <f>D673</f>
        <v>53.149721627408987</v>
      </c>
      <c r="E731" s="17">
        <f>I694</f>
        <v>1807.2</v>
      </c>
      <c r="F731" s="17">
        <f>ROUND((D731/E731)/60,2)</f>
        <v>0</v>
      </c>
      <c r="G731" s="17">
        <f>E698</f>
        <v>3</v>
      </c>
      <c r="H731" s="16">
        <f>ROUND(F731*G731,2)</f>
        <v>0</v>
      </c>
    </row>
    <row r="732" spans="3:9" x14ac:dyDescent="0.3">
      <c r="C732" s="17" t="s">
        <v>953</v>
      </c>
      <c r="D732" s="112">
        <f>D674</f>
        <v>374.98368308351178</v>
      </c>
      <c r="E732" s="17">
        <f>I694</f>
        <v>1807.2</v>
      </c>
      <c r="F732" s="17">
        <f>ROUND((D732/E732)/60,2)</f>
        <v>0</v>
      </c>
      <c r="G732" s="17">
        <f>E698</f>
        <v>3</v>
      </c>
      <c r="H732" s="16">
        <f>ROUND(F732*G732,2)</f>
        <v>0</v>
      </c>
    </row>
    <row r="733" spans="3:9" x14ac:dyDescent="0.3">
      <c r="C733" s="17" t="s">
        <v>1109</v>
      </c>
      <c r="D733" s="112">
        <f>D675</f>
        <v>1686.0389293361886</v>
      </c>
      <c r="E733" s="17">
        <f>I694</f>
        <v>1807.2</v>
      </c>
      <c r="F733" s="17">
        <f>ROUND((D733/E733)/60,2)</f>
        <v>0.02</v>
      </c>
      <c r="G733" s="17">
        <f>E698</f>
        <v>3</v>
      </c>
      <c r="H733" s="16">
        <f>ROUND(F733*G733,2)</f>
        <v>0.06</v>
      </c>
    </row>
    <row r="734" spans="3:9" x14ac:dyDescent="0.3">
      <c r="C734" s="1009" t="str">
        <f>C695</f>
        <v>Лаборант клінічної лабораторії</v>
      </c>
      <c r="D734" s="1010"/>
      <c r="E734" s="1010"/>
      <c r="F734" s="1010"/>
      <c r="G734" s="1010"/>
      <c r="H734" s="1011"/>
    </row>
    <row r="735" spans="3:9" x14ac:dyDescent="0.3">
      <c r="C735" s="17" t="s">
        <v>951</v>
      </c>
      <c r="D735" s="112">
        <f>D677</f>
        <v>12188.608008565312</v>
      </c>
      <c r="E735" s="17">
        <f>I695</f>
        <v>1807.2</v>
      </c>
      <c r="F735" s="17">
        <f>ROUND((D735/E735)/60,2)</f>
        <v>0.11</v>
      </c>
      <c r="G735" s="17">
        <f>E699</f>
        <v>25</v>
      </c>
      <c r="H735" s="16">
        <f>ROUND(F735*G735,2)</f>
        <v>2.75</v>
      </c>
    </row>
    <row r="736" spans="3:9" x14ac:dyDescent="0.3">
      <c r="C736" s="17" t="s">
        <v>952</v>
      </c>
      <c r="D736" s="112">
        <f>D678</f>
        <v>53.149721627408987</v>
      </c>
      <c r="E736" s="17">
        <f>I695</f>
        <v>1807.2</v>
      </c>
      <c r="F736" s="17">
        <f>ROUND((D736/E736)/60,2)</f>
        <v>0</v>
      </c>
      <c r="G736" s="17">
        <f>E699</f>
        <v>25</v>
      </c>
      <c r="H736" s="16">
        <f>ROUND(F736*G736,2)</f>
        <v>0</v>
      </c>
    </row>
    <row r="737" spans="1:20" x14ac:dyDescent="0.3">
      <c r="C737" s="17" t="s">
        <v>953</v>
      </c>
      <c r="D737" s="112">
        <f>D679</f>
        <v>374.98368308351178</v>
      </c>
      <c r="E737" s="17">
        <f>I695</f>
        <v>1807.2</v>
      </c>
      <c r="F737" s="17">
        <f>ROUND((D737/E737)/60,2)</f>
        <v>0</v>
      </c>
      <c r="G737" s="17">
        <f>E699</f>
        <v>25</v>
      </c>
      <c r="H737" s="16">
        <f>ROUND(F737*G737,2)</f>
        <v>0</v>
      </c>
    </row>
    <row r="738" spans="1:20" x14ac:dyDescent="0.3">
      <c r="C738" s="17" t="s">
        <v>1109</v>
      </c>
      <c r="D738" s="112">
        <f>D680</f>
        <v>1686.0389293361886</v>
      </c>
      <c r="E738" s="17">
        <f>I695</f>
        <v>1807.2</v>
      </c>
      <c r="F738" s="17">
        <f>ROUND((D738/E738)/60,2)</f>
        <v>0.02</v>
      </c>
      <c r="G738" s="17">
        <f>E699</f>
        <v>25</v>
      </c>
      <c r="H738" s="16">
        <f>ROUND(F738*G738,2)</f>
        <v>0.5</v>
      </c>
    </row>
    <row r="739" spans="1:20" x14ac:dyDescent="0.3">
      <c r="C739" s="1012" t="s">
        <v>957</v>
      </c>
      <c r="D739" s="1013"/>
      <c r="E739" s="1013"/>
      <c r="F739" s="1013"/>
      <c r="G739" s="1014"/>
      <c r="H739" s="18">
        <f>SUM(H730:H738)</f>
        <v>3.64</v>
      </c>
    </row>
    <row r="741" spans="1:20" x14ac:dyDescent="0.3">
      <c r="C741" s="1015" t="s">
        <v>959</v>
      </c>
      <c r="D741" s="1015"/>
      <c r="E741" s="1015"/>
      <c r="F741" s="1015"/>
      <c r="G741" s="1015"/>
      <c r="H741" s="32">
        <f>F691+F703+F726+F721</f>
        <v>47.499999999999993</v>
      </c>
    </row>
    <row r="742" spans="1:20" ht="10.5" customHeight="1" x14ac:dyDescent="0.3">
      <c r="C742" s="33"/>
      <c r="D742" s="33"/>
      <c r="E742" s="33"/>
      <c r="F742" s="33"/>
      <c r="G742" s="33"/>
      <c r="H742" s="34"/>
    </row>
    <row r="743" spans="1:20" x14ac:dyDescent="0.3">
      <c r="C743" s="1015" t="s">
        <v>960</v>
      </c>
      <c r="D743" s="1015"/>
      <c r="E743" s="1015"/>
      <c r="F743" s="1015"/>
      <c r="G743" s="1015"/>
      <c r="H743" s="32">
        <f>ROUND(H741,0)</f>
        <v>48</v>
      </c>
    </row>
    <row r="745" spans="1:20" s="54" customFormat="1" ht="19.8" x14ac:dyDescent="0.4">
      <c r="A745" s="53"/>
      <c r="B745" s="1016" t="s">
        <v>958</v>
      </c>
      <c r="C745" s="1016"/>
      <c r="D745" s="1016"/>
      <c r="E745" s="1016"/>
      <c r="F745" s="1016"/>
      <c r="G745" s="1016"/>
      <c r="H745" s="1016"/>
      <c r="I745" s="1016"/>
      <c r="J745" s="1016"/>
      <c r="K745" s="137"/>
      <c r="L745" s="126"/>
      <c r="M745" s="126"/>
      <c r="N745" s="70"/>
      <c r="O745" s="53"/>
      <c r="P745" s="53"/>
      <c r="Q745" s="53"/>
      <c r="R745" s="53"/>
      <c r="S745" s="53"/>
      <c r="T745" s="53"/>
    </row>
    <row r="746" spans="1:20" s="54" customFormat="1" ht="5.25" customHeight="1" x14ac:dyDescent="0.4">
      <c r="A746" s="53"/>
      <c r="B746" s="53"/>
      <c r="C746" s="53"/>
      <c r="D746" s="53"/>
      <c r="E746" s="53"/>
      <c r="F746" s="53"/>
      <c r="G746" s="53"/>
      <c r="H746" s="53"/>
      <c r="I746" s="53"/>
      <c r="J746" s="53"/>
      <c r="K746" s="132"/>
      <c r="L746" s="126"/>
      <c r="M746" s="126"/>
      <c r="N746" s="70"/>
      <c r="O746" s="53"/>
      <c r="P746" s="53"/>
      <c r="Q746" s="53"/>
      <c r="R746" s="53"/>
      <c r="S746" s="53"/>
      <c r="T746" s="53"/>
    </row>
    <row r="747" spans="1:20" s="54" customFormat="1" ht="35.25" customHeight="1" x14ac:dyDescent="0.4">
      <c r="A747" s="53"/>
      <c r="B747" s="50" t="s">
        <v>753</v>
      </c>
      <c r="C747" s="1017" t="s">
        <v>758</v>
      </c>
      <c r="D747" s="1017"/>
      <c r="E747" s="1017"/>
      <c r="F747" s="52">
        <f>H800</f>
        <v>21</v>
      </c>
      <c r="G747" s="52" t="s">
        <v>971</v>
      </c>
      <c r="H747" s="53"/>
      <c r="I747" s="53"/>
      <c r="J747" s="53"/>
      <c r="K747" s="132"/>
      <c r="L747" s="126"/>
      <c r="M747" s="126"/>
      <c r="N747" s="70"/>
      <c r="O747" s="53"/>
      <c r="P747" s="53"/>
      <c r="Q747" s="53"/>
      <c r="R747" s="53"/>
      <c r="S747" s="53"/>
      <c r="T747" s="53"/>
    </row>
    <row r="748" spans="1:20" ht="10.5" customHeight="1" x14ac:dyDescent="0.3"/>
    <row r="749" spans="1:20" x14ac:dyDescent="0.3">
      <c r="C749" s="1018" t="s">
        <v>932</v>
      </c>
      <c r="D749" s="1018"/>
      <c r="E749" s="10"/>
      <c r="F749" s="11">
        <f>F756+F759+F757</f>
        <v>10.59</v>
      </c>
      <c r="G749" s="12" t="s">
        <v>971</v>
      </c>
    </row>
    <row r="750" spans="1:20" ht="7.5" customHeight="1" x14ac:dyDescent="0.3"/>
    <row r="751" spans="1:20" x14ac:dyDescent="0.3">
      <c r="C751" s="13" t="s">
        <v>929</v>
      </c>
      <c r="D751" s="14" t="s">
        <v>928</v>
      </c>
      <c r="E751" s="14" t="s">
        <v>514</v>
      </c>
      <c r="F751" s="14" t="s">
        <v>515</v>
      </c>
      <c r="G751" s="14" t="s">
        <v>962</v>
      </c>
      <c r="H751" s="14" t="s">
        <v>926</v>
      </c>
      <c r="I751" s="14" t="s">
        <v>516</v>
      </c>
      <c r="J751" s="14" t="s">
        <v>961</v>
      </c>
      <c r="K751" s="138"/>
    </row>
    <row r="752" spans="1:20" x14ac:dyDescent="0.3">
      <c r="C752" s="17" t="str">
        <f>C694</f>
        <v>Лікар-лаборант</v>
      </c>
      <c r="D752" s="16">
        <f>D694</f>
        <v>10799.43</v>
      </c>
      <c r="E752" s="16">
        <f>D752*12</f>
        <v>129593.16</v>
      </c>
      <c r="F752" s="16">
        <f>F694</f>
        <v>8307.26</v>
      </c>
      <c r="G752" s="16">
        <f>G694</f>
        <v>4153.63</v>
      </c>
      <c r="H752" s="16">
        <f>E752+F752+G752</f>
        <v>142054.05000000002</v>
      </c>
      <c r="I752" s="17">
        <v>1807.2</v>
      </c>
      <c r="J752" s="16">
        <f>ROUND((H752/I752)/60,2)</f>
        <v>1.31</v>
      </c>
      <c r="K752" s="140"/>
    </row>
    <row r="753" spans="2:11" x14ac:dyDescent="0.3">
      <c r="C753" s="17" t="str">
        <f>C695</f>
        <v>Лаборант клінічної лабораторії</v>
      </c>
      <c r="D753" s="16">
        <f>D695</f>
        <v>7871.18</v>
      </c>
      <c r="E753" s="16">
        <f>D753*12</f>
        <v>94454.16</v>
      </c>
      <c r="F753" s="16">
        <f>F695</f>
        <v>6054.75</v>
      </c>
      <c r="G753" s="16">
        <f>G695</f>
        <v>3027.375</v>
      </c>
      <c r="H753" s="16">
        <f>E753+F753+G753</f>
        <v>103536.285</v>
      </c>
      <c r="I753" s="17">
        <v>1807.2</v>
      </c>
      <c r="J753" s="16">
        <f>ROUND((H753/I753)/60,2)</f>
        <v>0.95</v>
      </c>
      <c r="K753" s="140"/>
    </row>
    <row r="754" spans="2:11" ht="9.75" customHeight="1" x14ac:dyDescent="0.3"/>
    <row r="755" spans="2:11" ht="27.6" x14ac:dyDescent="0.3">
      <c r="C755" s="13" t="s">
        <v>929</v>
      </c>
      <c r="D755" s="14" t="s">
        <v>961</v>
      </c>
      <c r="E755" s="14" t="s">
        <v>930</v>
      </c>
      <c r="F755" s="14" t="s">
        <v>931</v>
      </c>
    </row>
    <row r="756" spans="2:11" x14ac:dyDescent="0.3">
      <c r="C756" s="15" t="str">
        <f>C752</f>
        <v>Лікар-лаборант</v>
      </c>
      <c r="D756" s="16">
        <f>J752</f>
        <v>1.31</v>
      </c>
      <c r="E756" s="17">
        <v>3</v>
      </c>
      <c r="F756" s="18">
        <f>ROUND(D756*E756,2)</f>
        <v>3.93</v>
      </c>
    </row>
    <row r="757" spans="2:11" x14ac:dyDescent="0.3">
      <c r="C757" s="15" t="str">
        <f>C753</f>
        <v>Лаборант клінічної лабораторії</v>
      </c>
      <c r="D757" s="16">
        <f>J753</f>
        <v>0.95</v>
      </c>
      <c r="E757" s="17">
        <v>5</v>
      </c>
      <c r="F757" s="18">
        <f>ROUND(D757*E757,2)</f>
        <v>4.75</v>
      </c>
    </row>
    <row r="758" spans="2:11" x14ac:dyDescent="0.3">
      <c r="D758" s="19"/>
      <c r="E758" s="7" t="s">
        <v>1016</v>
      </c>
    </row>
    <row r="759" spans="2:11" x14ac:dyDescent="0.3">
      <c r="C759" s="17" t="s">
        <v>933</v>
      </c>
      <c r="D759" s="16">
        <f>F756+F757</f>
        <v>8.68</v>
      </c>
      <c r="E759" s="20">
        <v>0.22</v>
      </c>
      <c r="F759" s="21">
        <f>ROUND(D759*E759,2)</f>
        <v>1.91</v>
      </c>
    </row>
    <row r="760" spans="2:11" ht="9" customHeight="1" x14ac:dyDescent="0.3"/>
    <row r="761" spans="2:11" x14ac:dyDescent="0.3">
      <c r="C761" s="12" t="s">
        <v>946</v>
      </c>
      <c r="D761" s="12"/>
      <c r="E761" s="12"/>
      <c r="F761" s="12">
        <f>G776</f>
        <v>9.5400000000000009</v>
      </c>
      <c r="G761" s="12" t="s">
        <v>971</v>
      </c>
    </row>
    <row r="762" spans="2:11" ht="7.5" customHeight="1" x14ac:dyDescent="0.3"/>
    <row r="763" spans="2:11" ht="27.6" x14ac:dyDescent="0.3">
      <c r="B763" s="82" t="s">
        <v>991</v>
      </c>
      <c r="C763" s="83" t="s">
        <v>986</v>
      </c>
      <c r="D763" s="83" t="s">
        <v>987</v>
      </c>
      <c r="E763" s="83" t="s">
        <v>988</v>
      </c>
      <c r="F763" s="83" t="s">
        <v>989</v>
      </c>
      <c r="G763" s="82" t="s">
        <v>990</v>
      </c>
    </row>
    <row r="764" spans="2:11" x14ac:dyDescent="0.3">
      <c r="B764" s="84">
        <v>1</v>
      </c>
      <c r="C764" s="85" t="s">
        <v>1057</v>
      </c>
      <c r="D764" s="86" t="s">
        <v>1045</v>
      </c>
      <c r="E764" s="87">
        <f>'МЕДИЧНІ М'!E57</f>
        <v>240</v>
      </c>
      <c r="F764" s="86">
        <v>200</v>
      </c>
      <c r="G764" s="78">
        <f t="shared" ref="G764:G773" si="21">ROUND(E764/F764,2)</f>
        <v>1.2</v>
      </c>
    </row>
    <row r="765" spans="2:11" x14ac:dyDescent="0.3">
      <c r="B765" s="73">
        <f>B764+1</f>
        <v>2</v>
      </c>
      <c r="C765" s="79" t="s">
        <v>1058</v>
      </c>
      <c r="D765" s="86" t="s">
        <v>1045</v>
      </c>
      <c r="E765" s="75">
        <f>'МЕДИЧНІ М'!E67</f>
        <v>240</v>
      </c>
      <c r="F765" s="86">
        <v>200</v>
      </c>
      <c r="G765" s="78">
        <f t="shared" si="21"/>
        <v>1.2</v>
      </c>
    </row>
    <row r="766" spans="2:11" x14ac:dyDescent="0.3">
      <c r="B766" s="73">
        <f t="shared" ref="B766:B775" si="22">B765+1</f>
        <v>3</v>
      </c>
      <c r="C766" s="79" t="s">
        <v>1059</v>
      </c>
      <c r="D766" s="86" t="s">
        <v>1045</v>
      </c>
      <c r="E766" s="75">
        <f>'МЕДИЧНІ М'!E60</f>
        <v>275</v>
      </c>
      <c r="F766" s="86">
        <v>200</v>
      </c>
      <c r="G766" s="78">
        <f t="shared" si="21"/>
        <v>1.38</v>
      </c>
    </row>
    <row r="767" spans="2:11" x14ac:dyDescent="0.3">
      <c r="B767" s="73">
        <f t="shared" si="22"/>
        <v>4</v>
      </c>
      <c r="C767" s="79" t="s">
        <v>981</v>
      </c>
      <c r="D767" s="76" t="s">
        <v>941</v>
      </c>
      <c r="E767" s="76">
        <f>'МЕДИЧНІ М'!E49</f>
        <v>0.6</v>
      </c>
      <c r="F767" s="77">
        <v>1</v>
      </c>
      <c r="G767" s="88">
        <f>ROUND(E767*F767,2)</f>
        <v>0.6</v>
      </c>
    </row>
    <row r="768" spans="2:11" x14ac:dyDescent="0.3">
      <c r="B768" s="73">
        <f t="shared" si="22"/>
        <v>5</v>
      </c>
      <c r="C768" s="79" t="s">
        <v>985</v>
      </c>
      <c r="D768" s="76" t="s">
        <v>937</v>
      </c>
      <c r="E768" s="76">
        <f>'МЕДИЧНІ М'!F39</f>
        <v>0.3</v>
      </c>
      <c r="F768" s="77">
        <v>1</v>
      </c>
      <c r="G768" s="88">
        <f>ROUND(E768*F768,2)</f>
        <v>0.3</v>
      </c>
    </row>
    <row r="769" spans="1:20" x14ac:dyDescent="0.3">
      <c r="B769" s="73">
        <f t="shared" si="22"/>
        <v>6</v>
      </c>
      <c r="C769" s="79" t="s">
        <v>1050</v>
      </c>
      <c r="D769" s="76" t="s">
        <v>941</v>
      </c>
      <c r="E769" s="76">
        <f>'МЕДИЧНІ М'!E77</f>
        <v>0.9</v>
      </c>
      <c r="F769" s="77">
        <v>1</v>
      </c>
      <c r="G769" s="88">
        <f>ROUND(E769*F769,2)</f>
        <v>0.9</v>
      </c>
    </row>
    <row r="770" spans="1:20" x14ac:dyDescent="0.3">
      <c r="B770" s="73">
        <f t="shared" si="22"/>
        <v>7</v>
      </c>
      <c r="C770" s="27" t="s">
        <v>942</v>
      </c>
      <c r="D770" s="78" t="s">
        <v>974</v>
      </c>
      <c r="E770" s="76">
        <f>'МЕДИЧНІ М'!E65</f>
        <v>24.6</v>
      </c>
      <c r="F770" s="77">
        <v>100</v>
      </c>
      <c r="G770" s="78">
        <f t="shared" si="21"/>
        <v>0.25</v>
      </c>
    </row>
    <row r="771" spans="1:20" x14ac:dyDescent="0.3">
      <c r="B771" s="73">
        <f t="shared" si="22"/>
        <v>8</v>
      </c>
      <c r="C771" s="79" t="s">
        <v>934</v>
      </c>
      <c r="D771" s="76" t="s">
        <v>941</v>
      </c>
      <c r="E771" s="76">
        <f>'МЕДИЧНІ М'!E59</f>
        <v>2.8</v>
      </c>
      <c r="F771" s="86">
        <v>10</v>
      </c>
      <c r="G771" s="88">
        <f t="shared" si="21"/>
        <v>0.28000000000000003</v>
      </c>
    </row>
    <row r="772" spans="1:20" x14ac:dyDescent="0.3">
      <c r="B772" s="73">
        <f t="shared" si="22"/>
        <v>9</v>
      </c>
      <c r="C772" s="27" t="s">
        <v>972</v>
      </c>
      <c r="D772" s="76" t="s">
        <v>944</v>
      </c>
      <c r="E772" s="76">
        <f>'МЕДИЧНІ М'!E21</f>
        <v>7</v>
      </c>
      <c r="F772" s="86">
        <v>100</v>
      </c>
      <c r="G772" s="88">
        <f t="shared" si="21"/>
        <v>7.0000000000000007E-2</v>
      </c>
    </row>
    <row r="773" spans="1:20" x14ac:dyDescent="0.3">
      <c r="B773" s="73">
        <f t="shared" si="22"/>
        <v>10</v>
      </c>
      <c r="C773" s="79" t="s">
        <v>982</v>
      </c>
      <c r="D773" s="76" t="s">
        <v>941</v>
      </c>
      <c r="E773" s="76">
        <f>'МЕДИЧНІ М'!E48</f>
        <v>11</v>
      </c>
      <c r="F773" s="77">
        <v>100</v>
      </c>
      <c r="G773" s="88">
        <f t="shared" si="21"/>
        <v>0.11</v>
      </c>
    </row>
    <row r="774" spans="1:20" x14ac:dyDescent="0.3">
      <c r="B774" s="73">
        <f t="shared" si="22"/>
        <v>11</v>
      </c>
      <c r="C774" s="27" t="s">
        <v>940</v>
      </c>
      <c r="D774" s="28" t="s">
        <v>941</v>
      </c>
      <c r="E774" s="81">
        <f>'МЕДИЧНІ М'!E37</f>
        <v>2</v>
      </c>
      <c r="F774" s="28">
        <v>1.5</v>
      </c>
      <c r="G774" s="28">
        <f>ROUND(E774*F774,2)</f>
        <v>3</v>
      </c>
    </row>
    <row r="775" spans="1:20" x14ac:dyDescent="0.3">
      <c r="B775" s="73">
        <f t="shared" si="22"/>
        <v>12</v>
      </c>
      <c r="C775" s="27" t="s">
        <v>1124</v>
      </c>
      <c r="D775" s="28" t="s">
        <v>944</v>
      </c>
      <c r="E775" s="81">
        <f>'МЕДИЧНІ М'!E24</f>
        <v>0.5</v>
      </c>
      <c r="F775" s="81">
        <v>0.5</v>
      </c>
      <c r="G775" s="28">
        <f>ROUND(E775*F775,2)</f>
        <v>0.25</v>
      </c>
    </row>
    <row r="776" spans="1:20" s="6" customFormat="1" x14ac:dyDescent="0.3">
      <c r="A776" s="44"/>
      <c r="B776" s="1012" t="s">
        <v>945</v>
      </c>
      <c r="C776" s="1013"/>
      <c r="D776" s="1013"/>
      <c r="E776" s="1013"/>
      <c r="F776" s="1014"/>
      <c r="G776" s="89">
        <f>SUM(G764:G775)</f>
        <v>9.5400000000000009</v>
      </c>
      <c r="H776" s="44"/>
      <c r="I776" s="44"/>
      <c r="J776" s="44"/>
      <c r="K776" s="172"/>
      <c r="L776" s="173"/>
      <c r="M776" s="173"/>
      <c r="N776" s="133"/>
      <c r="O776" s="44"/>
      <c r="P776" s="44"/>
      <c r="Q776" s="44"/>
      <c r="R776" s="44"/>
      <c r="S776" s="44"/>
      <c r="T776" s="44"/>
    </row>
    <row r="778" spans="1:20" x14ac:dyDescent="0.3">
      <c r="C778" s="12" t="s">
        <v>968</v>
      </c>
      <c r="D778" s="12"/>
      <c r="E778" s="12"/>
      <c r="F778" s="11">
        <f>H781</f>
        <v>0.32</v>
      </c>
      <c r="G778" s="12" t="s">
        <v>971</v>
      </c>
    </row>
    <row r="779" spans="1:20" ht="6" customHeight="1" x14ac:dyDescent="0.3">
      <c r="C779" s="22"/>
      <c r="D779" s="22"/>
      <c r="E779" s="22"/>
      <c r="F779" s="23"/>
      <c r="G779" s="22"/>
    </row>
    <row r="780" spans="1:20" ht="27.6" x14ac:dyDescent="0.3">
      <c r="C780" s="14" t="s">
        <v>513</v>
      </c>
      <c r="D780" s="14" t="s">
        <v>969</v>
      </c>
      <c r="E780" s="14" t="s">
        <v>516</v>
      </c>
      <c r="F780" s="14" t="s">
        <v>970</v>
      </c>
      <c r="G780" s="14" t="s">
        <v>930</v>
      </c>
      <c r="H780" s="14" t="s">
        <v>961</v>
      </c>
    </row>
    <row r="781" spans="1:20" x14ac:dyDescent="0.3">
      <c r="C781" s="27" t="s">
        <v>1090</v>
      </c>
      <c r="D781" s="17">
        <f>АМОРТИЗАЦІЯ!C5</f>
        <v>34445.759999999995</v>
      </c>
      <c r="E781" s="17">
        <v>13679.5</v>
      </c>
      <c r="F781" s="17">
        <f>ROUND((D781/E781)/60,2)</f>
        <v>0.04</v>
      </c>
      <c r="G781" s="17">
        <f>E757+E756</f>
        <v>8</v>
      </c>
      <c r="H781" s="16">
        <f>ROUND(F781*G781,2)</f>
        <v>0.32</v>
      </c>
      <c r="I781" s="38"/>
    </row>
    <row r="783" spans="1:20" x14ac:dyDescent="0.3">
      <c r="C783" s="12" t="s">
        <v>948</v>
      </c>
      <c r="D783" s="12"/>
      <c r="E783" s="12"/>
      <c r="F783" s="11">
        <f>H796</f>
        <v>1.04</v>
      </c>
      <c r="G783" s="12" t="s">
        <v>971</v>
      </c>
    </row>
    <row r="784" spans="1:20" ht="6" customHeight="1" x14ac:dyDescent="0.3">
      <c r="C784" s="22"/>
      <c r="D784" s="22"/>
      <c r="E784" s="22"/>
      <c r="F784" s="23"/>
    </row>
    <row r="785" spans="3:8" ht="27.6" x14ac:dyDescent="0.3">
      <c r="C785" s="14" t="s">
        <v>948</v>
      </c>
      <c r="D785" s="14" t="s">
        <v>1110</v>
      </c>
      <c r="E785" s="14" t="s">
        <v>516</v>
      </c>
      <c r="F785" s="14" t="s">
        <v>954</v>
      </c>
      <c r="G785" s="14" t="s">
        <v>930</v>
      </c>
      <c r="H785" s="14" t="s">
        <v>1111</v>
      </c>
    </row>
    <row r="786" spans="3:8" x14ac:dyDescent="0.3">
      <c r="C786" s="1009" t="str">
        <f>C752</f>
        <v>Лікар-лаборант</v>
      </c>
      <c r="D786" s="1010"/>
      <c r="E786" s="1010"/>
      <c r="F786" s="1010"/>
      <c r="G786" s="1010"/>
      <c r="H786" s="1011"/>
    </row>
    <row r="787" spans="3:8" x14ac:dyDescent="0.3">
      <c r="C787" s="17" t="s">
        <v>951</v>
      </c>
      <c r="D787" s="112">
        <f>D730</f>
        <v>12188.608008565312</v>
      </c>
      <c r="E787" s="17">
        <f>I752</f>
        <v>1807.2</v>
      </c>
      <c r="F787" s="17">
        <f>ROUND((D787/E787)/60,2)</f>
        <v>0.11</v>
      </c>
      <c r="G787" s="17">
        <f>E756</f>
        <v>3</v>
      </c>
      <c r="H787" s="16">
        <f>ROUND(F787*G787,2)</f>
        <v>0.33</v>
      </c>
    </row>
    <row r="788" spans="3:8" x14ac:dyDescent="0.3">
      <c r="C788" s="17" t="s">
        <v>952</v>
      </c>
      <c r="D788" s="112">
        <f>D731</f>
        <v>53.149721627408987</v>
      </c>
      <c r="E788" s="17">
        <f>I752</f>
        <v>1807.2</v>
      </c>
      <c r="F788" s="17">
        <f>ROUND((D788/E788)/60,2)</f>
        <v>0</v>
      </c>
      <c r="G788" s="17">
        <f>E756</f>
        <v>3</v>
      </c>
      <c r="H788" s="16">
        <f>ROUND(F788*G788,2)</f>
        <v>0</v>
      </c>
    </row>
    <row r="789" spans="3:8" x14ac:dyDescent="0.3">
      <c r="C789" s="17" t="s">
        <v>953</v>
      </c>
      <c r="D789" s="112">
        <f>D732</f>
        <v>374.98368308351178</v>
      </c>
      <c r="E789" s="17">
        <f>I752</f>
        <v>1807.2</v>
      </c>
      <c r="F789" s="17">
        <f>ROUND((D789/E789)/60,2)</f>
        <v>0</v>
      </c>
      <c r="G789" s="17">
        <f>E756</f>
        <v>3</v>
      </c>
      <c r="H789" s="16">
        <f>ROUND(F789*G789,2)</f>
        <v>0</v>
      </c>
    </row>
    <row r="790" spans="3:8" x14ac:dyDescent="0.3">
      <c r="C790" s="17" t="s">
        <v>1109</v>
      </c>
      <c r="D790" s="112">
        <f>D733</f>
        <v>1686.0389293361886</v>
      </c>
      <c r="E790" s="17">
        <f>I752</f>
        <v>1807.2</v>
      </c>
      <c r="F790" s="17">
        <f>ROUND((D790/E790)/60,2)</f>
        <v>0.02</v>
      </c>
      <c r="G790" s="17">
        <f>E756</f>
        <v>3</v>
      </c>
      <c r="H790" s="16">
        <f>ROUND(F790*G790,2)</f>
        <v>0.06</v>
      </c>
    </row>
    <row r="791" spans="3:8" x14ac:dyDescent="0.3">
      <c r="C791" s="1009" t="str">
        <f>C753</f>
        <v>Лаборант клінічної лабораторії</v>
      </c>
      <c r="D791" s="1010"/>
      <c r="E791" s="1010"/>
      <c r="F791" s="1010"/>
      <c r="G791" s="1010"/>
      <c r="H791" s="1011"/>
    </row>
    <row r="792" spans="3:8" x14ac:dyDescent="0.3">
      <c r="C792" s="17" t="s">
        <v>951</v>
      </c>
      <c r="D792" s="112">
        <f>D735</f>
        <v>12188.608008565312</v>
      </c>
      <c r="E792" s="17">
        <f>I753</f>
        <v>1807.2</v>
      </c>
      <c r="F792" s="17">
        <f>ROUND((D792/E792)/60,2)</f>
        <v>0.11</v>
      </c>
      <c r="G792" s="17">
        <f>E757</f>
        <v>5</v>
      </c>
      <c r="H792" s="16">
        <f>ROUND(F792*G792,2)</f>
        <v>0.55000000000000004</v>
      </c>
    </row>
    <row r="793" spans="3:8" x14ac:dyDescent="0.3">
      <c r="C793" s="17" t="s">
        <v>952</v>
      </c>
      <c r="D793" s="112">
        <f>D736</f>
        <v>53.149721627408987</v>
      </c>
      <c r="E793" s="17">
        <f>I753</f>
        <v>1807.2</v>
      </c>
      <c r="F793" s="17">
        <f>ROUND((D793/E793)/60,2)</f>
        <v>0</v>
      </c>
      <c r="G793" s="17">
        <f>E757</f>
        <v>5</v>
      </c>
      <c r="H793" s="16">
        <f>ROUND(F793*G793,2)</f>
        <v>0</v>
      </c>
    </row>
    <row r="794" spans="3:8" x14ac:dyDescent="0.3">
      <c r="C794" s="17" t="s">
        <v>953</v>
      </c>
      <c r="D794" s="112">
        <f>D737</f>
        <v>374.98368308351178</v>
      </c>
      <c r="E794" s="17">
        <f>I753</f>
        <v>1807.2</v>
      </c>
      <c r="F794" s="17">
        <f>ROUND((D794/E794)/60,2)</f>
        <v>0</v>
      </c>
      <c r="G794" s="17">
        <f>E757</f>
        <v>5</v>
      </c>
      <c r="H794" s="16">
        <f>ROUND(F794*G794,2)</f>
        <v>0</v>
      </c>
    </row>
    <row r="795" spans="3:8" x14ac:dyDescent="0.3">
      <c r="C795" s="17" t="s">
        <v>1109</v>
      </c>
      <c r="D795" s="112">
        <f>D738</f>
        <v>1686.0389293361886</v>
      </c>
      <c r="E795" s="17">
        <f>I753</f>
        <v>1807.2</v>
      </c>
      <c r="F795" s="17">
        <f>ROUND((D795/E795)/60,2)</f>
        <v>0.02</v>
      </c>
      <c r="G795" s="17">
        <f>E757</f>
        <v>5</v>
      </c>
      <c r="H795" s="16">
        <f>ROUND(F795*G795,2)</f>
        <v>0.1</v>
      </c>
    </row>
    <row r="796" spans="3:8" x14ac:dyDescent="0.3">
      <c r="C796" s="1012" t="s">
        <v>957</v>
      </c>
      <c r="D796" s="1013"/>
      <c r="E796" s="1013"/>
      <c r="F796" s="1013"/>
      <c r="G796" s="1014"/>
      <c r="H796" s="18">
        <f>SUM(H787:H795)</f>
        <v>1.04</v>
      </c>
    </row>
    <row r="797" spans="3:8" ht="6.75" customHeight="1" x14ac:dyDescent="0.3"/>
    <row r="798" spans="3:8" x14ac:dyDescent="0.3">
      <c r="C798" s="1015" t="s">
        <v>959</v>
      </c>
      <c r="D798" s="1015"/>
      <c r="E798" s="1015"/>
      <c r="F798" s="1015"/>
      <c r="G798" s="1015"/>
      <c r="H798" s="32">
        <f>F749+F761+F783+F778</f>
        <v>21.490000000000002</v>
      </c>
    </row>
    <row r="799" spans="3:8" ht="13.5" customHeight="1" x14ac:dyDescent="0.3">
      <c r="C799" s="33"/>
      <c r="D799" s="33"/>
      <c r="E799" s="33"/>
      <c r="F799" s="33"/>
      <c r="G799" s="33"/>
      <c r="H799" s="34"/>
    </row>
    <row r="800" spans="3:8" x14ac:dyDescent="0.3">
      <c r="C800" s="1015" t="s">
        <v>960</v>
      </c>
      <c r="D800" s="1015"/>
      <c r="E800" s="1015"/>
      <c r="F800" s="1015"/>
      <c r="G800" s="1015"/>
      <c r="H800" s="32">
        <f>ROUND(H798,0)</f>
        <v>21</v>
      </c>
    </row>
    <row r="802" spans="1:20" s="54" customFormat="1" ht="19.8" x14ac:dyDescent="0.4">
      <c r="A802" s="53"/>
      <c r="B802" s="1016" t="s">
        <v>958</v>
      </c>
      <c r="C802" s="1016"/>
      <c r="D802" s="1016"/>
      <c r="E802" s="1016"/>
      <c r="F802" s="1016"/>
      <c r="G802" s="1016"/>
      <c r="H802" s="1016"/>
      <c r="I802" s="1016"/>
      <c r="J802" s="1016"/>
      <c r="K802" s="137"/>
      <c r="L802" s="126"/>
      <c r="M802" s="126"/>
      <c r="N802" s="70"/>
      <c r="O802" s="53"/>
      <c r="P802" s="53"/>
      <c r="Q802" s="53"/>
      <c r="R802" s="53"/>
      <c r="S802" s="53"/>
      <c r="T802" s="53"/>
    </row>
    <row r="803" spans="1:20" s="54" customFormat="1" ht="9" customHeight="1" x14ac:dyDescent="0.4">
      <c r="A803" s="53"/>
      <c r="B803" s="53"/>
      <c r="C803" s="53"/>
      <c r="D803" s="53"/>
      <c r="E803" s="53"/>
      <c r="F803" s="53"/>
      <c r="G803" s="53"/>
      <c r="H803" s="53"/>
      <c r="I803" s="53"/>
      <c r="J803" s="53"/>
      <c r="K803" s="132"/>
      <c r="L803" s="126"/>
      <c r="M803" s="126"/>
      <c r="N803" s="70"/>
      <c r="O803" s="53"/>
      <c r="P803" s="53"/>
      <c r="Q803" s="53"/>
      <c r="R803" s="53"/>
      <c r="S803" s="53"/>
      <c r="T803" s="53"/>
    </row>
    <row r="804" spans="1:20" s="54" customFormat="1" ht="37.5" customHeight="1" x14ac:dyDescent="0.4">
      <c r="A804" s="53"/>
      <c r="B804" s="50" t="s">
        <v>755</v>
      </c>
      <c r="C804" s="1017" t="s">
        <v>760</v>
      </c>
      <c r="D804" s="1017"/>
      <c r="E804" s="1017"/>
      <c r="F804" s="52">
        <f>H856</f>
        <v>37</v>
      </c>
      <c r="G804" s="52" t="s">
        <v>971</v>
      </c>
      <c r="H804" s="53"/>
      <c r="I804" s="53"/>
      <c r="J804" s="53"/>
      <c r="K804" s="132"/>
      <c r="L804" s="126"/>
      <c r="M804" s="126"/>
      <c r="N804" s="70"/>
      <c r="O804" s="53"/>
      <c r="P804" s="53"/>
      <c r="Q804" s="53"/>
      <c r="R804" s="53"/>
      <c r="S804" s="53"/>
      <c r="T804" s="53"/>
    </row>
    <row r="806" spans="1:20" x14ac:dyDescent="0.3">
      <c r="C806" s="1018" t="s">
        <v>932</v>
      </c>
      <c r="D806" s="1018"/>
      <c r="E806" s="10"/>
      <c r="F806" s="11">
        <f>F813+F816+F814</f>
        <v>21.020000000000003</v>
      </c>
      <c r="G806" s="12" t="s">
        <v>971</v>
      </c>
    </row>
    <row r="807" spans="1:20" ht="6" customHeight="1" x14ac:dyDescent="0.3"/>
    <row r="808" spans="1:20" x14ac:dyDescent="0.3">
      <c r="C808" s="13" t="s">
        <v>929</v>
      </c>
      <c r="D808" s="14" t="s">
        <v>928</v>
      </c>
      <c r="E808" s="14" t="s">
        <v>514</v>
      </c>
      <c r="F808" s="14" t="s">
        <v>515</v>
      </c>
      <c r="G808" s="14" t="s">
        <v>962</v>
      </c>
      <c r="H808" s="14" t="s">
        <v>926</v>
      </c>
      <c r="I808" s="14" t="s">
        <v>516</v>
      </c>
      <c r="J808" s="14" t="s">
        <v>961</v>
      </c>
      <c r="K808" s="138"/>
    </row>
    <row r="809" spans="1:20" x14ac:dyDescent="0.3">
      <c r="C809" s="17" t="str">
        <f>C752</f>
        <v>Лікар-лаборант</v>
      </c>
      <c r="D809" s="16">
        <f>D752</f>
        <v>10799.43</v>
      </c>
      <c r="E809" s="16">
        <f>D809*12</f>
        <v>129593.16</v>
      </c>
      <c r="F809" s="16">
        <f>F752</f>
        <v>8307.26</v>
      </c>
      <c r="G809" s="16">
        <f>G752</f>
        <v>4153.63</v>
      </c>
      <c r="H809" s="16">
        <f>E809+F809+G809</f>
        <v>142054.05000000002</v>
      </c>
      <c r="I809" s="17">
        <v>1807.2</v>
      </c>
      <c r="J809" s="16">
        <f>ROUND((H809/I809)/60,2)</f>
        <v>1.31</v>
      </c>
      <c r="K809" s="140"/>
    </row>
    <row r="810" spans="1:20" x14ac:dyDescent="0.3">
      <c r="C810" s="17" t="str">
        <f>C753</f>
        <v>Лаборант клінічної лабораторії</v>
      </c>
      <c r="D810" s="16">
        <f>D753</f>
        <v>7871.18</v>
      </c>
      <c r="E810" s="16">
        <f>D810*12</f>
        <v>94454.16</v>
      </c>
      <c r="F810" s="16">
        <f>F753</f>
        <v>6054.75</v>
      </c>
      <c r="G810" s="16">
        <f>G753</f>
        <v>3027.375</v>
      </c>
      <c r="H810" s="16">
        <f>E810+F810+G810</f>
        <v>103536.285</v>
      </c>
      <c r="I810" s="17">
        <v>1807.2</v>
      </c>
      <c r="J810" s="16">
        <f>ROUND((H810/I810)/60,2)</f>
        <v>0.95</v>
      </c>
      <c r="K810" s="140"/>
    </row>
    <row r="811" spans="1:20" ht="9" customHeight="1" x14ac:dyDescent="0.3"/>
    <row r="812" spans="1:20" ht="27.6" x14ac:dyDescent="0.3">
      <c r="C812" s="13" t="s">
        <v>929</v>
      </c>
      <c r="D812" s="14" t="s">
        <v>961</v>
      </c>
      <c r="E812" s="14" t="s">
        <v>930</v>
      </c>
      <c r="F812" s="14" t="s">
        <v>931</v>
      </c>
    </row>
    <row r="813" spans="1:20" x14ac:dyDescent="0.3">
      <c r="C813" s="15" t="str">
        <f>C809</f>
        <v>Лікар-лаборант</v>
      </c>
      <c r="D813" s="16">
        <f>J809</f>
        <v>1.31</v>
      </c>
      <c r="E813" s="17">
        <v>3</v>
      </c>
      <c r="F813" s="18">
        <f>ROUND(D813*E813,2)</f>
        <v>3.93</v>
      </c>
    </row>
    <row r="814" spans="1:20" x14ac:dyDescent="0.3">
      <c r="C814" s="15" t="str">
        <f>C810</f>
        <v>Лаборант клінічної лабораторії</v>
      </c>
      <c r="D814" s="16">
        <f>J810</f>
        <v>0.95</v>
      </c>
      <c r="E814" s="17">
        <v>14</v>
      </c>
      <c r="F814" s="18">
        <f>ROUND(D814*E814,2)</f>
        <v>13.3</v>
      </c>
    </row>
    <row r="815" spans="1:20" x14ac:dyDescent="0.3">
      <c r="D815" s="19"/>
      <c r="E815" s="7" t="s">
        <v>1016</v>
      </c>
    </row>
    <row r="816" spans="1:20" x14ac:dyDescent="0.3">
      <c r="C816" s="17" t="s">
        <v>933</v>
      </c>
      <c r="D816" s="16">
        <f>F813+F814</f>
        <v>17.23</v>
      </c>
      <c r="E816" s="20">
        <v>0.22</v>
      </c>
      <c r="F816" s="21">
        <f>ROUND(D816*E816,2)</f>
        <v>3.79</v>
      </c>
    </row>
    <row r="817" spans="1:20" ht="9" customHeight="1" x14ac:dyDescent="0.3"/>
    <row r="818" spans="1:20" x14ac:dyDescent="0.3">
      <c r="C818" s="12" t="s">
        <v>946</v>
      </c>
      <c r="D818" s="12"/>
      <c r="E818" s="12"/>
      <c r="F818" s="12">
        <f>G832</f>
        <v>13.01</v>
      </c>
      <c r="G818" s="12" t="s">
        <v>971</v>
      </c>
    </row>
    <row r="819" spans="1:20" ht="9.75" customHeight="1" x14ac:dyDescent="0.3"/>
    <row r="820" spans="1:20" ht="27.6" x14ac:dyDescent="0.3">
      <c r="B820" s="82" t="s">
        <v>991</v>
      </c>
      <c r="C820" s="83" t="s">
        <v>986</v>
      </c>
      <c r="D820" s="83" t="s">
        <v>987</v>
      </c>
      <c r="E820" s="83" t="s">
        <v>988</v>
      </c>
      <c r="F820" s="83" t="s">
        <v>989</v>
      </c>
      <c r="G820" s="82" t="s">
        <v>990</v>
      </c>
    </row>
    <row r="821" spans="1:20" x14ac:dyDescent="0.3">
      <c r="B821" s="84">
        <v>1</v>
      </c>
      <c r="C821" s="85" t="s">
        <v>1060</v>
      </c>
      <c r="D821" s="86" t="s">
        <v>1045</v>
      </c>
      <c r="E821" s="87">
        <f>'МЕДИЧНІ М'!E76</f>
        <v>495</v>
      </c>
      <c r="F821" s="86">
        <v>200</v>
      </c>
      <c r="G821" s="78">
        <f>ROUND(E821/F821,2)</f>
        <v>2.48</v>
      </c>
    </row>
    <row r="822" spans="1:20" x14ac:dyDescent="0.3">
      <c r="B822" s="73">
        <f>B821+1</f>
        <v>2</v>
      </c>
      <c r="C822" s="79" t="s">
        <v>1061</v>
      </c>
      <c r="D822" s="86" t="s">
        <v>1045</v>
      </c>
      <c r="E822" s="75">
        <f>'МЕДИЧНІ М'!E70</f>
        <v>477</v>
      </c>
      <c r="F822" s="86">
        <v>100</v>
      </c>
      <c r="G822" s="78">
        <f>ROUND(E822/F822,2)</f>
        <v>4.7699999999999996</v>
      </c>
    </row>
    <row r="823" spans="1:20" x14ac:dyDescent="0.3">
      <c r="B823" s="73">
        <f t="shared" ref="B823:B831" si="23">B822+1</f>
        <v>3</v>
      </c>
      <c r="C823" s="79" t="s">
        <v>981</v>
      </c>
      <c r="D823" s="76" t="s">
        <v>941</v>
      </c>
      <c r="E823" s="76">
        <f>'МЕДИЧНІ М'!E49</f>
        <v>0.6</v>
      </c>
      <c r="F823" s="77">
        <v>1</v>
      </c>
      <c r="G823" s="88">
        <f>ROUND(E823*F823,2)</f>
        <v>0.6</v>
      </c>
    </row>
    <row r="824" spans="1:20" x14ac:dyDescent="0.3">
      <c r="B824" s="73">
        <f t="shared" si="23"/>
        <v>4</v>
      </c>
      <c r="C824" s="79" t="s">
        <v>985</v>
      </c>
      <c r="D824" s="76" t="s">
        <v>937</v>
      </c>
      <c r="E824" s="76">
        <f>'МЕДИЧНІ М'!F39</f>
        <v>0.3</v>
      </c>
      <c r="F824" s="77">
        <v>1</v>
      </c>
      <c r="G824" s="88">
        <f>ROUND(E824*F824,2)</f>
        <v>0.3</v>
      </c>
    </row>
    <row r="825" spans="1:20" x14ac:dyDescent="0.3">
      <c r="B825" s="73">
        <f t="shared" si="23"/>
        <v>5</v>
      </c>
      <c r="C825" s="79" t="s">
        <v>1050</v>
      </c>
      <c r="D825" s="76" t="s">
        <v>941</v>
      </c>
      <c r="E825" s="76">
        <f>'МЕДИЧНІ М'!E77</f>
        <v>0.9</v>
      </c>
      <c r="F825" s="77">
        <v>1</v>
      </c>
      <c r="G825" s="88">
        <f>ROUND(E825*F825,2)</f>
        <v>0.9</v>
      </c>
    </row>
    <row r="826" spans="1:20" x14ac:dyDescent="0.3">
      <c r="B826" s="73">
        <f t="shared" si="23"/>
        <v>6</v>
      </c>
      <c r="C826" s="27" t="s">
        <v>942</v>
      </c>
      <c r="D826" s="78" t="s">
        <v>974</v>
      </c>
      <c r="E826" s="76">
        <f>'МЕДИЧНІ М'!E65</f>
        <v>24.6</v>
      </c>
      <c r="F826" s="77">
        <v>100</v>
      </c>
      <c r="G826" s="78">
        <f>ROUND(E826/F826,2)</f>
        <v>0.25</v>
      </c>
    </row>
    <row r="827" spans="1:20" x14ac:dyDescent="0.3">
      <c r="B827" s="73">
        <f t="shared" si="23"/>
        <v>7</v>
      </c>
      <c r="C827" s="79" t="s">
        <v>934</v>
      </c>
      <c r="D827" s="76" t="s">
        <v>941</v>
      </c>
      <c r="E827" s="76">
        <f>'МЕДИЧНІ М'!E59</f>
        <v>2.8</v>
      </c>
      <c r="F827" s="86">
        <v>10</v>
      </c>
      <c r="G827" s="88">
        <f>ROUND(E827/F827,2)</f>
        <v>0.28000000000000003</v>
      </c>
    </row>
    <row r="828" spans="1:20" x14ac:dyDescent="0.3">
      <c r="B828" s="73">
        <f t="shared" si="23"/>
        <v>8</v>
      </c>
      <c r="C828" s="27" t="s">
        <v>972</v>
      </c>
      <c r="D828" s="76" t="s">
        <v>944</v>
      </c>
      <c r="E828" s="76">
        <f>'МЕДИЧНІ М'!E21</f>
        <v>7</v>
      </c>
      <c r="F828" s="86">
        <v>100</v>
      </c>
      <c r="G828" s="88">
        <f>ROUND(E828/F828,2)</f>
        <v>7.0000000000000007E-2</v>
      </c>
    </row>
    <row r="829" spans="1:20" x14ac:dyDescent="0.3">
      <c r="B829" s="73">
        <f t="shared" si="23"/>
        <v>9</v>
      </c>
      <c r="C829" s="79" t="s">
        <v>982</v>
      </c>
      <c r="D829" s="76" t="s">
        <v>941</v>
      </c>
      <c r="E829" s="76">
        <f>'МЕДИЧНІ М'!E48</f>
        <v>11</v>
      </c>
      <c r="F829" s="77">
        <v>100</v>
      </c>
      <c r="G829" s="88">
        <f>ROUND(E829/F829,2)</f>
        <v>0.11</v>
      </c>
    </row>
    <row r="830" spans="1:20" x14ac:dyDescent="0.3">
      <c r="B830" s="73">
        <f t="shared" si="23"/>
        <v>10</v>
      </c>
      <c r="C830" s="27" t="s">
        <v>940</v>
      </c>
      <c r="D830" s="28" t="s">
        <v>941</v>
      </c>
      <c r="E830" s="81">
        <f>'МЕДИЧНІ М'!E37</f>
        <v>2</v>
      </c>
      <c r="F830" s="28">
        <v>1.5</v>
      </c>
      <c r="G830" s="28">
        <f>ROUND(E830*F830,2)</f>
        <v>3</v>
      </c>
    </row>
    <row r="831" spans="1:20" x14ac:dyDescent="0.3">
      <c r="B831" s="73">
        <f t="shared" si="23"/>
        <v>11</v>
      </c>
      <c r="C831" s="27" t="s">
        <v>1124</v>
      </c>
      <c r="D831" s="28" t="s">
        <v>944</v>
      </c>
      <c r="E831" s="81">
        <f>'МЕДИЧНІ М'!E24</f>
        <v>0.5</v>
      </c>
      <c r="F831" s="81">
        <v>0.5</v>
      </c>
      <c r="G831" s="28">
        <f>ROUND(E831*F831,2)</f>
        <v>0.25</v>
      </c>
    </row>
    <row r="832" spans="1:20" s="177" customFormat="1" x14ac:dyDescent="0.3">
      <c r="A832" s="174"/>
      <c r="B832" s="1034" t="s">
        <v>945</v>
      </c>
      <c r="C832" s="1035"/>
      <c r="D832" s="1035"/>
      <c r="E832" s="1035"/>
      <c r="F832" s="1036"/>
      <c r="G832" s="175">
        <f>SUM(G821:G831)</f>
        <v>13.01</v>
      </c>
      <c r="H832" s="174"/>
      <c r="I832" s="174"/>
      <c r="J832" s="174"/>
      <c r="K832" s="176"/>
      <c r="L832" s="174"/>
      <c r="M832" s="174"/>
      <c r="N832" s="176"/>
      <c r="O832" s="174"/>
      <c r="P832" s="174"/>
      <c r="Q832" s="174"/>
      <c r="R832" s="174"/>
      <c r="S832" s="174"/>
      <c r="T832" s="174"/>
    </row>
    <row r="833" spans="3:9" ht="9.75" customHeight="1" x14ac:dyDescent="0.3"/>
    <row r="834" spans="3:9" x14ac:dyDescent="0.3">
      <c r="C834" s="12" t="s">
        <v>968</v>
      </c>
      <c r="D834" s="12"/>
      <c r="E834" s="12"/>
      <c r="F834" s="11">
        <f>H837</f>
        <v>0.68</v>
      </c>
      <c r="G834" s="12" t="s">
        <v>971</v>
      </c>
    </row>
    <row r="835" spans="3:9" ht="9" customHeight="1" x14ac:dyDescent="0.3">
      <c r="C835" s="22"/>
      <c r="D835" s="22"/>
      <c r="E835" s="22"/>
      <c r="F835" s="23"/>
      <c r="G835" s="22"/>
    </row>
    <row r="836" spans="3:9" ht="27.6" x14ac:dyDescent="0.3">
      <c r="C836" s="14" t="s">
        <v>513</v>
      </c>
      <c r="D836" s="14" t="s">
        <v>969</v>
      </c>
      <c r="E836" s="14" t="s">
        <v>516</v>
      </c>
      <c r="F836" s="14" t="s">
        <v>970</v>
      </c>
      <c r="G836" s="14" t="s">
        <v>930</v>
      </c>
      <c r="H836" s="14" t="s">
        <v>961</v>
      </c>
    </row>
    <row r="837" spans="3:9" x14ac:dyDescent="0.3">
      <c r="C837" s="27" t="s">
        <v>1090</v>
      </c>
      <c r="D837" s="17">
        <f>АМОРТИЗАЦІЯ!C5</f>
        <v>34445.759999999995</v>
      </c>
      <c r="E837" s="17">
        <v>13679.5</v>
      </c>
      <c r="F837" s="17">
        <f>ROUND((D837/E837)/60,2)</f>
        <v>0.04</v>
      </c>
      <c r="G837" s="17">
        <f>E814+E813</f>
        <v>17</v>
      </c>
      <c r="H837" s="16">
        <f>ROUND(F837*G837,2)</f>
        <v>0.68</v>
      </c>
      <c r="I837" s="38"/>
    </row>
    <row r="839" spans="3:9" x14ac:dyDescent="0.3">
      <c r="C839" s="12" t="s">
        <v>948</v>
      </c>
      <c r="D839" s="12"/>
      <c r="E839" s="12"/>
      <c r="F839" s="11">
        <f>H852</f>
        <v>2.21</v>
      </c>
      <c r="G839" s="12" t="s">
        <v>971</v>
      </c>
    </row>
    <row r="840" spans="3:9" ht="7.5" customHeight="1" x14ac:dyDescent="0.3">
      <c r="C840" s="22"/>
      <c r="D840" s="22"/>
      <c r="E840" s="22"/>
      <c r="F840" s="23"/>
    </row>
    <row r="841" spans="3:9" ht="27.6" x14ac:dyDescent="0.3">
      <c r="C841" s="14" t="s">
        <v>948</v>
      </c>
      <c r="D841" s="14" t="s">
        <v>1110</v>
      </c>
      <c r="E841" s="14" t="s">
        <v>516</v>
      </c>
      <c r="F841" s="14" t="s">
        <v>954</v>
      </c>
      <c r="G841" s="14" t="s">
        <v>930</v>
      </c>
      <c r="H841" s="14" t="s">
        <v>1111</v>
      </c>
    </row>
    <row r="842" spans="3:9" x14ac:dyDescent="0.3">
      <c r="C842" s="1009" t="str">
        <f>C809</f>
        <v>Лікар-лаборант</v>
      </c>
      <c r="D842" s="1010"/>
      <c r="E842" s="1010"/>
      <c r="F842" s="1010"/>
      <c r="G842" s="1010"/>
      <c r="H842" s="1011"/>
    </row>
    <row r="843" spans="3:9" x14ac:dyDescent="0.3">
      <c r="C843" s="17" t="s">
        <v>951</v>
      </c>
      <c r="D843" s="112">
        <f>D787</f>
        <v>12188.608008565312</v>
      </c>
      <c r="E843" s="17">
        <f>I809</f>
        <v>1807.2</v>
      </c>
      <c r="F843" s="17">
        <f>ROUND((D843/E843)/60,2)</f>
        <v>0.11</v>
      </c>
      <c r="G843" s="17">
        <f>E813</f>
        <v>3</v>
      </c>
      <c r="H843" s="16">
        <f>ROUND(F843*G843,2)</f>
        <v>0.33</v>
      </c>
    </row>
    <row r="844" spans="3:9" x14ac:dyDescent="0.3">
      <c r="C844" s="17" t="s">
        <v>952</v>
      </c>
      <c r="D844" s="112">
        <f>D788</f>
        <v>53.149721627408987</v>
      </c>
      <c r="E844" s="17">
        <f>I809</f>
        <v>1807.2</v>
      </c>
      <c r="F844" s="17">
        <f>ROUND((D844/E844)/60,2)</f>
        <v>0</v>
      </c>
      <c r="G844" s="17">
        <f>E813</f>
        <v>3</v>
      </c>
      <c r="H844" s="16">
        <f>ROUND(F844*G844,2)</f>
        <v>0</v>
      </c>
    </row>
    <row r="845" spans="3:9" x14ac:dyDescent="0.3">
      <c r="C845" s="17" t="s">
        <v>953</v>
      </c>
      <c r="D845" s="112">
        <f>D789</f>
        <v>374.98368308351178</v>
      </c>
      <c r="E845" s="17">
        <f>I809</f>
        <v>1807.2</v>
      </c>
      <c r="F845" s="17">
        <f>ROUND((D845/E845)/60,2)</f>
        <v>0</v>
      </c>
      <c r="G845" s="17">
        <f>E813</f>
        <v>3</v>
      </c>
      <c r="H845" s="16">
        <f>ROUND(F845*G845,2)</f>
        <v>0</v>
      </c>
    </row>
    <row r="846" spans="3:9" x14ac:dyDescent="0.3">
      <c r="C846" s="17" t="s">
        <v>1109</v>
      </c>
      <c r="D846" s="112">
        <f>D790</f>
        <v>1686.0389293361886</v>
      </c>
      <c r="E846" s="17">
        <f>I809</f>
        <v>1807.2</v>
      </c>
      <c r="F846" s="17">
        <f>ROUND((D846/E846)/60,2)</f>
        <v>0.02</v>
      </c>
      <c r="G846" s="17">
        <f>E813</f>
        <v>3</v>
      </c>
      <c r="H846" s="16">
        <f>ROUND(F846*G846,2)</f>
        <v>0.06</v>
      </c>
    </row>
    <row r="847" spans="3:9" x14ac:dyDescent="0.3">
      <c r="C847" s="1009" t="str">
        <f>C810</f>
        <v>Лаборант клінічної лабораторії</v>
      </c>
      <c r="D847" s="1010"/>
      <c r="E847" s="1010"/>
      <c r="F847" s="1010"/>
      <c r="G847" s="1010"/>
      <c r="H847" s="1011"/>
    </row>
    <row r="848" spans="3:9" x14ac:dyDescent="0.3">
      <c r="C848" s="17" t="s">
        <v>951</v>
      </c>
      <c r="D848" s="112">
        <f>D792</f>
        <v>12188.608008565312</v>
      </c>
      <c r="E848" s="17">
        <f>I810</f>
        <v>1807.2</v>
      </c>
      <c r="F848" s="17">
        <f>ROUND((D848/E848)/60,2)</f>
        <v>0.11</v>
      </c>
      <c r="G848" s="17">
        <f>E814</f>
        <v>14</v>
      </c>
      <c r="H848" s="16">
        <f>ROUND(F848*G848,2)</f>
        <v>1.54</v>
      </c>
    </row>
    <row r="849" spans="1:20" x14ac:dyDescent="0.3">
      <c r="C849" s="17" t="s">
        <v>952</v>
      </c>
      <c r="D849" s="112">
        <f>D793</f>
        <v>53.149721627408987</v>
      </c>
      <c r="E849" s="17">
        <f>I810</f>
        <v>1807.2</v>
      </c>
      <c r="F849" s="17">
        <f>ROUND((D849/E849)/60,2)</f>
        <v>0</v>
      </c>
      <c r="G849" s="17">
        <f>E814</f>
        <v>14</v>
      </c>
      <c r="H849" s="16">
        <f>ROUND(F849*G849,2)</f>
        <v>0</v>
      </c>
    </row>
    <row r="850" spans="1:20" x14ac:dyDescent="0.3">
      <c r="C850" s="17" t="s">
        <v>953</v>
      </c>
      <c r="D850" s="112">
        <f>D794</f>
        <v>374.98368308351178</v>
      </c>
      <c r="E850" s="17">
        <f>I810</f>
        <v>1807.2</v>
      </c>
      <c r="F850" s="17">
        <f>ROUND((D850/E850)/60,2)</f>
        <v>0</v>
      </c>
      <c r="G850" s="17">
        <f>E814</f>
        <v>14</v>
      </c>
      <c r="H850" s="16">
        <f>ROUND(F850*G850,2)</f>
        <v>0</v>
      </c>
    </row>
    <row r="851" spans="1:20" x14ac:dyDescent="0.3">
      <c r="C851" s="17" t="s">
        <v>1109</v>
      </c>
      <c r="D851" s="112">
        <f>D795</f>
        <v>1686.0389293361886</v>
      </c>
      <c r="E851" s="17">
        <f>I810</f>
        <v>1807.2</v>
      </c>
      <c r="F851" s="17">
        <f>ROUND((D851/E851)/60,2)</f>
        <v>0.02</v>
      </c>
      <c r="G851" s="17">
        <f>E814</f>
        <v>14</v>
      </c>
      <c r="H851" s="16">
        <f>ROUND(F851*G851,2)</f>
        <v>0.28000000000000003</v>
      </c>
    </row>
    <row r="852" spans="1:20" x14ac:dyDescent="0.3">
      <c r="C852" s="1012" t="s">
        <v>957</v>
      </c>
      <c r="D852" s="1013"/>
      <c r="E852" s="1013"/>
      <c r="F852" s="1013"/>
      <c r="G852" s="1014"/>
      <c r="H852" s="18">
        <f>SUM(H843:H851)</f>
        <v>2.21</v>
      </c>
    </row>
    <row r="854" spans="1:20" x14ac:dyDescent="0.3">
      <c r="C854" s="1015" t="s">
        <v>959</v>
      </c>
      <c r="D854" s="1015"/>
      <c r="E854" s="1015"/>
      <c r="F854" s="1015"/>
      <c r="G854" s="1015"/>
      <c r="H854" s="32">
        <f>F806+F818+F839+F834</f>
        <v>36.92</v>
      </c>
    </row>
    <row r="855" spans="1:20" ht="12.75" customHeight="1" x14ac:dyDescent="0.3">
      <c r="C855" s="33"/>
      <c r="D855" s="33"/>
      <c r="E855" s="33"/>
      <c r="F855" s="33"/>
      <c r="G855" s="33"/>
      <c r="H855" s="34"/>
    </row>
    <row r="856" spans="1:20" x14ac:dyDescent="0.3">
      <c r="C856" s="1015" t="s">
        <v>960</v>
      </c>
      <c r="D856" s="1015"/>
      <c r="E856" s="1015"/>
      <c r="F856" s="1015"/>
      <c r="G856" s="1015"/>
      <c r="H856" s="32">
        <f>ROUND(H854,0)</f>
        <v>37</v>
      </c>
    </row>
    <row r="858" spans="1:20" s="54" customFormat="1" ht="19.8" x14ac:dyDescent="0.4">
      <c r="A858" s="53"/>
      <c r="B858" s="1016" t="s">
        <v>958</v>
      </c>
      <c r="C858" s="1016"/>
      <c r="D858" s="1016"/>
      <c r="E858" s="1016"/>
      <c r="F858" s="1016"/>
      <c r="G858" s="1016"/>
      <c r="H858" s="1016"/>
      <c r="I858" s="1016"/>
      <c r="J858" s="1016"/>
      <c r="K858" s="137"/>
      <c r="L858" s="126"/>
      <c r="M858" s="126"/>
      <c r="N858" s="70"/>
      <c r="O858" s="53"/>
      <c r="P858" s="53"/>
      <c r="Q858" s="53"/>
      <c r="R858" s="53"/>
      <c r="S858" s="53"/>
      <c r="T858" s="53"/>
    </row>
    <row r="859" spans="1:20" s="54" customFormat="1" ht="9.75" customHeight="1" x14ac:dyDescent="0.4">
      <c r="A859" s="53"/>
      <c r="B859" s="53"/>
      <c r="C859" s="53"/>
      <c r="D859" s="53"/>
      <c r="E859" s="53"/>
      <c r="F859" s="53"/>
      <c r="G859" s="53"/>
      <c r="H859" s="53"/>
      <c r="I859" s="53"/>
      <c r="J859" s="53"/>
      <c r="K859" s="132"/>
      <c r="L859" s="126"/>
      <c r="M859" s="126"/>
      <c r="N859" s="70"/>
      <c r="O859" s="53"/>
      <c r="P859" s="53"/>
      <c r="Q859" s="53"/>
      <c r="R859" s="53"/>
      <c r="S859" s="53"/>
      <c r="T859" s="53"/>
    </row>
    <row r="860" spans="1:20" s="54" customFormat="1" ht="36" customHeight="1" x14ac:dyDescent="0.4">
      <c r="A860" s="53"/>
      <c r="B860" s="50" t="s">
        <v>757</v>
      </c>
      <c r="C860" s="1017" t="s">
        <v>762</v>
      </c>
      <c r="D860" s="1017"/>
      <c r="E860" s="1017"/>
      <c r="F860" s="52">
        <f>H914</f>
        <v>54</v>
      </c>
      <c r="G860" s="52" t="s">
        <v>971</v>
      </c>
      <c r="H860" s="53"/>
      <c r="I860" s="53"/>
      <c r="J860" s="53"/>
      <c r="K860" s="132"/>
      <c r="L860" s="126"/>
      <c r="M860" s="126"/>
      <c r="N860" s="70"/>
      <c r="O860" s="53"/>
      <c r="P860" s="53"/>
      <c r="Q860" s="53"/>
      <c r="R860" s="53"/>
      <c r="S860" s="53"/>
      <c r="T860" s="53"/>
    </row>
    <row r="861" spans="1:20" ht="7.5" customHeight="1" x14ac:dyDescent="0.3"/>
    <row r="862" spans="1:20" x14ac:dyDescent="0.3">
      <c r="C862" s="1018" t="s">
        <v>932</v>
      </c>
      <c r="D862" s="1018"/>
      <c r="E862" s="10"/>
      <c r="F862" s="11">
        <f>F869+F872+F870</f>
        <v>41.699999999999996</v>
      </c>
      <c r="G862" s="12" t="s">
        <v>971</v>
      </c>
    </row>
    <row r="863" spans="1:20" ht="7.5" customHeight="1" x14ac:dyDescent="0.3"/>
    <row r="864" spans="1:20" x14ac:dyDescent="0.3">
      <c r="C864" s="13" t="s">
        <v>929</v>
      </c>
      <c r="D864" s="14" t="s">
        <v>928</v>
      </c>
      <c r="E864" s="14" t="s">
        <v>514</v>
      </c>
      <c r="F864" s="14" t="s">
        <v>515</v>
      </c>
      <c r="G864" s="14" t="s">
        <v>962</v>
      </c>
      <c r="H864" s="14" t="s">
        <v>926</v>
      </c>
      <c r="I864" s="14" t="s">
        <v>516</v>
      </c>
      <c r="J864" s="14" t="s">
        <v>961</v>
      </c>
      <c r="K864" s="138"/>
    </row>
    <row r="865" spans="2:11" x14ac:dyDescent="0.3">
      <c r="C865" s="17" t="str">
        <f>C809</f>
        <v>Лікар-лаборант</v>
      </c>
      <c r="D865" s="16">
        <f>D809</f>
        <v>10799.43</v>
      </c>
      <c r="E865" s="16">
        <f>D865*12</f>
        <v>129593.16</v>
      </c>
      <c r="F865" s="16">
        <f>F809</f>
        <v>8307.26</v>
      </c>
      <c r="G865" s="16">
        <f>G809</f>
        <v>4153.63</v>
      </c>
      <c r="H865" s="16">
        <f>E865+F865+G865</f>
        <v>142054.05000000002</v>
      </c>
      <c r="I865" s="17">
        <v>1807.2</v>
      </c>
      <c r="J865" s="16">
        <f>ROUND((H865/I865)/60,2)</f>
        <v>1.31</v>
      </c>
      <c r="K865" s="140"/>
    </row>
    <row r="866" spans="2:11" x14ac:dyDescent="0.3">
      <c r="C866" s="17" t="str">
        <f>C810</f>
        <v>Лаборант клінічної лабораторії</v>
      </c>
      <c r="D866" s="16">
        <f>D810</f>
        <v>7871.18</v>
      </c>
      <c r="E866" s="16">
        <f>D866*12</f>
        <v>94454.16</v>
      </c>
      <c r="F866" s="16">
        <f>F810</f>
        <v>6054.75</v>
      </c>
      <c r="G866" s="16">
        <f>G810</f>
        <v>3027.375</v>
      </c>
      <c r="H866" s="16">
        <f>E866+F866+G866</f>
        <v>103536.285</v>
      </c>
      <c r="I866" s="17">
        <v>1807.2</v>
      </c>
      <c r="J866" s="16">
        <f>ROUND((H866/I866)/60,2)</f>
        <v>0.95</v>
      </c>
      <c r="K866" s="140"/>
    </row>
    <row r="867" spans="2:11" ht="6.75" customHeight="1" x14ac:dyDescent="0.3"/>
    <row r="868" spans="2:11" ht="27.6" x14ac:dyDescent="0.3">
      <c r="C868" s="13" t="s">
        <v>929</v>
      </c>
      <c r="D868" s="14" t="s">
        <v>961</v>
      </c>
      <c r="E868" s="14" t="s">
        <v>930</v>
      </c>
      <c r="F868" s="14" t="s">
        <v>931</v>
      </c>
    </row>
    <row r="869" spans="2:11" x14ac:dyDescent="0.3">
      <c r="C869" s="15" t="str">
        <f>C865</f>
        <v>Лікар-лаборант</v>
      </c>
      <c r="D869" s="16">
        <f>J865</f>
        <v>1.31</v>
      </c>
      <c r="E869" s="17">
        <v>25</v>
      </c>
      <c r="F869" s="18">
        <f>ROUND(D869*E869,2)</f>
        <v>32.75</v>
      </c>
    </row>
    <row r="870" spans="2:11" x14ac:dyDescent="0.3">
      <c r="C870" s="15" t="str">
        <f>C866</f>
        <v>Лаборант клінічної лабораторії</v>
      </c>
      <c r="D870" s="16">
        <f>J866</f>
        <v>0.95</v>
      </c>
      <c r="E870" s="17">
        <v>1.5</v>
      </c>
      <c r="F870" s="18">
        <f>ROUND(D870*E870,2)</f>
        <v>1.43</v>
      </c>
    </row>
    <row r="871" spans="2:11" ht="3.75" customHeight="1" x14ac:dyDescent="0.3">
      <c r="D871" s="19"/>
      <c r="E871" s="7" t="s">
        <v>1016</v>
      </c>
    </row>
    <row r="872" spans="2:11" x14ac:dyDescent="0.3">
      <c r="C872" s="17" t="s">
        <v>933</v>
      </c>
      <c r="D872" s="16">
        <f>F869+F870</f>
        <v>34.18</v>
      </c>
      <c r="E872" s="20">
        <v>0.22</v>
      </c>
      <c r="F872" s="21">
        <f>ROUND(D872*E872,2)</f>
        <v>7.52</v>
      </c>
    </row>
    <row r="873" spans="2:11" ht="9" customHeight="1" x14ac:dyDescent="0.3"/>
    <row r="874" spans="2:11" x14ac:dyDescent="0.3">
      <c r="C874" s="12" t="s">
        <v>946</v>
      </c>
      <c r="D874" s="12"/>
      <c r="E874" s="12"/>
      <c r="F874" s="12">
        <f>G890</f>
        <v>7.5200000000000005</v>
      </c>
      <c r="G874" s="12" t="s">
        <v>971</v>
      </c>
    </row>
    <row r="875" spans="2:11" ht="6.75" customHeight="1" x14ac:dyDescent="0.3"/>
    <row r="876" spans="2:11" ht="27.6" x14ac:dyDescent="0.3">
      <c r="B876" s="82" t="s">
        <v>991</v>
      </c>
      <c r="C876" s="83" t="s">
        <v>986</v>
      </c>
      <c r="D876" s="83" t="s">
        <v>987</v>
      </c>
      <c r="E876" s="83" t="s">
        <v>988</v>
      </c>
      <c r="F876" s="83" t="s">
        <v>989</v>
      </c>
      <c r="G876" s="82" t="s">
        <v>990</v>
      </c>
    </row>
    <row r="877" spans="2:11" x14ac:dyDescent="0.3">
      <c r="B877" s="84">
        <v>1</v>
      </c>
      <c r="C877" s="85" t="s">
        <v>1062</v>
      </c>
      <c r="D877" s="86" t="s">
        <v>1045</v>
      </c>
      <c r="E877" s="87">
        <f>'МЕДИЧНІ М'!E72</f>
        <v>136</v>
      </c>
      <c r="F877" s="86">
        <v>100</v>
      </c>
      <c r="G877" s="78">
        <f>ROUND(E877/F877,2)</f>
        <v>1.36</v>
      </c>
    </row>
    <row r="878" spans="2:11" x14ac:dyDescent="0.3">
      <c r="B878" s="73">
        <f>B877+1</f>
        <v>2</v>
      </c>
      <c r="C878" s="79" t="s">
        <v>1063</v>
      </c>
      <c r="D878" s="75" t="s">
        <v>974</v>
      </c>
      <c r="E878" s="75">
        <f>'МЕДИЧНІ М'!E29</f>
        <v>4</v>
      </c>
      <c r="F878" s="86">
        <v>100</v>
      </c>
      <c r="G878" s="78">
        <f>ROUND(E878/F878,2)</f>
        <v>0.04</v>
      </c>
    </row>
    <row r="879" spans="2:11" x14ac:dyDescent="0.3">
      <c r="B879" s="73">
        <f t="shared" ref="B879:B889" si="24">B878+1</f>
        <v>3</v>
      </c>
      <c r="C879" s="79" t="s">
        <v>1064</v>
      </c>
      <c r="D879" s="75" t="s">
        <v>977</v>
      </c>
      <c r="E879" s="75">
        <f>'МЕДИЧНІ М'!E45</f>
        <v>86</v>
      </c>
      <c r="F879" s="86">
        <v>800</v>
      </c>
      <c r="G879" s="78">
        <f>ROUND(E879/F879,2)</f>
        <v>0.11</v>
      </c>
    </row>
    <row r="880" spans="2:11" x14ac:dyDescent="0.3">
      <c r="B880" s="73">
        <f t="shared" si="24"/>
        <v>4</v>
      </c>
      <c r="C880" s="79" t="s">
        <v>1065</v>
      </c>
      <c r="D880" s="75" t="s">
        <v>974</v>
      </c>
      <c r="E880" s="75">
        <f>'МЕДИЧНІ М'!E66</f>
        <v>24.6</v>
      </c>
      <c r="F880" s="86">
        <v>100</v>
      </c>
      <c r="G880" s="78">
        <f>ROUND(E880/F880,2)</f>
        <v>0.25</v>
      </c>
    </row>
    <row r="881" spans="2:9" x14ac:dyDescent="0.3">
      <c r="B881" s="73">
        <f t="shared" si="24"/>
        <v>5</v>
      </c>
      <c r="C881" s="79" t="s">
        <v>981</v>
      </c>
      <c r="D881" s="76" t="s">
        <v>941</v>
      </c>
      <c r="E881" s="76">
        <f>'МЕДИЧНІ М'!E49</f>
        <v>0.6</v>
      </c>
      <c r="F881" s="77">
        <v>1</v>
      </c>
      <c r="G881" s="88">
        <f>ROUND(E881*F881,2)</f>
        <v>0.6</v>
      </c>
    </row>
    <row r="882" spans="2:9" x14ac:dyDescent="0.3">
      <c r="B882" s="73">
        <f t="shared" si="24"/>
        <v>6</v>
      </c>
      <c r="C882" s="79" t="s">
        <v>985</v>
      </c>
      <c r="D882" s="76" t="s">
        <v>937</v>
      </c>
      <c r="E882" s="76">
        <f>'МЕДИЧНІ М'!F39</f>
        <v>0.3</v>
      </c>
      <c r="F882" s="77">
        <v>1</v>
      </c>
      <c r="G882" s="88">
        <f>ROUND(E882*F882,2)</f>
        <v>0.3</v>
      </c>
    </row>
    <row r="883" spans="2:9" x14ac:dyDescent="0.3">
      <c r="B883" s="73">
        <f t="shared" si="24"/>
        <v>7</v>
      </c>
      <c r="C883" s="79" t="s">
        <v>1050</v>
      </c>
      <c r="D883" s="76" t="s">
        <v>941</v>
      </c>
      <c r="E883" s="76">
        <f>'МЕДИЧНІ М'!E77</f>
        <v>0.9</v>
      </c>
      <c r="F883" s="77">
        <v>1</v>
      </c>
      <c r="G883" s="88">
        <f>ROUND(E883*F883,2)</f>
        <v>0.9</v>
      </c>
    </row>
    <row r="884" spans="2:9" x14ac:dyDescent="0.3">
      <c r="B884" s="73">
        <f t="shared" si="24"/>
        <v>8</v>
      </c>
      <c r="C884" s="27" t="s">
        <v>942</v>
      </c>
      <c r="D884" s="78" t="s">
        <v>974</v>
      </c>
      <c r="E884" s="76">
        <f>'МЕДИЧНІ М'!E65</f>
        <v>24.6</v>
      </c>
      <c r="F884" s="77">
        <v>100</v>
      </c>
      <c r="G884" s="78">
        <f>ROUND(E884/F884,2)</f>
        <v>0.25</v>
      </c>
    </row>
    <row r="885" spans="2:9" x14ac:dyDescent="0.3">
      <c r="B885" s="73">
        <f t="shared" si="24"/>
        <v>9</v>
      </c>
      <c r="C885" s="79" t="s">
        <v>934</v>
      </c>
      <c r="D885" s="76" t="s">
        <v>941</v>
      </c>
      <c r="E885" s="76">
        <f>'МЕДИЧНІ М'!E59</f>
        <v>2.8</v>
      </c>
      <c r="F885" s="86">
        <v>10</v>
      </c>
      <c r="G885" s="88">
        <f>ROUND(E885/F885,2)</f>
        <v>0.28000000000000003</v>
      </c>
    </row>
    <row r="886" spans="2:9" x14ac:dyDescent="0.3">
      <c r="B886" s="73">
        <f t="shared" si="24"/>
        <v>10</v>
      </c>
      <c r="C886" s="27" t="s">
        <v>972</v>
      </c>
      <c r="D886" s="76" t="s">
        <v>944</v>
      </c>
      <c r="E886" s="76">
        <f>'МЕДИЧНІ М'!E21</f>
        <v>7</v>
      </c>
      <c r="F886" s="86">
        <v>100</v>
      </c>
      <c r="G886" s="88">
        <f>ROUND(E886/F886,2)</f>
        <v>7.0000000000000007E-2</v>
      </c>
    </row>
    <row r="887" spans="2:9" x14ac:dyDescent="0.3">
      <c r="B887" s="73">
        <f t="shared" si="24"/>
        <v>11</v>
      </c>
      <c r="C887" s="79" t="s">
        <v>982</v>
      </c>
      <c r="D887" s="76" t="s">
        <v>941</v>
      </c>
      <c r="E887" s="76">
        <f>'МЕДИЧНІ М'!E48</f>
        <v>11</v>
      </c>
      <c r="F887" s="77">
        <v>100</v>
      </c>
      <c r="G887" s="88">
        <f>ROUND(E887/F887,2)</f>
        <v>0.11</v>
      </c>
    </row>
    <row r="888" spans="2:9" x14ac:dyDescent="0.3">
      <c r="B888" s="73">
        <f t="shared" si="24"/>
        <v>12</v>
      </c>
      <c r="C888" s="27" t="s">
        <v>940</v>
      </c>
      <c r="D888" s="28" t="s">
        <v>941</v>
      </c>
      <c r="E888" s="81">
        <f>'МЕДИЧНІ М'!E37</f>
        <v>2</v>
      </c>
      <c r="F888" s="28">
        <v>1.5</v>
      </c>
      <c r="G888" s="28">
        <f>ROUND(E888*F888,2)</f>
        <v>3</v>
      </c>
    </row>
    <row r="889" spans="2:9" x14ac:dyDescent="0.3">
      <c r="B889" s="73">
        <f t="shared" si="24"/>
        <v>13</v>
      </c>
      <c r="C889" s="27" t="s">
        <v>1124</v>
      </c>
      <c r="D889" s="28" t="s">
        <v>944</v>
      </c>
      <c r="E889" s="81">
        <f>'МЕДИЧНІ М'!E24</f>
        <v>0.5</v>
      </c>
      <c r="F889" s="81">
        <v>0.5</v>
      </c>
      <c r="G889" s="28">
        <f>ROUND(E889*F889,2)</f>
        <v>0.25</v>
      </c>
    </row>
    <row r="890" spans="2:9" x14ac:dyDescent="0.3">
      <c r="B890" s="1012" t="s">
        <v>945</v>
      </c>
      <c r="C890" s="1013"/>
      <c r="D890" s="1013"/>
      <c r="E890" s="1013"/>
      <c r="F890" s="1014"/>
      <c r="G890" s="89">
        <f>SUM(G877:G889)</f>
        <v>7.5200000000000005</v>
      </c>
    </row>
    <row r="891" spans="2:9" ht="8.25" customHeight="1" x14ac:dyDescent="0.3"/>
    <row r="892" spans="2:9" x14ac:dyDescent="0.3">
      <c r="C892" s="12" t="s">
        <v>968</v>
      </c>
      <c r="D892" s="12"/>
      <c r="E892" s="12"/>
      <c r="F892" s="11">
        <f>H895</f>
        <v>1.06</v>
      </c>
      <c r="G892" s="12" t="s">
        <v>971</v>
      </c>
    </row>
    <row r="893" spans="2:9" ht="5.25" customHeight="1" x14ac:dyDescent="0.3">
      <c r="C893" s="22"/>
      <c r="D893" s="22"/>
      <c r="E893" s="22"/>
      <c r="F893" s="23"/>
      <c r="G893" s="22"/>
    </row>
    <row r="894" spans="2:9" ht="27.6" x14ac:dyDescent="0.3">
      <c r="C894" s="14" t="s">
        <v>513</v>
      </c>
      <c r="D894" s="14" t="s">
        <v>969</v>
      </c>
      <c r="E894" s="14" t="s">
        <v>516</v>
      </c>
      <c r="F894" s="14" t="s">
        <v>970</v>
      </c>
      <c r="G894" s="14" t="s">
        <v>930</v>
      </c>
      <c r="H894" s="14" t="s">
        <v>961</v>
      </c>
    </row>
    <row r="895" spans="2:9" x14ac:dyDescent="0.3">
      <c r="C895" s="27" t="s">
        <v>1090</v>
      </c>
      <c r="D895" s="17">
        <f>АМОРТИЗАЦІЯ!C5</f>
        <v>34445.759999999995</v>
      </c>
      <c r="E895" s="17">
        <v>13679.5</v>
      </c>
      <c r="F895" s="17">
        <f>ROUND((D895/E895)/60,2)</f>
        <v>0.04</v>
      </c>
      <c r="G895" s="17">
        <f>E870+E869</f>
        <v>26.5</v>
      </c>
      <c r="H895" s="16">
        <f>ROUND(F895*G895,2)</f>
        <v>1.06</v>
      </c>
      <c r="I895" s="38"/>
    </row>
    <row r="897" spans="3:8" x14ac:dyDescent="0.3">
      <c r="C897" s="12" t="s">
        <v>948</v>
      </c>
      <c r="D897" s="12"/>
      <c r="E897" s="12"/>
      <c r="F897" s="11">
        <f>H910</f>
        <v>3.4499999999999997</v>
      </c>
      <c r="G897" s="12" t="s">
        <v>971</v>
      </c>
    </row>
    <row r="898" spans="3:8" ht="6" customHeight="1" x14ac:dyDescent="0.3">
      <c r="C898" s="22"/>
      <c r="D898" s="22"/>
      <c r="E898" s="22"/>
      <c r="F898" s="23"/>
    </row>
    <row r="899" spans="3:8" ht="27.6" x14ac:dyDescent="0.3">
      <c r="C899" s="14" t="s">
        <v>948</v>
      </c>
      <c r="D899" s="14" t="s">
        <v>1110</v>
      </c>
      <c r="E899" s="14" t="s">
        <v>516</v>
      </c>
      <c r="F899" s="14" t="s">
        <v>954</v>
      </c>
      <c r="G899" s="14" t="s">
        <v>930</v>
      </c>
      <c r="H899" s="14" t="s">
        <v>1111</v>
      </c>
    </row>
    <row r="900" spans="3:8" x14ac:dyDescent="0.3">
      <c r="C900" s="1009" t="str">
        <f>C865</f>
        <v>Лікар-лаборант</v>
      </c>
      <c r="D900" s="1010"/>
      <c r="E900" s="1010"/>
      <c r="F900" s="1010"/>
      <c r="G900" s="1010"/>
      <c r="H900" s="1011"/>
    </row>
    <row r="901" spans="3:8" x14ac:dyDescent="0.3">
      <c r="C901" s="17" t="s">
        <v>951</v>
      </c>
      <c r="D901" s="112">
        <f>D843</f>
        <v>12188.608008565312</v>
      </c>
      <c r="E901" s="17">
        <f>I865</f>
        <v>1807.2</v>
      </c>
      <c r="F901" s="17">
        <f>ROUND((D901/E901)/60,2)</f>
        <v>0.11</v>
      </c>
      <c r="G901" s="17">
        <f>E869</f>
        <v>25</v>
      </c>
      <c r="H901" s="16">
        <f>ROUND(F901*G901,2)</f>
        <v>2.75</v>
      </c>
    </row>
    <row r="902" spans="3:8" x14ac:dyDescent="0.3">
      <c r="C902" s="17" t="s">
        <v>952</v>
      </c>
      <c r="D902" s="112">
        <f>D844</f>
        <v>53.149721627408987</v>
      </c>
      <c r="E902" s="17">
        <f>I865</f>
        <v>1807.2</v>
      </c>
      <c r="F902" s="17">
        <f>ROUND((D902/E902)/60,2)</f>
        <v>0</v>
      </c>
      <c r="G902" s="17">
        <f>E869</f>
        <v>25</v>
      </c>
      <c r="H902" s="16">
        <f>ROUND(F902*G902,2)</f>
        <v>0</v>
      </c>
    </row>
    <row r="903" spans="3:8" x14ac:dyDescent="0.3">
      <c r="C903" s="17" t="s">
        <v>953</v>
      </c>
      <c r="D903" s="112">
        <f>D845</f>
        <v>374.98368308351178</v>
      </c>
      <c r="E903" s="17">
        <f>I865</f>
        <v>1807.2</v>
      </c>
      <c r="F903" s="17">
        <f>ROUND((D903/E903)/60,2)</f>
        <v>0</v>
      </c>
      <c r="G903" s="17">
        <f>E869</f>
        <v>25</v>
      </c>
      <c r="H903" s="16">
        <f>ROUND(F903*G903,2)</f>
        <v>0</v>
      </c>
    </row>
    <row r="904" spans="3:8" x14ac:dyDescent="0.3">
      <c r="C904" s="17" t="s">
        <v>1109</v>
      </c>
      <c r="D904" s="112">
        <f>D846</f>
        <v>1686.0389293361886</v>
      </c>
      <c r="E904" s="17">
        <f>I865</f>
        <v>1807.2</v>
      </c>
      <c r="F904" s="17">
        <f>ROUND((D904/E904)/60,2)</f>
        <v>0.02</v>
      </c>
      <c r="G904" s="17">
        <f>E869</f>
        <v>25</v>
      </c>
      <c r="H904" s="16">
        <f>ROUND(F904*G904,2)</f>
        <v>0.5</v>
      </c>
    </row>
    <row r="905" spans="3:8" x14ac:dyDescent="0.3">
      <c r="C905" s="1009" t="str">
        <f>C866</f>
        <v>Лаборант клінічної лабораторії</v>
      </c>
      <c r="D905" s="1010"/>
      <c r="E905" s="1010"/>
      <c r="F905" s="1010"/>
      <c r="G905" s="1010"/>
      <c r="H905" s="1011"/>
    </row>
    <row r="906" spans="3:8" x14ac:dyDescent="0.3">
      <c r="C906" s="17" t="s">
        <v>951</v>
      </c>
      <c r="D906" s="112">
        <f>D848</f>
        <v>12188.608008565312</v>
      </c>
      <c r="E906" s="17">
        <f>I866</f>
        <v>1807.2</v>
      </c>
      <c r="F906" s="17">
        <f>ROUND((D906/E906)/60,2)</f>
        <v>0.11</v>
      </c>
      <c r="G906" s="17">
        <f>E870</f>
        <v>1.5</v>
      </c>
      <c r="H906" s="16">
        <f>ROUND(F906*G906,2)</f>
        <v>0.17</v>
      </c>
    </row>
    <row r="907" spans="3:8" x14ac:dyDescent="0.3">
      <c r="C907" s="17" t="s">
        <v>952</v>
      </c>
      <c r="D907" s="112">
        <f>D849</f>
        <v>53.149721627408987</v>
      </c>
      <c r="E907" s="17">
        <f>I866</f>
        <v>1807.2</v>
      </c>
      <c r="F907" s="17">
        <f>ROUND((D907/E907)/60,2)</f>
        <v>0</v>
      </c>
      <c r="G907" s="17">
        <f>E870</f>
        <v>1.5</v>
      </c>
      <c r="H907" s="16">
        <f>ROUND(F907*G907,2)</f>
        <v>0</v>
      </c>
    </row>
    <row r="908" spans="3:8" x14ac:dyDescent="0.3">
      <c r="C908" s="17" t="s">
        <v>953</v>
      </c>
      <c r="D908" s="112">
        <f>D850</f>
        <v>374.98368308351178</v>
      </c>
      <c r="E908" s="17">
        <f>I866</f>
        <v>1807.2</v>
      </c>
      <c r="F908" s="17">
        <f>ROUND((D908/E908)/60,2)</f>
        <v>0</v>
      </c>
      <c r="G908" s="17">
        <f>E870</f>
        <v>1.5</v>
      </c>
      <c r="H908" s="16">
        <f>ROUND(F908*G908,2)</f>
        <v>0</v>
      </c>
    </row>
    <row r="909" spans="3:8" x14ac:dyDescent="0.3">
      <c r="C909" s="17" t="s">
        <v>1109</v>
      </c>
      <c r="D909" s="112">
        <f>D851</f>
        <v>1686.0389293361886</v>
      </c>
      <c r="E909" s="17">
        <f>I866</f>
        <v>1807.2</v>
      </c>
      <c r="F909" s="17">
        <f>ROUND((D909/E909)/60,2)</f>
        <v>0.02</v>
      </c>
      <c r="G909" s="17">
        <f>E870</f>
        <v>1.5</v>
      </c>
      <c r="H909" s="16">
        <f>ROUND(F909*G909,2)</f>
        <v>0.03</v>
      </c>
    </row>
    <row r="910" spans="3:8" x14ac:dyDescent="0.3">
      <c r="C910" s="1012" t="s">
        <v>957</v>
      </c>
      <c r="D910" s="1013"/>
      <c r="E910" s="1013"/>
      <c r="F910" s="1013"/>
      <c r="G910" s="1014"/>
      <c r="H910" s="18">
        <f>SUM(H901:H909)</f>
        <v>3.4499999999999997</v>
      </c>
    </row>
    <row r="912" spans="3:8" x14ac:dyDescent="0.3">
      <c r="C912" s="1015" t="s">
        <v>959</v>
      </c>
      <c r="D912" s="1015"/>
      <c r="E912" s="1015"/>
      <c r="F912" s="1015"/>
      <c r="G912" s="1015"/>
      <c r="H912" s="32">
        <f>F862+F874+F897+F892</f>
        <v>53.730000000000004</v>
      </c>
    </row>
    <row r="913" spans="1:20" ht="9.75" customHeight="1" x14ac:dyDescent="0.3">
      <c r="C913" s="33"/>
      <c r="D913" s="33"/>
      <c r="E913" s="33"/>
      <c r="F913" s="33"/>
      <c r="G913" s="33"/>
      <c r="H913" s="34"/>
    </row>
    <row r="914" spans="1:20" x14ac:dyDescent="0.3">
      <c r="C914" s="1015" t="s">
        <v>960</v>
      </c>
      <c r="D914" s="1015"/>
      <c r="E914" s="1015"/>
      <c r="F914" s="1015"/>
      <c r="G914" s="1015"/>
      <c r="H914" s="32">
        <f>ROUND(H912,0)</f>
        <v>54</v>
      </c>
    </row>
    <row r="916" spans="1:20" s="54" customFormat="1" ht="19.8" x14ac:dyDescent="0.4">
      <c r="A916" s="53"/>
      <c r="B916" s="1016" t="s">
        <v>958</v>
      </c>
      <c r="C916" s="1016"/>
      <c r="D916" s="1016"/>
      <c r="E916" s="1016"/>
      <c r="F916" s="1016"/>
      <c r="G916" s="1016"/>
      <c r="H916" s="1016"/>
      <c r="I916" s="1016"/>
      <c r="J916" s="1016"/>
      <c r="K916" s="137"/>
      <c r="L916" s="126"/>
      <c r="M916" s="126"/>
      <c r="N916" s="70"/>
      <c r="O916" s="53"/>
      <c r="P916" s="53"/>
      <c r="Q916" s="53"/>
      <c r="R916" s="53"/>
      <c r="S916" s="53"/>
      <c r="T916" s="53"/>
    </row>
    <row r="917" spans="1:20" s="54" customFormat="1" ht="4.5" customHeight="1" x14ac:dyDescent="0.4">
      <c r="A917" s="53"/>
      <c r="B917" s="53"/>
      <c r="C917" s="53"/>
      <c r="D917" s="53"/>
      <c r="E917" s="53"/>
      <c r="F917" s="53"/>
      <c r="G917" s="53"/>
      <c r="H917" s="53"/>
      <c r="I917" s="53"/>
      <c r="J917" s="53"/>
      <c r="K917" s="132"/>
      <c r="L917" s="126"/>
      <c r="M917" s="126"/>
      <c r="N917" s="70"/>
      <c r="O917" s="53"/>
      <c r="P917" s="53"/>
      <c r="Q917" s="53"/>
      <c r="R917" s="53"/>
      <c r="S917" s="53"/>
      <c r="T917" s="53"/>
    </row>
    <row r="918" spans="1:20" s="54" customFormat="1" ht="35.25" customHeight="1" x14ac:dyDescent="0.4">
      <c r="A918" s="53"/>
      <c r="B918" s="50" t="s">
        <v>759</v>
      </c>
      <c r="C918" s="1017" t="s">
        <v>764</v>
      </c>
      <c r="D918" s="1017"/>
      <c r="E918" s="1017"/>
      <c r="F918" s="52">
        <f>H969</f>
        <v>40</v>
      </c>
      <c r="G918" s="52" t="s">
        <v>971</v>
      </c>
      <c r="H918" s="53"/>
      <c r="I918" s="53"/>
      <c r="J918" s="53"/>
      <c r="K918" s="132"/>
      <c r="L918" s="126"/>
      <c r="M918" s="126"/>
      <c r="N918" s="70"/>
      <c r="O918" s="53"/>
      <c r="P918" s="53"/>
      <c r="Q918" s="53"/>
      <c r="R918" s="53"/>
      <c r="S918" s="53"/>
      <c r="T918" s="53"/>
    </row>
    <row r="920" spans="1:20" x14ac:dyDescent="0.3">
      <c r="C920" s="1018" t="s">
        <v>932</v>
      </c>
      <c r="D920" s="1018"/>
      <c r="E920" s="10"/>
      <c r="F920" s="11">
        <f>F927+F930+F928</f>
        <v>27.97</v>
      </c>
      <c r="G920" s="12" t="s">
        <v>971</v>
      </c>
    </row>
    <row r="922" spans="1:20" x14ac:dyDescent="0.3">
      <c r="C922" s="13" t="s">
        <v>929</v>
      </c>
      <c r="D922" s="14" t="s">
        <v>928</v>
      </c>
      <c r="E922" s="14" t="s">
        <v>514</v>
      </c>
      <c r="F922" s="14" t="s">
        <v>515</v>
      </c>
      <c r="G922" s="14" t="s">
        <v>962</v>
      </c>
      <c r="H922" s="14" t="s">
        <v>926</v>
      </c>
      <c r="I922" s="14" t="s">
        <v>516</v>
      </c>
      <c r="J922" s="14" t="s">
        <v>961</v>
      </c>
      <c r="K922" s="138"/>
    </row>
    <row r="923" spans="1:20" x14ac:dyDescent="0.3">
      <c r="C923" s="17" t="str">
        <f>C865</f>
        <v>Лікар-лаборант</v>
      </c>
      <c r="D923" s="16">
        <f>D865</f>
        <v>10799.43</v>
      </c>
      <c r="E923" s="16">
        <f>D923*12</f>
        <v>129593.16</v>
      </c>
      <c r="F923" s="16">
        <f>F865</f>
        <v>8307.26</v>
      </c>
      <c r="G923" s="16">
        <f>G865</f>
        <v>4153.63</v>
      </c>
      <c r="H923" s="16">
        <f>E923+F923+G923</f>
        <v>142054.05000000002</v>
      </c>
      <c r="I923" s="17">
        <v>1807.2</v>
      </c>
      <c r="J923" s="16">
        <f>ROUND((H923/I923)/60,2)</f>
        <v>1.31</v>
      </c>
      <c r="K923" s="140"/>
    </row>
    <row r="924" spans="1:20" x14ac:dyDescent="0.3">
      <c r="C924" s="17" t="str">
        <f>C866</f>
        <v>Лаборант клінічної лабораторії</v>
      </c>
      <c r="D924" s="16">
        <f>D866</f>
        <v>7871.18</v>
      </c>
      <c r="E924" s="16">
        <f>D924*12</f>
        <v>94454.16</v>
      </c>
      <c r="F924" s="16">
        <f>F866</f>
        <v>6054.75</v>
      </c>
      <c r="G924" s="16">
        <f>G866</f>
        <v>3027.375</v>
      </c>
      <c r="H924" s="16">
        <f>E924+F924+G924</f>
        <v>103536.285</v>
      </c>
      <c r="I924" s="17">
        <v>1807.2</v>
      </c>
      <c r="J924" s="16">
        <f>ROUND((H924/I924)/60,2)</f>
        <v>0.95</v>
      </c>
      <c r="K924" s="140"/>
    </row>
    <row r="926" spans="1:20" ht="27.6" x14ac:dyDescent="0.3">
      <c r="C926" s="13" t="s">
        <v>929</v>
      </c>
      <c r="D926" s="14" t="s">
        <v>961</v>
      </c>
      <c r="E926" s="14" t="s">
        <v>930</v>
      </c>
      <c r="F926" s="14" t="s">
        <v>931</v>
      </c>
    </row>
    <row r="927" spans="1:20" x14ac:dyDescent="0.3">
      <c r="C927" s="15" t="str">
        <f>C923</f>
        <v>Лікар-лаборант</v>
      </c>
      <c r="D927" s="16">
        <f>J923</f>
        <v>1.31</v>
      </c>
      <c r="E927" s="17">
        <v>3</v>
      </c>
      <c r="F927" s="18">
        <f>ROUND(D927*E927,2)</f>
        <v>3.93</v>
      </c>
    </row>
    <row r="928" spans="1:20" x14ac:dyDescent="0.3">
      <c r="C928" s="15" t="str">
        <f>C924</f>
        <v>Лаборант клінічної лабораторії</v>
      </c>
      <c r="D928" s="16">
        <f>J924</f>
        <v>0.95</v>
      </c>
      <c r="E928" s="17">
        <v>20</v>
      </c>
      <c r="F928" s="18">
        <f>ROUND(D928*E928,2)</f>
        <v>19</v>
      </c>
    </row>
    <row r="929" spans="2:7" x14ac:dyDescent="0.3">
      <c r="D929" s="19"/>
      <c r="E929" s="7" t="s">
        <v>1016</v>
      </c>
    </row>
    <row r="930" spans="2:7" x14ac:dyDescent="0.3">
      <c r="C930" s="17" t="s">
        <v>933</v>
      </c>
      <c r="D930" s="16">
        <f>F927+F928</f>
        <v>22.93</v>
      </c>
      <c r="E930" s="20">
        <v>0.22</v>
      </c>
      <c r="F930" s="21">
        <f>ROUND(D930*E930,2)</f>
        <v>5.04</v>
      </c>
    </row>
    <row r="932" spans="2:7" x14ac:dyDescent="0.3">
      <c r="C932" s="12" t="s">
        <v>946</v>
      </c>
      <c r="D932" s="12"/>
      <c r="E932" s="12"/>
      <c r="F932" s="12">
        <f>G945</f>
        <v>7.67</v>
      </c>
      <c r="G932" s="12" t="s">
        <v>971</v>
      </c>
    </row>
    <row r="934" spans="2:7" ht="27.6" x14ac:dyDescent="0.3">
      <c r="B934" s="82" t="s">
        <v>991</v>
      </c>
      <c r="C934" s="83" t="s">
        <v>986</v>
      </c>
      <c r="D934" s="83" t="s">
        <v>987</v>
      </c>
      <c r="E934" s="83" t="s">
        <v>988</v>
      </c>
      <c r="F934" s="83" t="s">
        <v>989</v>
      </c>
      <c r="G934" s="82" t="s">
        <v>990</v>
      </c>
    </row>
    <row r="935" spans="2:7" x14ac:dyDescent="0.3">
      <c r="B935" s="84">
        <v>1</v>
      </c>
      <c r="C935" s="85" t="s">
        <v>1066</v>
      </c>
      <c r="D935" s="86" t="s">
        <v>1045</v>
      </c>
      <c r="E935" s="87">
        <f>'МЕДИЧНІ М'!E61</f>
        <v>286</v>
      </c>
      <c r="F935" s="86">
        <v>150</v>
      </c>
      <c r="G935" s="78">
        <f>ROUND(E935/F935,2)</f>
        <v>1.91</v>
      </c>
    </row>
    <row r="936" spans="2:7" x14ac:dyDescent="0.3">
      <c r="B936" s="73">
        <f>B935+1</f>
        <v>2</v>
      </c>
      <c r="C936" s="79" t="s">
        <v>981</v>
      </c>
      <c r="D936" s="76" t="s">
        <v>941</v>
      </c>
      <c r="E936" s="76">
        <f>'МЕДИЧНІ М'!E49</f>
        <v>0.6</v>
      </c>
      <c r="F936" s="77">
        <v>1</v>
      </c>
      <c r="G936" s="88">
        <f>ROUND(E936*F936,2)</f>
        <v>0.6</v>
      </c>
    </row>
    <row r="937" spans="2:7" x14ac:dyDescent="0.3">
      <c r="B937" s="73">
        <f t="shared" ref="B937:B944" si="25">B936+1</f>
        <v>3</v>
      </c>
      <c r="C937" s="79" t="s">
        <v>985</v>
      </c>
      <c r="D937" s="76" t="s">
        <v>937</v>
      </c>
      <c r="E937" s="76">
        <f>'МЕДИЧНІ М'!F39</f>
        <v>0.3</v>
      </c>
      <c r="F937" s="77">
        <v>1</v>
      </c>
      <c r="G937" s="88">
        <f>ROUND(E937*F937,2)</f>
        <v>0.3</v>
      </c>
    </row>
    <row r="938" spans="2:7" x14ac:dyDescent="0.3">
      <c r="B938" s="73">
        <f t="shared" si="25"/>
        <v>4</v>
      </c>
      <c r="C938" s="79" t="s">
        <v>1050</v>
      </c>
      <c r="D938" s="76" t="s">
        <v>941</v>
      </c>
      <c r="E938" s="76">
        <f>'МЕДИЧНІ М'!E77</f>
        <v>0.9</v>
      </c>
      <c r="F938" s="77">
        <v>1</v>
      </c>
      <c r="G938" s="88">
        <f>ROUND(E938*F938,2)</f>
        <v>0.9</v>
      </c>
    </row>
    <row r="939" spans="2:7" x14ac:dyDescent="0.3">
      <c r="B939" s="73">
        <f t="shared" si="25"/>
        <v>5</v>
      </c>
      <c r="C939" s="27" t="s">
        <v>942</v>
      </c>
      <c r="D939" s="78" t="s">
        <v>974</v>
      </c>
      <c r="E939" s="76">
        <f>'МЕДИЧНІ М'!E65</f>
        <v>24.6</v>
      </c>
      <c r="F939" s="77">
        <v>100</v>
      </c>
      <c r="G939" s="78">
        <f>ROUND(E939/F939,2)</f>
        <v>0.25</v>
      </c>
    </row>
    <row r="940" spans="2:7" x14ac:dyDescent="0.3">
      <c r="B940" s="73">
        <f t="shared" si="25"/>
        <v>6</v>
      </c>
      <c r="C940" s="79" t="s">
        <v>934</v>
      </c>
      <c r="D940" s="76" t="s">
        <v>941</v>
      </c>
      <c r="E940" s="76">
        <f>'МЕДИЧНІ М'!E59</f>
        <v>2.8</v>
      </c>
      <c r="F940" s="86">
        <v>10</v>
      </c>
      <c r="G940" s="88">
        <f>ROUND(E940/F940,2)</f>
        <v>0.28000000000000003</v>
      </c>
    </row>
    <row r="941" spans="2:7" x14ac:dyDescent="0.3">
      <c r="B941" s="73">
        <f t="shared" si="25"/>
        <v>7</v>
      </c>
      <c r="C941" s="27" t="s">
        <v>972</v>
      </c>
      <c r="D941" s="76" t="s">
        <v>944</v>
      </c>
      <c r="E941" s="76">
        <f>'МЕДИЧНІ М'!E21</f>
        <v>7</v>
      </c>
      <c r="F941" s="86">
        <v>100</v>
      </c>
      <c r="G941" s="88">
        <f>ROUND(E941/F941,2)</f>
        <v>7.0000000000000007E-2</v>
      </c>
    </row>
    <row r="942" spans="2:7" x14ac:dyDescent="0.3">
      <c r="B942" s="73">
        <f t="shared" si="25"/>
        <v>8</v>
      </c>
      <c r="C942" s="79" t="s">
        <v>982</v>
      </c>
      <c r="D942" s="76" t="s">
        <v>941</v>
      </c>
      <c r="E942" s="76">
        <f>'МЕДИЧНІ М'!E48</f>
        <v>11</v>
      </c>
      <c r="F942" s="77">
        <v>100</v>
      </c>
      <c r="G942" s="88">
        <f>ROUND(E942/F942,2)</f>
        <v>0.11</v>
      </c>
    </row>
    <row r="943" spans="2:7" x14ac:dyDescent="0.3">
      <c r="B943" s="73">
        <f t="shared" si="25"/>
        <v>9</v>
      </c>
      <c r="C943" s="27" t="s">
        <v>940</v>
      </c>
      <c r="D943" s="28" t="s">
        <v>941</v>
      </c>
      <c r="E943" s="81">
        <f>'МЕДИЧНІ М'!E37</f>
        <v>2</v>
      </c>
      <c r="F943" s="28">
        <v>1.5</v>
      </c>
      <c r="G943" s="28">
        <f>ROUND(E943*F943,2)</f>
        <v>3</v>
      </c>
    </row>
    <row r="944" spans="2:7" x14ac:dyDescent="0.3">
      <c r="B944" s="73">
        <f t="shared" si="25"/>
        <v>10</v>
      </c>
      <c r="C944" s="27" t="s">
        <v>1124</v>
      </c>
      <c r="D944" s="28" t="s">
        <v>944</v>
      </c>
      <c r="E944" s="81">
        <f>'МЕДИЧНІ М'!E24</f>
        <v>0.5</v>
      </c>
      <c r="F944" s="81">
        <v>0.5</v>
      </c>
      <c r="G944" s="28">
        <f>ROUND(E944*F944,2)</f>
        <v>0.25</v>
      </c>
    </row>
    <row r="945" spans="2:9" x14ac:dyDescent="0.3">
      <c r="B945" s="1012" t="s">
        <v>945</v>
      </c>
      <c r="C945" s="1013"/>
      <c r="D945" s="1013"/>
      <c r="E945" s="1013"/>
      <c r="F945" s="1014"/>
      <c r="G945" s="89">
        <f>SUM(G935:G944)</f>
        <v>7.67</v>
      </c>
    </row>
    <row r="947" spans="2:9" x14ac:dyDescent="0.3">
      <c r="C947" s="12" t="s">
        <v>968</v>
      </c>
      <c r="D947" s="12"/>
      <c r="E947" s="12"/>
      <c r="F947" s="11">
        <f>H950</f>
        <v>0.92</v>
      </c>
      <c r="G947" s="12" t="s">
        <v>971</v>
      </c>
    </row>
    <row r="948" spans="2:9" ht="4.5" customHeight="1" x14ac:dyDescent="0.3">
      <c r="C948" s="22"/>
      <c r="D948" s="22"/>
      <c r="E948" s="22"/>
      <c r="F948" s="23"/>
      <c r="G948" s="22"/>
    </row>
    <row r="949" spans="2:9" ht="27.6" x14ac:dyDescent="0.3">
      <c r="C949" s="14" t="s">
        <v>513</v>
      </c>
      <c r="D949" s="14" t="s">
        <v>969</v>
      </c>
      <c r="E949" s="14" t="s">
        <v>516</v>
      </c>
      <c r="F949" s="14" t="s">
        <v>970</v>
      </c>
      <c r="G949" s="14" t="s">
        <v>930</v>
      </c>
      <c r="H949" s="14" t="s">
        <v>961</v>
      </c>
    </row>
    <row r="950" spans="2:9" x14ac:dyDescent="0.3">
      <c r="C950" s="27" t="s">
        <v>1090</v>
      </c>
      <c r="D950" s="17">
        <f>АМОРТИЗАЦІЯ!C5</f>
        <v>34445.759999999995</v>
      </c>
      <c r="E950" s="17">
        <v>13679.5</v>
      </c>
      <c r="F950" s="17">
        <f>ROUND((D950/E950)/60,2)</f>
        <v>0.04</v>
      </c>
      <c r="G950" s="17">
        <f>E928+E927</f>
        <v>23</v>
      </c>
      <c r="H950" s="16">
        <f>ROUND(F950*G950,2)</f>
        <v>0.92</v>
      </c>
      <c r="I950" s="38"/>
    </row>
    <row r="952" spans="2:9" x14ac:dyDescent="0.3">
      <c r="C952" s="12" t="s">
        <v>948</v>
      </c>
      <c r="D952" s="12"/>
      <c r="E952" s="12"/>
      <c r="F952" s="11">
        <f>H965</f>
        <v>2.99</v>
      </c>
      <c r="G952" s="12" t="s">
        <v>971</v>
      </c>
    </row>
    <row r="953" spans="2:9" ht="7.5" customHeight="1" x14ac:dyDescent="0.3">
      <c r="C953" s="22"/>
      <c r="D953" s="22"/>
      <c r="E953" s="22"/>
      <c r="F953" s="23"/>
    </row>
    <row r="954" spans="2:9" ht="27.6" x14ac:dyDescent="0.3">
      <c r="C954" s="14" t="s">
        <v>948</v>
      </c>
      <c r="D954" s="14" t="s">
        <v>1110</v>
      </c>
      <c r="E954" s="14" t="s">
        <v>516</v>
      </c>
      <c r="F954" s="14" t="s">
        <v>954</v>
      </c>
      <c r="G954" s="14" t="s">
        <v>930</v>
      </c>
      <c r="H954" s="14" t="s">
        <v>1111</v>
      </c>
    </row>
    <row r="955" spans="2:9" x14ac:dyDescent="0.3">
      <c r="C955" s="1009" t="str">
        <f>C923</f>
        <v>Лікар-лаборант</v>
      </c>
      <c r="D955" s="1010"/>
      <c r="E955" s="1010"/>
      <c r="F955" s="1010"/>
      <c r="G955" s="1010"/>
      <c r="H955" s="1011"/>
    </row>
    <row r="956" spans="2:9" x14ac:dyDescent="0.3">
      <c r="C956" s="17" t="s">
        <v>951</v>
      </c>
      <c r="D956" s="112">
        <f>D901</f>
        <v>12188.608008565312</v>
      </c>
      <c r="E956" s="17">
        <f>I923</f>
        <v>1807.2</v>
      </c>
      <c r="F956" s="17">
        <f>ROUND((D956/E956)/60,2)</f>
        <v>0.11</v>
      </c>
      <c r="G956" s="17">
        <f>E927</f>
        <v>3</v>
      </c>
      <c r="H956" s="16">
        <f>ROUND(F956*G956,2)</f>
        <v>0.33</v>
      </c>
    </row>
    <row r="957" spans="2:9" x14ac:dyDescent="0.3">
      <c r="C957" s="17" t="s">
        <v>952</v>
      </c>
      <c r="D957" s="112">
        <f>D902</f>
        <v>53.149721627408987</v>
      </c>
      <c r="E957" s="17">
        <f>I923</f>
        <v>1807.2</v>
      </c>
      <c r="F957" s="17">
        <f>ROUND((D957/E957)/60,2)</f>
        <v>0</v>
      </c>
      <c r="G957" s="17">
        <f>E927</f>
        <v>3</v>
      </c>
      <c r="H957" s="16">
        <f>ROUND(F957*G957,2)</f>
        <v>0</v>
      </c>
    </row>
    <row r="958" spans="2:9" x14ac:dyDescent="0.3">
      <c r="C958" s="17" t="s">
        <v>953</v>
      </c>
      <c r="D958" s="112">
        <f>D903</f>
        <v>374.98368308351178</v>
      </c>
      <c r="E958" s="17">
        <f>I923</f>
        <v>1807.2</v>
      </c>
      <c r="F958" s="17">
        <f>ROUND((D958/E958)/60,2)</f>
        <v>0</v>
      </c>
      <c r="G958" s="17">
        <f>E927</f>
        <v>3</v>
      </c>
      <c r="H958" s="16">
        <f>ROUND(F958*G958,2)</f>
        <v>0</v>
      </c>
    </row>
    <row r="959" spans="2:9" x14ac:dyDescent="0.3">
      <c r="C959" s="17" t="s">
        <v>1109</v>
      </c>
      <c r="D959" s="112">
        <f>D904</f>
        <v>1686.0389293361886</v>
      </c>
      <c r="E959" s="17">
        <f>I923</f>
        <v>1807.2</v>
      </c>
      <c r="F959" s="17">
        <f>ROUND((D959/E959)/60,2)</f>
        <v>0.02</v>
      </c>
      <c r="G959" s="17">
        <f>E927</f>
        <v>3</v>
      </c>
      <c r="H959" s="16">
        <f>ROUND(F959*G959,2)</f>
        <v>0.06</v>
      </c>
    </row>
    <row r="960" spans="2:9" x14ac:dyDescent="0.3">
      <c r="C960" s="1009" t="str">
        <f>C924</f>
        <v>Лаборант клінічної лабораторії</v>
      </c>
      <c r="D960" s="1010"/>
      <c r="E960" s="1010"/>
      <c r="F960" s="1010"/>
      <c r="G960" s="1010"/>
      <c r="H960" s="1011"/>
    </row>
    <row r="961" spans="1:20" x14ac:dyDescent="0.3">
      <c r="C961" s="17" t="s">
        <v>951</v>
      </c>
      <c r="D961" s="112">
        <f>D906</f>
        <v>12188.608008565312</v>
      </c>
      <c r="E961" s="17">
        <f>I924</f>
        <v>1807.2</v>
      </c>
      <c r="F961" s="17">
        <f>ROUND((D961/E961)/60,2)</f>
        <v>0.11</v>
      </c>
      <c r="G961" s="17">
        <f>E928</f>
        <v>20</v>
      </c>
      <c r="H961" s="16">
        <f>ROUND(F961*G961,2)</f>
        <v>2.2000000000000002</v>
      </c>
    </row>
    <row r="962" spans="1:20" x14ac:dyDescent="0.3">
      <c r="C962" s="17" t="s">
        <v>952</v>
      </c>
      <c r="D962" s="112">
        <f>D907</f>
        <v>53.149721627408987</v>
      </c>
      <c r="E962" s="17">
        <f>I924</f>
        <v>1807.2</v>
      </c>
      <c r="F962" s="17">
        <f>ROUND((D962/E962)/60,2)</f>
        <v>0</v>
      </c>
      <c r="G962" s="17">
        <f>E928</f>
        <v>20</v>
      </c>
      <c r="H962" s="16">
        <f>ROUND(F962*G962,2)</f>
        <v>0</v>
      </c>
    </row>
    <row r="963" spans="1:20" x14ac:dyDescent="0.3">
      <c r="C963" s="17" t="s">
        <v>953</v>
      </c>
      <c r="D963" s="112">
        <f>D908</f>
        <v>374.98368308351178</v>
      </c>
      <c r="E963" s="17">
        <f>I924</f>
        <v>1807.2</v>
      </c>
      <c r="F963" s="17">
        <f>ROUND((D963/E963)/60,2)</f>
        <v>0</v>
      </c>
      <c r="G963" s="17">
        <f>E928</f>
        <v>20</v>
      </c>
      <c r="H963" s="16">
        <f>ROUND(F963*G963,2)</f>
        <v>0</v>
      </c>
    </row>
    <row r="964" spans="1:20" x14ac:dyDescent="0.3">
      <c r="C964" s="17" t="s">
        <v>1109</v>
      </c>
      <c r="D964" s="112">
        <f>D909</f>
        <v>1686.0389293361886</v>
      </c>
      <c r="E964" s="17">
        <f>I924</f>
        <v>1807.2</v>
      </c>
      <c r="F964" s="17">
        <f>ROUND((D964/E964)/60,2)</f>
        <v>0.02</v>
      </c>
      <c r="G964" s="17">
        <f>E928</f>
        <v>20</v>
      </c>
      <c r="H964" s="16">
        <f>ROUND(F964*G964,2)</f>
        <v>0.4</v>
      </c>
    </row>
    <row r="965" spans="1:20" x14ac:dyDescent="0.3">
      <c r="C965" s="1012" t="s">
        <v>957</v>
      </c>
      <c r="D965" s="1013"/>
      <c r="E965" s="1013"/>
      <c r="F965" s="1013"/>
      <c r="G965" s="1014"/>
      <c r="H965" s="18">
        <f>SUM(H956:H964)</f>
        <v>2.99</v>
      </c>
    </row>
    <row r="966" spans="1:20" ht="8.25" customHeight="1" x14ac:dyDescent="0.3"/>
    <row r="967" spans="1:20" x14ac:dyDescent="0.3">
      <c r="C967" s="1015" t="s">
        <v>959</v>
      </c>
      <c r="D967" s="1015"/>
      <c r="E967" s="1015"/>
      <c r="F967" s="1015"/>
      <c r="G967" s="1015"/>
      <c r="H967" s="32">
        <f>F920+F932+F952+F947</f>
        <v>39.550000000000004</v>
      </c>
    </row>
    <row r="968" spans="1:20" ht="12.75" customHeight="1" x14ac:dyDescent="0.3">
      <c r="C968" s="33"/>
      <c r="D968" s="33"/>
      <c r="E968" s="33"/>
      <c r="F968" s="33"/>
      <c r="G968" s="33"/>
      <c r="H968" s="34"/>
    </row>
    <row r="969" spans="1:20" x14ac:dyDescent="0.3">
      <c r="C969" s="1015" t="s">
        <v>960</v>
      </c>
      <c r="D969" s="1015"/>
      <c r="E969" s="1015"/>
      <c r="F969" s="1015"/>
      <c r="G969" s="1015"/>
      <c r="H969" s="32">
        <f>ROUND(H967,0)</f>
        <v>40</v>
      </c>
    </row>
    <row r="971" spans="1:20" s="54" customFormat="1" ht="19.8" x14ac:dyDescent="0.4">
      <c r="A971" s="53"/>
      <c r="B971" s="1016" t="s">
        <v>958</v>
      </c>
      <c r="C971" s="1016"/>
      <c r="D971" s="1016"/>
      <c r="E971" s="1016"/>
      <c r="F971" s="1016"/>
      <c r="G971" s="1016"/>
      <c r="H971" s="1016"/>
      <c r="I971" s="1016"/>
      <c r="J971" s="1016"/>
      <c r="K971" s="137"/>
      <c r="L971" s="126"/>
      <c r="M971" s="126"/>
      <c r="N971" s="70"/>
      <c r="O971" s="53"/>
      <c r="P971" s="53"/>
      <c r="Q971" s="53"/>
      <c r="R971" s="53"/>
      <c r="S971" s="53"/>
      <c r="T971" s="53"/>
    </row>
    <row r="972" spans="1:20" s="54" customFormat="1" ht="19.8" x14ac:dyDescent="0.4">
      <c r="A972" s="53"/>
      <c r="B972" s="53"/>
      <c r="C972" s="53"/>
      <c r="D972" s="53"/>
      <c r="E972" s="53"/>
      <c r="F972" s="53"/>
      <c r="G972" s="53"/>
      <c r="H972" s="53"/>
      <c r="I972" s="53"/>
      <c r="J972" s="53"/>
      <c r="K972" s="132"/>
      <c r="L972" s="126"/>
      <c r="M972" s="126"/>
      <c r="N972" s="70"/>
      <c r="O972" s="53"/>
      <c r="P972" s="53"/>
      <c r="Q972" s="53"/>
      <c r="R972" s="53"/>
      <c r="S972" s="53"/>
      <c r="T972" s="53"/>
    </row>
    <row r="973" spans="1:20" s="54" customFormat="1" ht="33.75" customHeight="1" x14ac:dyDescent="0.4">
      <c r="A973" s="53"/>
      <c r="B973" s="50" t="s">
        <v>761</v>
      </c>
      <c r="C973" s="1017" t="s">
        <v>766</v>
      </c>
      <c r="D973" s="1017"/>
      <c r="E973" s="1017"/>
      <c r="F973" s="52">
        <f>H1024</f>
        <v>40</v>
      </c>
      <c r="G973" s="52" t="s">
        <v>971</v>
      </c>
      <c r="H973" s="53"/>
      <c r="I973" s="53"/>
      <c r="J973" s="53"/>
      <c r="K973" s="132"/>
      <c r="L973" s="126"/>
      <c r="M973" s="126"/>
      <c r="N973" s="70"/>
      <c r="O973" s="53"/>
      <c r="P973" s="53"/>
      <c r="Q973" s="53"/>
      <c r="R973" s="53"/>
      <c r="S973" s="53"/>
      <c r="T973" s="53"/>
    </row>
    <row r="975" spans="1:20" x14ac:dyDescent="0.3">
      <c r="C975" s="1018" t="s">
        <v>932</v>
      </c>
      <c r="D975" s="1018"/>
      <c r="E975" s="10"/>
      <c r="F975" s="11">
        <f>F982+F985+F983</f>
        <v>18.700000000000003</v>
      </c>
      <c r="G975" s="12" t="s">
        <v>971</v>
      </c>
    </row>
    <row r="976" spans="1:20" ht="6" customHeight="1" x14ac:dyDescent="0.3"/>
    <row r="977" spans="2:11" x14ac:dyDescent="0.3">
      <c r="C977" s="13" t="s">
        <v>929</v>
      </c>
      <c r="D977" s="14" t="s">
        <v>928</v>
      </c>
      <c r="E977" s="14" t="s">
        <v>514</v>
      </c>
      <c r="F977" s="14" t="s">
        <v>515</v>
      </c>
      <c r="G977" s="14" t="s">
        <v>962</v>
      </c>
      <c r="H977" s="14" t="s">
        <v>926</v>
      </c>
      <c r="I977" s="14" t="s">
        <v>516</v>
      </c>
      <c r="J977" s="14" t="s">
        <v>961</v>
      </c>
      <c r="K977" s="138"/>
    </row>
    <row r="978" spans="2:11" x14ac:dyDescent="0.3">
      <c r="C978" s="17" t="str">
        <f>C923</f>
        <v>Лікар-лаборант</v>
      </c>
      <c r="D978" s="16">
        <f>D923</f>
        <v>10799.43</v>
      </c>
      <c r="E978" s="16">
        <f>D978*12</f>
        <v>129593.16</v>
      </c>
      <c r="F978" s="16">
        <f>F923</f>
        <v>8307.26</v>
      </c>
      <c r="G978" s="16">
        <f>G923</f>
        <v>4153.63</v>
      </c>
      <c r="H978" s="16">
        <f>E978+F978+G978</f>
        <v>142054.05000000002</v>
      </c>
      <c r="I978" s="17">
        <v>1807.2</v>
      </c>
      <c r="J978" s="16">
        <f>ROUND((H978/I978)/60,2)</f>
        <v>1.31</v>
      </c>
      <c r="K978" s="140"/>
    </row>
    <row r="979" spans="2:11" x14ac:dyDescent="0.3">
      <c r="C979" s="17" t="str">
        <f>C924</f>
        <v>Лаборант клінічної лабораторії</v>
      </c>
      <c r="D979" s="16">
        <f>D924</f>
        <v>7871.18</v>
      </c>
      <c r="E979" s="16">
        <f>D979*12</f>
        <v>94454.16</v>
      </c>
      <c r="F979" s="16">
        <f>F924</f>
        <v>6054.75</v>
      </c>
      <c r="G979" s="16">
        <f>G924</f>
        <v>3027.375</v>
      </c>
      <c r="H979" s="16">
        <f>E979+F979+G979</f>
        <v>103536.285</v>
      </c>
      <c r="I979" s="17">
        <v>1807.2</v>
      </c>
      <c r="J979" s="16">
        <f>ROUND((H979/I979)/60,2)</f>
        <v>0.95</v>
      </c>
      <c r="K979" s="140"/>
    </row>
    <row r="981" spans="2:11" ht="27.6" x14ac:dyDescent="0.3">
      <c r="C981" s="13" t="s">
        <v>929</v>
      </c>
      <c r="D981" s="14" t="s">
        <v>961</v>
      </c>
      <c r="E981" s="14" t="s">
        <v>930</v>
      </c>
      <c r="F981" s="14" t="s">
        <v>931</v>
      </c>
    </row>
    <row r="982" spans="2:11" x14ac:dyDescent="0.3">
      <c r="C982" s="15" t="str">
        <f>C978</f>
        <v>Лікар-лаборант</v>
      </c>
      <c r="D982" s="16">
        <f>J978</f>
        <v>1.31</v>
      </c>
      <c r="E982" s="17">
        <v>3</v>
      </c>
      <c r="F982" s="18">
        <f>ROUND(D982*E982,2)</f>
        <v>3.93</v>
      </c>
    </row>
    <row r="983" spans="2:11" x14ac:dyDescent="0.3">
      <c r="C983" s="15" t="str">
        <f>C979</f>
        <v>Лаборант клінічної лабораторії</v>
      </c>
      <c r="D983" s="16">
        <f>J979</f>
        <v>0.95</v>
      </c>
      <c r="E983" s="17">
        <v>12</v>
      </c>
      <c r="F983" s="18">
        <f>ROUND(D983*E983,2)</f>
        <v>11.4</v>
      </c>
    </row>
    <row r="984" spans="2:11" x14ac:dyDescent="0.3">
      <c r="D984" s="19"/>
      <c r="E984" s="7" t="s">
        <v>1016</v>
      </c>
    </row>
    <row r="985" spans="2:11" x14ac:dyDescent="0.3">
      <c r="C985" s="17" t="s">
        <v>933</v>
      </c>
      <c r="D985" s="16">
        <f>F982+F983</f>
        <v>15.33</v>
      </c>
      <c r="E985" s="20">
        <v>0.22</v>
      </c>
      <c r="F985" s="21">
        <f>ROUND(D985*E985,2)</f>
        <v>3.37</v>
      </c>
    </row>
    <row r="987" spans="2:11" x14ac:dyDescent="0.3">
      <c r="C987" s="12" t="s">
        <v>946</v>
      </c>
      <c r="D987" s="12"/>
      <c r="E987" s="12"/>
      <c r="F987" s="12">
        <f>G1000</f>
        <v>18.490000000000002</v>
      </c>
      <c r="G987" s="12" t="s">
        <v>971</v>
      </c>
    </row>
    <row r="989" spans="2:11" ht="27.6" x14ac:dyDescent="0.3">
      <c r="B989" s="82" t="s">
        <v>991</v>
      </c>
      <c r="C989" s="83" t="s">
        <v>986</v>
      </c>
      <c r="D989" s="83" t="s">
        <v>987</v>
      </c>
      <c r="E989" s="83" t="s">
        <v>988</v>
      </c>
      <c r="F989" s="83" t="s">
        <v>989</v>
      </c>
      <c r="G989" s="82" t="s">
        <v>990</v>
      </c>
    </row>
    <row r="990" spans="2:11" x14ac:dyDescent="0.3">
      <c r="B990" s="84">
        <v>1</v>
      </c>
      <c r="C990" s="85" t="s">
        <v>1067</v>
      </c>
      <c r="D990" s="86" t="s">
        <v>1045</v>
      </c>
      <c r="E990" s="87">
        <f>'МЕДИЧНІ М'!E28</f>
        <v>3819.4</v>
      </c>
      <c r="F990" s="86">
        <v>300</v>
      </c>
      <c r="G990" s="78">
        <f>ROUND(E990/F990,2)</f>
        <v>12.73</v>
      </c>
    </row>
    <row r="991" spans="2:11" x14ac:dyDescent="0.3">
      <c r="B991" s="73">
        <f>B990+1</f>
        <v>2</v>
      </c>
      <c r="C991" s="79" t="s">
        <v>981</v>
      </c>
      <c r="D991" s="76" t="s">
        <v>941</v>
      </c>
      <c r="E991" s="76">
        <f>'МЕДИЧНІ М'!E49</f>
        <v>0.6</v>
      </c>
      <c r="F991" s="77">
        <v>1</v>
      </c>
      <c r="G991" s="88">
        <f>ROUND(E991*F991,2)</f>
        <v>0.6</v>
      </c>
    </row>
    <row r="992" spans="2:11" x14ac:dyDescent="0.3">
      <c r="B992" s="73">
        <f t="shared" ref="B992:B999" si="26">B991+1</f>
        <v>3</v>
      </c>
      <c r="C992" s="79" t="s">
        <v>985</v>
      </c>
      <c r="D992" s="76" t="s">
        <v>937</v>
      </c>
      <c r="E992" s="76">
        <f>'МЕДИЧНІ М'!F39</f>
        <v>0.3</v>
      </c>
      <c r="F992" s="77">
        <v>1</v>
      </c>
      <c r="G992" s="88">
        <f>ROUND(E992*F992,2)</f>
        <v>0.3</v>
      </c>
    </row>
    <row r="993" spans="2:9" x14ac:dyDescent="0.3">
      <c r="B993" s="73">
        <f t="shared" si="26"/>
        <v>4</v>
      </c>
      <c r="C993" s="79" t="s">
        <v>1050</v>
      </c>
      <c r="D993" s="76" t="s">
        <v>941</v>
      </c>
      <c r="E993" s="76">
        <f>'МЕДИЧНІ М'!E77</f>
        <v>0.9</v>
      </c>
      <c r="F993" s="77">
        <v>1</v>
      </c>
      <c r="G993" s="88">
        <f>ROUND(E993*F993,2)</f>
        <v>0.9</v>
      </c>
    </row>
    <row r="994" spans="2:9" x14ac:dyDescent="0.3">
      <c r="B994" s="73">
        <f t="shared" si="26"/>
        <v>5</v>
      </c>
      <c r="C994" s="27" t="s">
        <v>942</v>
      </c>
      <c r="D994" s="78" t="s">
        <v>974</v>
      </c>
      <c r="E994" s="76">
        <f>'МЕДИЧНІ М'!E65</f>
        <v>24.6</v>
      </c>
      <c r="F994" s="77">
        <v>100</v>
      </c>
      <c r="G994" s="78">
        <f>ROUND(E994/F994,2)</f>
        <v>0.25</v>
      </c>
    </row>
    <row r="995" spans="2:9" x14ac:dyDescent="0.3">
      <c r="B995" s="73">
        <f t="shared" si="26"/>
        <v>6</v>
      </c>
      <c r="C995" s="79" t="s">
        <v>934</v>
      </c>
      <c r="D995" s="76" t="s">
        <v>941</v>
      </c>
      <c r="E995" s="76">
        <f>'МЕДИЧНІ М'!E59</f>
        <v>2.8</v>
      </c>
      <c r="F995" s="86">
        <v>10</v>
      </c>
      <c r="G995" s="88">
        <f>ROUND(E995/F995,2)</f>
        <v>0.28000000000000003</v>
      </c>
    </row>
    <row r="996" spans="2:9" x14ac:dyDescent="0.3">
      <c r="B996" s="73">
        <f t="shared" si="26"/>
        <v>7</v>
      </c>
      <c r="C996" s="27" t="s">
        <v>972</v>
      </c>
      <c r="D996" s="76" t="s">
        <v>944</v>
      </c>
      <c r="E996" s="76">
        <f>'МЕДИЧНІ М'!E21</f>
        <v>7</v>
      </c>
      <c r="F996" s="86">
        <v>100</v>
      </c>
      <c r="G996" s="88">
        <f>ROUND(E996/F996,2)</f>
        <v>7.0000000000000007E-2</v>
      </c>
    </row>
    <row r="997" spans="2:9" x14ac:dyDescent="0.3">
      <c r="B997" s="73">
        <f t="shared" si="26"/>
        <v>8</v>
      </c>
      <c r="C997" s="79" t="s">
        <v>982</v>
      </c>
      <c r="D997" s="76" t="s">
        <v>941</v>
      </c>
      <c r="E997" s="76">
        <f>'МЕДИЧНІ М'!E48</f>
        <v>11</v>
      </c>
      <c r="F997" s="77">
        <v>100</v>
      </c>
      <c r="G997" s="88">
        <f>ROUND(E997/F997,2)</f>
        <v>0.11</v>
      </c>
    </row>
    <row r="998" spans="2:9" x14ac:dyDescent="0.3">
      <c r="B998" s="73">
        <f t="shared" si="26"/>
        <v>9</v>
      </c>
      <c r="C998" s="27" t="s">
        <v>940</v>
      </c>
      <c r="D998" s="28" t="s">
        <v>941</v>
      </c>
      <c r="E998" s="81">
        <f>'МЕДИЧНІ М'!E37</f>
        <v>2</v>
      </c>
      <c r="F998" s="28">
        <v>1.5</v>
      </c>
      <c r="G998" s="28">
        <f>ROUND(E998*F998,2)</f>
        <v>3</v>
      </c>
    </row>
    <row r="999" spans="2:9" x14ac:dyDescent="0.3">
      <c r="B999" s="73">
        <f t="shared" si="26"/>
        <v>10</v>
      </c>
      <c r="C999" s="27" t="s">
        <v>1124</v>
      </c>
      <c r="D999" s="28" t="s">
        <v>944</v>
      </c>
      <c r="E999" s="81">
        <f>'МЕДИЧНІ М'!E24</f>
        <v>0.5</v>
      </c>
      <c r="F999" s="81">
        <v>0.5</v>
      </c>
      <c r="G999" s="28">
        <f>ROUND(E999*F999,2)</f>
        <v>0.25</v>
      </c>
    </row>
    <row r="1000" spans="2:9" x14ac:dyDescent="0.3">
      <c r="B1000" s="1012" t="s">
        <v>945</v>
      </c>
      <c r="C1000" s="1013"/>
      <c r="D1000" s="1013"/>
      <c r="E1000" s="1013"/>
      <c r="F1000" s="1014"/>
      <c r="G1000" s="89">
        <f>SUM(G990:G999)</f>
        <v>18.490000000000002</v>
      </c>
    </row>
    <row r="1002" spans="2:9" x14ac:dyDescent="0.3">
      <c r="C1002" s="12" t="s">
        <v>968</v>
      </c>
      <c r="D1002" s="12"/>
      <c r="E1002" s="12"/>
      <c r="F1002" s="11">
        <f>H1005</f>
        <v>0.6</v>
      </c>
      <c r="G1002" s="12" t="s">
        <v>971</v>
      </c>
    </row>
    <row r="1003" spans="2:9" ht="8.25" customHeight="1" x14ac:dyDescent="0.3">
      <c r="C1003" s="22"/>
      <c r="D1003" s="22"/>
      <c r="E1003" s="22"/>
      <c r="F1003" s="23"/>
      <c r="G1003" s="22"/>
    </row>
    <row r="1004" spans="2:9" ht="27.6" x14ac:dyDescent="0.3">
      <c r="C1004" s="14" t="s">
        <v>513</v>
      </c>
      <c r="D1004" s="14" t="s">
        <v>969</v>
      </c>
      <c r="E1004" s="14" t="s">
        <v>516</v>
      </c>
      <c r="F1004" s="14" t="s">
        <v>970</v>
      </c>
      <c r="G1004" s="14" t="s">
        <v>930</v>
      </c>
      <c r="H1004" s="14" t="s">
        <v>961</v>
      </c>
    </row>
    <row r="1005" spans="2:9" x14ac:dyDescent="0.3">
      <c r="C1005" s="27" t="s">
        <v>1090</v>
      </c>
      <c r="D1005" s="17">
        <f>АМОРТИЗАЦІЯ!C5</f>
        <v>34445.759999999995</v>
      </c>
      <c r="E1005" s="17">
        <v>13679.5</v>
      </c>
      <c r="F1005" s="17">
        <f>ROUND((D1005/E1005)/60,2)</f>
        <v>0.04</v>
      </c>
      <c r="G1005" s="17">
        <f>E983+E982</f>
        <v>15</v>
      </c>
      <c r="H1005" s="16">
        <f>ROUND(F1005*G1005,2)</f>
        <v>0.6</v>
      </c>
      <c r="I1005" s="38"/>
    </row>
    <row r="1006" spans="2:9" ht="6" customHeight="1" x14ac:dyDescent="0.3"/>
    <row r="1007" spans="2:9" x14ac:dyDescent="0.3">
      <c r="C1007" s="12" t="s">
        <v>948</v>
      </c>
      <c r="D1007" s="12"/>
      <c r="E1007" s="12"/>
      <c r="F1007" s="11">
        <f>H1020</f>
        <v>1.95</v>
      </c>
      <c r="G1007" s="12" t="s">
        <v>971</v>
      </c>
    </row>
    <row r="1008" spans="2:9" ht="6" customHeight="1" x14ac:dyDescent="0.3">
      <c r="C1008" s="22"/>
      <c r="D1008" s="22"/>
      <c r="E1008" s="22"/>
      <c r="F1008" s="23"/>
    </row>
    <row r="1009" spans="3:8" ht="27.6" x14ac:dyDescent="0.3">
      <c r="C1009" s="14" t="s">
        <v>948</v>
      </c>
      <c r="D1009" s="14" t="s">
        <v>1110</v>
      </c>
      <c r="E1009" s="14" t="s">
        <v>516</v>
      </c>
      <c r="F1009" s="14" t="s">
        <v>954</v>
      </c>
      <c r="G1009" s="14" t="s">
        <v>930</v>
      </c>
      <c r="H1009" s="14" t="s">
        <v>1111</v>
      </c>
    </row>
    <row r="1010" spans="3:8" x14ac:dyDescent="0.3">
      <c r="C1010" s="1009" t="str">
        <f>C978</f>
        <v>Лікар-лаборант</v>
      </c>
      <c r="D1010" s="1010"/>
      <c r="E1010" s="1010"/>
      <c r="F1010" s="1010"/>
      <c r="G1010" s="1010"/>
      <c r="H1010" s="1011"/>
    </row>
    <row r="1011" spans="3:8" x14ac:dyDescent="0.3">
      <c r="C1011" s="17" t="s">
        <v>951</v>
      </c>
      <c r="D1011" s="112">
        <f>D956</f>
        <v>12188.608008565312</v>
      </c>
      <c r="E1011" s="17">
        <f>I978</f>
        <v>1807.2</v>
      </c>
      <c r="F1011" s="17">
        <f>ROUND((D1011/E1011)/60,2)</f>
        <v>0.11</v>
      </c>
      <c r="G1011" s="17">
        <f>E982</f>
        <v>3</v>
      </c>
      <c r="H1011" s="16">
        <f>ROUND(F1011*G1011,2)</f>
        <v>0.33</v>
      </c>
    </row>
    <row r="1012" spans="3:8" x14ac:dyDescent="0.3">
      <c r="C1012" s="17" t="s">
        <v>952</v>
      </c>
      <c r="D1012" s="112">
        <f>D957</f>
        <v>53.149721627408987</v>
      </c>
      <c r="E1012" s="17">
        <f>I978</f>
        <v>1807.2</v>
      </c>
      <c r="F1012" s="17">
        <f>ROUND((D1012/E1012)/60,2)</f>
        <v>0</v>
      </c>
      <c r="G1012" s="17">
        <f>E982</f>
        <v>3</v>
      </c>
      <c r="H1012" s="16">
        <f>ROUND(F1012*G1012,2)</f>
        <v>0</v>
      </c>
    </row>
    <row r="1013" spans="3:8" x14ac:dyDescent="0.3">
      <c r="C1013" s="17" t="s">
        <v>953</v>
      </c>
      <c r="D1013" s="112">
        <f>D958</f>
        <v>374.98368308351178</v>
      </c>
      <c r="E1013" s="17">
        <f>I978</f>
        <v>1807.2</v>
      </c>
      <c r="F1013" s="17">
        <f>ROUND((D1013/E1013)/60,2)</f>
        <v>0</v>
      </c>
      <c r="G1013" s="17">
        <f>E982</f>
        <v>3</v>
      </c>
      <c r="H1013" s="16">
        <f>ROUND(F1013*G1013,2)</f>
        <v>0</v>
      </c>
    </row>
    <row r="1014" spans="3:8" x14ac:dyDescent="0.3">
      <c r="C1014" s="17" t="s">
        <v>1109</v>
      </c>
      <c r="D1014" s="112">
        <f>D959</f>
        <v>1686.0389293361886</v>
      </c>
      <c r="E1014" s="17">
        <f>I978</f>
        <v>1807.2</v>
      </c>
      <c r="F1014" s="17">
        <f>ROUND((D1014/E1014)/60,2)</f>
        <v>0.02</v>
      </c>
      <c r="G1014" s="17">
        <f>E982</f>
        <v>3</v>
      </c>
      <c r="H1014" s="16">
        <f>ROUND(F1014*G1014,2)</f>
        <v>0.06</v>
      </c>
    </row>
    <row r="1015" spans="3:8" x14ac:dyDescent="0.3">
      <c r="C1015" s="1009" t="str">
        <f>C979</f>
        <v>Лаборант клінічної лабораторії</v>
      </c>
      <c r="D1015" s="1010"/>
      <c r="E1015" s="1010"/>
      <c r="F1015" s="1010"/>
      <c r="G1015" s="1010"/>
      <c r="H1015" s="1011"/>
    </row>
    <row r="1016" spans="3:8" x14ac:dyDescent="0.3">
      <c r="C1016" s="17" t="s">
        <v>951</v>
      </c>
      <c r="D1016" s="112">
        <f>D961</f>
        <v>12188.608008565312</v>
      </c>
      <c r="E1016" s="17">
        <f>I979</f>
        <v>1807.2</v>
      </c>
      <c r="F1016" s="17">
        <f>ROUND((D1016/E1016)/60,2)</f>
        <v>0.11</v>
      </c>
      <c r="G1016" s="17">
        <f>E983</f>
        <v>12</v>
      </c>
      <c r="H1016" s="16">
        <f>ROUND(F1016*G1016,2)</f>
        <v>1.32</v>
      </c>
    </row>
    <row r="1017" spans="3:8" x14ac:dyDescent="0.3">
      <c r="C1017" s="17" t="s">
        <v>952</v>
      </c>
      <c r="D1017" s="112">
        <f>D962</f>
        <v>53.149721627408987</v>
      </c>
      <c r="E1017" s="17">
        <f>I979</f>
        <v>1807.2</v>
      </c>
      <c r="F1017" s="17">
        <f>ROUND((D1017/E1017)/60,2)</f>
        <v>0</v>
      </c>
      <c r="G1017" s="17">
        <f>E983</f>
        <v>12</v>
      </c>
      <c r="H1017" s="16">
        <f>ROUND(F1017*G1017,2)</f>
        <v>0</v>
      </c>
    </row>
    <row r="1018" spans="3:8" x14ac:dyDescent="0.3">
      <c r="C1018" s="17" t="s">
        <v>953</v>
      </c>
      <c r="D1018" s="112">
        <f>D963</f>
        <v>374.98368308351178</v>
      </c>
      <c r="E1018" s="17">
        <f>I979</f>
        <v>1807.2</v>
      </c>
      <c r="F1018" s="17">
        <f>ROUND((D1018/E1018)/60,2)</f>
        <v>0</v>
      </c>
      <c r="G1018" s="17">
        <f>E983</f>
        <v>12</v>
      </c>
      <c r="H1018" s="16">
        <f>ROUND(F1018*G1018,2)</f>
        <v>0</v>
      </c>
    </row>
    <row r="1019" spans="3:8" x14ac:dyDescent="0.3">
      <c r="C1019" s="17" t="s">
        <v>1109</v>
      </c>
      <c r="D1019" s="112">
        <f>D964</f>
        <v>1686.0389293361886</v>
      </c>
      <c r="E1019" s="17">
        <f>I979</f>
        <v>1807.2</v>
      </c>
      <c r="F1019" s="17">
        <f>ROUND((D1019/E1019)/60,2)</f>
        <v>0.02</v>
      </c>
      <c r="G1019" s="17">
        <f>E983</f>
        <v>12</v>
      </c>
      <c r="H1019" s="16">
        <f>ROUND(F1019*G1019,2)</f>
        <v>0.24</v>
      </c>
    </row>
    <row r="1020" spans="3:8" x14ac:dyDescent="0.3">
      <c r="C1020" s="1012" t="s">
        <v>957</v>
      </c>
      <c r="D1020" s="1013"/>
      <c r="E1020" s="1013"/>
      <c r="F1020" s="1013"/>
      <c r="G1020" s="1014"/>
      <c r="H1020" s="18">
        <f>SUM(H1011:H1019)</f>
        <v>1.95</v>
      </c>
    </row>
    <row r="1021" spans="3:8" ht="9.75" customHeight="1" x14ac:dyDescent="0.3"/>
    <row r="1022" spans="3:8" x14ac:dyDescent="0.3">
      <c r="C1022" s="1015" t="s">
        <v>959</v>
      </c>
      <c r="D1022" s="1015"/>
      <c r="E1022" s="1015"/>
      <c r="F1022" s="1015"/>
      <c r="G1022" s="1015"/>
      <c r="H1022" s="32">
        <f>F975+F987+F1007+F1002</f>
        <v>39.740000000000009</v>
      </c>
    </row>
    <row r="1023" spans="3:8" x14ac:dyDescent="0.3">
      <c r="C1023" s="33"/>
      <c r="D1023" s="33"/>
      <c r="E1023" s="33"/>
      <c r="F1023" s="33"/>
      <c r="G1023" s="33"/>
      <c r="H1023" s="34"/>
    </row>
    <row r="1024" spans="3:8" x14ac:dyDescent="0.3">
      <c r="C1024" s="1015" t="s">
        <v>960</v>
      </c>
      <c r="D1024" s="1015"/>
      <c r="E1024" s="1015"/>
      <c r="F1024" s="1015"/>
      <c r="G1024" s="1015"/>
      <c r="H1024" s="32">
        <f>ROUND(H1022,0)</f>
        <v>40</v>
      </c>
    </row>
    <row r="1026" spans="1:20" s="54" customFormat="1" ht="19.8" x14ac:dyDescent="0.4">
      <c r="A1026" s="53"/>
      <c r="B1026" s="1016" t="s">
        <v>958</v>
      </c>
      <c r="C1026" s="1016"/>
      <c r="D1026" s="1016"/>
      <c r="E1026" s="1016"/>
      <c r="F1026" s="1016"/>
      <c r="G1026" s="1016"/>
      <c r="H1026" s="1016"/>
      <c r="I1026" s="1016"/>
      <c r="J1026" s="1016"/>
      <c r="K1026" s="137"/>
      <c r="L1026" s="126"/>
      <c r="M1026" s="126"/>
      <c r="N1026" s="70"/>
      <c r="O1026" s="53"/>
      <c r="P1026" s="53"/>
      <c r="Q1026" s="53"/>
      <c r="R1026" s="53"/>
      <c r="S1026" s="53"/>
      <c r="T1026" s="53"/>
    </row>
    <row r="1027" spans="1:20" s="54" customFormat="1" ht="19.8" x14ac:dyDescent="0.4">
      <c r="A1027" s="53"/>
      <c r="B1027" s="53"/>
      <c r="C1027" s="53"/>
      <c r="D1027" s="53"/>
      <c r="E1027" s="53"/>
      <c r="F1027" s="53"/>
      <c r="G1027" s="53"/>
      <c r="H1027" s="53"/>
      <c r="I1027" s="53"/>
      <c r="J1027" s="53"/>
      <c r="K1027" s="132"/>
      <c r="L1027" s="126"/>
      <c r="M1027" s="126"/>
      <c r="N1027" s="70"/>
      <c r="O1027" s="53"/>
      <c r="P1027" s="53"/>
      <c r="Q1027" s="53"/>
      <c r="R1027" s="53"/>
      <c r="S1027" s="53"/>
      <c r="T1027" s="53"/>
    </row>
    <row r="1028" spans="1:20" s="54" customFormat="1" ht="19.8" x14ac:dyDescent="0.4">
      <c r="A1028" s="53"/>
      <c r="B1028" s="50" t="s">
        <v>763</v>
      </c>
      <c r="C1028" s="1017" t="s">
        <v>768</v>
      </c>
      <c r="D1028" s="1017"/>
      <c r="E1028" s="1017"/>
      <c r="F1028" s="52">
        <f>H1079</f>
        <v>24</v>
      </c>
      <c r="G1028" s="52" t="s">
        <v>971</v>
      </c>
      <c r="H1028" s="53"/>
      <c r="I1028" s="53"/>
      <c r="J1028" s="53"/>
      <c r="K1028" s="132"/>
      <c r="L1028" s="126"/>
      <c r="M1028" s="126"/>
      <c r="N1028" s="70"/>
      <c r="O1028" s="53"/>
      <c r="P1028" s="53"/>
      <c r="Q1028" s="53"/>
      <c r="R1028" s="53"/>
      <c r="S1028" s="53"/>
      <c r="T1028" s="53"/>
    </row>
    <row r="1030" spans="1:20" x14ac:dyDescent="0.3">
      <c r="C1030" s="1018" t="s">
        <v>932</v>
      </c>
      <c r="D1030" s="1018"/>
      <c r="E1030" s="10"/>
      <c r="F1030" s="11">
        <f>F1037+F1040+F1038</f>
        <v>14.07</v>
      </c>
      <c r="G1030" s="12" t="s">
        <v>971</v>
      </c>
    </row>
    <row r="1032" spans="1:20" x14ac:dyDescent="0.3">
      <c r="C1032" s="13" t="s">
        <v>929</v>
      </c>
      <c r="D1032" s="14" t="s">
        <v>928</v>
      </c>
      <c r="E1032" s="14" t="s">
        <v>514</v>
      </c>
      <c r="F1032" s="14" t="s">
        <v>515</v>
      </c>
      <c r="G1032" s="14" t="s">
        <v>962</v>
      </c>
      <c r="H1032" s="14" t="s">
        <v>926</v>
      </c>
      <c r="I1032" s="14" t="s">
        <v>516</v>
      </c>
      <c r="J1032" s="14" t="s">
        <v>961</v>
      </c>
      <c r="K1032" s="138"/>
    </row>
    <row r="1033" spans="1:20" x14ac:dyDescent="0.3">
      <c r="C1033" s="17" t="str">
        <f>C978</f>
        <v>Лікар-лаборант</v>
      </c>
      <c r="D1033" s="16">
        <f>D978</f>
        <v>10799.43</v>
      </c>
      <c r="E1033" s="16">
        <f>D1033*12</f>
        <v>129593.16</v>
      </c>
      <c r="F1033" s="16">
        <f>F978</f>
        <v>8307.26</v>
      </c>
      <c r="G1033" s="16">
        <f>G978</f>
        <v>4153.63</v>
      </c>
      <c r="H1033" s="16">
        <f>E1033+F1033+G1033</f>
        <v>142054.05000000002</v>
      </c>
      <c r="I1033" s="17">
        <v>1807.2</v>
      </c>
      <c r="J1033" s="16">
        <f>ROUND((H1033/I1033)/60,2)</f>
        <v>1.31</v>
      </c>
      <c r="K1033" s="140"/>
    </row>
    <row r="1034" spans="1:20" x14ac:dyDescent="0.3">
      <c r="C1034" s="17" t="str">
        <f>C979</f>
        <v>Лаборант клінічної лабораторії</v>
      </c>
      <c r="D1034" s="16">
        <f>D979</f>
        <v>7871.18</v>
      </c>
      <c r="E1034" s="16">
        <f>D1034*12</f>
        <v>94454.16</v>
      </c>
      <c r="F1034" s="16">
        <f>F979</f>
        <v>6054.75</v>
      </c>
      <c r="G1034" s="16">
        <f>G979</f>
        <v>3027.375</v>
      </c>
      <c r="H1034" s="16">
        <f>E1034+F1034+G1034</f>
        <v>103536.285</v>
      </c>
      <c r="I1034" s="17">
        <v>1807.2</v>
      </c>
      <c r="J1034" s="16">
        <f>ROUND((H1034/I1034)/60,2)</f>
        <v>0.95</v>
      </c>
      <c r="K1034" s="140"/>
    </row>
    <row r="1036" spans="1:20" ht="27.6" x14ac:dyDescent="0.3">
      <c r="C1036" s="13" t="s">
        <v>929</v>
      </c>
      <c r="D1036" s="14" t="s">
        <v>961</v>
      </c>
      <c r="E1036" s="14" t="s">
        <v>930</v>
      </c>
      <c r="F1036" s="14" t="s">
        <v>931</v>
      </c>
    </row>
    <row r="1037" spans="1:20" x14ac:dyDescent="0.3">
      <c r="C1037" s="15" t="str">
        <f>C1033</f>
        <v>Лікар-лаборант</v>
      </c>
      <c r="D1037" s="16">
        <f>J1033</f>
        <v>1.31</v>
      </c>
      <c r="E1037" s="17">
        <v>3</v>
      </c>
      <c r="F1037" s="18">
        <f>ROUND(D1037*E1037,2)</f>
        <v>3.93</v>
      </c>
    </row>
    <row r="1038" spans="1:20" x14ac:dyDescent="0.3">
      <c r="C1038" s="15" t="str">
        <f>C1034</f>
        <v>Лаборант клінічної лабораторії</v>
      </c>
      <c r="D1038" s="16">
        <f>J1034</f>
        <v>0.95</v>
      </c>
      <c r="E1038" s="17">
        <v>8</v>
      </c>
      <c r="F1038" s="18">
        <f>ROUND(D1038*E1038,2)</f>
        <v>7.6</v>
      </c>
    </row>
    <row r="1039" spans="1:20" ht="9.75" customHeight="1" x14ac:dyDescent="0.3">
      <c r="D1039" s="19"/>
      <c r="E1039" s="7" t="s">
        <v>1016</v>
      </c>
    </row>
    <row r="1040" spans="1:20" x14ac:dyDescent="0.3">
      <c r="C1040" s="17" t="s">
        <v>933</v>
      </c>
      <c r="D1040" s="16">
        <f>F1037+F1038</f>
        <v>11.53</v>
      </c>
      <c r="E1040" s="20">
        <v>0.22</v>
      </c>
      <c r="F1040" s="21">
        <f>ROUND(D1040*E1040,2)</f>
        <v>2.54</v>
      </c>
    </row>
    <row r="1041" spans="2:7" ht="12" customHeight="1" x14ac:dyDescent="0.3"/>
    <row r="1042" spans="2:7" x14ac:dyDescent="0.3">
      <c r="C1042" s="12" t="s">
        <v>946</v>
      </c>
      <c r="D1042" s="12"/>
      <c r="E1042" s="12"/>
      <c r="F1042" s="12">
        <f>G1055</f>
        <v>8.34</v>
      </c>
      <c r="G1042" s="12" t="s">
        <v>971</v>
      </c>
    </row>
    <row r="1043" spans="2:7" ht="10.5" customHeight="1" x14ac:dyDescent="0.3"/>
    <row r="1044" spans="2:7" ht="27.6" x14ac:dyDescent="0.3">
      <c r="B1044" s="82" t="s">
        <v>991</v>
      </c>
      <c r="C1044" s="83" t="s">
        <v>986</v>
      </c>
      <c r="D1044" s="83" t="s">
        <v>987</v>
      </c>
      <c r="E1044" s="83" t="s">
        <v>988</v>
      </c>
      <c r="F1044" s="83" t="s">
        <v>989</v>
      </c>
      <c r="G1044" s="82" t="s">
        <v>990</v>
      </c>
    </row>
    <row r="1045" spans="2:7" x14ac:dyDescent="0.3">
      <c r="B1045" s="84">
        <v>1</v>
      </c>
      <c r="C1045" s="85" t="s">
        <v>1068</v>
      </c>
      <c r="D1045" s="86" t="s">
        <v>1045</v>
      </c>
      <c r="E1045" s="87">
        <f>'МЕДИЧНІ М'!E40</f>
        <v>258</v>
      </c>
      <c r="F1045" s="86">
        <v>100</v>
      </c>
      <c r="G1045" s="78">
        <f>ROUND(E1045/F1045,2)</f>
        <v>2.58</v>
      </c>
    </row>
    <row r="1046" spans="2:7" x14ac:dyDescent="0.3">
      <c r="B1046" s="73">
        <f>B1045+1</f>
        <v>2</v>
      </c>
      <c r="C1046" s="79" t="s">
        <v>981</v>
      </c>
      <c r="D1046" s="76" t="s">
        <v>941</v>
      </c>
      <c r="E1046" s="76">
        <f>'МЕДИЧНІ М'!E49</f>
        <v>0.6</v>
      </c>
      <c r="F1046" s="77">
        <v>1</v>
      </c>
      <c r="G1046" s="88">
        <f>ROUND(E1046*F1046,2)</f>
        <v>0.6</v>
      </c>
    </row>
    <row r="1047" spans="2:7" x14ac:dyDescent="0.3">
      <c r="B1047" s="73">
        <f t="shared" ref="B1047:B1054" si="27">B1046+1</f>
        <v>3</v>
      </c>
      <c r="C1047" s="79" t="s">
        <v>985</v>
      </c>
      <c r="D1047" s="76" t="s">
        <v>937</v>
      </c>
      <c r="E1047" s="76">
        <f>'МЕДИЧНІ М'!F39</f>
        <v>0.3</v>
      </c>
      <c r="F1047" s="77">
        <v>1</v>
      </c>
      <c r="G1047" s="88">
        <f>ROUND(E1047*F1047,2)</f>
        <v>0.3</v>
      </c>
    </row>
    <row r="1048" spans="2:7" x14ac:dyDescent="0.3">
      <c r="B1048" s="73">
        <f t="shared" si="27"/>
        <v>4</v>
      </c>
      <c r="C1048" s="79" t="s">
        <v>1050</v>
      </c>
      <c r="D1048" s="76" t="s">
        <v>941</v>
      </c>
      <c r="E1048" s="76">
        <f>'МЕДИЧНІ М'!E77</f>
        <v>0.9</v>
      </c>
      <c r="F1048" s="77">
        <v>1</v>
      </c>
      <c r="G1048" s="88">
        <f>ROUND(E1048*F1048,2)</f>
        <v>0.9</v>
      </c>
    </row>
    <row r="1049" spans="2:7" x14ac:dyDescent="0.3">
      <c r="B1049" s="73">
        <f t="shared" si="27"/>
        <v>5</v>
      </c>
      <c r="C1049" s="27" t="s">
        <v>942</v>
      </c>
      <c r="D1049" s="78" t="s">
        <v>974</v>
      </c>
      <c r="E1049" s="76">
        <f>'МЕДИЧНІ М'!E65</f>
        <v>24.6</v>
      </c>
      <c r="F1049" s="77">
        <v>100</v>
      </c>
      <c r="G1049" s="78">
        <f>ROUND(E1049/F1049,2)</f>
        <v>0.25</v>
      </c>
    </row>
    <row r="1050" spans="2:7" x14ac:dyDescent="0.3">
      <c r="B1050" s="73">
        <f t="shared" si="27"/>
        <v>6</v>
      </c>
      <c r="C1050" s="79" t="s">
        <v>934</v>
      </c>
      <c r="D1050" s="76" t="s">
        <v>941</v>
      </c>
      <c r="E1050" s="76">
        <f>'МЕДИЧНІ М'!E59</f>
        <v>2.8</v>
      </c>
      <c r="F1050" s="86">
        <v>10</v>
      </c>
      <c r="G1050" s="88">
        <f>ROUND(E1050/F1050,2)</f>
        <v>0.28000000000000003</v>
      </c>
    </row>
    <row r="1051" spans="2:7" x14ac:dyDescent="0.3">
      <c r="B1051" s="73">
        <f t="shared" si="27"/>
        <v>7</v>
      </c>
      <c r="C1051" s="27" t="s">
        <v>972</v>
      </c>
      <c r="D1051" s="76" t="s">
        <v>944</v>
      </c>
      <c r="E1051" s="76">
        <f>'МЕДИЧНІ М'!E21</f>
        <v>7</v>
      </c>
      <c r="F1051" s="86">
        <v>100</v>
      </c>
      <c r="G1051" s="88">
        <f>ROUND(E1051/F1051,2)</f>
        <v>7.0000000000000007E-2</v>
      </c>
    </row>
    <row r="1052" spans="2:7" x14ac:dyDescent="0.3">
      <c r="B1052" s="73">
        <f t="shared" si="27"/>
        <v>8</v>
      </c>
      <c r="C1052" s="79" t="s">
        <v>982</v>
      </c>
      <c r="D1052" s="76" t="s">
        <v>941</v>
      </c>
      <c r="E1052" s="76">
        <f>'МЕДИЧНІ М'!E48</f>
        <v>11</v>
      </c>
      <c r="F1052" s="77">
        <v>100</v>
      </c>
      <c r="G1052" s="88">
        <f>ROUND(E1052/F1052,2)</f>
        <v>0.11</v>
      </c>
    </row>
    <row r="1053" spans="2:7" x14ac:dyDescent="0.3">
      <c r="B1053" s="73">
        <f t="shared" si="27"/>
        <v>9</v>
      </c>
      <c r="C1053" s="27" t="s">
        <v>940</v>
      </c>
      <c r="D1053" s="28" t="s">
        <v>941</v>
      </c>
      <c r="E1053" s="81">
        <f>'МЕДИЧНІ М'!E37</f>
        <v>2</v>
      </c>
      <c r="F1053" s="28">
        <v>1.5</v>
      </c>
      <c r="G1053" s="28">
        <f>ROUND(E1053*F1053,2)</f>
        <v>3</v>
      </c>
    </row>
    <row r="1054" spans="2:7" x14ac:dyDescent="0.3">
      <c r="B1054" s="73">
        <f t="shared" si="27"/>
        <v>10</v>
      </c>
      <c r="C1054" s="27" t="s">
        <v>1124</v>
      </c>
      <c r="D1054" s="28" t="s">
        <v>944</v>
      </c>
      <c r="E1054" s="81">
        <f>'МЕДИЧНІ М'!E24</f>
        <v>0.5</v>
      </c>
      <c r="F1054" s="81">
        <v>0.5</v>
      </c>
      <c r="G1054" s="28">
        <f>ROUND(E1054*F1054,2)</f>
        <v>0.25</v>
      </c>
    </row>
    <row r="1055" spans="2:7" x14ac:dyDescent="0.3">
      <c r="B1055" s="1012" t="s">
        <v>945</v>
      </c>
      <c r="C1055" s="1013"/>
      <c r="D1055" s="1013"/>
      <c r="E1055" s="1013"/>
      <c r="F1055" s="1014"/>
      <c r="G1055" s="89">
        <f>SUM(G1045:G1054)</f>
        <v>8.34</v>
      </c>
    </row>
    <row r="1057" spans="3:9" x14ac:dyDescent="0.3">
      <c r="C1057" s="12" t="s">
        <v>968</v>
      </c>
      <c r="D1057" s="12"/>
      <c r="E1057" s="12"/>
      <c r="F1057" s="11">
        <f>H1060</f>
        <v>0.44</v>
      </c>
      <c r="G1057" s="12" t="s">
        <v>971</v>
      </c>
    </row>
    <row r="1058" spans="3:9" ht="7.5" customHeight="1" x14ac:dyDescent="0.3">
      <c r="C1058" s="22"/>
      <c r="D1058" s="22"/>
      <c r="E1058" s="22"/>
      <c r="F1058" s="23"/>
      <c r="G1058" s="22"/>
    </row>
    <row r="1059" spans="3:9" ht="27.6" x14ac:dyDescent="0.3">
      <c r="C1059" s="14" t="s">
        <v>513</v>
      </c>
      <c r="D1059" s="14" t="s">
        <v>969</v>
      </c>
      <c r="E1059" s="14" t="s">
        <v>516</v>
      </c>
      <c r="F1059" s="14" t="s">
        <v>970</v>
      </c>
      <c r="G1059" s="14" t="s">
        <v>930</v>
      </c>
      <c r="H1059" s="14" t="s">
        <v>961</v>
      </c>
    </row>
    <row r="1060" spans="3:9" x14ac:dyDescent="0.3">
      <c r="C1060" s="27" t="s">
        <v>1090</v>
      </c>
      <c r="D1060" s="17">
        <f>АМОРТИЗАЦІЯ!C5</f>
        <v>34445.759999999995</v>
      </c>
      <c r="E1060" s="17">
        <v>13679.5</v>
      </c>
      <c r="F1060" s="17">
        <f>ROUND((D1060/E1060)/60,2)</f>
        <v>0.04</v>
      </c>
      <c r="G1060" s="17">
        <f>E1038+E1037</f>
        <v>11</v>
      </c>
      <c r="H1060" s="16">
        <f>ROUND(F1060*G1060,2)</f>
        <v>0.44</v>
      </c>
      <c r="I1060" s="38"/>
    </row>
    <row r="1061" spans="3:9" ht="6.75" customHeight="1" x14ac:dyDescent="0.3"/>
    <row r="1062" spans="3:9" x14ac:dyDescent="0.3">
      <c r="C1062" s="12" t="s">
        <v>948</v>
      </c>
      <c r="D1062" s="12"/>
      <c r="E1062" s="12"/>
      <c r="F1062" s="11">
        <f>H1075</f>
        <v>1.43</v>
      </c>
      <c r="G1062" s="12" t="s">
        <v>971</v>
      </c>
    </row>
    <row r="1063" spans="3:9" ht="8.25" customHeight="1" x14ac:dyDescent="0.3">
      <c r="C1063" s="22"/>
      <c r="D1063" s="22"/>
      <c r="E1063" s="22"/>
      <c r="F1063" s="23"/>
    </row>
    <row r="1064" spans="3:9" ht="27.6" x14ac:dyDescent="0.3">
      <c r="C1064" s="14" t="s">
        <v>948</v>
      </c>
      <c r="D1064" s="14" t="s">
        <v>1110</v>
      </c>
      <c r="E1064" s="14" t="s">
        <v>516</v>
      </c>
      <c r="F1064" s="14" t="s">
        <v>954</v>
      </c>
      <c r="G1064" s="14" t="s">
        <v>930</v>
      </c>
      <c r="H1064" s="14" t="s">
        <v>1111</v>
      </c>
    </row>
    <row r="1065" spans="3:9" x14ac:dyDescent="0.3">
      <c r="C1065" s="1009" t="str">
        <f>C1033</f>
        <v>Лікар-лаборант</v>
      </c>
      <c r="D1065" s="1010"/>
      <c r="E1065" s="1010"/>
      <c r="F1065" s="1010"/>
      <c r="G1065" s="1010"/>
      <c r="H1065" s="1011"/>
    </row>
    <row r="1066" spans="3:9" x14ac:dyDescent="0.3">
      <c r="C1066" s="17" t="s">
        <v>951</v>
      </c>
      <c r="D1066" s="112">
        <f>D1011</f>
        <v>12188.608008565312</v>
      </c>
      <c r="E1066" s="17">
        <f>I1033</f>
        <v>1807.2</v>
      </c>
      <c r="F1066" s="17">
        <f>ROUND((D1066/E1066)/60,2)</f>
        <v>0.11</v>
      </c>
      <c r="G1066" s="17">
        <f>E1037</f>
        <v>3</v>
      </c>
      <c r="H1066" s="16">
        <f>ROUND(F1066*G1066,2)</f>
        <v>0.33</v>
      </c>
    </row>
    <row r="1067" spans="3:9" x14ac:dyDescent="0.3">
      <c r="C1067" s="17" t="s">
        <v>952</v>
      </c>
      <c r="D1067" s="112">
        <f>D1012</f>
        <v>53.149721627408987</v>
      </c>
      <c r="E1067" s="17">
        <f>I1033</f>
        <v>1807.2</v>
      </c>
      <c r="F1067" s="17">
        <f>ROUND((D1067/E1067)/60,2)</f>
        <v>0</v>
      </c>
      <c r="G1067" s="17">
        <f>E1037</f>
        <v>3</v>
      </c>
      <c r="H1067" s="16">
        <f>ROUND(F1067*G1067,2)</f>
        <v>0</v>
      </c>
    </row>
    <row r="1068" spans="3:9" x14ac:dyDescent="0.3">
      <c r="C1068" s="17" t="s">
        <v>953</v>
      </c>
      <c r="D1068" s="112">
        <f>D1013</f>
        <v>374.98368308351178</v>
      </c>
      <c r="E1068" s="17">
        <f>I1033</f>
        <v>1807.2</v>
      </c>
      <c r="F1068" s="17">
        <f>ROUND((D1068/E1068)/60,2)</f>
        <v>0</v>
      </c>
      <c r="G1068" s="17">
        <f>E1037</f>
        <v>3</v>
      </c>
      <c r="H1068" s="16">
        <f>ROUND(F1068*G1068,2)</f>
        <v>0</v>
      </c>
    </row>
    <row r="1069" spans="3:9" x14ac:dyDescent="0.3">
      <c r="C1069" s="17" t="s">
        <v>1109</v>
      </c>
      <c r="D1069" s="112">
        <f>D1014</f>
        <v>1686.0389293361886</v>
      </c>
      <c r="E1069" s="17">
        <f>I1033</f>
        <v>1807.2</v>
      </c>
      <c r="F1069" s="17">
        <f>ROUND((D1069/E1069)/60,2)</f>
        <v>0.02</v>
      </c>
      <c r="G1069" s="17">
        <f>E1037</f>
        <v>3</v>
      </c>
      <c r="H1069" s="16">
        <f>ROUND(F1069*G1069,2)</f>
        <v>0.06</v>
      </c>
    </row>
    <row r="1070" spans="3:9" x14ac:dyDescent="0.3">
      <c r="C1070" s="1009" t="str">
        <f>C1034</f>
        <v>Лаборант клінічної лабораторії</v>
      </c>
      <c r="D1070" s="1010"/>
      <c r="E1070" s="1010"/>
      <c r="F1070" s="1010"/>
      <c r="G1070" s="1010"/>
      <c r="H1070" s="1011"/>
    </row>
    <row r="1071" spans="3:9" x14ac:dyDescent="0.3">
      <c r="C1071" s="17" t="s">
        <v>951</v>
      </c>
      <c r="D1071" s="112">
        <f>D1016</f>
        <v>12188.608008565312</v>
      </c>
      <c r="E1071" s="17">
        <f>I1034</f>
        <v>1807.2</v>
      </c>
      <c r="F1071" s="17">
        <f>ROUND((D1071/E1071)/60,2)</f>
        <v>0.11</v>
      </c>
      <c r="G1071" s="17">
        <f>E1038</f>
        <v>8</v>
      </c>
      <c r="H1071" s="16">
        <f>ROUND(F1071*G1071,2)</f>
        <v>0.88</v>
      </c>
    </row>
    <row r="1072" spans="3:9" x14ac:dyDescent="0.3">
      <c r="C1072" s="17" t="s">
        <v>952</v>
      </c>
      <c r="D1072" s="112">
        <f>D1017</f>
        <v>53.149721627408987</v>
      </c>
      <c r="E1072" s="17">
        <f>I1034</f>
        <v>1807.2</v>
      </c>
      <c r="F1072" s="17">
        <f>ROUND((D1072/E1072)/60,2)</f>
        <v>0</v>
      </c>
      <c r="G1072" s="17">
        <f>E1038</f>
        <v>8</v>
      </c>
      <c r="H1072" s="16">
        <f>ROUND(F1072*G1072,2)</f>
        <v>0</v>
      </c>
    </row>
    <row r="1073" spans="1:20" x14ac:dyDescent="0.3">
      <c r="C1073" s="17" t="s">
        <v>953</v>
      </c>
      <c r="D1073" s="112">
        <f>D1018</f>
        <v>374.98368308351178</v>
      </c>
      <c r="E1073" s="17">
        <f>I1034</f>
        <v>1807.2</v>
      </c>
      <c r="F1073" s="17">
        <f>ROUND((D1073/E1073)/60,2)</f>
        <v>0</v>
      </c>
      <c r="G1073" s="17">
        <f>E1038</f>
        <v>8</v>
      </c>
      <c r="H1073" s="16">
        <f>ROUND(F1073*G1073,2)</f>
        <v>0</v>
      </c>
    </row>
    <row r="1074" spans="1:20" x14ac:dyDescent="0.3">
      <c r="C1074" s="17" t="s">
        <v>1109</v>
      </c>
      <c r="D1074" s="112">
        <f>D1019</f>
        <v>1686.0389293361886</v>
      </c>
      <c r="E1074" s="17">
        <f>I1034</f>
        <v>1807.2</v>
      </c>
      <c r="F1074" s="17">
        <f>ROUND((D1074/E1074)/60,2)</f>
        <v>0.02</v>
      </c>
      <c r="G1074" s="17">
        <f>E1038</f>
        <v>8</v>
      </c>
      <c r="H1074" s="16">
        <f>ROUND(F1074*G1074,2)</f>
        <v>0.16</v>
      </c>
    </row>
    <row r="1075" spans="1:20" x14ac:dyDescent="0.3">
      <c r="C1075" s="1012" t="s">
        <v>957</v>
      </c>
      <c r="D1075" s="1013"/>
      <c r="E1075" s="1013"/>
      <c r="F1075" s="1013"/>
      <c r="G1075" s="1014"/>
      <c r="H1075" s="18">
        <f>SUM(H1066:H1074)</f>
        <v>1.43</v>
      </c>
    </row>
    <row r="1077" spans="1:20" x14ac:dyDescent="0.3">
      <c r="C1077" s="1015" t="s">
        <v>959</v>
      </c>
      <c r="D1077" s="1015"/>
      <c r="E1077" s="1015"/>
      <c r="F1077" s="1015"/>
      <c r="G1077" s="1015"/>
      <c r="H1077" s="32">
        <f>F1030+F1042+F1062+F1057</f>
        <v>24.28</v>
      </c>
    </row>
    <row r="1078" spans="1:20" x14ac:dyDescent="0.3">
      <c r="C1078" s="33"/>
      <c r="D1078" s="33"/>
      <c r="E1078" s="33"/>
      <c r="F1078" s="33"/>
      <c r="G1078" s="33"/>
      <c r="H1078" s="34"/>
    </row>
    <row r="1079" spans="1:20" x14ac:dyDescent="0.3">
      <c r="C1079" s="1015" t="s">
        <v>960</v>
      </c>
      <c r="D1079" s="1015"/>
      <c r="E1079" s="1015"/>
      <c r="F1079" s="1015"/>
      <c r="G1079" s="1015"/>
      <c r="H1079" s="32">
        <f>ROUND(H1077,0)</f>
        <v>24</v>
      </c>
    </row>
    <row r="1081" spans="1:20" s="54" customFormat="1" ht="19.8" x14ac:dyDescent="0.4">
      <c r="A1081" s="53"/>
      <c r="B1081" s="1016" t="s">
        <v>958</v>
      </c>
      <c r="C1081" s="1016"/>
      <c r="D1081" s="1016"/>
      <c r="E1081" s="1016"/>
      <c r="F1081" s="1016"/>
      <c r="G1081" s="1016"/>
      <c r="H1081" s="1016"/>
      <c r="I1081" s="1016"/>
      <c r="J1081" s="1016"/>
      <c r="K1081" s="137"/>
      <c r="L1081" s="126"/>
      <c r="M1081" s="126"/>
      <c r="N1081" s="70"/>
      <c r="O1081" s="53"/>
      <c r="P1081" s="53"/>
      <c r="Q1081" s="53"/>
      <c r="R1081" s="53"/>
      <c r="S1081" s="53"/>
      <c r="T1081" s="53"/>
    </row>
    <row r="1082" spans="1:20" s="54" customFormat="1" ht="19.8" x14ac:dyDescent="0.4">
      <c r="A1082" s="53"/>
      <c r="B1082" s="53"/>
      <c r="C1082" s="53"/>
      <c r="D1082" s="53"/>
      <c r="E1082" s="53"/>
      <c r="F1082" s="53"/>
      <c r="G1082" s="53"/>
      <c r="H1082" s="53"/>
      <c r="I1082" s="53"/>
      <c r="J1082" s="53"/>
      <c r="K1082" s="132"/>
      <c r="L1082" s="126"/>
      <c r="M1082" s="126"/>
      <c r="N1082" s="70"/>
      <c r="O1082" s="53"/>
      <c r="P1082" s="53"/>
      <c r="Q1082" s="53"/>
      <c r="R1082" s="53"/>
      <c r="S1082" s="53"/>
      <c r="T1082" s="53"/>
    </row>
    <row r="1083" spans="1:20" s="54" customFormat="1" ht="36.75" customHeight="1" x14ac:dyDescent="0.4">
      <c r="A1083" s="53"/>
      <c r="B1083" s="50" t="s">
        <v>765</v>
      </c>
      <c r="C1083" s="1017" t="s">
        <v>770</v>
      </c>
      <c r="D1083" s="1017"/>
      <c r="E1083" s="1017"/>
      <c r="F1083" s="52">
        <f>H1135</f>
        <v>25</v>
      </c>
      <c r="G1083" s="52" t="s">
        <v>971</v>
      </c>
      <c r="H1083" s="53"/>
      <c r="I1083" s="53"/>
      <c r="J1083" s="53"/>
      <c r="K1083" s="132"/>
      <c r="L1083" s="126"/>
      <c r="M1083" s="126"/>
      <c r="N1083" s="70"/>
      <c r="O1083" s="53"/>
      <c r="P1083" s="53"/>
      <c r="Q1083" s="53"/>
      <c r="R1083" s="53"/>
      <c r="S1083" s="53"/>
      <c r="T1083" s="53"/>
    </row>
    <row r="1085" spans="1:20" x14ac:dyDescent="0.3">
      <c r="C1085" s="1018" t="s">
        <v>932</v>
      </c>
      <c r="D1085" s="1018"/>
      <c r="E1085" s="10"/>
      <c r="F1085" s="11">
        <f>F1092+F1095+F1093</f>
        <v>14.07</v>
      </c>
      <c r="G1085" s="12" t="s">
        <v>971</v>
      </c>
    </row>
    <row r="1087" spans="1:20" x14ac:dyDescent="0.3">
      <c r="C1087" s="13" t="s">
        <v>929</v>
      </c>
      <c r="D1087" s="14" t="s">
        <v>928</v>
      </c>
      <c r="E1087" s="14" t="s">
        <v>514</v>
      </c>
      <c r="F1087" s="14" t="s">
        <v>515</v>
      </c>
      <c r="G1087" s="14" t="s">
        <v>962</v>
      </c>
      <c r="H1087" s="14" t="s">
        <v>926</v>
      </c>
      <c r="I1087" s="14" t="s">
        <v>516</v>
      </c>
      <c r="J1087" s="14" t="s">
        <v>961</v>
      </c>
      <c r="K1087" s="138"/>
    </row>
    <row r="1088" spans="1:20" x14ac:dyDescent="0.3">
      <c r="C1088" s="17" t="str">
        <f>C1033</f>
        <v>Лікар-лаборант</v>
      </c>
      <c r="D1088" s="16">
        <f>D1033</f>
        <v>10799.43</v>
      </c>
      <c r="E1088" s="16">
        <f>D1088*12</f>
        <v>129593.16</v>
      </c>
      <c r="F1088" s="16">
        <f>F1033</f>
        <v>8307.26</v>
      </c>
      <c r="G1088" s="16">
        <f>G1033</f>
        <v>4153.63</v>
      </c>
      <c r="H1088" s="16">
        <f>E1088+F1088+G1088</f>
        <v>142054.05000000002</v>
      </c>
      <c r="I1088" s="17">
        <v>1807.2</v>
      </c>
      <c r="J1088" s="16">
        <f>ROUND((H1088/I1088)/60,2)</f>
        <v>1.31</v>
      </c>
      <c r="K1088" s="140"/>
    </row>
    <row r="1089" spans="2:11" x14ac:dyDescent="0.3">
      <c r="C1089" s="17" t="str">
        <f>C1034</f>
        <v>Лаборант клінічної лабораторії</v>
      </c>
      <c r="D1089" s="16">
        <f>D1034</f>
        <v>7871.18</v>
      </c>
      <c r="E1089" s="16">
        <f>D1089*12</f>
        <v>94454.16</v>
      </c>
      <c r="F1089" s="16">
        <f>F1034</f>
        <v>6054.75</v>
      </c>
      <c r="G1089" s="16">
        <f>G1034</f>
        <v>3027.375</v>
      </c>
      <c r="H1089" s="16">
        <f>E1089+F1089+G1089</f>
        <v>103536.285</v>
      </c>
      <c r="I1089" s="17">
        <v>1807.2</v>
      </c>
      <c r="J1089" s="16">
        <f>ROUND((H1089/I1089)/60,2)</f>
        <v>0.95</v>
      </c>
      <c r="K1089" s="140"/>
    </row>
    <row r="1090" spans="2:11" ht="9.75" customHeight="1" x14ac:dyDescent="0.3"/>
    <row r="1091" spans="2:11" ht="27.6" x14ac:dyDescent="0.3">
      <c r="C1091" s="13" t="s">
        <v>929</v>
      </c>
      <c r="D1091" s="14" t="s">
        <v>961</v>
      </c>
      <c r="E1091" s="14" t="s">
        <v>930</v>
      </c>
      <c r="F1091" s="14" t="s">
        <v>931</v>
      </c>
    </row>
    <row r="1092" spans="2:11" x14ac:dyDescent="0.3">
      <c r="C1092" s="15" t="str">
        <f>C1088</f>
        <v>Лікар-лаборант</v>
      </c>
      <c r="D1092" s="16">
        <f>J1088</f>
        <v>1.31</v>
      </c>
      <c r="E1092" s="17">
        <v>3</v>
      </c>
      <c r="F1092" s="18">
        <f>ROUND(D1092*E1092,2)</f>
        <v>3.93</v>
      </c>
    </row>
    <row r="1093" spans="2:11" x14ac:dyDescent="0.3">
      <c r="C1093" s="15" t="str">
        <f>C1089</f>
        <v>Лаборант клінічної лабораторії</v>
      </c>
      <c r="D1093" s="16">
        <f>J1089</f>
        <v>0.95</v>
      </c>
      <c r="E1093" s="17">
        <v>8</v>
      </c>
      <c r="F1093" s="18">
        <f>ROUND(D1093*E1093,2)</f>
        <v>7.6</v>
      </c>
    </row>
    <row r="1094" spans="2:11" x14ac:dyDescent="0.3">
      <c r="D1094" s="19"/>
      <c r="E1094" s="7" t="s">
        <v>1016</v>
      </c>
    </row>
    <row r="1095" spans="2:11" x14ac:dyDescent="0.3">
      <c r="C1095" s="17" t="s">
        <v>933</v>
      </c>
      <c r="D1095" s="16">
        <f>F1092+F1093</f>
        <v>11.53</v>
      </c>
      <c r="E1095" s="20">
        <v>0.22</v>
      </c>
      <c r="F1095" s="21">
        <f>ROUND(D1095*E1095,2)</f>
        <v>2.54</v>
      </c>
    </row>
    <row r="1096" spans="2:11" ht="4.5" customHeight="1" x14ac:dyDescent="0.3"/>
    <row r="1097" spans="2:11" x14ac:dyDescent="0.3">
      <c r="C1097" s="12" t="s">
        <v>946</v>
      </c>
      <c r="D1097" s="12"/>
      <c r="E1097" s="12"/>
      <c r="F1097" s="12">
        <f>G1111</f>
        <v>8.61</v>
      </c>
      <c r="G1097" s="12" t="s">
        <v>971</v>
      </c>
    </row>
    <row r="1098" spans="2:11" ht="7.5" customHeight="1" x14ac:dyDescent="0.3"/>
    <row r="1099" spans="2:11" ht="27.6" x14ac:dyDescent="0.3">
      <c r="B1099" s="82" t="s">
        <v>991</v>
      </c>
      <c r="C1099" s="83" t="s">
        <v>986</v>
      </c>
      <c r="D1099" s="83" t="s">
        <v>987</v>
      </c>
      <c r="E1099" s="83" t="s">
        <v>988</v>
      </c>
      <c r="F1099" s="83" t="s">
        <v>989</v>
      </c>
      <c r="G1099" s="82" t="s">
        <v>990</v>
      </c>
    </row>
    <row r="1100" spans="2:11" x14ac:dyDescent="0.3">
      <c r="B1100" s="84">
        <v>1</v>
      </c>
      <c r="C1100" s="85" t="s">
        <v>485</v>
      </c>
      <c r="D1100" s="86" t="s">
        <v>1045</v>
      </c>
      <c r="E1100" s="87">
        <f>'МЕДИЧНІ М'!E317</f>
        <v>1700</v>
      </c>
      <c r="F1100" s="86">
        <v>500</v>
      </c>
      <c r="G1100" s="88">
        <f>ROUND(E1100/F1100,2)</f>
        <v>3.4</v>
      </c>
    </row>
    <row r="1101" spans="2:11" x14ac:dyDescent="0.3">
      <c r="B1101" s="73">
        <f>B1100+1</f>
        <v>2</v>
      </c>
      <c r="C1101" s="79" t="s">
        <v>1040</v>
      </c>
      <c r="D1101" s="76" t="s">
        <v>941</v>
      </c>
      <c r="E1101" s="75">
        <f>'МЕДИЧНІ М'!E31</f>
        <v>7.4</v>
      </c>
      <c r="F1101" s="80">
        <v>50</v>
      </c>
      <c r="G1101" s="88">
        <f>ROUND(E1101/F1101,2)</f>
        <v>0.15</v>
      </c>
    </row>
    <row r="1102" spans="2:11" x14ac:dyDescent="0.3">
      <c r="B1102" s="73">
        <f t="shared" ref="B1102:B1110" si="28">B1101+1</f>
        <v>3</v>
      </c>
      <c r="C1102" s="79" t="s">
        <v>981</v>
      </c>
      <c r="D1102" s="76" t="s">
        <v>941</v>
      </c>
      <c r="E1102" s="76">
        <f>'МЕДИЧНІ М'!E49</f>
        <v>0.6</v>
      </c>
      <c r="F1102" s="77">
        <v>1</v>
      </c>
      <c r="G1102" s="88">
        <f>ROUND(E1102*F1102,2)</f>
        <v>0.6</v>
      </c>
    </row>
    <row r="1103" spans="2:11" x14ac:dyDescent="0.3">
      <c r="B1103" s="73">
        <f t="shared" si="28"/>
        <v>4</v>
      </c>
      <c r="C1103" s="79" t="s">
        <v>985</v>
      </c>
      <c r="D1103" s="76" t="s">
        <v>937</v>
      </c>
      <c r="E1103" s="76">
        <f>'МЕДИЧНІ М'!F39</f>
        <v>0.3</v>
      </c>
      <c r="F1103" s="77">
        <v>1</v>
      </c>
      <c r="G1103" s="88">
        <f>ROUND(E1103*F1103,2)</f>
        <v>0.3</v>
      </c>
    </row>
    <row r="1104" spans="2:11" x14ac:dyDescent="0.3">
      <c r="B1104" s="73">
        <f t="shared" si="28"/>
        <v>5</v>
      </c>
      <c r="C1104" s="79" t="s">
        <v>1041</v>
      </c>
      <c r="D1104" s="76" t="s">
        <v>941</v>
      </c>
      <c r="E1104" s="76">
        <f>'МЕДИЧНІ М'!E63</f>
        <v>0.2</v>
      </c>
      <c r="F1104" s="77">
        <v>1</v>
      </c>
      <c r="G1104" s="88">
        <f>ROUND(E1104*F1104,2)</f>
        <v>0.2</v>
      </c>
    </row>
    <row r="1105" spans="2:9" x14ac:dyDescent="0.3">
      <c r="B1105" s="73">
        <f t="shared" si="28"/>
        <v>6</v>
      </c>
      <c r="C1105" s="27" t="s">
        <v>942</v>
      </c>
      <c r="D1105" s="78" t="s">
        <v>974</v>
      </c>
      <c r="E1105" s="76">
        <f>'МЕДИЧНІ М'!E65</f>
        <v>24.6</v>
      </c>
      <c r="F1105" s="77">
        <v>100</v>
      </c>
      <c r="G1105" s="78">
        <f>ROUND(E1105/F1105,2)</f>
        <v>0.25</v>
      </c>
    </row>
    <row r="1106" spans="2:9" x14ac:dyDescent="0.3">
      <c r="B1106" s="73">
        <f t="shared" si="28"/>
        <v>7</v>
      </c>
      <c r="C1106" s="79" t="s">
        <v>934</v>
      </c>
      <c r="D1106" s="76" t="s">
        <v>941</v>
      </c>
      <c r="E1106" s="76">
        <f>'МЕДИЧНІ М'!E59</f>
        <v>2.8</v>
      </c>
      <c r="F1106" s="86">
        <v>10</v>
      </c>
      <c r="G1106" s="88">
        <f>ROUND(E1106/F1106,2)</f>
        <v>0.28000000000000003</v>
      </c>
    </row>
    <row r="1107" spans="2:9" x14ac:dyDescent="0.3">
      <c r="B1107" s="73">
        <f t="shared" si="28"/>
        <v>8</v>
      </c>
      <c r="C1107" s="27" t="s">
        <v>972</v>
      </c>
      <c r="D1107" s="76" t="s">
        <v>944</v>
      </c>
      <c r="E1107" s="76">
        <f>'МЕДИЧНІ М'!E21</f>
        <v>7</v>
      </c>
      <c r="F1107" s="86">
        <v>100</v>
      </c>
      <c r="G1107" s="88">
        <f>ROUND(E1107/F1107,2)</f>
        <v>7.0000000000000007E-2</v>
      </c>
    </row>
    <row r="1108" spans="2:9" x14ac:dyDescent="0.3">
      <c r="B1108" s="73">
        <f t="shared" si="28"/>
        <v>9</v>
      </c>
      <c r="C1108" s="79" t="s">
        <v>982</v>
      </c>
      <c r="D1108" s="76" t="s">
        <v>941</v>
      </c>
      <c r="E1108" s="76">
        <f>'МЕДИЧНІ М'!E48</f>
        <v>11</v>
      </c>
      <c r="F1108" s="77">
        <v>100</v>
      </c>
      <c r="G1108" s="88">
        <f>ROUND(E1108/F1108,2)</f>
        <v>0.11</v>
      </c>
    </row>
    <row r="1109" spans="2:9" x14ac:dyDescent="0.3">
      <c r="B1109" s="73">
        <f t="shared" si="28"/>
        <v>10</v>
      </c>
      <c r="C1109" s="27" t="s">
        <v>940</v>
      </c>
      <c r="D1109" s="28" t="s">
        <v>941</v>
      </c>
      <c r="E1109" s="81">
        <f>'МЕДИЧНІ М'!E37</f>
        <v>2</v>
      </c>
      <c r="F1109" s="28">
        <v>1.5</v>
      </c>
      <c r="G1109" s="28">
        <f>ROUND(E1109*F1109,2)</f>
        <v>3</v>
      </c>
    </row>
    <row r="1110" spans="2:9" x14ac:dyDescent="0.3">
      <c r="B1110" s="73">
        <f t="shared" si="28"/>
        <v>11</v>
      </c>
      <c r="C1110" s="27" t="s">
        <v>1124</v>
      </c>
      <c r="D1110" s="28" t="s">
        <v>944</v>
      </c>
      <c r="E1110" s="81">
        <f>'МЕДИЧНІ М'!E24</f>
        <v>0.5</v>
      </c>
      <c r="F1110" s="81">
        <v>0.5</v>
      </c>
      <c r="G1110" s="28">
        <f>ROUND(E1110*F1110,2)</f>
        <v>0.25</v>
      </c>
    </row>
    <row r="1111" spans="2:9" x14ac:dyDescent="0.3">
      <c r="B1111" s="1012" t="s">
        <v>945</v>
      </c>
      <c r="C1111" s="1013"/>
      <c r="D1111" s="1013"/>
      <c r="E1111" s="1013"/>
      <c r="F1111" s="1014"/>
      <c r="G1111" s="89">
        <f>SUM(G1100:G1110)</f>
        <v>8.61</v>
      </c>
    </row>
    <row r="1113" spans="2:9" x14ac:dyDescent="0.3">
      <c r="C1113" s="12" t="s">
        <v>968</v>
      </c>
      <c r="D1113" s="12"/>
      <c r="E1113" s="12"/>
      <c r="F1113" s="11">
        <f>H1116</f>
        <v>0.44</v>
      </c>
      <c r="G1113" s="12" t="s">
        <v>971</v>
      </c>
    </row>
    <row r="1114" spans="2:9" ht="4.5" customHeight="1" x14ac:dyDescent="0.3">
      <c r="C1114" s="22"/>
      <c r="D1114" s="22"/>
      <c r="E1114" s="22"/>
      <c r="F1114" s="23"/>
      <c r="G1114" s="22"/>
    </row>
    <row r="1115" spans="2:9" ht="27.6" x14ac:dyDescent="0.3">
      <c r="C1115" s="14" t="s">
        <v>513</v>
      </c>
      <c r="D1115" s="14" t="s">
        <v>969</v>
      </c>
      <c r="E1115" s="14" t="s">
        <v>516</v>
      </c>
      <c r="F1115" s="14" t="s">
        <v>970</v>
      </c>
      <c r="G1115" s="14" t="s">
        <v>930</v>
      </c>
      <c r="H1115" s="14" t="s">
        <v>961</v>
      </c>
    </row>
    <row r="1116" spans="2:9" x14ac:dyDescent="0.3">
      <c r="C1116" s="27" t="s">
        <v>1090</v>
      </c>
      <c r="D1116" s="17">
        <f>АМОРТИЗАЦІЯ!C5</f>
        <v>34445.759999999995</v>
      </c>
      <c r="E1116" s="17">
        <v>13679.5</v>
      </c>
      <c r="F1116" s="17">
        <f>ROUND((D1116/E1116)/60,2)</f>
        <v>0.04</v>
      </c>
      <c r="G1116" s="17">
        <f>E1093+E1092</f>
        <v>11</v>
      </c>
      <c r="H1116" s="16">
        <f>ROUND(F1116*G1116,2)</f>
        <v>0.44</v>
      </c>
      <c r="I1116" s="38"/>
    </row>
    <row r="1118" spans="2:9" x14ac:dyDescent="0.3">
      <c r="C1118" s="12" t="s">
        <v>948</v>
      </c>
      <c r="D1118" s="12"/>
      <c r="E1118" s="12"/>
      <c r="F1118" s="11">
        <f>H1131</f>
        <v>1.43</v>
      </c>
      <c r="G1118" s="12" t="s">
        <v>971</v>
      </c>
    </row>
    <row r="1119" spans="2:9" ht="7.5" customHeight="1" x14ac:dyDescent="0.3">
      <c r="C1119" s="22"/>
      <c r="D1119" s="22"/>
      <c r="E1119" s="22"/>
      <c r="F1119" s="23"/>
    </row>
    <row r="1120" spans="2:9" ht="27.6" x14ac:dyDescent="0.3">
      <c r="C1120" s="14" t="s">
        <v>948</v>
      </c>
      <c r="D1120" s="14" t="s">
        <v>1110</v>
      </c>
      <c r="E1120" s="14" t="s">
        <v>516</v>
      </c>
      <c r="F1120" s="14" t="s">
        <v>954</v>
      </c>
      <c r="G1120" s="14" t="s">
        <v>930</v>
      </c>
      <c r="H1120" s="14" t="s">
        <v>1111</v>
      </c>
    </row>
    <row r="1121" spans="3:8" x14ac:dyDescent="0.3">
      <c r="C1121" s="1009" t="str">
        <f>C1088</f>
        <v>Лікар-лаборант</v>
      </c>
      <c r="D1121" s="1010"/>
      <c r="E1121" s="1010"/>
      <c r="F1121" s="1010"/>
      <c r="G1121" s="1010"/>
      <c r="H1121" s="1011"/>
    </row>
    <row r="1122" spans="3:8" x14ac:dyDescent="0.3">
      <c r="C1122" s="17" t="s">
        <v>951</v>
      </c>
      <c r="D1122" s="112">
        <f>D1066</f>
        <v>12188.608008565312</v>
      </c>
      <c r="E1122" s="17">
        <f>I1088</f>
        <v>1807.2</v>
      </c>
      <c r="F1122" s="17">
        <f>ROUND((D1122/E1122)/60,2)</f>
        <v>0.11</v>
      </c>
      <c r="G1122" s="17">
        <f>E1092</f>
        <v>3</v>
      </c>
      <c r="H1122" s="16">
        <f>ROUND(F1122*G1122,2)</f>
        <v>0.33</v>
      </c>
    </row>
    <row r="1123" spans="3:8" x14ac:dyDescent="0.3">
      <c r="C1123" s="17" t="s">
        <v>952</v>
      </c>
      <c r="D1123" s="112">
        <f>D1067</f>
        <v>53.149721627408987</v>
      </c>
      <c r="E1123" s="17">
        <f>I1088</f>
        <v>1807.2</v>
      </c>
      <c r="F1123" s="17">
        <f>ROUND((D1123/E1123)/60,2)</f>
        <v>0</v>
      </c>
      <c r="G1123" s="17">
        <f>E1092</f>
        <v>3</v>
      </c>
      <c r="H1123" s="16">
        <f>ROUND(F1123*G1123,2)</f>
        <v>0</v>
      </c>
    </row>
    <row r="1124" spans="3:8" x14ac:dyDescent="0.3">
      <c r="C1124" s="17" t="s">
        <v>953</v>
      </c>
      <c r="D1124" s="112">
        <f>D1068</f>
        <v>374.98368308351178</v>
      </c>
      <c r="E1124" s="17">
        <f>I1088</f>
        <v>1807.2</v>
      </c>
      <c r="F1124" s="17">
        <f>ROUND((D1124/E1124)/60,2)</f>
        <v>0</v>
      </c>
      <c r="G1124" s="17">
        <f>E1092</f>
        <v>3</v>
      </c>
      <c r="H1124" s="16">
        <f>ROUND(F1124*G1124,2)</f>
        <v>0</v>
      </c>
    </row>
    <row r="1125" spans="3:8" x14ac:dyDescent="0.3">
      <c r="C1125" s="17" t="s">
        <v>1109</v>
      </c>
      <c r="D1125" s="112">
        <f>D1069</f>
        <v>1686.0389293361886</v>
      </c>
      <c r="E1125" s="17">
        <f>I1088</f>
        <v>1807.2</v>
      </c>
      <c r="F1125" s="17">
        <f>ROUND((D1125/E1125)/60,2)</f>
        <v>0.02</v>
      </c>
      <c r="G1125" s="17">
        <f>E1092</f>
        <v>3</v>
      </c>
      <c r="H1125" s="16">
        <f>ROUND(F1125*G1125,2)</f>
        <v>0.06</v>
      </c>
    </row>
    <row r="1126" spans="3:8" x14ac:dyDescent="0.3">
      <c r="C1126" s="1009" t="str">
        <f>C1089</f>
        <v>Лаборант клінічної лабораторії</v>
      </c>
      <c r="D1126" s="1010"/>
      <c r="E1126" s="1010"/>
      <c r="F1126" s="1010"/>
      <c r="G1126" s="1010"/>
      <c r="H1126" s="1011"/>
    </row>
    <row r="1127" spans="3:8" x14ac:dyDescent="0.3">
      <c r="C1127" s="17" t="s">
        <v>951</v>
      </c>
      <c r="D1127" s="112">
        <f>D1071</f>
        <v>12188.608008565312</v>
      </c>
      <c r="E1127" s="17">
        <f>I1089</f>
        <v>1807.2</v>
      </c>
      <c r="F1127" s="17">
        <f>ROUND((D1127/E1127)/60,2)</f>
        <v>0.11</v>
      </c>
      <c r="G1127" s="17">
        <f>E1093</f>
        <v>8</v>
      </c>
      <c r="H1127" s="16">
        <f>ROUND(F1127*G1127,2)</f>
        <v>0.88</v>
      </c>
    </row>
    <row r="1128" spans="3:8" x14ac:dyDescent="0.3">
      <c r="C1128" s="17" t="s">
        <v>952</v>
      </c>
      <c r="D1128" s="112">
        <f>D1072</f>
        <v>53.149721627408987</v>
      </c>
      <c r="E1128" s="17">
        <f>I1089</f>
        <v>1807.2</v>
      </c>
      <c r="F1128" s="17">
        <f>ROUND((D1128/E1128)/60,2)</f>
        <v>0</v>
      </c>
      <c r="G1128" s="17">
        <f>E1093</f>
        <v>8</v>
      </c>
      <c r="H1128" s="16">
        <f>ROUND(F1128*G1128,2)</f>
        <v>0</v>
      </c>
    </row>
    <row r="1129" spans="3:8" x14ac:dyDescent="0.3">
      <c r="C1129" s="17" t="s">
        <v>953</v>
      </c>
      <c r="D1129" s="112">
        <f>D1073</f>
        <v>374.98368308351178</v>
      </c>
      <c r="E1129" s="17">
        <f>I1089</f>
        <v>1807.2</v>
      </c>
      <c r="F1129" s="17">
        <f>ROUND((D1129/E1129)/60,2)</f>
        <v>0</v>
      </c>
      <c r="G1129" s="17">
        <f>E1093</f>
        <v>8</v>
      </c>
      <c r="H1129" s="16">
        <f>ROUND(F1129*G1129,2)</f>
        <v>0</v>
      </c>
    </row>
    <row r="1130" spans="3:8" x14ac:dyDescent="0.3">
      <c r="C1130" s="17" t="s">
        <v>1109</v>
      </c>
      <c r="D1130" s="112">
        <f>D1074</f>
        <v>1686.0389293361886</v>
      </c>
      <c r="E1130" s="17">
        <f>I1089</f>
        <v>1807.2</v>
      </c>
      <c r="F1130" s="17">
        <f>ROUND((D1130/E1130)/60,2)</f>
        <v>0.02</v>
      </c>
      <c r="G1130" s="17">
        <f>E1093</f>
        <v>8</v>
      </c>
      <c r="H1130" s="16">
        <f>ROUND(F1130*G1130,2)</f>
        <v>0.16</v>
      </c>
    </row>
    <row r="1131" spans="3:8" x14ac:dyDescent="0.3">
      <c r="C1131" s="1012" t="s">
        <v>957</v>
      </c>
      <c r="D1131" s="1013"/>
      <c r="E1131" s="1013"/>
      <c r="F1131" s="1013"/>
      <c r="G1131" s="1014"/>
      <c r="H1131" s="18">
        <f>SUM(H1122:H1130)</f>
        <v>1.43</v>
      </c>
    </row>
    <row r="1132" spans="3:8" ht="10.5" customHeight="1" x14ac:dyDescent="0.3"/>
    <row r="1133" spans="3:8" x14ac:dyDescent="0.3">
      <c r="C1133" s="1015" t="s">
        <v>959</v>
      </c>
      <c r="D1133" s="1015"/>
      <c r="E1133" s="1015"/>
      <c r="F1133" s="1015"/>
      <c r="G1133" s="1015"/>
      <c r="H1133" s="32">
        <f>F1085+F1097+F1118+F1113</f>
        <v>24.55</v>
      </c>
    </row>
    <row r="1134" spans="3:8" x14ac:dyDescent="0.3">
      <c r="C1134" s="33"/>
      <c r="D1134" s="33"/>
      <c r="E1134" s="33"/>
      <c r="F1134" s="33"/>
      <c r="G1134" s="33"/>
      <c r="H1134" s="34"/>
    </row>
    <row r="1135" spans="3:8" x14ac:dyDescent="0.3">
      <c r="C1135" s="1015" t="s">
        <v>960</v>
      </c>
      <c r="D1135" s="1015"/>
      <c r="E1135" s="1015"/>
      <c r="F1135" s="1015"/>
      <c r="G1135" s="1015"/>
      <c r="H1135" s="32">
        <f>ROUND(H1133,0)</f>
        <v>25</v>
      </c>
    </row>
    <row r="1137" spans="1:20" s="54" customFormat="1" ht="19.8" x14ac:dyDescent="0.4">
      <c r="A1137" s="53"/>
      <c r="B1137" s="1016" t="s">
        <v>958</v>
      </c>
      <c r="C1137" s="1016"/>
      <c r="D1137" s="1016"/>
      <c r="E1137" s="1016"/>
      <c r="F1137" s="1016"/>
      <c r="G1137" s="1016"/>
      <c r="H1137" s="1016"/>
      <c r="I1137" s="1016"/>
      <c r="J1137" s="1016"/>
      <c r="K1137" s="137"/>
      <c r="L1137" s="126"/>
      <c r="M1137" s="126"/>
      <c r="N1137" s="70"/>
      <c r="O1137" s="53"/>
      <c r="P1137" s="53"/>
      <c r="Q1137" s="53"/>
      <c r="R1137" s="53"/>
      <c r="S1137" s="53"/>
      <c r="T1137" s="53"/>
    </row>
    <row r="1138" spans="1:20" s="54" customFormat="1" ht="19.8" x14ac:dyDescent="0.4">
      <c r="A1138" s="53"/>
      <c r="B1138" s="53"/>
      <c r="C1138" s="53"/>
      <c r="D1138" s="53"/>
      <c r="E1138" s="53"/>
      <c r="F1138" s="53"/>
      <c r="G1138" s="53"/>
      <c r="H1138" s="53"/>
      <c r="I1138" s="53"/>
      <c r="J1138" s="53"/>
      <c r="K1138" s="132"/>
      <c r="L1138" s="126"/>
      <c r="M1138" s="126"/>
      <c r="N1138" s="70"/>
      <c r="O1138" s="53"/>
      <c r="P1138" s="53"/>
      <c r="Q1138" s="53"/>
      <c r="R1138" s="53"/>
      <c r="S1138" s="53"/>
      <c r="T1138" s="53"/>
    </row>
    <row r="1139" spans="1:20" s="54" customFormat="1" ht="19.8" x14ac:dyDescent="0.4">
      <c r="A1139" s="53"/>
      <c r="B1139" s="50" t="s">
        <v>767</v>
      </c>
      <c r="C1139" s="1033" t="s">
        <v>146</v>
      </c>
      <c r="D1139" s="1033"/>
      <c r="E1139" s="1033"/>
      <c r="F1139" s="52">
        <f>H1192</f>
        <v>79</v>
      </c>
      <c r="G1139" s="52" t="s">
        <v>971</v>
      </c>
      <c r="H1139" s="53"/>
      <c r="I1139" s="53"/>
      <c r="J1139" s="53"/>
      <c r="K1139" s="132"/>
      <c r="L1139" s="126"/>
      <c r="M1139" s="126"/>
      <c r="N1139" s="70"/>
      <c r="O1139" s="53"/>
      <c r="P1139" s="53"/>
      <c r="Q1139" s="53"/>
      <c r="R1139" s="53"/>
      <c r="S1139" s="53"/>
      <c r="T1139" s="53"/>
    </row>
    <row r="1141" spans="1:20" x14ac:dyDescent="0.3">
      <c r="C1141" s="1018" t="s">
        <v>932</v>
      </c>
      <c r="D1141" s="1018"/>
      <c r="E1141" s="10"/>
      <c r="F1141" s="11">
        <f>F1148+F1151+F1149</f>
        <v>41.699999999999996</v>
      </c>
      <c r="G1141" s="12" t="s">
        <v>971</v>
      </c>
    </row>
    <row r="1142" spans="1:20" ht="6" customHeight="1" x14ac:dyDescent="0.3"/>
    <row r="1143" spans="1:20" x14ac:dyDescent="0.3">
      <c r="C1143" s="13" t="s">
        <v>929</v>
      </c>
      <c r="D1143" s="14" t="s">
        <v>928</v>
      </c>
      <c r="E1143" s="14" t="s">
        <v>514</v>
      </c>
      <c r="F1143" s="14" t="s">
        <v>515</v>
      </c>
      <c r="G1143" s="14" t="s">
        <v>962</v>
      </c>
      <c r="H1143" s="14" t="s">
        <v>926</v>
      </c>
      <c r="I1143" s="14" t="s">
        <v>516</v>
      </c>
      <c r="J1143" s="14" t="s">
        <v>961</v>
      </c>
      <c r="K1143" s="138"/>
    </row>
    <row r="1144" spans="1:20" x14ac:dyDescent="0.3">
      <c r="C1144" s="17" t="str">
        <f>C1088</f>
        <v>Лікар-лаборант</v>
      </c>
      <c r="D1144" s="16">
        <f>D1088</f>
        <v>10799.43</v>
      </c>
      <c r="E1144" s="16">
        <f>D1144*12</f>
        <v>129593.16</v>
      </c>
      <c r="F1144" s="16">
        <f>F1088</f>
        <v>8307.26</v>
      </c>
      <c r="G1144" s="16">
        <f>G1088</f>
        <v>4153.63</v>
      </c>
      <c r="H1144" s="16">
        <f>E1144+F1144+G1144</f>
        <v>142054.05000000002</v>
      </c>
      <c r="I1144" s="17">
        <v>1807.2</v>
      </c>
      <c r="J1144" s="16">
        <f>ROUND((H1144/I1144)/60,2)</f>
        <v>1.31</v>
      </c>
      <c r="K1144" s="140"/>
    </row>
    <row r="1145" spans="1:20" x14ac:dyDescent="0.3">
      <c r="C1145" s="17" t="str">
        <f>C1089</f>
        <v>Лаборант клінічної лабораторії</v>
      </c>
      <c r="D1145" s="16">
        <f>D1089</f>
        <v>7871.18</v>
      </c>
      <c r="E1145" s="16">
        <f>D1145*12</f>
        <v>94454.16</v>
      </c>
      <c r="F1145" s="16">
        <f>F1089</f>
        <v>6054.75</v>
      </c>
      <c r="G1145" s="16">
        <f>G1089</f>
        <v>3027.375</v>
      </c>
      <c r="H1145" s="16">
        <f>E1145+F1145+G1145</f>
        <v>103536.285</v>
      </c>
      <c r="I1145" s="17">
        <v>1807.2</v>
      </c>
      <c r="J1145" s="16">
        <f>ROUND((H1145/I1145)/60,2)</f>
        <v>0.95</v>
      </c>
      <c r="K1145" s="140"/>
    </row>
    <row r="1146" spans="1:20" ht="6.75" customHeight="1" x14ac:dyDescent="0.3"/>
    <row r="1147" spans="1:20" ht="27.6" x14ac:dyDescent="0.3">
      <c r="C1147" s="13" t="s">
        <v>929</v>
      </c>
      <c r="D1147" s="14" t="s">
        <v>961</v>
      </c>
      <c r="E1147" s="14" t="s">
        <v>930</v>
      </c>
      <c r="F1147" s="14" t="s">
        <v>931</v>
      </c>
    </row>
    <row r="1148" spans="1:20" x14ac:dyDescent="0.3">
      <c r="C1148" s="15" t="str">
        <f>C1144</f>
        <v>Лікар-лаборант</v>
      </c>
      <c r="D1148" s="16">
        <f>J1144</f>
        <v>1.31</v>
      </c>
      <c r="E1148" s="17">
        <v>25</v>
      </c>
      <c r="F1148" s="18">
        <f>ROUND(D1148*E1148,2)</f>
        <v>32.75</v>
      </c>
    </row>
    <row r="1149" spans="1:20" x14ac:dyDescent="0.3">
      <c r="C1149" s="15" t="str">
        <f>C1145</f>
        <v>Лаборант клінічної лабораторії</v>
      </c>
      <c r="D1149" s="16">
        <f>J1145</f>
        <v>0.95</v>
      </c>
      <c r="E1149" s="17">
        <v>1.5</v>
      </c>
      <c r="F1149" s="18">
        <f>ROUND(D1149*E1149,2)</f>
        <v>1.43</v>
      </c>
    </row>
    <row r="1150" spans="1:20" ht="7.5" customHeight="1" x14ac:dyDescent="0.3">
      <c r="D1150" s="19"/>
      <c r="E1150" s="7" t="s">
        <v>1016</v>
      </c>
    </row>
    <row r="1151" spans="1:20" x14ac:dyDescent="0.3">
      <c r="C1151" s="17" t="s">
        <v>933</v>
      </c>
      <c r="D1151" s="16">
        <f>F1148+F1149</f>
        <v>34.18</v>
      </c>
      <c r="E1151" s="20">
        <v>0.22</v>
      </c>
      <c r="F1151" s="21">
        <f>ROUND(D1151*E1151,2)</f>
        <v>7.52</v>
      </c>
    </row>
    <row r="1152" spans="1:20" ht="8.25" customHeight="1" x14ac:dyDescent="0.3"/>
    <row r="1153" spans="1:20" x14ac:dyDescent="0.3">
      <c r="C1153" s="12" t="s">
        <v>946</v>
      </c>
      <c r="D1153" s="12"/>
      <c r="E1153" s="12"/>
      <c r="F1153" s="12">
        <f>G1168</f>
        <v>32.5</v>
      </c>
      <c r="G1153" s="12" t="s">
        <v>971</v>
      </c>
    </row>
    <row r="1154" spans="1:20" ht="4.5" customHeight="1" x14ac:dyDescent="0.3"/>
    <row r="1155" spans="1:20" ht="27.6" x14ac:dyDescent="0.3">
      <c r="B1155" s="82" t="s">
        <v>991</v>
      </c>
      <c r="C1155" s="83" t="s">
        <v>986</v>
      </c>
      <c r="D1155" s="83" t="s">
        <v>987</v>
      </c>
      <c r="E1155" s="83" t="s">
        <v>988</v>
      </c>
      <c r="F1155" s="83" t="s">
        <v>989</v>
      </c>
      <c r="G1155" s="82" t="s">
        <v>990</v>
      </c>
    </row>
    <row r="1156" spans="1:20" s="220" customFormat="1" x14ac:dyDescent="0.3">
      <c r="A1156" s="219"/>
      <c r="B1156" s="84">
        <v>1</v>
      </c>
      <c r="C1156" s="85" t="str">
        <f>'МЕДИЧНІ М'!B316</f>
        <v>Набір ДСУ-РПГА-АНТИ-ЛЮІС</v>
      </c>
      <c r="D1156" s="86" t="s">
        <v>1045</v>
      </c>
      <c r="E1156" s="87">
        <f>'МЕДИЧНІ М'!E316</f>
        <v>2200</v>
      </c>
      <c r="F1156" s="86">
        <f>90</f>
        <v>90</v>
      </c>
      <c r="G1156" s="88">
        <f>ROUND(E1156/F1156,2)</f>
        <v>24.44</v>
      </c>
      <c r="H1156" s="219"/>
      <c r="I1156" s="219"/>
      <c r="J1156" s="219"/>
      <c r="K1156" s="219"/>
      <c r="L1156" s="219"/>
      <c r="M1156" s="219"/>
      <c r="N1156" s="219"/>
      <c r="O1156" s="219"/>
      <c r="P1156" s="219"/>
      <c r="Q1156" s="219"/>
      <c r="R1156" s="219"/>
      <c r="S1156" s="219"/>
      <c r="T1156" s="219"/>
    </row>
    <row r="1157" spans="1:20" s="220" customFormat="1" x14ac:dyDescent="0.3">
      <c r="A1157" s="219"/>
      <c r="B1157" s="357">
        <f>B1156+1</f>
        <v>2</v>
      </c>
      <c r="C1157" s="85" t="s">
        <v>1071</v>
      </c>
      <c r="D1157" s="358" t="s">
        <v>1036</v>
      </c>
      <c r="E1157" s="358">
        <f>'МЕДИЧНІ М'!E25</f>
        <v>2190</v>
      </c>
      <c r="F1157" s="86">
        <v>1000</v>
      </c>
      <c r="G1157" s="88">
        <f>ROUND(E1157/F1157,2)</f>
        <v>2.19</v>
      </c>
      <c r="H1157" s="219"/>
      <c r="I1157" s="219"/>
      <c r="J1157" s="219"/>
      <c r="K1157" s="219"/>
      <c r="L1157" s="219"/>
      <c r="M1157" s="219"/>
      <c r="N1157" s="219"/>
      <c r="O1157" s="219"/>
      <c r="P1157" s="219"/>
      <c r="Q1157" s="219"/>
      <c r="R1157" s="219"/>
      <c r="S1157" s="219"/>
      <c r="T1157" s="219"/>
    </row>
    <row r="1158" spans="1:20" s="220" customFormat="1" x14ac:dyDescent="0.3">
      <c r="A1158" s="219"/>
      <c r="B1158" s="357">
        <f t="shared" ref="B1158:B1167" si="29">B1157+1</f>
        <v>3</v>
      </c>
      <c r="C1158" s="85" t="s">
        <v>1072</v>
      </c>
      <c r="D1158" s="358" t="s">
        <v>1036</v>
      </c>
      <c r="E1158" s="358">
        <f>'МЕДИЧНІ М'!E44</f>
        <v>110</v>
      </c>
      <c r="F1158" s="86">
        <v>1000</v>
      </c>
      <c r="G1158" s="88">
        <f>ROUND(E1158/F1158,2)</f>
        <v>0.11</v>
      </c>
      <c r="H1158" s="219"/>
      <c r="I1158" s="219"/>
      <c r="J1158" s="219"/>
      <c r="K1158" s="219"/>
      <c r="L1158" s="219"/>
      <c r="M1158" s="219"/>
      <c r="N1158" s="219"/>
      <c r="O1158" s="219"/>
      <c r="P1158" s="219"/>
      <c r="Q1158" s="219"/>
      <c r="R1158" s="219"/>
      <c r="S1158" s="219"/>
      <c r="T1158" s="219"/>
    </row>
    <row r="1159" spans="1:20" s="220" customFormat="1" x14ac:dyDescent="0.3">
      <c r="A1159" s="219"/>
      <c r="B1159" s="357">
        <f t="shared" si="29"/>
        <v>4</v>
      </c>
      <c r="C1159" s="85" t="s">
        <v>981</v>
      </c>
      <c r="D1159" s="359" t="s">
        <v>941</v>
      </c>
      <c r="E1159" s="359">
        <f>'МЕДИЧНІ М'!E49</f>
        <v>0.6</v>
      </c>
      <c r="F1159" s="360">
        <v>1</v>
      </c>
      <c r="G1159" s="88">
        <f>ROUND(E1159*F1159,2)</f>
        <v>0.6</v>
      </c>
      <c r="H1159" s="219"/>
      <c r="I1159" s="219"/>
      <c r="J1159" s="219"/>
      <c r="K1159" s="219"/>
      <c r="L1159" s="219"/>
      <c r="M1159" s="219"/>
      <c r="N1159" s="219"/>
      <c r="O1159" s="219"/>
      <c r="P1159" s="219"/>
      <c r="Q1159" s="219"/>
      <c r="R1159" s="219"/>
      <c r="S1159" s="219"/>
      <c r="T1159" s="219"/>
    </row>
    <row r="1160" spans="1:20" s="220" customFormat="1" x14ac:dyDescent="0.3">
      <c r="A1160" s="219"/>
      <c r="B1160" s="357">
        <f t="shared" si="29"/>
        <v>5</v>
      </c>
      <c r="C1160" s="85" t="s">
        <v>985</v>
      </c>
      <c r="D1160" s="359" t="s">
        <v>937</v>
      </c>
      <c r="E1160" s="359">
        <f>'МЕДИЧНІ М'!F39</f>
        <v>0.3</v>
      </c>
      <c r="F1160" s="360">
        <v>1</v>
      </c>
      <c r="G1160" s="88">
        <f>ROUND(E1160*F1160,2)</f>
        <v>0.3</v>
      </c>
      <c r="H1160" s="219"/>
      <c r="I1160" s="219"/>
      <c r="J1160" s="219"/>
      <c r="K1160" s="219"/>
      <c r="L1160" s="219"/>
      <c r="M1160" s="219"/>
      <c r="N1160" s="219"/>
      <c r="O1160" s="219"/>
      <c r="P1160" s="219"/>
      <c r="Q1160" s="219"/>
      <c r="R1160" s="219"/>
      <c r="S1160" s="219"/>
      <c r="T1160" s="219"/>
    </row>
    <row r="1161" spans="1:20" s="220" customFormat="1" x14ac:dyDescent="0.3">
      <c r="A1161" s="219"/>
      <c r="B1161" s="357">
        <f t="shared" si="29"/>
        <v>6</v>
      </c>
      <c r="C1161" s="85" t="s">
        <v>1050</v>
      </c>
      <c r="D1161" s="359" t="s">
        <v>941</v>
      </c>
      <c r="E1161" s="359">
        <f>'МЕДИЧНІ М'!E77</f>
        <v>0.9</v>
      </c>
      <c r="F1161" s="360">
        <v>1</v>
      </c>
      <c r="G1161" s="88">
        <f>ROUND(E1161*F1161,2)</f>
        <v>0.9</v>
      </c>
      <c r="H1161" s="219"/>
      <c r="I1161" s="219"/>
      <c r="J1161" s="219"/>
      <c r="K1161" s="219"/>
      <c r="L1161" s="219"/>
      <c r="M1161" s="219"/>
      <c r="N1161" s="219"/>
      <c r="O1161" s="219"/>
      <c r="P1161" s="219"/>
      <c r="Q1161" s="219"/>
      <c r="R1161" s="219"/>
      <c r="S1161" s="219"/>
      <c r="T1161" s="219"/>
    </row>
    <row r="1162" spans="1:20" s="220" customFormat="1" x14ac:dyDescent="0.3">
      <c r="A1162" s="219"/>
      <c r="B1162" s="357">
        <f t="shared" si="29"/>
        <v>7</v>
      </c>
      <c r="C1162" s="27" t="s">
        <v>942</v>
      </c>
      <c r="D1162" s="361" t="s">
        <v>974</v>
      </c>
      <c r="E1162" s="359">
        <f>'МЕДИЧНІ М'!E65</f>
        <v>24.6</v>
      </c>
      <c r="F1162" s="360">
        <v>100</v>
      </c>
      <c r="G1162" s="361">
        <f>ROUND(E1162/F1162,2)</f>
        <v>0.25</v>
      </c>
      <c r="H1162" s="219"/>
      <c r="I1162" s="219"/>
      <c r="J1162" s="219"/>
      <c r="K1162" s="219"/>
      <c r="L1162" s="219"/>
      <c r="M1162" s="219"/>
      <c r="N1162" s="219"/>
      <c r="O1162" s="219"/>
      <c r="P1162" s="219"/>
      <c r="Q1162" s="219"/>
      <c r="R1162" s="219"/>
      <c r="S1162" s="219"/>
      <c r="T1162" s="219"/>
    </row>
    <row r="1163" spans="1:20" s="220" customFormat="1" x14ac:dyDescent="0.3">
      <c r="A1163" s="219"/>
      <c r="B1163" s="357">
        <f t="shared" si="29"/>
        <v>8</v>
      </c>
      <c r="C1163" s="85" t="s">
        <v>934</v>
      </c>
      <c r="D1163" s="359" t="s">
        <v>941</v>
      </c>
      <c r="E1163" s="359">
        <f>'МЕДИЧНІ М'!E59</f>
        <v>2.8</v>
      </c>
      <c r="F1163" s="86">
        <v>10</v>
      </c>
      <c r="G1163" s="88">
        <f>ROUND(E1163/F1163,2)</f>
        <v>0.28000000000000003</v>
      </c>
      <c r="H1163" s="219"/>
      <c r="I1163" s="219"/>
      <c r="J1163" s="219"/>
      <c r="K1163" s="219"/>
      <c r="L1163" s="219"/>
      <c r="M1163" s="219"/>
      <c r="N1163" s="219"/>
      <c r="O1163" s="219"/>
      <c r="P1163" s="219"/>
      <c r="Q1163" s="219"/>
      <c r="R1163" s="219"/>
      <c r="S1163" s="219"/>
      <c r="T1163" s="219"/>
    </row>
    <row r="1164" spans="1:20" s="220" customFormat="1" x14ac:dyDescent="0.3">
      <c r="A1164" s="219"/>
      <c r="B1164" s="357">
        <f t="shared" si="29"/>
        <v>9</v>
      </c>
      <c r="C1164" s="27" t="s">
        <v>972</v>
      </c>
      <c r="D1164" s="359" t="s">
        <v>944</v>
      </c>
      <c r="E1164" s="359">
        <f>'МЕДИЧНІ М'!E21</f>
        <v>7</v>
      </c>
      <c r="F1164" s="86">
        <v>100</v>
      </c>
      <c r="G1164" s="88">
        <f>ROUND(E1164/F1164,2)</f>
        <v>7.0000000000000007E-2</v>
      </c>
      <c r="H1164" s="219"/>
      <c r="I1164" s="219"/>
      <c r="J1164" s="219"/>
      <c r="K1164" s="219"/>
      <c r="L1164" s="219"/>
      <c r="M1164" s="219"/>
      <c r="N1164" s="219"/>
      <c r="O1164" s="219"/>
      <c r="P1164" s="219"/>
      <c r="Q1164" s="219"/>
      <c r="R1164" s="219"/>
      <c r="S1164" s="219"/>
      <c r="T1164" s="219"/>
    </row>
    <row r="1165" spans="1:20" s="220" customFormat="1" x14ac:dyDescent="0.3">
      <c r="A1165" s="219"/>
      <c r="B1165" s="357">
        <f t="shared" si="29"/>
        <v>10</v>
      </c>
      <c r="C1165" s="85" t="s">
        <v>982</v>
      </c>
      <c r="D1165" s="359" t="s">
        <v>941</v>
      </c>
      <c r="E1165" s="359">
        <f>'МЕДИЧНІ М'!E48</f>
        <v>11</v>
      </c>
      <c r="F1165" s="360">
        <v>100</v>
      </c>
      <c r="G1165" s="88">
        <f>ROUND(E1165/F1165,2)</f>
        <v>0.11</v>
      </c>
      <c r="H1165" s="219"/>
      <c r="I1165" s="219"/>
      <c r="J1165" s="219"/>
      <c r="K1165" s="219"/>
      <c r="L1165" s="219"/>
      <c r="M1165" s="219"/>
      <c r="N1165" s="219"/>
      <c r="O1165" s="219"/>
      <c r="P1165" s="219"/>
      <c r="Q1165" s="219"/>
      <c r="R1165" s="219"/>
      <c r="S1165" s="219"/>
      <c r="T1165" s="219"/>
    </row>
    <row r="1166" spans="1:20" s="220" customFormat="1" x14ac:dyDescent="0.3">
      <c r="A1166" s="219"/>
      <c r="B1166" s="357">
        <f t="shared" si="29"/>
        <v>11</v>
      </c>
      <c r="C1166" s="27" t="s">
        <v>940</v>
      </c>
      <c r="D1166" s="28" t="s">
        <v>941</v>
      </c>
      <c r="E1166" s="81">
        <f>'МЕДИЧНІ М'!E37</f>
        <v>2</v>
      </c>
      <c r="F1166" s="28">
        <v>1.5</v>
      </c>
      <c r="G1166" s="81">
        <f>ROUND(E1166*F1166,2)</f>
        <v>3</v>
      </c>
      <c r="H1166" s="219"/>
      <c r="I1166" s="219"/>
      <c r="J1166" s="219"/>
      <c r="K1166" s="219"/>
      <c r="L1166" s="219"/>
      <c r="M1166" s="219"/>
      <c r="N1166" s="219"/>
      <c r="O1166" s="219"/>
      <c r="P1166" s="219"/>
      <c r="Q1166" s="219"/>
      <c r="R1166" s="219"/>
      <c r="S1166" s="219"/>
      <c r="T1166" s="219"/>
    </row>
    <row r="1167" spans="1:20" s="220" customFormat="1" x14ac:dyDescent="0.3">
      <c r="A1167" s="219"/>
      <c r="B1167" s="357">
        <f t="shared" si="29"/>
        <v>12</v>
      </c>
      <c r="C1167" s="27" t="s">
        <v>1124</v>
      </c>
      <c r="D1167" s="28" t="s">
        <v>944</v>
      </c>
      <c r="E1167" s="81">
        <f>'МЕДИЧНІ М'!E24</f>
        <v>0.5</v>
      </c>
      <c r="F1167" s="81">
        <v>0.5</v>
      </c>
      <c r="G1167" s="81">
        <f>ROUND(E1167*F1167,2)</f>
        <v>0.25</v>
      </c>
      <c r="H1167" s="219"/>
      <c r="I1167" s="219"/>
      <c r="J1167" s="219"/>
      <c r="K1167" s="219"/>
      <c r="L1167" s="219"/>
      <c r="M1167" s="219"/>
      <c r="N1167" s="219"/>
      <c r="O1167" s="219"/>
      <c r="P1167" s="219"/>
      <c r="Q1167" s="219"/>
      <c r="R1167" s="219"/>
      <c r="S1167" s="219"/>
      <c r="T1167" s="219"/>
    </row>
    <row r="1168" spans="1:20" x14ac:dyDescent="0.3">
      <c r="B1168" s="1012" t="s">
        <v>945</v>
      </c>
      <c r="C1168" s="1013"/>
      <c r="D1168" s="1013"/>
      <c r="E1168" s="1013"/>
      <c r="F1168" s="1014"/>
      <c r="G1168" s="89">
        <f>SUM(G1156:G1167)</f>
        <v>32.5</v>
      </c>
    </row>
    <row r="1170" spans="3:9" x14ac:dyDescent="0.3">
      <c r="C1170" s="12" t="s">
        <v>968</v>
      </c>
      <c r="D1170" s="12"/>
      <c r="E1170" s="12"/>
      <c r="F1170" s="11">
        <f>H1173</f>
        <v>1.06</v>
      </c>
      <c r="G1170" s="12" t="s">
        <v>971</v>
      </c>
    </row>
    <row r="1171" spans="3:9" x14ac:dyDescent="0.3">
      <c r="C1171" s="22"/>
      <c r="D1171" s="22"/>
      <c r="E1171" s="22"/>
      <c r="F1171" s="23"/>
      <c r="G1171" s="22"/>
    </row>
    <row r="1172" spans="3:9" ht="27.6" x14ac:dyDescent="0.3">
      <c r="C1172" s="14" t="s">
        <v>513</v>
      </c>
      <c r="D1172" s="14" t="s">
        <v>969</v>
      </c>
      <c r="E1172" s="14" t="s">
        <v>516</v>
      </c>
      <c r="F1172" s="14" t="s">
        <v>970</v>
      </c>
      <c r="G1172" s="14" t="s">
        <v>930</v>
      </c>
      <c r="H1172" s="14" t="s">
        <v>961</v>
      </c>
    </row>
    <row r="1173" spans="3:9" x14ac:dyDescent="0.3">
      <c r="C1173" s="27" t="s">
        <v>1090</v>
      </c>
      <c r="D1173" s="17">
        <f>АМОРТИЗАЦІЯ!C5</f>
        <v>34445.759999999995</v>
      </c>
      <c r="E1173" s="17">
        <v>13679.5</v>
      </c>
      <c r="F1173" s="17">
        <f>ROUND((D1173/E1173)/60,2)</f>
        <v>0.04</v>
      </c>
      <c r="G1173" s="17">
        <f>E1149+E1148</f>
        <v>26.5</v>
      </c>
      <c r="H1173" s="16">
        <f>ROUND(F1173*G1173,2)</f>
        <v>1.06</v>
      </c>
      <c r="I1173" s="38"/>
    </row>
    <row r="1174" spans="3:9" ht="8.25" customHeight="1" x14ac:dyDescent="0.3"/>
    <row r="1175" spans="3:9" x14ac:dyDescent="0.3">
      <c r="C1175" s="12" t="s">
        <v>948</v>
      </c>
      <c r="D1175" s="12"/>
      <c r="E1175" s="12"/>
      <c r="F1175" s="11">
        <f>H1188</f>
        <v>3.4499999999999997</v>
      </c>
      <c r="G1175" s="12" t="s">
        <v>971</v>
      </c>
    </row>
    <row r="1176" spans="3:9" ht="6" customHeight="1" x14ac:dyDescent="0.3">
      <c r="C1176" s="22"/>
      <c r="D1176" s="22"/>
      <c r="E1176" s="22"/>
      <c r="F1176" s="23"/>
    </row>
    <row r="1177" spans="3:9" ht="27.6" x14ac:dyDescent="0.3">
      <c r="C1177" s="14" t="s">
        <v>948</v>
      </c>
      <c r="D1177" s="14" t="s">
        <v>1110</v>
      </c>
      <c r="E1177" s="14" t="s">
        <v>516</v>
      </c>
      <c r="F1177" s="14" t="s">
        <v>954</v>
      </c>
      <c r="G1177" s="14" t="s">
        <v>930</v>
      </c>
      <c r="H1177" s="14" t="s">
        <v>1111</v>
      </c>
    </row>
    <row r="1178" spans="3:9" x14ac:dyDescent="0.3">
      <c r="C1178" s="1009" t="str">
        <f>C1144</f>
        <v>Лікар-лаборант</v>
      </c>
      <c r="D1178" s="1010"/>
      <c r="E1178" s="1010"/>
      <c r="F1178" s="1010"/>
      <c r="G1178" s="1010"/>
      <c r="H1178" s="1011"/>
    </row>
    <row r="1179" spans="3:9" x14ac:dyDescent="0.3">
      <c r="C1179" s="17" t="s">
        <v>951</v>
      </c>
      <c r="D1179" s="112">
        <f>D1122</f>
        <v>12188.608008565312</v>
      </c>
      <c r="E1179" s="17">
        <f>I1144</f>
        <v>1807.2</v>
      </c>
      <c r="F1179" s="17">
        <f>ROUND((D1179/E1179)/60,2)</f>
        <v>0.11</v>
      </c>
      <c r="G1179" s="17">
        <f>E1148</f>
        <v>25</v>
      </c>
      <c r="H1179" s="16">
        <f>ROUND(F1179*G1179,2)</f>
        <v>2.75</v>
      </c>
    </row>
    <row r="1180" spans="3:9" x14ac:dyDescent="0.3">
      <c r="C1180" s="17" t="s">
        <v>952</v>
      </c>
      <c r="D1180" s="112">
        <f>D1123</f>
        <v>53.149721627408987</v>
      </c>
      <c r="E1180" s="17">
        <f>I1144</f>
        <v>1807.2</v>
      </c>
      <c r="F1180" s="17">
        <f>ROUND((D1180/E1180)/60,2)</f>
        <v>0</v>
      </c>
      <c r="G1180" s="17">
        <f>E1148</f>
        <v>25</v>
      </c>
      <c r="H1180" s="16">
        <f>ROUND(F1180*G1180,2)</f>
        <v>0</v>
      </c>
    </row>
    <row r="1181" spans="3:9" x14ac:dyDescent="0.3">
      <c r="C1181" s="17" t="s">
        <v>953</v>
      </c>
      <c r="D1181" s="112">
        <f>D1124</f>
        <v>374.98368308351178</v>
      </c>
      <c r="E1181" s="17">
        <f>I1144</f>
        <v>1807.2</v>
      </c>
      <c r="F1181" s="17">
        <f>ROUND((D1181/E1181)/60,2)</f>
        <v>0</v>
      </c>
      <c r="G1181" s="17">
        <f>E1148</f>
        <v>25</v>
      </c>
      <c r="H1181" s="16">
        <f>ROUND(F1181*G1181,2)</f>
        <v>0</v>
      </c>
    </row>
    <row r="1182" spans="3:9" x14ac:dyDescent="0.3">
      <c r="C1182" s="17" t="s">
        <v>1109</v>
      </c>
      <c r="D1182" s="112">
        <f>D1125</f>
        <v>1686.0389293361886</v>
      </c>
      <c r="E1182" s="17">
        <f>I1144</f>
        <v>1807.2</v>
      </c>
      <c r="F1182" s="17">
        <f>ROUND((D1182/E1182)/60,2)</f>
        <v>0.02</v>
      </c>
      <c r="G1182" s="17">
        <f>E1148</f>
        <v>25</v>
      </c>
      <c r="H1182" s="16">
        <f>ROUND(F1182*G1182,2)</f>
        <v>0.5</v>
      </c>
    </row>
    <row r="1183" spans="3:9" x14ac:dyDescent="0.3">
      <c r="C1183" s="1009" t="str">
        <f>C1145</f>
        <v>Лаборант клінічної лабораторії</v>
      </c>
      <c r="D1183" s="1010"/>
      <c r="E1183" s="1010"/>
      <c r="F1183" s="1010"/>
      <c r="G1183" s="1010"/>
      <c r="H1183" s="1011"/>
    </row>
    <row r="1184" spans="3:9" x14ac:dyDescent="0.3">
      <c r="C1184" s="17" t="s">
        <v>951</v>
      </c>
      <c r="D1184" s="112">
        <f>D1127</f>
        <v>12188.608008565312</v>
      </c>
      <c r="E1184" s="17">
        <f>I1145</f>
        <v>1807.2</v>
      </c>
      <c r="F1184" s="17">
        <f>ROUND((D1184/E1184)/60,2)</f>
        <v>0.11</v>
      </c>
      <c r="G1184" s="17">
        <f>E1149</f>
        <v>1.5</v>
      </c>
      <c r="H1184" s="16">
        <f>ROUND(F1184*G1184,2)</f>
        <v>0.17</v>
      </c>
    </row>
    <row r="1185" spans="1:20" x14ac:dyDescent="0.3">
      <c r="C1185" s="17" t="s">
        <v>952</v>
      </c>
      <c r="D1185" s="112">
        <f>D1128</f>
        <v>53.149721627408987</v>
      </c>
      <c r="E1185" s="17">
        <f>I1145</f>
        <v>1807.2</v>
      </c>
      <c r="F1185" s="17">
        <f>ROUND((D1185/E1185)/60,2)</f>
        <v>0</v>
      </c>
      <c r="G1185" s="17">
        <f>E1149</f>
        <v>1.5</v>
      </c>
      <c r="H1185" s="16">
        <f>ROUND(F1185*G1185,2)</f>
        <v>0</v>
      </c>
    </row>
    <row r="1186" spans="1:20" x14ac:dyDescent="0.3">
      <c r="C1186" s="17" t="s">
        <v>953</v>
      </c>
      <c r="D1186" s="112">
        <f>D1129</f>
        <v>374.98368308351178</v>
      </c>
      <c r="E1186" s="17">
        <f>I1145</f>
        <v>1807.2</v>
      </c>
      <c r="F1186" s="17">
        <f>ROUND((D1186/E1186)/60,2)</f>
        <v>0</v>
      </c>
      <c r="G1186" s="17">
        <f>E1149</f>
        <v>1.5</v>
      </c>
      <c r="H1186" s="16">
        <f>ROUND(F1186*G1186,2)</f>
        <v>0</v>
      </c>
    </row>
    <row r="1187" spans="1:20" x14ac:dyDescent="0.3">
      <c r="C1187" s="17" t="s">
        <v>1109</v>
      </c>
      <c r="D1187" s="112">
        <f>D1130</f>
        <v>1686.0389293361886</v>
      </c>
      <c r="E1187" s="17">
        <f>I1145</f>
        <v>1807.2</v>
      </c>
      <c r="F1187" s="17">
        <f>ROUND((D1187/E1187)/60,2)</f>
        <v>0.02</v>
      </c>
      <c r="G1187" s="17">
        <f>E1149</f>
        <v>1.5</v>
      </c>
      <c r="H1187" s="16">
        <f>ROUND(F1187*G1187,2)</f>
        <v>0.03</v>
      </c>
    </row>
    <row r="1188" spans="1:20" x14ac:dyDescent="0.3">
      <c r="C1188" s="1012" t="s">
        <v>957</v>
      </c>
      <c r="D1188" s="1013"/>
      <c r="E1188" s="1013"/>
      <c r="F1188" s="1013"/>
      <c r="G1188" s="1014"/>
      <c r="H1188" s="18">
        <f>SUM(H1179:H1187)</f>
        <v>3.4499999999999997</v>
      </c>
    </row>
    <row r="1190" spans="1:20" x14ac:dyDescent="0.3">
      <c r="C1190" s="1015" t="s">
        <v>959</v>
      </c>
      <c r="D1190" s="1015"/>
      <c r="E1190" s="1015"/>
      <c r="F1190" s="1015"/>
      <c r="G1190" s="1015"/>
      <c r="H1190" s="32">
        <f>F1141+F1153+F1175+F1170</f>
        <v>78.709999999999994</v>
      </c>
    </row>
    <row r="1191" spans="1:20" x14ac:dyDescent="0.3">
      <c r="C1191" s="33"/>
      <c r="D1191" s="33"/>
      <c r="E1191" s="33"/>
      <c r="F1191" s="33"/>
      <c r="G1191" s="33"/>
      <c r="H1191" s="34"/>
    </row>
    <row r="1192" spans="1:20" x14ac:dyDescent="0.3">
      <c r="C1192" s="1015" t="s">
        <v>960</v>
      </c>
      <c r="D1192" s="1015"/>
      <c r="E1192" s="1015"/>
      <c r="F1192" s="1015"/>
      <c r="G1192" s="1015"/>
      <c r="H1192" s="32">
        <f>ROUND(H1190,0)</f>
        <v>79</v>
      </c>
    </row>
    <row r="1194" spans="1:20" s="54" customFormat="1" ht="19.8" x14ac:dyDescent="0.4">
      <c r="A1194" s="53"/>
      <c r="B1194" s="1016" t="s">
        <v>958</v>
      </c>
      <c r="C1194" s="1016"/>
      <c r="D1194" s="1016"/>
      <c r="E1194" s="1016"/>
      <c r="F1194" s="1016"/>
      <c r="G1194" s="1016"/>
      <c r="H1194" s="1016"/>
      <c r="I1194" s="1016"/>
      <c r="J1194" s="1016"/>
      <c r="K1194" s="137"/>
      <c r="L1194" s="126"/>
      <c r="M1194" s="126"/>
      <c r="N1194" s="70"/>
      <c r="O1194" s="53"/>
      <c r="P1194" s="53"/>
      <c r="Q1194" s="53"/>
      <c r="R1194" s="53"/>
      <c r="S1194" s="53"/>
      <c r="T1194" s="53"/>
    </row>
    <row r="1195" spans="1:20" s="54" customFormat="1" ht="19.8" x14ac:dyDescent="0.4">
      <c r="A1195" s="53"/>
      <c r="B1195" s="53"/>
      <c r="C1195" s="53"/>
      <c r="D1195" s="53"/>
      <c r="E1195" s="53"/>
      <c r="F1195" s="53"/>
      <c r="G1195" s="53"/>
      <c r="H1195" s="53"/>
      <c r="I1195" s="53"/>
      <c r="J1195" s="53"/>
      <c r="K1195" s="132"/>
      <c r="L1195" s="126"/>
      <c r="M1195" s="126"/>
      <c r="N1195" s="70"/>
      <c r="O1195" s="53"/>
      <c r="P1195" s="53"/>
      <c r="Q1195" s="53"/>
      <c r="R1195" s="53"/>
      <c r="S1195" s="53"/>
      <c r="T1195" s="53"/>
    </row>
    <row r="1196" spans="1:20" s="54" customFormat="1" ht="19.8" x14ac:dyDescent="0.4">
      <c r="A1196" s="53"/>
      <c r="B1196" s="50" t="s">
        <v>769</v>
      </c>
      <c r="C1196" s="1017" t="s">
        <v>774</v>
      </c>
      <c r="D1196" s="1017"/>
      <c r="E1196" s="1017"/>
      <c r="F1196" s="52">
        <f>H1246</f>
        <v>16</v>
      </c>
      <c r="G1196" s="52" t="s">
        <v>971</v>
      </c>
      <c r="H1196" s="53"/>
      <c r="I1196" s="53"/>
      <c r="J1196" s="53"/>
      <c r="K1196" s="132"/>
      <c r="L1196" s="126"/>
      <c r="M1196" s="126"/>
      <c r="N1196" s="70"/>
      <c r="O1196" s="53"/>
      <c r="P1196" s="53"/>
      <c r="Q1196" s="53"/>
      <c r="R1196" s="53"/>
      <c r="S1196" s="53"/>
      <c r="T1196" s="53"/>
    </row>
    <row r="1198" spans="1:20" x14ac:dyDescent="0.3">
      <c r="C1198" s="1018" t="s">
        <v>932</v>
      </c>
      <c r="D1198" s="1018"/>
      <c r="E1198" s="10"/>
      <c r="F1198" s="11">
        <f>F1205+F1208+F1206</f>
        <v>10.59</v>
      </c>
      <c r="G1198" s="12" t="s">
        <v>971</v>
      </c>
    </row>
    <row r="1200" spans="1:20" x14ac:dyDescent="0.3">
      <c r="C1200" s="13" t="s">
        <v>929</v>
      </c>
      <c r="D1200" s="14" t="s">
        <v>928</v>
      </c>
      <c r="E1200" s="14" t="s">
        <v>514</v>
      </c>
      <c r="F1200" s="14" t="s">
        <v>515</v>
      </c>
      <c r="G1200" s="14" t="s">
        <v>962</v>
      </c>
      <c r="H1200" s="14" t="s">
        <v>926</v>
      </c>
      <c r="I1200" s="14" t="s">
        <v>516</v>
      </c>
      <c r="J1200" s="14" t="s">
        <v>961</v>
      </c>
      <c r="K1200" s="138"/>
    </row>
    <row r="1201" spans="2:11" x14ac:dyDescent="0.3">
      <c r="C1201" s="17" t="str">
        <f>C1144</f>
        <v>Лікар-лаборант</v>
      </c>
      <c r="D1201" s="17">
        <f>D1144</f>
        <v>10799.43</v>
      </c>
      <c r="E1201" s="16">
        <f>D1201*12</f>
        <v>129593.16</v>
      </c>
      <c r="F1201" s="17">
        <f>F1144</f>
        <v>8307.26</v>
      </c>
      <c r="G1201" s="17">
        <f>G1144</f>
        <v>4153.63</v>
      </c>
      <c r="H1201" s="16">
        <f>E1201+F1201+G1201</f>
        <v>142054.05000000002</v>
      </c>
      <c r="I1201" s="17">
        <v>1807.2</v>
      </c>
      <c r="J1201" s="16">
        <f>ROUND((H1201/I1201)/60,2)</f>
        <v>1.31</v>
      </c>
      <c r="K1201" s="140"/>
    </row>
    <row r="1202" spans="2:11" x14ac:dyDescent="0.3">
      <c r="C1202" s="17" t="str">
        <f>C1145</f>
        <v>Лаборант клінічної лабораторії</v>
      </c>
      <c r="D1202" s="17">
        <f>D1145</f>
        <v>7871.18</v>
      </c>
      <c r="E1202" s="16">
        <f>D1202*12</f>
        <v>94454.16</v>
      </c>
      <c r="F1202" s="17">
        <f>F1145</f>
        <v>6054.75</v>
      </c>
      <c r="G1202" s="17">
        <f>G1145</f>
        <v>3027.375</v>
      </c>
      <c r="H1202" s="16">
        <f>E1202+F1202+G1202</f>
        <v>103536.285</v>
      </c>
      <c r="I1202" s="17">
        <v>1807.2</v>
      </c>
      <c r="J1202" s="16">
        <f>ROUND((H1202/I1202)/60,2)</f>
        <v>0.95</v>
      </c>
      <c r="K1202" s="140"/>
    </row>
    <row r="1204" spans="2:11" ht="27.6" x14ac:dyDescent="0.3">
      <c r="C1204" s="13" t="s">
        <v>929</v>
      </c>
      <c r="D1204" s="14" t="s">
        <v>961</v>
      </c>
      <c r="E1204" s="14" t="s">
        <v>930</v>
      </c>
      <c r="F1204" s="14" t="s">
        <v>931</v>
      </c>
    </row>
    <row r="1205" spans="2:11" x14ac:dyDescent="0.3">
      <c r="C1205" s="15" t="str">
        <f>C1201</f>
        <v>Лікар-лаборант</v>
      </c>
      <c r="D1205" s="16">
        <f>J1201</f>
        <v>1.31</v>
      </c>
      <c r="E1205" s="17">
        <v>3</v>
      </c>
      <c r="F1205" s="18">
        <f>ROUND(D1205*E1205,2)</f>
        <v>3.93</v>
      </c>
    </row>
    <row r="1206" spans="2:11" x14ac:dyDescent="0.3">
      <c r="C1206" s="15" t="str">
        <f>C1202</f>
        <v>Лаборант клінічної лабораторії</v>
      </c>
      <c r="D1206" s="16">
        <f>J1202</f>
        <v>0.95</v>
      </c>
      <c r="E1206" s="17">
        <v>5</v>
      </c>
      <c r="F1206" s="18">
        <f>ROUND(D1206*E1206,2)</f>
        <v>4.75</v>
      </c>
    </row>
    <row r="1207" spans="2:11" x14ac:dyDescent="0.3">
      <c r="D1207" s="19"/>
      <c r="E1207" s="7" t="s">
        <v>1016</v>
      </c>
    </row>
    <row r="1208" spans="2:11" x14ac:dyDescent="0.3">
      <c r="C1208" s="17" t="s">
        <v>933</v>
      </c>
      <c r="D1208" s="16">
        <f>F1205+F1206</f>
        <v>8.68</v>
      </c>
      <c r="E1208" s="20">
        <v>0.22</v>
      </c>
      <c r="F1208" s="21">
        <f>ROUND(D1208*E1208,2)</f>
        <v>1.91</v>
      </c>
    </row>
    <row r="1210" spans="2:11" x14ac:dyDescent="0.3">
      <c r="C1210" s="12" t="s">
        <v>946</v>
      </c>
      <c r="D1210" s="12"/>
      <c r="E1210" s="12"/>
      <c r="F1210" s="11">
        <f>G1222</f>
        <v>4.5</v>
      </c>
      <c r="G1210" s="12" t="s">
        <v>971</v>
      </c>
    </row>
    <row r="1212" spans="2:11" ht="27.6" x14ac:dyDescent="0.3">
      <c r="B1212" s="82" t="s">
        <v>991</v>
      </c>
      <c r="C1212" s="83" t="s">
        <v>986</v>
      </c>
      <c r="D1212" s="83" t="s">
        <v>987</v>
      </c>
      <c r="E1212" s="83" t="s">
        <v>988</v>
      </c>
      <c r="F1212" s="83" t="s">
        <v>989</v>
      </c>
      <c r="G1212" s="82" t="s">
        <v>990</v>
      </c>
    </row>
    <row r="1213" spans="2:11" x14ac:dyDescent="0.3">
      <c r="B1213" s="84">
        <v>1</v>
      </c>
      <c r="C1213" s="85" t="s">
        <v>1073</v>
      </c>
      <c r="D1213" s="86"/>
      <c r="E1213" s="87">
        <f>'МЕДИЧНІ М'!E38</f>
        <v>272.5</v>
      </c>
      <c r="F1213" s="86">
        <v>1000</v>
      </c>
      <c r="G1213" s="88">
        <f>ROUND(E1213/F1213,2)</f>
        <v>0.27</v>
      </c>
    </row>
    <row r="1214" spans="2:11" x14ac:dyDescent="0.3">
      <c r="B1214" s="73">
        <f>B1213+1</f>
        <v>2</v>
      </c>
      <c r="C1214" s="79" t="s">
        <v>1034</v>
      </c>
      <c r="D1214" s="75" t="s">
        <v>974</v>
      </c>
      <c r="E1214" s="75">
        <f>'МЕДИЧНІ М'!E27</f>
        <v>39.299999999999997</v>
      </c>
      <c r="F1214" s="86">
        <v>400</v>
      </c>
      <c r="G1214" s="88">
        <f>ROUND(E1214/F1214,2)</f>
        <v>0.1</v>
      </c>
    </row>
    <row r="1215" spans="2:11" x14ac:dyDescent="0.3">
      <c r="B1215" s="73">
        <f t="shared" ref="B1215:B1221" si="30">B1214+1</f>
        <v>3</v>
      </c>
      <c r="C1215" s="79" t="s">
        <v>984</v>
      </c>
      <c r="D1215" s="76" t="s">
        <v>941</v>
      </c>
      <c r="E1215" s="76">
        <f>'МЕДИЧНІ М'!E64</f>
        <v>36</v>
      </c>
      <c r="F1215" s="77">
        <v>1000</v>
      </c>
      <c r="G1215" s="88">
        <f>ROUND(E1215/F1215,2)</f>
        <v>0.04</v>
      </c>
    </row>
    <row r="1216" spans="2:11" x14ac:dyDescent="0.3">
      <c r="B1216" s="73">
        <f t="shared" si="30"/>
        <v>4</v>
      </c>
      <c r="C1216" s="79" t="s">
        <v>985</v>
      </c>
      <c r="D1216" s="76" t="s">
        <v>937</v>
      </c>
      <c r="E1216" s="76">
        <f>'МЕДИЧНІ М'!F39</f>
        <v>0.3</v>
      </c>
      <c r="F1216" s="77">
        <v>1</v>
      </c>
      <c r="G1216" s="88">
        <f>ROUND(E1216*F1216,2)</f>
        <v>0.3</v>
      </c>
    </row>
    <row r="1217" spans="2:9" x14ac:dyDescent="0.3">
      <c r="B1217" s="73">
        <f t="shared" si="30"/>
        <v>5</v>
      </c>
      <c r="C1217" s="79" t="s">
        <v>934</v>
      </c>
      <c r="D1217" s="76" t="s">
        <v>941</v>
      </c>
      <c r="E1217" s="76">
        <f>'МЕДИЧНІ М'!E59</f>
        <v>2.8</v>
      </c>
      <c r="F1217" s="86">
        <v>10</v>
      </c>
      <c r="G1217" s="88">
        <f>ROUND(E1217/F1217,2)</f>
        <v>0.28000000000000003</v>
      </c>
    </row>
    <row r="1218" spans="2:9" x14ac:dyDescent="0.3">
      <c r="B1218" s="73">
        <f t="shared" si="30"/>
        <v>6</v>
      </c>
      <c r="C1218" s="27" t="s">
        <v>940</v>
      </c>
      <c r="D1218" s="28" t="s">
        <v>941</v>
      </c>
      <c r="E1218" s="81">
        <f>'МЕДИЧНІ М'!E37</f>
        <v>2</v>
      </c>
      <c r="F1218" s="28">
        <v>1.5</v>
      </c>
      <c r="G1218" s="28">
        <f>ROUND(E1218*F1218,2)</f>
        <v>3</v>
      </c>
    </row>
    <row r="1219" spans="2:9" x14ac:dyDescent="0.3">
      <c r="B1219" s="73">
        <f t="shared" si="30"/>
        <v>7</v>
      </c>
      <c r="C1219" s="27" t="s">
        <v>943</v>
      </c>
      <c r="D1219" s="28" t="s">
        <v>944</v>
      </c>
      <c r="E1219" s="81">
        <f>'МЕДИЧНІ М'!F21</f>
        <v>7.0000000000000007E-2</v>
      </c>
      <c r="F1219" s="28">
        <v>0.14000000000000001</v>
      </c>
      <c r="G1219" s="28">
        <f>ROUND(E1219*F1219,2)</f>
        <v>0.01</v>
      </c>
    </row>
    <row r="1220" spans="2:9" x14ac:dyDescent="0.3">
      <c r="B1220" s="73">
        <f t="shared" si="30"/>
        <v>8</v>
      </c>
      <c r="C1220" s="27" t="s">
        <v>942</v>
      </c>
      <c r="D1220" s="75" t="s">
        <v>974</v>
      </c>
      <c r="E1220" s="76">
        <f>'МЕДИЧНІ М'!E65</f>
        <v>24.6</v>
      </c>
      <c r="F1220" s="77">
        <v>100</v>
      </c>
      <c r="G1220" s="78">
        <f>ROUND(E1220/F1220,2)</f>
        <v>0.25</v>
      </c>
    </row>
    <row r="1221" spans="2:9" x14ac:dyDescent="0.3">
      <c r="B1221" s="73">
        <f t="shared" si="30"/>
        <v>9</v>
      </c>
      <c r="C1221" s="27" t="s">
        <v>1124</v>
      </c>
      <c r="D1221" s="28" t="s">
        <v>944</v>
      </c>
      <c r="E1221" s="81">
        <f>'МЕДИЧНІ М'!E24</f>
        <v>0.5</v>
      </c>
      <c r="F1221" s="81">
        <v>0.5</v>
      </c>
      <c r="G1221" s="28">
        <f>ROUND(E1221*F1221,2)</f>
        <v>0.25</v>
      </c>
    </row>
    <row r="1222" spans="2:9" x14ac:dyDescent="0.3">
      <c r="B1222" s="1012" t="s">
        <v>945</v>
      </c>
      <c r="C1222" s="1013"/>
      <c r="D1222" s="1013"/>
      <c r="E1222" s="1013"/>
      <c r="F1222" s="1014"/>
      <c r="G1222" s="89">
        <f>SUM(G1213:G1221)</f>
        <v>4.5</v>
      </c>
    </row>
    <row r="1224" spans="2:9" x14ac:dyDescent="0.3">
      <c r="C1224" s="12" t="s">
        <v>968</v>
      </c>
      <c r="D1224" s="12"/>
      <c r="E1224" s="12"/>
      <c r="F1224" s="11">
        <f>H1227</f>
        <v>0.32</v>
      </c>
      <c r="G1224" s="12" t="s">
        <v>971</v>
      </c>
    </row>
    <row r="1225" spans="2:9" x14ac:dyDescent="0.3">
      <c r="C1225" s="22"/>
      <c r="D1225" s="22"/>
      <c r="E1225" s="22"/>
      <c r="F1225" s="23"/>
      <c r="G1225" s="22"/>
    </row>
    <row r="1226" spans="2:9" ht="27.6" x14ac:dyDescent="0.3">
      <c r="C1226" s="14" t="s">
        <v>513</v>
      </c>
      <c r="D1226" s="14" t="s">
        <v>969</v>
      </c>
      <c r="E1226" s="14" t="s">
        <v>516</v>
      </c>
      <c r="F1226" s="14" t="s">
        <v>970</v>
      </c>
      <c r="G1226" s="14" t="s">
        <v>930</v>
      </c>
      <c r="H1226" s="14" t="s">
        <v>961</v>
      </c>
    </row>
    <row r="1227" spans="2:9" x14ac:dyDescent="0.3">
      <c r="C1227" s="27" t="s">
        <v>1090</v>
      </c>
      <c r="D1227" s="17">
        <f>АМОРТИЗАЦІЯ!C5</f>
        <v>34445.759999999995</v>
      </c>
      <c r="E1227" s="17">
        <v>13679.5</v>
      </c>
      <c r="F1227" s="17">
        <f>ROUND((D1227/E1227)/60,2)</f>
        <v>0.04</v>
      </c>
      <c r="G1227" s="17">
        <f>E1206+E1205</f>
        <v>8</v>
      </c>
      <c r="H1227" s="16">
        <f>ROUND(F1227*G1227,2)</f>
        <v>0.32</v>
      </c>
      <c r="I1227" s="38"/>
    </row>
    <row r="1229" spans="2:9" x14ac:dyDescent="0.3">
      <c r="C1229" s="12" t="s">
        <v>948</v>
      </c>
      <c r="D1229" s="12"/>
      <c r="E1229" s="12"/>
      <c r="F1229" s="11">
        <f>H1242</f>
        <v>1.04</v>
      </c>
      <c r="G1229" s="12" t="s">
        <v>971</v>
      </c>
    </row>
    <row r="1230" spans="2:9" x14ac:dyDescent="0.3">
      <c r="C1230" s="22"/>
      <c r="D1230" s="22"/>
      <c r="E1230" s="22"/>
      <c r="F1230" s="23"/>
    </row>
    <row r="1231" spans="2:9" ht="27.6" x14ac:dyDescent="0.3">
      <c r="C1231" s="14" t="s">
        <v>948</v>
      </c>
      <c r="D1231" s="14" t="s">
        <v>1110</v>
      </c>
      <c r="E1231" s="14" t="s">
        <v>516</v>
      </c>
      <c r="F1231" s="14" t="s">
        <v>954</v>
      </c>
      <c r="G1231" s="14" t="s">
        <v>930</v>
      </c>
      <c r="H1231" s="14" t="s">
        <v>1111</v>
      </c>
    </row>
    <row r="1232" spans="2:9" x14ac:dyDescent="0.3">
      <c r="C1232" s="1009" t="str">
        <f>C1201</f>
        <v>Лікар-лаборант</v>
      </c>
      <c r="D1232" s="1010"/>
      <c r="E1232" s="1010"/>
      <c r="F1232" s="1010"/>
      <c r="G1232" s="1010"/>
      <c r="H1232" s="1011"/>
    </row>
    <row r="1233" spans="1:20" x14ac:dyDescent="0.3">
      <c r="C1233" s="17" t="s">
        <v>951</v>
      </c>
      <c r="D1233" s="112">
        <f>D1179</f>
        <v>12188.608008565312</v>
      </c>
      <c r="E1233" s="17">
        <f>I1201</f>
        <v>1807.2</v>
      </c>
      <c r="F1233" s="17">
        <f>ROUND((D1233/E1233)/60,2)</f>
        <v>0.11</v>
      </c>
      <c r="G1233" s="17">
        <f>E1205</f>
        <v>3</v>
      </c>
      <c r="H1233" s="16">
        <f>ROUND(F1233*G1233,2)</f>
        <v>0.33</v>
      </c>
    </row>
    <row r="1234" spans="1:20" x14ac:dyDescent="0.3">
      <c r="C1234" s="17" t="s">
        <v>952</v>
      </c>
      <c r="D1234" s="112">
        <f>D1180</f>
        <v>53.149721627408987</v>
      </c>
      <c r="E1234" s="17">
        <f>I1201</f>
        <v>1807.2</v>
      </c>
      <c r="F1234" s="17">
        <f>ROUND((D1234/E1234)/60,2)</f>
        <v>0</v>
      </c>
      <c r="G1234" s="17">
        <f>E1205</f>
        <v>3</v>
      </c>
      <c r="H1234" s="16">
        <f>ROUND(F1234*G1234,2)</f>
        <v>0</v>
      </c>
    </row>
    <row r="1235" spans="1:20" x14ac:dyDescent="0.3">
      <c r="C1235" s="17" t="s">
        <v>953</v>
      </c>
      <c r="D1235" s="112">
        <f>D1181</f>
        <v>374.98368308351178</v>
      </c>
      <c r="E1235" s="17">
        <f>I1201</f>
        <v>1807.2</v>
      </c>
      <c r="F1235" s="17">
        <f>ROUND((D1235/E1235)/60,2)</f>
        <v>0</v>
      </c>
      <c r="G1235" s="17">
        <f>E1205</f>
        <v>3</v>
      </c>
      <c r="H1235" s="16">
        <f>ROUND(F1235*G1235,2)</f>
        <v>0</v>
      </c>
    </row>
    <row r="1236" spans="1:20" x14ac:dyDescent="0.3">
      <c r="C1236" s="17" t="s">
        <v>1109</v>
      </c>
      <c r="D1236" s="112">
        <f>D1182</f>
        <v>1686.0389293361886</v>
      </c>
      <c r="E1236" s="17">
        <f>I1201</f>
        <v>1807.2</v>
      </c>
      <c r="F1236" s="17">
        <f>ROUND((D1236/E1236)/60,2)</f>
        <v>0.02</v>
      </c>
      <c r="G1236" s="17">
        <f>E1205</f>
        <v>3</v>
      </c>
      <c r="H1236" s="16">
        <f>ROUND(F1236*G1236,2)</f>
        <v>0.06</v>
      </c>
    </row>
    <row r="1237" spans="1:20" x14ac:dyDescent="0.3">
      <c r="C1237" s="1009" t="str">
        <f>C1202</f>
        <v>Лаборант клінічної лабораторії</v>
      </c>
      <c r="D1237" s="1010"/>
      <c r="E1237" s="1010"/>
      <c r="F1237" s="1010"/>
      <c r="G1237" s="1010"/>
      <c r="H1237" s="1011"/>
    </row>
    <row r="1238" spans="1:20" x14ac:dyDescent="0.3">
      <c r="C1238" s="17" t="s">
        <v>951</v>
      </c>
      <c r="D1238" s="112">
        <f>D1184</f>
        <v>12188.608008565312</v>
      </c>
      <c r="E1238" s="17">
        <f>I1202</f>
        <v>1807.2</v>
      </c>
      <c r="F1238" s="17">
        <f>ROUND((D1238/E1238)/60,2)</f>
        <v>0.11</v>
      </c>
      <c r="G1238" s="17">
        <f>E1206</f>
        <v>5</v>
      </c>
      <c r="H1238" s="16">
        <f>ROUND(F1238*G1238,2)</f>
        <v>0.55000000000000004</v>
      </c>
    </row>
    <row r="1239" spans="1:20" x14ac:dyDescent="0.3">
      <c r="C1239" s="17" t="s">
        <v>952</v>
      </c>
      <c r="D1239" s="112">
        <f>D1185</f>
        <v>53.149721627408987</v>
      </c>
      <c r="E1239" s="17">
        <f>I1202</f>
        <v>1807.2</v>
      </c>
      <c r="F1239" s="17">
        <f>ROUND((D1239/E1239)/60,2)</f>
        <v>0</v>
      </c>
      <c r="G1239" s="17">
        <f>E1206</f>
        <v>5</v>
      </c>
      <c r="H1239" s="16">
        <f>ROUND(F1239*G1239,2)</f>
        <v>0</v>
      </c>
    </row>
    <row r="1240" spans="1:20" x14ac:dyDescent="0.3">
      <c r="C1240" s="17" t="s">
        <v>953</v>
      </c>
      <c r="D1240" s="112">
        <f>D1186</f>
        <v>374.98368308351178</v>
      </c>
      <c r="E1240" s="17">
        <f>I1202</f>
        <v>1807.2</v>
      </c>
      <c r="F1240" s="17">
        <f>ROUND((D1240/E1240)/60,2)</f>
        <v>0</v>
      </c>
      <c r="G1240" s="17">
        <f>E1206</f>
        <v>5</v>
      </c>
      <c r="H1240" s="16">
        <f>ROUND(F1240*G1240,2)</f>
        <v>0</v>
      </c>
    </row>
    <row r="1241" spans="1:20" x14ac:dyDescent="0.3">
      <c r="C1241" s="17" t="s">
        <v>1109</v>
      </c>
      <c r="D1241" s="112">
        <f>D1187</f>
        <v>1686.0389293361886</v>
      </c>
      <c r="E1241" s="17">
        <f>I1202</f>
        <v>1807.2</v>
      </c>
      <c r="F1241" s="17">
        <f>ROUND((D1241/E1241)/60,2)</f>
        <v>0.02</v>
      </c>
      <c r="G1241" s="17">
        <f>E1206</f>
        <v>5</v>
      </c>
      <c r="H1241" s="16">
        <f>ROUND(F1241*G1241,2)</f>
        <v>0.1</v>
      </c>
    </row>
    <row r="1242" spans="1:20" x14ac:dyDescent="0.3">
      <c r="C1242" s="1012" t="s">
        <v>957</v>
      </c>
      <c r="D1242" s="1013"/>
      <c r="E1242" s="1013"/>
      <c r="F1242" s="1013"/>
      <c r="G1242" s="1014"/>
      <c r="H1242" s="18">
        <f>SUM(H1233:H1241)</f>
        <v>1.04</v>
      </c>
    </row>
    <row r="1244" spans="1:20" x14ac:dyDescent="0.3">
      <c r="C1244" s="1015" t="s">
        <v>959</v>
      </c>
      <c r="D1244" s="1015"/>
      <c r="E1244" s="1015"/>
      <c r="F1244" s="1015"/>
      <c r="G1244" s="1015"/>
      <c r="H1244" s="32">
        <f>F1198+F1210+F1229+F1224</f>
        <v>16.45</v>
      </c>
    </row>
    <row r="1245" spans="1:20" x14ac:dyDescent="0.3">
      <c r="C1245" s="33"/>
      <c r="D1245" s="33"/>
      <c r="E1245" s="33"/>
      <c r="F1245" s="33"/>
      <c r="G1245" s="33"/>
      <c r="H1245" s="34"/>
    </row>
    <row r="1246" spans="1:20" x14ac:dyDescent="0.3">
      <c r="C1246" s="1015" t="s">
        <v>960</v>
      </c>
      <c r="D1246" s="1015"/>
      <c r="E1246" s="1015"/>
      <c r="F1246" s="1015"/>
      <c r="G1246" s="1015"/>
      <c r="H1246" s="32">
        <f>ROUND(H1244,0)</f>
        <v>16</v>
      </c>
    </row>
    <row r="1248" spans="1:20" s="54" customFormat="1" ht="19.8" x14ac:dyDescent="0.4">
      <c r="A1248" s="53"/>
      <c r="B1248" s="1016" t="s">
        <v>958</v>
      </c>
      <c r="C1248" s="1016"/>
      <c r="D1248" s="1016"/>
      <c r="E1248" s="1016"/>
      <c r="F1248" s="1016"/>
      <c r="G1248" s="1016"/>
      <c r="H1248" s="1016"/>
      <c r="I1248" s="1016"/>
      <c r="J1248" s="1016"/>
      <c r="K1248" s="137"/>
      <c r="L1248" s="126"/>
      <c r="M1248" s="126"/>
      <c r="N1248" s="70"/>
      <c r="O1248" s="53"/>
      <c r="P1248" s="53"/>
      <c r="Q1248" s="53"/>
      <c r="R1248" s="53"/>
      <c r="S1248" s="53"/>
      <c r="T1248" s="53"/>
    </row>
    <row r="1249" spans="1:20" s="54" customFormat="1" ht="19.8" x14ac:dyDescent="0.4">
      <c r="A1249" s="53"/>
      <c r="B1249" s="53"/>
      <c r="C1249" s="53"/>
      <c r="D1249" s="53"/>
      <c r="E1249" s="53"/>
      <c r="F1249" s="53"/>
      <c r="G1249" s="53"/>
      <c r="H1249" s="53"/>
      <c r="I1249" s="53"/>
      <c r="J1249" s="53"/>
      <c r="K1249" s="132"/>
      <c r="L1249" s="126"/>
      <c r="M1249" s="126"/>
      <c r="N1249" s="70"/>
      <c r="O1249" s="53"/>
      <c r="P1249" s="53"/>
      <c r="Q1249" s="53"/>
      <c r="R1249" s="53"/>
      <c r="S1249" s="53"/>
      <c r="T1249" s="53"/>
    </row>
    <row r="1250" spans="1:20" s="54" customFormat="1" ht="19.8" x14ac:dyDescent="0.4">
      <c r="A1250" s="53"/>
      <c r="B1250" s="50" t="s">
        <v>771</v>
      </c>
      <c r="C1250" s="1017" t="s">
        <v>776</v>
      </c>
      <c r="D1250" s="1017"/>
      <c r="E1250" s="1017"/>
      <c r="F1250" s="52">
        <f>H1299</f>
        <v>23</v>
      </c>
      <c r="G1250" s="52" t="s">
        <v>971</v>
      </c>
      <c r="H1250" s="53"/>
      <c r="I1250" s="53"/>
      <c r="J1250" s="53"/>
      <c r="K1250" s="132"/>
      <c r="L1250" s="126"/>
      <c r="M1250" s="126"/>
      <c r="N1250" s="70"/>
      <c r="O1250" s="53"/>
      <c r="P1250" s="53"/>
      <c r="Q1250" s="53"/>
      <c r="R1250" s="53"/>
      <c r="S1250" s="53"/>
      <c r="T1250" s="53"/>
    </row>
    <row r="1252" spans="1:20" x14ac:dyDescent="0.3">
      <c r="C1252" s="1018" t="s">
        <v>932</v>
      </c>
      <c r="D1252" s="1018"/>
      <c r="E1252" s="10"/>
      <c r="F1252" s="11">
        <f>F1259+F1262+F1260</f>
        <v>16.380000000000003</v>
      </c>
      <c r="G1252" s="12" t="s">
        <v>971</v>
      </c>
    </row>
    <row r="1254" spans="1:20" x14ac:dyDescent="0.3">
      <c r="C1254" s="13" t="s">
        <v>929</v>
      </c>
      <c r="D1254" s="14" t="s">
        <v>928</v>
      </c>
      <c r="E1254" s="14" t="s">
        <v>514</v>
      </c>
      <c r="F1254" s="14" t="s">
        <v>515</v>
      </c>
      <c r="G1254" s="14" t="s">
        <v>962</v>
      </c>
      <c r="H1254" s="14" t="s">
        <v>926</v>
      </c>
      <c r="I1254" s="14" t="s">
        <v>516</v>
      </c>
      <c r="J1254" s="14" t="s">
        <v>961</v>
      </c>
      <c r="K1254" s="138"/>
    </row>
    <row r="1255" spans="1:20" x14ac:dyDescent="0.3">
      <c r="C1255" s="17" t="str">
        <f>C1201</f>
        <v>Лікар-лаборант</v>
      </c>
      <c r="D1255" s="17">
        <f>D1201</f>
        <v>10799.43</v>
      </c>
      <c r="E1255" s="16">
        <f>D1255*12</f>
        <v>129593.16</v>
      </c>
      <c r="F1255" s="17">
        <f>F1201</f>
        <v>8307.26</v>
      </c>
      <c r="G1255" s="17">
        <f>G1201</f>
        <v>4153.63</v>
      </c>
      <c r="H1255" s="16">
        <f>E1255+F1255+G1255</f>
        <v>142054.05000000002</v>
      </c>
      <c r="I1255" s="17">
        <v>1807.2</v>
      </c>
      <c r="J1255" s="16">
        <f>ROUND((H1255/I1255)/60,2)</f>
        <v>1.31</v>
      </c>
      <c r="K1255" s="140"/>
    </row>
    <row r="1256" spans="1:20" x14ac:dyDescent="0.3">
      <c r="C1256" s="17" t="str">
        <f>C1202</f>
        <v>Лаборант клінічної лабораторії</v>
      </c>
      <c r="D1256" s="17">
        <f>D1202</f>
        <v>7871.18</v>
      </c>
      <c r="E1256" s="16">
        <f>D1256*12</f>
        <v>94454.16</v>
      </c>
      <c r="F1256" s="17">
        <f>F1202</f>
        <v>6054.75</v>
      </c>
      <c r="G1256" s="17">
        <f>G1202</f>
        <v>3027.375</v>
      </c>
      <c r="H1256" s="16">
        <f>E1256+F1256+G1256</f>
        <v>103536.285</v>
      </c>
      <c r="I1256" s="17">
        <v>1807.2</v>
      </c>
      <c r="J1256" s="16">
        <f>ROUND((H1256/I1256)/60,2)</f>
        <v>0.95</v>
      </c>
      <c r="K1256" s="140"/>
    </row>
    <row r="1258" spans="1:20" ht="27.6" x14ac:dyDescent="0.3">
      <c r="C1258" s="13" t="s">
        <v>929</v>
      </c>
      <c r="D1258" s="14" t="s">
        <v>961</v>
      </c>
      <c r="E1258" s="14" t="s">
        <v>930</v>
      </c>
      <c r="F1258" s="14" t="s">
        <v>931</v>
      </c>
    </row>
    <row r="1259" spans="1:20" x14ac:dyDescent="0.3">
      <c r="C1259" s="15" t="str">
        <f>C1255</f>
        <v>Лікар-лаборант</v>
      </c>
      <c r="D1259" s="16">
        <f>J1255</f>
        <v>1.31</v>
      </c>
      <c r="E1259" s="17">
        <v>3</v>
      </c>
      <c r="F1259" s="18">
        <f>ROUND(D1259*E1259,2)</f>
        <v>3.93</v>
      </c>
    </row>
    <row r="1260" spans="1:20" x14ac:dyDescent="0.3">
      <c r="C1260" s="15" t="str">
        <f>C1256</f>
        <v>Лаборант клінічної лабораторії</v>
      </c>
      <c r="D1260" s="16">
        <f>J1256</f>
        <v>0.95</v>
      </c>
      <c r="E1260" s="17">
        <v>10</v>
      </c>
      <c r="F1260" s="18">
        <f>ROUND(D1260*E1260,2)</f>
        <v>9.5</v>
      </c>
    </row>
    <row r="1261" spans="1:20" x14ac:dyDescent="0.3">
      <c r="D1261" s="19"/>
      <c r="E1261" s="7" t="s">
        <v>1016</v>
      </c>
    </row>
    <row r="1262" spans="1:20" x14ac:dyDescent="0.3">
      <c r="C1262" s="17" t="s">
        <v>933</v>
      </c>
      <c r="D1262" s="16">
        <f>F1259+F1260</f>
        <v>13.43</v>
      </c>
      <c r="E1262" s="20">
        <v>0.22</v>
      </c>
      <c r="F1262" s="21">
        <f>ROUND(D1262*E1262,2)</f>
        <v>2.95</v>
      </c>
    </row>
    <row r="1264" spans="1:20" x14ac:dyDescent="0.3">
      <c r="C1264" s="12" t="s">
        <v>946</v>
      </c>
      <c r="D1264" s="12"/>
      <c r="E1264" s="12"/>
      <c r="F1264" s="12">
        <f>G1275</f>
        <v>4.3699999999999992</v>
      </c>
      <c r="G1264" s="12" t="s">
        <v>971</v>
      </c>
    </row>
    <row r="1266" spans="2:9" ht="27.6" x14ac:dyDescent="0.3">
      <c r="B1266" s="82" t="s">
        <v>991</v>
      </c>
      <c r="C1266" s="83" t="s">
        <v>986</v>
      </c>
      <c r="D1266" s="83" t="s">
        <v>987</v>
      </c>
      <c r="E1266" s="83" t="s">
        <v>988</v>
      </c>
      <c r="F1266" s="83" t="s">
        <v>989</v>
      </c>
      <c r="G1266" s="82" t="s">
        <v>990</v>
      </c>
    </row>
    <row r="1267" spans="2:9" x14ac:dyDescent="0.3">
      <c r="B1267" s="84">
        <v>1</v>
      </c>
      <c r="C1267" s="79" t="s">
        <v>1042</v>
      </c>
      <c r="D1267" s="78" t="s">
        <v>974</v>
      </c>
      <c r="E1267" s="78">
        <f>'МЕДИЧНІ М'!E74</f>
        <v>238</v>
      </c>
      <c r="F1267" s="84">
        <v>1000</v>
      </c>
      <c r="G1267" s="88">
        <f>ROUND(E1267/F1267,2)</f>
        <v>0.24</v>
      </c>
    </row>
    <row r="1268" spans="2:9" x14ac:dyDescent="0.3">
      <c r="B1268" s="73">
        <f>B1267+1</f>
        <v>2</v>
      </c>
      <c r="C1268" s="79" t="s">
        <v>984</v>
      </c>
      <c r="D1268" s="76" t="s">
        <v>941</v>
      </c>
      <c r="E1268" s="76">
        <f>'МЕДИЧНІ М'!E64</f>
        <v>36</v>
      </c>
      <c r="F1268" s="77">
        <v>1000</v>
      </c>
      <c r="G1268" s="88">
        <f>ROUND(E1268/F1268,2)</f>
        <v>0.04</v>
      </c>
    </row>
    <row r="1269" spans="2:9" x14ac:dyDescent="0.3">
      <c r="B1269" s="73">
        <f t="shared" ref="B1269:B1274" si="31">B1268+1</f>
        <v>3</v>
      </c>
      <c r="C1269" s="79" t="s">
        <v>985</v>
      </c>
      <c r="D1269" s="76" t="s">
        <v>937</v>
      </c>
      <c r="E1269" s="76">
        <f>'МЕДИЧНІ М'!F39</f>
        <v>0.3</v>
      </c>
      <c r="F1269" s="77">
        <v>1</v>
      </c>
      <c r="G1269" s="88">
        <f>ROUND(E1269*F1269,2)</f>
        <v>0.3</v>
      </c>
    </row>
    <row r="1270" spans="2:9" x14ac:dyDescent="0.3">
      <c r="B1270" s="73">
        <f t="shared" si="31"/>
        <v>4</v>
      </c>
      <c r="C1270" s="79" t="s">
        <v>934</v>
      </c>
      <c r="D1270" s="76" t="s">
        <v>941</v>
      </c>
      <c r="E1270" s="76">
        <f>'МЕДИЧНІ М'!E59</f>
        <v>2.8</v>
      </c>
      <c r="F1270" s="86">
        <v>10</v>
      </c>
      <c r="G1270" s="88">
        <f>ROUND(E1270/F1270,2)</f>
        <v>0.28000000000000003</v>
      </c>
    </row>
    <row r="1271" spans="2:9" x14ac:dyDescent="0.3">
      <c r="B1271" s="73">
        <f t="shared" si="31"/>
        <v>5</v>
      </c>
      <c r="C1271" s="27" t="s">
        <v>940</v>
      </c>
      <c r="D1271" s="28" t="s">
        <v>941</v>
      </c>
      <c r="E1271" s="81">
        <f>'МЕДИЧНІ М'!E37</f>
        <v>2</v>
      </c>
      <c r="F1271" s="28">
        <v>1.5</v>
      </c>
      <c r="G1271" s="28">
        <f>ROUND(E1271*F1271,2)</f>
        <v>3</v>
      </c>
    </row>
    <row r="1272" spans="2:9" x14ac:dyDescent="0.3">
      <c r="B1272" s="73">
        <f t="shared" si="31"/>
        <v>6</v>
      </c>
      <c r="C1272" s="27" t="s">
        <v>943</v>
      </c>
      <c r="D1272" s="28" t="s">
        <v>944</v>
      </c>
      <c r="E1272" s="81">
        <f>'МЕДИЧНІ М'!F21</f>
        <v>7.0000000000000007E-2</v>
      </c>
      <c r="F1272" s="28">
        <v>0.14000000000000001</v>
      </c>
      <c r="G1272" s="28">
        <f>ROUND(E1272*F1272,2)</f>
        <v>0.01</v>
      </c>
    </row>
    <row r="1273" spans="2:9" x14ac:dyDescent="0.3">
      <c r="B1273" s="73">
        <f t="shared" si="31"/>
        <v>7</v>
      </c>
      <c r="C1273" s="27" t="s">
        <v>942</v>
      </c>
      <c r="D1273" s="75" t="s">
        <v>974</v>
      </c>
      <c r="E1273" s="76">
        <f>'МЕДИЧНІ М'!E65</f>
        <v>24.6</v>
      </c>
      <c r="F1273" s="77">
        <v>100</v>
      </c>
      <c r="G1273" s="78">
        <f>ROUND(E1273/F1273,2)</f>
        <v>0.25</v>
      </c>
    </row>
    <row r="1274" spans="2:9" x14ac:dyDescent="0.3">
      <c r="B1274" s="73">
        <f t="shared" si="31"/>
        <v>8</v>
      </c>
      <c r="C1274" s="27" t="s">
        <v>1124</v>
      </c>
      <c r="D1274" s="28" t="s">
        <v>944</v>
      </c>
      <c r="E1274" s="81">
        <f>'МЕДИЧНІ М'!E24</f>
        <v>0.5</v>
      </c>
      <c r="F1274" s="81">
        <v>0.5</v>
      </c>
      <c r="G1274" s="28">
        <f>ROUND(E1274*F1274,2)</f>
        <v>0.25</v>
      </c>
    </row>
    <row r="1275" spans="2:9" x14ac:dyDescent="0.3">
      <c r="B1275" s="1012" t="s">
        <v>945</v>
      </c>
      <c r="C1275" s="1013"/>
      <c r="D1275" s="1013"/>
      <c r="E1275" s="1013"/>
      <c r="F1275" s="1014"/>
      <c r="G1275" s="89">
        <f>SUM(G1267:G1274)</f>
        <v>4.3699999999999992</v>
      </c>
    </row>
    <row r="1277" spans="2:9" x14ac:dyDescent="0.3">
      <c r="C1277" s="12" t="s">
        <v>968</v>
      </c>
      <c r="D1277" s="12"/>
      <c r="E1277" s="12"/>
      <c r="F1277" s="11">
        <f>H1280</f>
        <v>0.52</v>
      </c>
      <c r="G1277" s="12" t="s">
        <v>971</v>
      </c>
    </row>
    <row r="1278" spans="2:9" x14ac:dyDescent="0.3">
      <c r="C1278" s="22"/>
      <c r="D1278" s="22"/>
      <c r="E1278" s="22"/>
      <c r="F1278" s="23"/>
      <c r="G1278" s="22"/>
    </row>
    <row r="1279" spans="2:9" ht="27.6" x14ac:dyDescent="0.3">
      <c r="C1279" s="14" t="s">
        <v>513</v>
      </c>
      <c r="D1279" s="14" t="s">
        <v>969</v>
      </c>
      <c r="E1279" s="14" t="s">
        <v>516</v>
      </c>
      <c r="F1279" s="14" t="s">
        <v>970</v>
      </c>
      <c r="G1279" s="14" t="s">
        <v>930</v>
      </c>
      <c r="H1279" s="14" t="s">
        <v>961</v>
      </c>
    </row>
    <row r="1280" spans="2:9" x14ac:dyDescent="0.3">
      <c r="C1280" s="27" t="s">
        <v>1090</v>
      </c>
      <c r="D1280" s="17">
        <f>АМОРТИЗАЦІЯ!C5</f>
        <v>34445.759999999995</v>
      </c>
      <c r="E1280" s="17">
        <v>13679.5</v>
      </c>
      <c r="F1280" s="17">
        <f>ROUND((D1280/E1280)/60,2)</f>
        <v>0.04</v>
      </c>
      <c r="G1280" s="17">
        <f>E1260+E1259</f>
        <v>13</v>
      </c>
      <c r="H1280" s="16">
        <f>ROUND(F1280*G1280,2)</f>
        <v>0.52</v>
      </c>
      <c r="I1280" s="38"/>
    </row>
    <row r="1282" spans="3:8" x14ac:dyDescent="0.3">
      <c r="C1282" s="12" t="s">
        <v>948</v>
      </c>
      <c r="D1282" s="12"/>
      <c r="E1282" s="12"/>
      <c r="F1282" s="11">
        <f>H1295</f>
        <v>1.6900000000000002</v>
      </c>
      <c r="G1282" s="12" t="s">
        <v>971</v>
      </c>
    </row>
    <row r="1283" spans="3:8" x14ac:dyDescent="0.3">
      <c r="C1283" s="22"/>
      <c r="D1283" s="22"/>
      <c r="E1283" s="22"/>
      <c r="F1283" s="23"/>
    </row>
    <row r="1284" spans="3:8" ht="27.6" x14ac:dyDescent="0.3">
      <c r="C1284" s="14" t="s">
        <v>948</v>
      </c>
      <c r="D1284" s="14" t="s">
        <v>1110</v>
      </c>
      <c r="E1284" s="14" t="s">
        <v>516</v>
      </c>
      <c r="F1284" s="14" t="s">
        <v>954</v>
      </c>
      <c r="G1284" s="14" t="s">
        <v>930</v>
      </c>
      <c r="H1284" s="14" t="s">
        <v>1111</v>
      </c>
    </row>
    <row r="1285" spans="3:8" x14ac:dyDescent="0.3">
      <c r="C1285" s="1009" t="str">
        <f>C1255</f>
        <v>Лікар-лаборант</v>
      </c>
      <c r="D1285" s="1010"/>
      <c r="E1285" s="1010"/>
      <c r="F1285" s="1010"/>
      <c r="G1285" s="1010"/>
      <c r="H1285" s="1011"/>
    </row>
    <row r="1286" spans="3:8" x14ac:dyDescent="0.3">
      <c r="C1286" s="17" t="s">
        <v>951</v>
      </c>
      <c r="D1286" s="112">
        <f>D1233</f>
        <v>12188.608008565312</v>
      </c>
      <c r="E1286" s="17">
        <f>I1255</f>
        <v>1807.2</v>
      </c>
      <c r="F1286" s="17">
        <f>ROUND((D1286/E1286)/60,2)</f>
        <v>0.11</v>
      </c>
      <c r="G1286" s="17">
        <f>E1259</f>
        <v>3</v>
      </c>
      <c r="H1286" s="16">
        <f>ROUND(F1286*G1286,2)</f>
        <v>0.33</v>
      </c>
    </row>
    <row r="1287" spans="3:8" x14ac:dyDescent="0.3">
      <c r="C1287" s="17" t="s">
        <v>952</v>
      </c>
      <c r="D1287" s="112">
        <f>D1234</f>
        <v>53.149721627408987</v>
      </c>
      <c r="E1287" s="17">
        <f>I1255</f>
        <v>1807.2</v>
      </c>
      <c r="F1287" s="17">
        <f>ROUND((D1287/E1287)/60,2)</f>
        <v>0</v>
      </c>
      <c r="G1287" s="17">
        <f>E1259</f>
        <v>3</v>
      </c>
      <c r="H1287" s="16">
        <f>ROUND(F1287*G1287,2)</f>
        <v>0</v>
      </c>
    </row>
    <row r="1288" spans="3:8" x14ac:dyDescent="0.3">
      <c r="C1288" s="17" t="s">
        <v>953</v>
      </c>
      <c r="D1288" s="112">
        <f>D1235</f>
        <v>374.98368308351178</v>
      </c>
      <c r="E1288" s="17">
        <f>I1255</f>
        <v>1807.2</v>
      </c>
      <c r="F1288" s="17">
        <f>ROUND((D1288/E1288)/60,2)</f>
        <v>0</v>
      </c>
      <c r="G1288" s="17">
        <f>E1259</f>
        <v>3</v>
      </c>
      <c r="H1288" s="16">
        <f>ROUND(F1288*G1288,2)</f>
        <v>0</v>
      </c>
    </row>
    <row r="1289" spans="3:8" x14ac:dyDescent="0.3">
      <c r="C1289" s="17" t="s">
        <v>1109</v>
      </c>
      <c r="D1289" s="112">
        <f>D1236</f>
        <v>1686.0389293361886</v>
      </c>
      <c r="E1289" s="17">
        <f>I1255</f>
        <v>1807.2</v>
      </c>
      <c r="F1289" s="17">
        <f>ROUND((D1289/E1289)/60,2)</f>
        <v>0.02</v>
      </c>
      <c r="G1289" s="17">
        <f>E1259</f>
        <v>3</v>
      </c>
      <c r="H1289" s="16">
        <f>ROUND(F1289*G1289,2)</f>
        <v>0.06</v>
      </c>
    </row>
    <row r="1290" spans="3:8" x14ac:dyDescent="0.3">
      <c r="C1290" s="1009" t="str">
        <f>C1256</f>
        <v>Лаборант клінічної лабораторії</v>
      </c>
      <c r="D1290" s="1010"/>
      <c r="E1290" s="1010"/>
      <c r="F1290" s="1010"/>
      <c r="G1290" s="1010"/>
      <c r="H1290" s="1011"/>
    </row>
    <row r="1291" spans="3:8" x14ac:dyDescent="0.3">
      <c r="C1291" s="17" t="s">
        <v>951</v>
      </c>
      <c r="D1291" s="112">
        <f>D1238</f>
        <v>12188.608008565312</v>
      </c>
      <c r="E1291" s="17">
        <f>I1256</f>
        <v>1807.2</v>
      </c>
      <c r="F1291" s="17">
        <f>ROUND((D1291/E1291)/60,2)</f>
        <v>0.11</v>
      </c>
      <c r="G1291" s="17">
        <f>E1260</f>
        <v>10</v>
      </c>
      <c r="H1291" s="16">
        <f>ROUND(F1291*G1291,2)</f>
        <v>1.1000000000000001</v>
      </c>
    </row>
    <row r="1292" spans="3:8" x14ac:dyDescent="0.3">
      <c r="C1292" s="17" t="s">
        <v>952</v>
      </c>
      <c r="D1292" s="112">
        <f>D1239</f>
        <v>53.149721627408987</v>
      </c>
      <c r="E1292" s="17">
        <f>I1256</f>
        <v>1807.2</v>
      </c>
      <c r="F1292" s="17">
        <f>ROUND((D1292/E1292)/60,2)</f>
        <v>0</v>
      </c>
      <c r="G1292" s="17">
        <f>E1260</f>
        <v>10</v>
      </c>
      <c r="H1292" s="16">
        <f>ROUND(F1292*G1292,2)</f>
        <v>0</v>
      </c>
    </row>
    <row r="1293" spans="3:8" x14ac:dyDescent="0.3">
      <c r="C1293" s="17" t="s">
        <v>953</v>
      </c>
      <c r="D1293" s="112">
        <f>D1240</f>
        <v>374.98368308351178</v>
      </c>
      <c r="E1293" s="17">
        <f>I1256</f>
        <v>1807.2</v>
      </c>
      <c r="F1293" s="17">
        <f>ROUND((D1293/E1293)/60,2)</f>
        <v>0</v>
      </c>
      <c r="G1293" s="17">
        <f>E1260</f>
        <v>10</v>
      </c>
      <c r="H1293" s="16">
        <f>ROUND(F1293*G1293,2)</f>
        <v>0</v>
      </c>
    </row>
    <row r="1294" spans="3:8" x14ac:dyDescent="0.3">
      <c r="C1294" s="17" t="s">
        <v>1109</v>
      </c>
      <c r="D1294" s="112">
        <f>D1241</f>
        <v>1686.0389293361886</v>
      </c>
      <c r="E1294" s="17">
        <f>I1256</f>
        <v>1807.2</v>
      </c>
      <c r="F1294" s="17">
        <f>ROUND((D1294/E1294)/60,2)</f>
        <v>0.02</v>
      </c>
      <c r="G1294" s="17">
        <f>E1260</f>
        <v>10</v>
      </c>
      <c r="H1294" s="16">
        <f>ROUND(F1294*G1294,2)</f>
        <v>0.2</v>
      </c>
    </row>
    <row r="1295" spans="3:8" x14ac:dyDescent="0.3">
      <c r="C1295" s="1012" t="s">
        <v>957</v>
      </c>
      <c r="D1295" s="1013"/>
      <c r="E1295" s="1013"/>
      <c r="F1295" s="1013"/>
      <c r="G1295" s="1014"/>
      <c r="H1295" s="18">
        <f>SUM(H1286:H1294)</f>
        <v>1.6900000000000002</v>
      </c>
    </row>
    <row r="1297" spans="1:20" x14ac:dyDescent="0.3">
      <c r="C1297" s="1015" t="s">
        <v>959</v>
      </c>
      <c r="D1297" s="1015"/>
      <c r="E1297" s="1015"/>
      <c r="F1297" s="1015"/>
      <c r="G1297" s="1015"/>
      <c r="H1297" s="32">
        <f>F1252+F1264+F1282+F1277</f>
        <v>22.96</v>
      </c>
    </row>
    <row r="1298" spans="1:20" x14ac:dyDescent="0.3">
      <c r="C1298" s="33"/>
      <c r="D1298" s="33"/>
      <c r="E1298" s="33"/>
      <c r="F1298" s="33"/>
      <c r="G1298" s="33"/>
      <c r="H1298" s="34"/>
    </row>
    <row r="1299" spans="1:20" x14ac:dyDescent="0.3">
      <c r="C1299" s="1015" t="s">
        <v>960</v>
      </c>
      <c r="D1299" s="1015"/>
      <c r="E1299" s="1015"/>
      <c r="F1299" s="1015"/>
      <c r="G1299" s="1015"/>
      <c r="H1299" s="32">
        <f>ROUND(H1297,0)</f>
        <v>23</v>
      </c>
    </row>
    <row r="1302" spans="1:20" s="54" customFormat="1" ht="19.8" x14ac:dyDescent="0.4">
      <c r="A1302" s="53"/>
      <c r="B1302" s="1016" t="s">
        <v>958</v>
      </c>
      <c r="C1302" s="1016"/>
      <c r="D1302" s="1016"/>
      <c r="E1302" s="1016"/>
      <c r="F1302" s="1016"/>
      <c r="G1302" s="1016"/>
      <c r="H1302" s="1016"/>
      <c r="I1302" s="1016"/>
      <c r="J1302" s="1016"/>
      <c r="K1302" s="137"/>
      <c r="L1302" s="126"/>
      <c r="M1302" s="126"/>
      <c r="N1302" s="70"/>
      <c r="O1302" s="53"/>
      <c r="P1302" s="53"/>
      <c r="Q1302" s="53"/>
      <c r="R1302" s="53"/>
      <c r="S1302" s="53"/>
      <c r="T1302" s="53"/>
    </row>
    <row r="1303" spans="1:20" s="54" customFormat="1" ht="7.5" customHeight="1" x14ac:dyDescent="0.4">
      <c r="A1303" s="53"/>
      <c r="B1303" s="53"/>
      <c r="C1303" s="53"/>
      <c r="D1303" s="53"/>
      <c r="E1303" s="53"/>
      <c r="F1303" s="53"/>
      <c r="G1303" s="53"/>
      <c r="H1303" s="53"/>
      <c r="I1303" s="53"/>
      <c r="J1303" s="53"/>
      <c r="K1303" s="132"/>
      <c r="L1303" s="126"/>
      <c r="M1303" s="126"/>
      <c r="N1303" s="70"/>
      <c r="O1303" s="53"/>
      <c r="P1303" s="53"/>
      <c r="Q1303" s="53"/>
      <c r="R1303" s="53"/>
      <c r="S1303" s="53"/>
      <c r="T1303" s="53"/>
    </row>
    <row r="1304" spans="1:20" s="54" customFormat="1" ht="53.25" customHeight="1" x14ac:dyDescent="0.4">
      <c r="A1304" s="53"/>
      <c r="B1304" s="50" t="s">
        <v>773</v>
      </c>
      <c r="C1304" s="1017" t="s">
        <v>778</v>
      </c>
      <c r="D1304" s="1017"/>
      <c r="E1304" s="1017"/>
      <c r="F1304" s="52">
        <f>H1356</f>
        <v>48</v>
      </c>
      <c r="G1304" s="52" t="s">
        <v>971</v>
      </c>
      <c r="H1304" s="53"/>
      <c r="I1304" s="53"/>
      <c r="J1304" s="53"/>
      <c r="K1304" s="132"/>
      <c r="L1304" s="126"/>
      <c r="M1304" s="126"/>
      <c r="N1304" s="70"/>
      <c r="O1304" s="53"/>
      <c r="P1304" s="53"/>
      <c r="Q1304" s="53"/>
      <c r="R1304" s="53"/>
      <c r="S1304" s="53"/>
      <c r="T1304" s="53"/>
    </row>
    <row r="1305" spans="1:20" ht="7.5" customHeight="1" x14ac:dyDescent="0.3"/>
    <row r="1306" spans="1:20" x14ac:dyDescent="0.3">
      <c r="C1306" s="1018" t="s">
        <v>932</v>
      </c>
      <c r="D1306" s="1018"/>
      <c r="E1306" s="10"/>
      <c r="F1306" s="11">
        <f>F1313+F1316+F1314</f>
        <v>27.97</v>
      </c>
      <c r="G1306" s="12" t="s">
        <v>971</v>
      </c>
    </row>
    <row r="1307" spans="1:20" ht="10.5" customHeight="1" x14ac:dyDescent="0.3"/>
    <row r="1308" spans="1:20" x14ac:dyDescent="0.3">
      <c r="C1308" s="13" t="s">
        <v>929</v>
      </c>
      <c r="D1308" s="14" t="s">
        <v>928</v>
      </c>
      <c r="E1308" s="14" t="s">
        <v>514</v>
      </c>
      <c r="F1308" s="14" t="s">
        <v>515</v>
      </c>
      <c r="G1308" s="14" t="s">
        <v>962</v>
      </c>
      <c r="H1308" s="14" t="s">
        <v>926</v>
      </c>
      <c r="I1308" s="14" t="s">
        <v>516</v>
      </c>
      <c r="J1308" s="14" t="s">
        <v>961</v>
      </c>
      <c r="K1308" s="138"/>
    </row>
    <row r="1309" spans="1:20" x14ac:dyDescent="0.3">
      <c r="C1309" s="17" t="str">
        <f>C1255</f>
        <v>Лікар-лаборант</v>
      </c>
      <c r="D1309" s="17">
        <f>D1255</f>
        <v>10799.43</v>
      </c>
      <c r="E1309" s="16">
        <f>D1309*12</f>
        <v>129593.16</v>
      </c>
      <c r="F1309" s="17">
        <f>F1255</f>
        <v>8307.26</v>
      </c>
      <c r="G1309" s="17">
        <f>G1255</f>
        <v>4153.63</v>
      </c>
      <c r="H1309" s="16">
        <f>E1309+F1309+G1309</f>
        <v>142054.05000000002</v>
      </c>
      <c r="I1309" s="17">
        <v>1807.2</v>
      </c>
      <c r="J1309" s="16">
        <f>ROUND((H1309/I1309)/60,2)</f>
        <v>1.31</v>
      </c>
      <c r="K1309" s="140"/>
    </row>
    <row r="1310" spans="1:20" x14ac:dyDescent="0.3">
      <c r="C1310" s="17" t="str">
        <f>C1256</f>
        <v>Лаборант клінічної лабораторії</v>
      </c>
      <c r="D1310" s="17">
        <f>D1256</f>
        <v>7871.18</v>
      </c>
      <c r="E1310" s="16">
        <f>D1310*12</f>
        <v>94454.16</v>
      </c>
      <c r="F1310" s="17">
        <f>F1256</f>
        <v>6054.75</v>
      </c>
      <c r="G1310" s="17">
        <f>G1256</f>
        <v>3027.375</v>
      </c>
      <c r="H1310" s="16">
        <f>E1310+F1310+G1310</f>
        <v>103536.285</v>
      </c>
      <c r="I1310" s="17">
        <v>1807.2</v>
      </c>
      <c r="J1310" s="16">
        <f>ROUND((H1310/I1310)/60,2)</f>
        <v>0.95</v>
      </c>
      <c r="K1310" s="140"/>
    </row>
    <row r="1311" spans="1:20" ht="10.5" customHeight="1" x14ac:dyDescent="0.3"/>
    <row r="1312" spans="1:20" ht="27.6" x14ac:dyDescent="0.3">
      <c r="C1312" s="13" t="s">
        <v>929</v>
      </c>
      <c r="D1312" s="14" t="s">
        <v>961</v>
      </c>
      <c r="E1312" s="14" t="s">
        <v>930</v>
      </c>
      <c r="F1312" s="14" t="s">
        <v>931</v>
      </c>
    </row>
    <row r="1313" spans="2:7" x14ac:dyDescent="0.3">
      <c r="C1313" s="15" t="str">
        <f>C1309</f>
        <v>Лікар-лаборант</v>
      </c>
      <c r="D1313" s="16">
        <f>J1309</f>
        <v>1.31</v>
      </c>
      <c r="E1313" s="17">
        <v>3</v>
      </c>
      <c r="F1313" s="18">
        <f>ROUND(D1313*E1313,2)</f>
        <v>3.93</v>
      </c>
    </row>
    <row r="1314" spans="2:7" x14ac:dyDescent="0.3">
      <c r="C1314" s="15" t="str">
        <f>C1310</f>
        <v>Лаборант клінічної лабораторії</v>
      </c>
      <c r="D1314" s="16">
        <f>J1310</f>
        <v>0.95</v>
      </c>
      <c r="E1314" s="17">
        <v>20</v>
      </c>
      <c r="F1314" s="18">
        <f>ROUND(D1314*E1314,2)</f>
        <v>19</v>
      </c>
    </row>
    <row r="1315" spans="2:7" x14ac:dyDescent="0.3">
      <c r="D1315" s="19"/>
      <c r="E1315" s="7" t="s">
        <v>1016</v>
      </c>
    </row>
    <row r="1316" spans="2:7" x14ac:dyDescent="0.3">
      <c r="C1316" s="17" t="s">
        <v>933</v>
      </c>
      <c r="D1316" s="16">
        <f>F1313+F1314</f>
        <v>22.93</v>
      </c>
      <c r="E1316" s="20">
        <v>0.22</v>
      </c>
      <c r="F1316" s="21">
        <f>ROUND(D1316*E1316,2)</f>
        <v>5.04</v>
      </c>
    </row>
    <row r="1317" spans="2:7" ht="3" customHeight="1" x14ac:dyDescent="0.3"/>
    <row r="1318" spans="2:7" x14ac:dyDescent="0.3">
      <c r="C1318" s="12" t="s">
        <v>946</v>
      </c>
      <c r="D1318" s="12"/>
      <c r="E1318" s="12"/>
      <c r="F1318" s="12">
        <f>G1332</f>
        <v>12.100000000000001</v>
      </c>
      <c r="G1318" s="12" t="s">
        <v>971</v>
      </c>
    </row>
    <row r="1319" spans="2:7" ht="4.5" customHeight="1" x14ac:dyDescent="0.3"/>
    <row r="1320" spans="2:7" ht="27.6" x14ac:dyDescent="0.3">
      <c r="B1320" s="82" t="s">
        <v>991</v>
      </c>
      <c r="C1320" s="83" t="s">
        <v>986</v>
      </c>
      <c r="D1320" s="83" t="s">
        <v>987</v>
      </c>
      <c r="E1320" s="83" t="s">
        <v>988</v>
      </c>
      <c r="F1320" s="83" t="s">
        <v>989</v>
      </c>
      <c r="G1320" s="82" t="s">
        <v>990</v>
      </c>
    </row>
    <row r="1321" spans="2:7" x14ac:dyDescent="0.3">
      <c r="B1321" s="84">
        <v>1</v>
      </c>
      <c r="C1321" s="85" t="s">
        <v>1074</v>
      </c>
      <c r="D1321" s="86" t="s">
        <v>941</v>
      </c>
      <c r="E1321" s="87">
        <f>'МЕДИЧНІ М'!E50</f>
        <v>4.3</v>
      </c>
      <c r="F1321" s="86">
        <v>1</v>
      </c>
      <c r="G1321" s="88">
        <f>ROUND(E1321/F1321,2)</f>
        <v>4.3</v>
      </c>
    </row>
    <row r="1322" spans="2:7" x14ac:dyDescent="0.3">
      <c r="B1322" s="73">
        <f>B1321+1</f>
        <v>2</v>
      </c>
      <c r="C1322" s="79" t="s">
        <v>1040</v>
      </c>
      <c r="D1322" s="76" t="s">
        <v>941</v>
      </c>
      <c r="E1322" s="75">
        <f>'МЕДИЧНІ М'!E31</f>
        <v>7.4</v>
      </c>
      <c r="F1322" s="80">
        <v>50</v>
      </c>
      <c r="G1322" s="88">
        <f>ROUND(E1322/F1322,2)</f>
        <v>0.15</v>
      </c>
    </row>
    <row r="1323" spans="2:7" x14ac:dyDescent="0.3">
      <c r="B1323" s="73">
        <f t="shared" ref="B1323:B1331" si="32">B1322+1</f>
        <v>3</v>
      </c>
      <c r="C1323" s="79" t="s">
        <v>934</v>
      </c>
      <c r="D1323" s="76" t="s">
        <v>941</v>
      </c>
      <c r="E1323" s="76">
        <f>'МЕДИЧНІ М'!E59</f>
        <v>2.8</v>
      </c>
      <c r="F1323" s="86">
        <v>10</v>
      </c>
      <c r="G1323" s="88">
        <f>ROUND(E1323/F1323,2)</f>
        <v>0.28000000000000003</v>
      </c>
    </row>
    <row r="1324" spans="2:7" x14ac:dyDescent="0.3">
      <c r="B1324" s="73">
        <f t="shared" si="32"/>
        <v>4</v>
      </c>
      <c r="C1324" s="27" t="s">
        <v>942</v>
      </c>
      <c r="D1324" s="78" t="s">
        <v>974</v>
      </c>
      <c r="E1324" s="76">
        <f>'МЕДИЧНІ М'!E65</f>
        <v>24.6</v>
      </c>
      <c r="F1324" s="77">
        <v>100</v>
      </c>
      <c r="G1324" s="78">
        <f>ROUND(E1324/F1324,2)</f>
        <v>0.25</v>
      </c>
    </row>
    <row r="1325" spans="2:7" x14ac:dyDescent="0.3">
      <c r="B1325" s="73">
        <f t="shared" si="32"/>
        <v>5</v>
      </c>
      <c r="C1325" s="79" t="s">
        <v>1041</v>
      </c>
      <c r="D1325" s="76" t="s">
        <v>941</v>
      </c>
      <c r="E1325" s="76">
        <f>'МЕДИЧНІ М'!E63</f>
        <v>0.2</v>
      </c>
      <c r="F1325" s="77">
        <v>1</v>
      </c>
      <c r="G1325" s="88">
        <f>ROUND(E1325*F1325,2)</f>
        <v>0.2</v>
      </c>
    </row>
    <row r="1326" spans="2:7" x14ac:dyDescent="0.3">
      <c r="B1326" s="73">
        <f t="shared" si="32"/>
        <v>6</v>
      </c>
      <c r="C1326" s="79" t="s">
        <v>1075</v>
      </c>
      <c r="D1326" s="76"/>
      <c r="E1326" s="76">
        <f>'МЕДИЧНІ М'!E56</f>
        <v>51</v>
      </c>
      <c r="F1326" s="77">
        <v>50</v>
      </c>
      <c r="G1326" s="88">
        <f>ROUND(E1326/F1326,2)</f>
        <v>1.02</v>
      </c>
    </row>
    <row r="1327" spans="2:7" x14ac:dyDescent="0.3">
      <c r="B1327" s="73">
        <f t="shared" si="32"/>
        <v>7</v>
      </c>
      <c r="C1327" s="79" t="s">
        <v>1076</v>
      </c>
      <c r="D1327" s="76" t="s">
        <v>941</v>
      </c>
      <c r="E1327" s="76">
        <f>'МЕДИЧНІ М'!E52</f>
        <v>870</v>
      </c>
      <c r="F1327" s="77">
        <v>500</v>
      </c>
      <c r="G1327" s="88">
        <f>ROUND(E1327/F1327,2)</f>
        <v>1.74</v>
      </c>
    </row>
    <row r="1328" spans="2:7" x14ac:dyDescent="0.3">
      <c r="B1328" s="73">
        <f t="shared" si="32"/>
        <v>8</v>
      </c>
      <c r="C1328" s="79" t="s">
        <v>1077</v>
      </c>
      <c r="D1328" s="76" t="s">
        <v>941</v>
      </c>
      <c r="E1328" s="76">
        <f>'МЕДИЧНІ М'!E51</f>
        <v>900</v>
      </c>
      <c r="F1328" s="77">
        <v>1000</v>
      </c>
      <c r="G1328" s="88">
        <f>ROUND(E1328/F1328,2)</f>
        <v>0.9</v>
      </c>
    </row>
    <row r="1329" spans="2:9" x14ac:dyDescent="0.3">
      <c r="B1329" s="73">
        <f t="shared" si="32"/>
        <v>9</v>
      </c>
      <c r="C1329" s="27" t="s">
        <v>940</v>
      </c>
      <c r="D1329" s="28" t="s">
        <v>941</v>
      </c>
      <c r="E1329" s="81">
        <f>'МЕДИЧНІ М'!E37</f>
        <v>2</v>
      </c>
      <c r="F1329" s="28">
        <v>1.5</v>
      </c>
      <c r="G1329" s="28">
        <f>ROUND(E1329*F1329,2)</f>
        <v>3</v>
      </c>
    </row>
    <row r="1330" spans="2:9" x14ac:dyDescent="0.3">
      <c r="B1330" s="73">
        <f t="shared" si="32"/>
        <v>10</v>
      </c>
      <c r="C1330" s="27" t="s">
        <v>943</v>
      </c>
      <c r="D1330" s="28" t="s">
        <v>944</v>
      </c>
      <c r="E1330" s="81">
        <f>'МЕДИЧНІ М'!F21</f>
        <v>7.0000000000000007E-2</v>
      </c>
      <c r="F1330" s="28">
        <v>0.14000000000000001</v>
      </c>
      <c r="G1330" s="28">
        <f>ROUND(E1330*F1330,2)</f>
        <v>0.01</v>
      </c>
    </row>
    <row r="1331" spans="2:9" x14ac:dyDescent="0.3">
      <c r="B1331" s="73">
        <f t="shared" si="32"/>
        <v>11</v>
      </c>
      <c r="C1331" s="27" t="s">
        <v>1124</v>
      </c>
      <c r="D1331" s="28" t="s">
        <v>944</v>
      </c>
      <c r="E1331" s="81">
        <f>'МЕДИЧНІ М'!E24</f>
        <v>0.5</v>
      </c>
      <c r="F1331" s="81">
        <v>0.5</v>
      </c>
      <c r="G1331" s="28">
        <f>ROUND(E1331*F1331,2)</f>
        <v>0.25</v>
      </c>
    </row>
    <row r="1332" spans="2:9" x14ac:dyDescent="0.3">
      <c r="B1332" s="1012" t="s">
        <v>945</v>
      </c>
      <c r="C1332" s="1013"/>
      <c r="D1332" s="1013"/>
      <c r="E1332" s="1013"/>
      <c r="F1332" s="1014"/>
      <c r="G1332" s="89">
        <f>SUM(G1321:G1331)</f>
        <v>12.100000000000001</v>
      </c>
    </row>
    <row r="1334" spans="2:9" x14ac:dyDescent="0.3">
      <c r="C1334" s="12" t="s">
        <v>968</v>
      </c>
      <c r="D1334" s="12"/>
      <c r="E1334" s="12"/>
      <c r="F1334" s="11">
        <f>H1337</f>
        <v>4.83</v>
      </c>
      <c r="G1334" s="12" t="s">
        <v>971</v>
      </c>
    </row>
    <row r="1335" spans="2:9" ht="7.5" customHeight="1" x14ac:dyDescent="0.3">
      <c r="C1335" s="22"/>
      <c r="D1335" s="22"/>
      <c r="E1335" s="22"/>
      <c r="F1335" s="23"/>
      <c r="G1335" s="22"/>
    </row>
    <row r="1336" spans="2:9" ht="27.6" x14ac:dyDescent="0.3">
      <c r="C1336" s="14" t="s">
        <v>513</v>
      </c>
      <c r="D1336" s="14" t="s">
        <v>969</v>
      </c>
      <c r="E1336" s="14" t="s">
        <v>516</v>
      </c>
      <c r="F1336" s="14" t="s">
        <v>970</v>
      </c>
      <c r="G1336" s="14" t="s">
        <v>930</v>
      </c>
      <c r="H1336" s="14" t="s">
        <v>961</v>
      </c>
    </row>
    <row r="1337" spans="2:9" ht="27.6" x14ac:dyDescent="0.3">
      <c r="C1337" s="27" t="str">
        <f>АМОРТИЗАЦІЯ!B7</f>
        <v>Аналізатор Гематологічний автоматичний BC-30S</v>
      </c>
      <c r="D1337" s="17">
        <f>АМОРТИЗАЦІЯ!C7</f>
        <v>22909.439999999999</v>
      </c>
      <c r="E1337" s="17">
        <f>I1310</f>
        <v>1807.2</v>
      </c>
      <c r="F1337" s="17">
        <f>ROUND((D1337/E1337)/60,2)</f>
        <v>0.21</v>
      </c>
      <c r="G1337" s="17">
        <f>E1314+E1313</f>
        <v>23</v>
      </c>
      <c r="H1337" s="16">
        <f>ROUND(F1337*G1337,2)</f>
        <v>4.83</v>
      </c>
      <c r="I1337" s="38"/>
    </row>
    <row r="1338" spans="2:9" ht="9.75" customHeight="1" x14ac:dyDescent="0.3"/>
    <row r="1339" spans="2:9" x14ac:dyDescent="0.3">
      <c r="C1339" s="12" t="s">
        <v>948</v>
      </c>
      <c r="D1339" s="12"/>
      <c r="E1339" s="12"/>
      <c r="F1339" s="11">
        <f>H1352</f>
        <v>2.99</v>
      </c>
      <c r="G1339" s="12" t="s">
        <v>971</v>
      </c>
    </row>
    <row r="1340" spans="2:9" ht="6" customHeight="1" x14ac:dyDescent="0.3">
      <c r="C1340" s="22"/>
      <c r="D1340" s="22"/>
      <c r="E1340" s="22"/>
      <c r="F1340" s="23"/>
    </row>
    <row r="1341" spans="2:9" ht="27.6" x14ac:dyDescent="0.3">
      <c r="C1341" s="14" t="s">
        <v>948</v>
      </c>
      <c r="D1341" s="14" t="s">
        <v>1110</v>
      </c>
      <c r="E1341" s="14" t="s">
        <v>516</v>
      </c>
      <c r="F1341" s="14" t="s">
        <v>954</v>
      </c>
      <c r="G1341" s="14" t="s">
        <v>930</v>
      </c>
      <c r="H1341" s="14" t="s">
        <v>1111</v>
      </c>
    </row>
    <row r="1342" spans="2:9" x14ac:dyDescent="0.3">
      <c r="C1342" s="1009" t="str">
        <f>C1309</f>
        <v>Лікар-лаборант</v>
      </c>
      <c r="D1342" s="1010"/>
      <c r="E1342" s="1010"/>
      <c r="F1342" s="1010"/>
      <c r="G1342" s="1010"/>
      <c r="H1342" s="1011"/>
    </row>
    <row r="1343" spans="2:9" x14ac:dyDescent="0.3">
      <c r="C1343" s="17" t="s">
        <v>951</v>
      </c>
      <c r="D1343" s="112">
        <f>D1286</f>
        <v>12188.608008565312</v>
      </c>
      <c r="E1343" s="17">
        <f>I1309</f>
        <v>1807.2</v>
      </c>
      <c r="F1343" s="17">
        <f>ROUND((D1343/E1343)/60,2)</f>
        <v>0.11</v>
      </c>
      <c r="G1343" s="17">
        <f>E1313</f>
        <v>3</v>
      </c>
      <c r="H1343" s="16">
        <f>ROUND(F1343*G1343,2)</f>
        <v>0.33</v>
      </c>
    </row>
    <row r="1344" spans="2:9" x14ac:dyDescent="0.3">
      <c r="C1344" s="17" t="s">
        <v>952</v>
      </c>
      <c r="D1344" s="112">
        <f>D1287</f>
        <v>53.149721627408987</v>
      </c>
      <c r="E1344" s="17">
        <f>I1309</f>
        <v>1807.2</v>
      </c>
      <c r="F1344" s="17">
        <f>ROUND((D1344/E1344)/60,2)</f>
        <v>0</v>
      </c>
      <c r="G1344" s="17">
        <f>E1313</f>
        <v>3</v>
      </c>
      <c r="H1344" s="16">
        <f>ROUND(F1344*G1344,2)</f>
        <v>0</v>
      </c>
    </row>
    <row r="1345" spans="1:20" x14ac:dyDescent="0.3">
      <c r="C1345" s="17" t="s">
        <v>953</v>
      </c>
      <c r="D1345" s="112">
        <f>D1288</f>
        <v>374.98368308351178</v>
      </c>
      <c r="E1345" s="17">
        <f>I1309</f>
        <v>1807.2</v>
      </c>
      <c r="F1345" s="17">
        <f>ROUND((D1345/E1345)/60,2)</f>
        <v>0</v>
      </c>
      <c r="G1345" s="17">
        <f>E1313</f>
        <v>3</v>
      </c>
      <c r="H1345" s="16">
        <f>ROUND(F1345*G1345,2)</f>
        <v>0</v>
      </c>
    </row>
    <row r="1346" spans="1:20" x14ac:dyDescent="0.3">
      <c r="C1346" s="17" t="s">
        <v>1109</v>
      </c>
      <c r="D1346" s="112">
        <f>D1289</f>
        <v>1686.0389293361886</v>
      </c>
      <c r="E1346" s="17">
        <f>I1309</f>
        <v>1807.2</v>
      </c>
      <c r="F1346" s="17">
        <f>ROUND((D1346/E1346)/60,2)</f>
        <v>0.02</v>
      </c>
      <c r="G1346" s="17">
        <f>E1313</f>
        <v>3</v>
      </c>
      <c r="H1346" s="16">
        <f>ROUND(F1346*G1346,2)</f>
        <v>0.06</v>
      </c>
    </row>
    <row r="1347" spans="1:20" x14ac:dyDescent="0.3">
      <c r="C1347" s="1009" t="str">
        <f>C1310</f>
        <v>Лаборант клінічної лабораторії</v>
      </c>
      <c r="D1347" s="1010"/>
      <c r="E1347" s="1010"/>
      <c r="F1347" s="1010"/>
      <c r="G1347" s="1010"/>
      <c r="H1347" s="1011"/>
    </row>
    <row r="1348" spans="1:20" x14ac:dyDescent="0.3">
      <c r="C1348" s="17" t="s">
        <v>951</v>
      </c>
      <c r="D1348" s="112">
        <f>D1291</f>
        <v>12188.608008565312</v>
      </c>
      <c r="E1348" s="17">
        <f>I1310</f>
        <v>1807.2</v>
      </c>
      <c r="F1348" s="17">
        <f>ROUND((D1348/E1348)/60,2)</f>
        <v>0.11</v>
      </c>
      <c r="G1348" s="17">
        <f>E1314</f>
        <v>20</v>
      </c>
      <c r="H1348" s="16">
        <f>ROUND(F1348*G1348,2)</f>
        <v>2.2000000000000002</v>
      </c>
    </row>
    <row r="1349" spans="1:20" x14ac:dyDescent="0.3">
      <c r="C1349" s="17" t="s">
        <v>952</v>
      </c>
      <c r="D1349" s="112">
        <f>D1292</f>
        <v>53.149721627408987</v>
      </c>
      <c r="E1349" s="17">
        <f>I1310</f>
        <v>1807.2</v>
      </c>
      <c r="F1349" s="17">
        <f>ROUND((D1349/E1349)/60,2)</f>
        <v>0</v>
      </c>
      <c r="G1349" s="17">
        <f>E1314</f>
        <v>20</v>
      </c>
      <c r="H1349" s="16">
        <f>ROUND(F1349*G1349,2)</f>
        <v>0</v>
      </c>
    </row>
    <row r="1350" spans="1:20" x14ac:dyDescent="0.3">
      <c r="C1350" s="17" t="s">
        <v>953</v>
      </c>
      <c r="D1350" s="112">
        <f>D1293</f>
        <v>374.98368308351178</v>
      </c>
      <c r="E1350" s="17">
        <f>I1310</f>
        <v>1807.2</v>
      </c>
      <c r="F1350" s="17">
        <f>ROUND((D1350/E1350)/60,2)</f>
        <v>0</v>
      </c>
      <c r="G1350" s="17">
        <f>E1314</f>
        <v>20</v>
      </c>
      <c r="H1350" s="16">
        <f>ROUND(F1350*G1350,2)</f>
        <v>0</v>
      </c>
    </row>
    <row r="1351" spans="1:20" x14ac:dyDescent="0.3">
      <c r="C1351" s="17" t="s">
        <v>1109</v>
      </c>
      <c r="D1351" s="112">
        <f>D1294</f>
        <v>1686.0389293361886</v>
      </c>
      <c r="E1351" s="17">
        <f>I1310</f>
        <v>1807.2</v>
      </c>
      <c r="F1351" s="17">
        <f>ROUND((D1351/E1351)/60,2)</f>
        <v>0.02</v>
      </c>
      <c r="G1351" s="17">
        <f>E1314</f>
        <v>20</v>
      </c>
      <c r="H1351" s="16">
        <f>ROUND(F1351*G1351,2)</f>
        <v>0.4</v>
      </c>
    </row>
    <row r="1352" spans="1:20" x14ac:dyDescent="0.3">
      <c r="C1352" s="1012" t="s">
        <v>957</v>
      </c>
      <c r="D1352" s="1013"/>
      <c r="E1352" s="1013"/>
      <c r="F1352" s="1013"/>
      <c r="G1352" s="1014"/>
      <c r="H1352" s="18">
        <f>SUM(H1343:H1351)</f>
        <v>2.99</v>
      </c>
    </row>
    <row r="1353" spans="1:20" ht="6.75" customHeight="1" x14ac:dyDescent="0.3"/>
    <row r="1354" spans="1:20" x14ac:dyDescent="0.3">
      <c r="C1354" s="1015" t="s">
        <v>959</v>
      </c>
      <c r="D1354" s="1015"/>
      <c r="E1354" s="1015"/>
      <c r="F1354" s="1015"/>
      <c r="G1354" s="1015"/>
      <c r="H1354" s="32">
        <f>F1306+F1318+F1339+F1334</f>
        <v>47.89</v>
      </c>
    </row>
    <row r="1355" spans="1:20" ht="10.5" customHeight="1" x14ac:dyDescent="0.3">
      <c r="C1355" s="33"/>
      <c r="D1355" s="33"/>
      <c r="E1355" s="33"/>
      <c r="F1355" s="33"/>
      <c r="G1355" s="33"/>
      <c r="H1355" s="34"/>
    </row>
    <row r="1356" spans="1:20" x14ac:dyDescent="0.3">
      <c r="C1356" s="1015" t="s">
        <v>960</v>
      </c>
      <c r="D1356" s="1015"/>
      <c r="E1356" s="1015"/>
      <c r="F1356" s="1015"/>
      <c r="G1356" s="1015"/>
      <c r="H1356" s="32">
        <f>ROUND(H1354,0)</f>
        <v>48</v>
      </c>
    </row>
    <row r="1358" spans="1:20" s="54" customFormat="1" ht="19.8" x14ac:dyDescent="0.4">
      <c r="A1358" s="53"/>
      <c r="B1358" s="1016" t="s">
        <v>958</v>
      </c>
      <c r="C1358" s="1016"/>
      <c r="D1358" s="1016"/>
      <c r="E1358" s="1016"/>
      <c r="F1358" s="1016"/>
      <c r="G1358" s="1016"/>
      <c r="H1358" s="1016"/>
      <c r="I1358" s="1016"/>
      <c r="J1358" s="1016"/>
      <c r="K1358" s="137"/>
      <c r="L1358" s="126"/>
      <c r="M1358" s="126"/>
      <c r="N1358" s="70"/>
      <c r="O1358" s="53"/>
      <c r="P1358" s="53"/>
      <c r="Q1358" s="53"/>
      <c r="R1358" s="53"/>
      <c r="S1358" s="53"/>
      <c r="T1358" s="53"/>
    </row>
    <row r="1359" spans="1:20" s="54" customFormat="1" ht="8.25" customHeight="1" x14ac:dyDescent="0.4">
      <c r="A1359" s="53"/>
      <c r="B1359" s="53"/>
      <c r="C1359" s="53"/>
      <c r="D1359" s="53"/>
      <c r="E1359" s="53"/>
      <c r="F1359" s="53"/>
      <c r="G1359" s="53"/>
      <c r="H1359" s="53"/>
      <c r="I1359" s="53"/>
      <c r="J1359" s="53"/>
      <c r="K1359" s="132"/>
      <c r="L1359" s="126"/>
      <c r="M1359" s="126"/>
      <c r="N1359" s="70"/>
      <c r="O1359" s="53"/>
      <c r="P1359" s="53"/>
      <c r="Q1359" s="53"/>
      <c r="R1359" s="53"/>
      <c r="S1359" s="53"/>
      <c r="T1359" s="53"/>
    </row>
    <row r="1360" spans="1:20" s="54" customFormat="1" ht="60" customHeight="1" x14ac:dyDescent="0.4">
      <c r="A1360" s="53"/>
      <c r="B1360" s="50" t="s">
        <v>775</v>
      </c>
      <c r="C1360" s="1032" t="s">
        <v>99</v>
      </c>
      <c r="D1360" s="1032"/>
      <c r="E1360" s="1032"/>
      <c r="F1360" s="52">
        <f>H1412</f>
        <v>46</v>
      </c>
      <c r="G1360" s="52" t="s">
        <v>971</v>
      </c>
      <c r="H1360" s="53"/>
      <c r="I1360" s="53"/>
      <c r="J1360" s="53"/>
      <c r="K1360" s="132"/>
      <c r="L1360" s="126"/>
      <c r="M1360" s="126"/>
      <c r="N1360" s="70"/>
      <c r="O1360" s="53"/>
      <c r="P1360" s="53"/>
      <c r="Q1360" s="53"/>
      <c r="R1360" s="53"/>
      <c r="S1360" s="53"/>
      <c r="T1360" s="53"/>
    </row>
    <row r="1361" spans="2:11" ht="6.75" customHeight="1" x14ac:dyDescent="0.3"/>
    <row r="1362" spans="2:11" x14ac:dyDescent="0.3">
      <c r="C1362" s="1018" t="s">
        <v>932</v>
      </c>
      <c r="D1362" s="1018"/>
      <c r="E1362" s="10"/>
      <c r="F1362" s="11">
        <f>F1369+F1372+F1370</f>
        <v>27.97</v>
      </c>
      <c r="G1362" s="12" t="s">
        <v>971</v>
      </c>
    </row>
    <row r="1363" spans="2:11" ht="6.75" customHeight="1" x14ac:dyDescent="0.3"/>
    <row r="1364" spans="2:11" x14ac:dyDescent="0.3">
      <c r="C1364" s="13" t="s">
        <v>929</v>
      </c>
      <c r="D1364" s="14" t="s">
        <v>928</v>
      </c>
      <c r="E1364" s="14" t="s">
        <v>514</v>
      </c>
      <c r="F1364" s="14" t="s">
        <v>515</v>
      </c>
      <c r="G1364" s="14" t="s">
        <v>962</v>
      </c>
      <c r="H1364" s="14" t="s">
        <v>926</v>
      </c>
      <c r="I1364" s="14" t="s">
        <v>516</v>
      </c>
      <c r="J1364" s="14" t="s">
        <v>961</v>
      </c>
      <c r="K1364" s="138"/>
    </row>
    <row r="1365" spans="2:11" x14ac:dyDescent="0.3">
      <c r="C1365" s="17" t="str">
        <f>C1309</f>
        <v>Лікар-лаборант</v>
      </c>
      <c r="D1365" s="17">
        <f>D1309</f>
        <v>10799.43</v>
      </c>
      <c r="E1365" s="16">
        <f>D1365*12</f>
        <v>129593.16</v>
      </c>
      <c r="F1365" s="17">
        <f>F1309</f>
        <v>8307.26</v>
      </c>
      <c r="G1365" s="17">
        <f>G1309</f>
        <v>4153.63</v>
      </c>
      <c r="H1365" s="16">
        <f>E1365+F1365+G1365</f>
        <v>142054.05000000002</v>
      </c>
      <c r="I1365" s="17">
        <v>1807.2</v>
      </c>
      <c r="J1365" s="16">
        <f>ROUND((H1365/I1365)/60,2)</f>
        <v>1.31</v>
      </c>
      <c r="K1365" s="140"/>
    </row>
    <row r="1366" spans="2:11" x14ac:dyDescent="0.3">
      <c r="C1366" s="17" t="str">
        <f>C1310</f>
        <v>Лаборант клінічної лабораторії</v>
      </c>
      <c r="D1366" s="17">
        <f>D1310</f>
        <v>7871.18</v>
      </c>
      <c r="E1366" s="16">
        <f>D1366*12</f>
        <v>94454.16</v>
      </c>
      <c r="F1366" s="17">
        <f>F1310</f>
        <v>6054.75</v>
      </c>
      <c r="G1366" s="17">
        <f>G1310</f>
        <v>3027.375</v>
      </c>
      <c r="H1366" s="16">
        <f>E1366+F1366+G1366</f>
        <v>103536.285</v>
      </c>
      <c r="I1366" s="17">
        <v>1807.2</v>
      </c>
      <c r="J1366" s="16">
        <f>ROUND((H1366/I1366)/60,2)</f>
        <v>0.95</v>
      </c>
      <c r="K1366" s="140"/>
    </row>
    <row r="1367" spans="2:11" ht="10.5" customHeight="1" x14ac:dyDescent="0.3"/>
    <row r="1368" spans="2:11" ht="27.6" x14ac:dyDescent="0.3">
      <c r="C1368" s="13" t="s">
        <v>929</v>
      </c>
      <c r="D1368" s="14" t="s">
        <v>961</v>
      </c>
      <c r="E1368" s="14" t="s">
        <v>930</v>
      </c>
      <c r="F1368" s="14" t="s">
        <v>931</v>
      </c>
    </row>
    <row r="1369" spans="2:11" x14ac:dyDescent="0.3">
      <c r="C1369" s="15" t="str">
        <f>C1365</f>
        <v>Лікар-лаборант</v>
      </c>
      <c r="D1369" s="16">
        <f>J1365</f>
        <v>1.31</v>
      </c>
      <c r="E1369" s="17">
        <v>3</v>
      </c>
      <c r="F1369" s="18">
        <f>ROUND(D1369*E1369,2)</f>
        <v>3.93</v>
      </c>
    </row>
    <row r="1370" spans="2:11" x14ac:dyDescent="0.3">
      <c r="C1370" s="15" t="str">
        <f>C1366</f>
        <v>Лаборант клінічної лабораторії</v>
      </c>
      <c r="D1370" s="16">
        <f>J1366</f>
        <v>0.95</v>
      </c>
      <c r="E1370" s="17">
        <v>20</v>
      </c>
      <c r="F1370" s="18">
        <f>ROUND(D1370*E1370,2)</f>
        <v>19</v>
      </c>
    </row>
    <row r="1371" spans="2:11" x14ac:dyDescent="0.3">
      <c r="D1371" s="19"/>
      <c r="E1371" s="7" t="s">
        <v>1016</v>
      </c>
    </row>
    <row r="1372" spans="2:11" x14ac:dyDescent="0.3">
      <c r="C1372" s="17" t="s">
        <v>933</v>
      </c>
      <c r="D1372" s="16">
        <f>F1369+F1370</f>
        <v>22.93</v>
      </c>
      <c r="E1372" s="20">
        <v>0.22</v>
      </c>
      <c r="F1372" s="21">
        <f>ROUND(D1372*E1372,2)</f>
        <v>5.04</v>
      </c>
    </row>
    <row r="1374" spans="2:11" x14ac:dyDescent="0.3">
      <c r="C1374" s="12" t="s">
        <v>946</v>
      </c>
      <c r="D1374" s="12"/>
      <c r="E1374" s="12"/>
      <c r="F1374" s="12">
        <f>G1388</f>
        <v>12.100000000000001</v>
      </c>
      <c r="G1374" s="12" t="s">
        <v>971</v>
      </c>
    </row>
    <row r="1375" spans="2:11" ht="6" customHeight="1" x14ac:dyDescent="0.3"/>
    <row r="1376" spans="2:11" ht="27.6" x14ac:dyDescent="0.3">
      <c r="B1376" s="82" t="s">
        <v>991</v>
      </c>
      <c r="C1376" s="83" t="s">
        <v>986</v>
      </c>
      <c r="D1376" s="83" t="s">
        <v>987</v>
      </c>
      <c r="E1376" s="83" t="s">
        <v>988</v>
      </c>
      <c r="F1376" s="83" t="s">
        <v>989</v>
      </c>
      <c r="G1376" s="82" t="s">
        <v>990</v>
      </c>
    </row>
    <row r="1377" spans="2:8" x14ac:dyDescent="0.3">
      <c r="B1377" s="84">
        <v>1</v>
      </c>
      <c r="C1377" s="85" t="s">
        <v>1074</v>
      </c>
      <c r="D1377" s="86" t="s">
        <v>941</v>
      </c>
      <c r="E1377" s="87">
        <f>'МЕДИЧНІ М'!E50</f>
        <v>4.3</v>
      </c>
      <c r="F1377" s="86">
        <v>1</v>
      </c>
      <c r="G1377" s="88">
        <f>ROUND(E1377/F1377,2)</f>
        <v>4.3</v>
      </c>
    </row>
    <row r="1378" spans="2:8" x14ac:dyDescent="0.3">
      <c r="B1378" s="73">
        <f>B1377+1</f>
        <v>2</v>
      </c>
      <c r="C1378" s="79" t="s">
        <v>1040</v>
      </c>
      <c r="D1378" s="76" t="s">
        <v>941</v>
      </c>
      <c r="E1378" s="75">
        <f>'МЕДИЧНІ М'!E31</f>
        <v>7.4</v>
      </c>
      <c r="F1378" s="80">
        <v>50</v>
      </c>
      <c r="G1378" s="88">
        <f>ROUND(E1378/F1378,2)</f>
        <v>0.15</v>
      </c>
    </row>
    <row r="1379" spans="2:8" x14ac:dyDescent="0.3">
      <c r="B1379" s="73">
        <f t="shared" ref="B1379:B1387" si="33">B1378+1</f>
        <v>3</v>
      </c>
      <c r="C1379" s="79" t="s">
        <v>934</v>
      </c>
      <c r="D1379" s="76" t="s">
        <v>941</v>
      </c>
      <c r="E1379" s="76">
        <f>'МЕДИЧНІ М'!E59</f>
        <v>2.8</v>
      </c>
      <c r="F1379" s="86">
        <v>10</v>
      </c>
      <c r="G1379" s="88">
        <f>ROUND(E1379/F1379,2)</f>
        <v>0.28000000000000003</v>
      </c>
    </row>
    <row r="1380" spans="2:8" x14ac:dyDescent="0.3">
      <c r="B1380" s="73">
        <f t="shared" si="33"/>
        <v>4</v>
      </c>
      <c r="C1380" s="27" t="s">
        <v>942</v>
      </c>
      <c r="D1380" s="78" t="s">
        <v>974</v>
      </c>
      <c r="E1380" s="76">
        <f>'МЕДИЧНІ М'!E65</f>
        <v>24.6</v>
      </c>
      <c r="F1380" s="77">
        <v>100</v>
      </c>
      <c r="G1380" s="78">
        <f>ROUND(E1380/F1380,2)</f>
        <v>0.25</v>
      </c>
    </row>
    <row r="1381" spans="2:8" x14ac:dyDescent="0.3">
      <c r="B1381" s="73">
        <f t="shared" si="33"/>
        <v>5</v>
      </c>
      <c r="C1381" s="79" t="s">
        <v>1041</v>
      </c>
      <c r="D1381" s="76" t="s">
        <v>941</v>
      </c>
      <c r="E1381" s="76">
        <f>'МЕДИЧНІ М'!E63</f>
        <v>0.2</v>
      </c>
      <c r="F1381" s="77">
        <v>1</v>
      </c>
      <c r="G1381" s="88">
        <f>ROUND(E1381*F1381,2)</f>
        <v>0.2</v>
      </c>
    </row>
    <row r="1382" spans="2:8" x14ac:dyDescent="0.3">
      <c r="B1382" s="73">
        <f t="shared" si="33"/>
        <v>6</v>
      </c>
      <c r="C1382" s="79" t="s">
        <v>1075</v>
      </c>
      <c r="D1382" s="76" t="s">
        <v>941</v>
      </c>
      <c r="E1382" s="76">
        <f>'МЕДИЧНІ М'!E56</f>
        <v>51</v>
      </c>
      <c r="F1382" s="77">
        <v>50</v>
      </c>
      <c r="G1382" s="88">
        <f>ROUND(E1382/F1382,2)</f>
        <v>1.02</v>
      </c>
    </row>
    <row r="1383" spans="2:8" x14ac:dyDescent="0.3">
      <c r="B1383" s="73">
        <f t="shared" si="33"/>
        <v>7</v>
      </c>
      <c r="C1383" s="79" t="s">
        <v>1076</v>
      </c>
      <c r="D1383" s="76" t="s">
        <v>941</v>
      </c>
      <c r="E1383" s="76">
        <f>'МЕДИЧНІ М'!E52</f>
        <v>870</v>
      </c>
      <c r="F1383" s="77">
        <v>500</v>
      </c>
      <c r="G1383" s="88">
        <f>ROUND(E1383/F1383,2)</f>
        <v>1.74</v>
      </c>
    </row>
    <row r="1384" spans="2:8" x14ac:dyDescent="0.3">
      <c r="B1384" s="73">
        <f t="shared" si="33"/>
        <v>8</v>
      </c>
      <c r="C1384" s="79" t="s">
        <v>1077</v>
      </c>
      <c r="D1384" s="76" t="s">
        <v>941</v>
      </c>
      <c r="E1384" s="76">
        <f>'МЕДИЧНІ М'!E51</f>
        <v>900</v>
      </c>
      <c r="F1384" s="77">
        <v>1000</v>
      </c>
      <c r="G1384" s="88">
        <f>ROUND(E1384/F1384,2)</f>
        <v>0.9</v>
      </c>
    </row>
    <row r="1385" spans="2:8" x14ac:dyDescent="0.3">
      <c r="B1385" s="73">
        <f t="shared" si="33"/>
        <v>9</v>
      </c>
      <c r="C1385" s="27" t="s">
        <v>940</v>
      </c>
      <c r="D1385" s="28" t="s">
        <v>941</v>
      </c>
      <c r="E1385" s="81">
        <f>'МЕДИЧНІ М'!E37</f>
        <v>2</v>
      </c>
      <c r="F1385" s="28">
        <v>1.5</v>
      </c>
      <c r="G1385" s="28">
        <f>ROUND(E1385*F1385,2)</f>
        <v>3</v>
      </c>
    </row>
    <row r="1386" spans="2:8" x14ac:dyDescent="0.3">
      <c r="B1386" s="73">
        <f t="shared" si="33"/>
        <v>10</v>
      </c>
      <c r="C1386" s="27" t="s">
        <v>943</v>
      </c>
      <c r="D1386" s="28" t="s">
        <v>944</v>
      </c>
      <c r="E1386" s="81">
        <f>'МЕДИЧНІ М'!F21</f>
        <v>7.0000000000000007E-2</v>
      </c>
      <c r="F1386" s="28">
        <v>0.14000000000000001</v>
      </c>
      <c r="G1386" s="28">
        <f>ROUND(E1386*F1386,2)</f>
        <v>0.01</v>
      </c>
    </row>
    <row r="1387" spans="2:8" x14ac:dyDescent="0.3">
      <c r="B1387" s="73">
        <f t="shared" si="33"/>
        <v>11</v>
      </c>
      <c r="C1387" s="27" t="s">
        <v>1124</v>
      </c>
      <c r="D1387" s="28" t="s">
        <v>944</v>
      </c>
      <c r="E1387" s="81">
        <f>'МЕДИЧНІ М'!E24</f>
        <v>0.5</v>
      </c>
      <c r="F1387" s="81">
        <v>0.5</v>
      </c>
      <c r="G1387" s="28">
        <f>ROUND(E1387*F1387,2)</f>
        <v>0.25</v>
      </c>
    </row>
    <row r="1388" spans="2:8" x14ac:dyDescent="0.3">
      <c r="B1388" s="1012" t="s">
        <v>945</v>
      </c>
      <c r="C1388" s="1013"/>
      <c r="D1388" s="1013"/>
      <c r="E1388" s="1013"/>
      <c r="F1388" s="1014"/>
      <c r="G1388" s="89">
        <f>SUM(G1377:G1387)</f>
        <v>12.100000000000001</v>
      </c>
    </row>
    <row r="1389" spans="2:8" ht="7.5" customHeight="1" x14ac:dyDescent="0.3"/>
    <row r="1390" spans="2:8" x14ac:dyDescent="0.3">
      <c r="C1390" s="12" t="s">
        <v>968</v>
      </c>
      <c r="D1390" s="12"/>
      <c r="E1390" s="12"/>
      <c r="F1390" s="11">
        <f>H1393</f>
        <v>2.5299999999999998</v>
      </c>
      <c r="G1390" s="12" t="s">
        <v>971</v>
      </c>
    </row>
    <row r="1391" spans="2:8" ht="9" customHeight="1" x14ac:dyDescent="0.3">
      <c r="C1391" s="22"/>
      <c r="D1391" s="22"/>
      <c r="E1391" s="22"/>
      <c r="F1391" s="23"/>
      <c r="G1391" s="22"/>
    </row>
    <row r="1392" spans="2:8" ht="27.6" x14ac:dyDescent="0.3">
      <c r="C1392" s="14" t="s">
        <v>513</v>
      </c>
      <c r="D1392" s="14" t="s">
        <v>969</v>
      </c>
      <c r="E1392" s="14" t="s">
        <v>516</v>
      </c>
      <c r="F1392" s="14" t="s">
        <v>970</v>
      </c>
      <c r="G1392" s="14" t="s">
        <v>930</v>
      </c>
      <c r="H1392" s="14" t="s">
        <v>961</v>
      </c>
    </row>
    <row r="1393" spans="3:9" ht="27.6" x14ac:dyDescent="0.3">
      <c r="C1393" s="27" t="str">
        <f>АМОРТИЗАЦІЯ!B7</f>
        <v>Аналізатор Гематологічний автоматичний BC-30S</v>
      </c>
      <c r="D1393" s="17">
        <f>АМОРТИЗАЦІЯ!C7</f>
        <v>22909.439999999999</v>
      </c>
      <c r="E1393" s="17">
        <f>I1366+I1365</f>
        <v>3614.4</v>
      </c>
      <c r="F1393" s="17">
        <f>ROUND((D1393/E1393)/60,2)</f>
        <v>0.11</v>
      </c>
      <c r="G1393" s="17">
        <f>E1370+E1369</f>
        <v>23</v>
      </c>
      <c r="H1393" s="16">
        <f>ROUND(F1393*G1393,2)</f>
        <v>2.5299999999999998</v>
      </c>
      <c r="I1393" s="38"/>
    </row>
    <row r="1394" spans="3:9" ht="7.5" customHeight="1" x14ac:dyDescent="0.3"/>
    <row r="1395" spans="3:9" x14ac:dyDescent="0.3">
      <c r="C1395" s="12" t="s">
        <v>948</v>
      </c>
      <c r="D1395" s="12"/>
      <c r="E1395" s="12"/>
      <c r="F1395" s="11">
        <f>H1408</f>
        <v>2.99</v>
      </c>
      <c r="G1395" s="12" t="s">
        <v>971</v>
      </c>
    </row>
    <row r="1396" spans="3:9" ht="6" customHeight="1" x14ac:dyDescent="0.3">
      <c r="C1396" s="22"/>
      <c r="D1396" s="22"/>
      <c r="E1396" s="22"/>
      <c r="F1396" s="23"/>
    </row>
    <row r="1397" spans="3:9" ht="27.6" x14ac:dyDescent="0.3">
      <c r="C1397" s="14" t="s">
        <v>948</v>
      </c>
      <c r="D1397" s="14" t="s">
        <v>1110</v>
      </c>
      <c r="E1397" s="14" t="s">
        <v>516</v>
      </c>
      <c r="F1397" s="14" t="s">
        <v>954</v>
      </c>
      <c r="G1397" s="14" t="s">
        <v>930</v>
      </c>
      <c r="H1397" s="14" t="s">
        <v>1111</v>
      </c>
    </row>
    <row r="1398" spans="3:9" x14ac:dyDescent="0.3">
      <c r="C1398" s="1009" t="str">
        <f>C1365</f>
        <v>Лікар-лаборант</v>
      </c>
      <c r="D1398" s="1010"/>
      <c r="E1398" s="1010"/>
      <c r="F1398" s="1010"/>
      <c r="G1398" s="1010"/>
      <c r="H1398" s="1011"/>
    </row>
    <row r="1399" spans="3:9" x14ac:dyDescent="0.3">
      <c r="C1399" s="17" t="s">
        <v>951</v>
      </c>
      <c r="D1399" s="112">
        <f>D1343</f>
        <v>12188.608008565312</v>
      </c>
      <c r="E1399" s="17">
        <f>I1365</f>
        <v>1807.2</v>
      </c>
      <c r="F1399" s="17">
        <f>ROUND((D1399/E1399)/60,2)</f>
        <v>0.11</v>
      </c>
      <c r="G1399" s="17">
        <f>E1369</f>
        <v>3</v>
      </c>
      <c r="H1399" s="16">
        <f>ROUND(F1399*G1399,2)</f>
        <v>0.33</v>
      </c>
    </row>
    <row r="1400" spans="3:9" x14ac:dyDescent="0.3">
      <c r="C1400" s="17" t="s">
        <v>952</v>
      </c>
      <c r="D1400" s="112">
        <f>D1344</f>
        <v>53.149721627408987</v>
      </c>
      <c r="E1400" s="17">
        <f>I1365</f>
        <v>1807.2</v>
      </c>
      <c r="F1400" s="17">
        <f>ROUND((D1400/E1400)/60,2)</f>
        <v>0</v>
      </c>
      <c r="G1400" s="17">
        <f>E1369</f>
        <v>3</v>
      </c>
      <c r="H1400" s="16">
        <f>ROUND(F1400*G1400,2)</f>
        <v>0</v>
      </c>
    </row>
    <row r="1401" spans="3:9" x14ac:dyDescent="0.3">
      <c r="C1401" s="17" t="s">
        <v>953</v>
      </c>
      <c r="D1401" s="112">
        <f>D1345</f>
        <v>374.98368308351178</v>
      </c>
      <c r="E1401" s="17">
        <f>I1365</f>
        <v>1807.2</v>
      </c>
      <c r="F1401" s="17">
        <f>ROUND((D1401/E1401)/60,2)</f>
        <v>0</v>
      </c>
      <c r="G1401" s="17">
        <f>E1369</f>
        <v>3</v>
      </c>
      <c r="H1401" s="16">
        <f>ROUND(F1401*G1401,2)</f>
        <v>0</v>
      </c>
    </row>
    <row r="1402" spans="3:9" x14ac:dyDescent="0.3">
      <c r="C1402" s="17" t="s">
        <v>1109</v>
      </c>
      <c r="D1402" s="112">
        <f>D1346</f>
        <v>1686.0389293361886</v>
      </c>
      <c r="E1402" s="17">
        <f>I1365</f>
        <v>1807.2</v>
      </c>
      <c r="F1402" s="17">
        <f>ROUND((D1402/E1402)/60,2)</f>
        <v>0.02</v>
      </c>
      <c r="G1402" s="17">
        <f>E1369</f>
        <v>3</v>
      </c>
      <c r="H1402" s="16">
        <f>ROUND(F1402*G1402,2)</f>
        <v>0.06</v>
      </c>
    </row>
    <row r="1403" spans="3:9" x14ac:dyDescent="0.3">
      <c r="C1403" s="1009" t="str">
        <f>C1366</f>
        <v>Лаборант клінічної лабораторії</v>
      </c>
      <c r="D1403" s="1010"/>
      <c r="E1403" s="1010"/>
      <c r="F1403" s="1010"/>
      <c r="G1403" s="1010"/>
      <c r="H1403" s="1011"/>
    </row>
    <row r="1404" spans="3:9" x14ac:dyDescent="0.3">
      <c r="C1404" s="17" t="s">
        <v>951</v>
      </c>
      <c r="D1404" s="112">
        <f>D1348</f>
        <v>12188.608008565312</v>
      </c>
      <c r="E1404" s="17">
        <f>I1366</f>
        <v>1807.2</v>
      </c>
      <c r="F1404" s="17">
        <f>ROUND((D1404/E1404)/60,2)</f>
        <v>0.11</v>
      </c>
      <c r="G1404" s="17">
        <f>E1370</f>
        <v>20</v>
      </c>
      <c r="H1404" s="16">
        <f>ROUND(F1404*G1404,2)</f>
        <v>2.2000000000000002</v>
      </c>
    </row>
    <row r="1405" spans="3:9" x14ac:dyDescent="0.3">
      <c r="C1405" s="17" t="s">
        <v>952</v>
      </c>
      <c r="D1405" s="112">
        <f>D1349</f>
        <v>53.149721627408987</v>
      </c>
      <c r="E1405" s="17">
        <f>I1366</f>
        <v>1807.2</v>
      </c>
      <c r="F1405" s="17">
        <f>ROUND((D1405/E1405)/60,2)</f>
        <v>0</v>
      </c>
      <c r="G1405" s="17">
        <f>E1370</f>
        <v>20</v>
      </c>
      <c r="H1405" s="16">
        <f>ROUND(F1405*G1405,2)</f>
        <v>0</v>
      </c>
    </row>
    <row r="1406" spans="3:9" x14ac:dyDescent="0.3">
      <c r="C1406" s="17" t="s">
        <v>953</v>
      </c>
      <c r="D1406" s="112">
        <f>D1350</f>
        <v>374.98368308351178</v>
      </c>
      <c r="E1406" s="17">
        <f>I1366</f>
        <v>1807.2</v>
      </c>
      <c r="F1406" s="17">
        <f>ROUND((D1406/E1406)/60,2)</f>
        <v>0</v>
      </c>
      <c r="G1406" s="17">
        <f>E1370</f>
        <v>20</v>
      </c>
      <c r="H1406" s="16">
        <f>ROUND(F1406*G1406,2)</f>
        <v>0</v>
      </c>
    </row>
    <row r="1407" spans="3:9" x14ac:dyDescent="0.3">
      <c r="C1407" s="17" t="s">
        <v>1109</v>
      </c>
      <c r="D1407" s="112">
        <f>D1351</f>
        <v>1686.0389293361886</v>
      </c>
      <c r="E1407" s="17">
        <f>I1366</f>
        <v>1807.2</v>
      </c>
      <c r="F1407" s="17">
        <f>ROUND((D1407/E1407)/60,2)</f>
        <v>0.02</v>
      </c>
      <c r="G1407" s="17">
        <f>E1370</f>
        <v>20</v>
      </c>
      <c r="H1407" s="16">
        <f>ROUND(F1407*G1407,2)</f>
        <v>0.4</v>
      </c>
    </row>
    <row r="1408" spans="3:9" x14ac:dyDescent="0.3">
      <c r="C1408" s="1012" t="s">
        <v>957</v>
      </c>
      <c r="D1408" s="1013"/>
      <c r="E1408" s="1013"/>
      <c r="F1408" s="1013"/>
      <c r="G1408" s="1014"/>
      <c r="H1408" s="18">
        <f>SUM(H1399:H1407)</f>
        <v>2.99</v>
      </c>
    </row>
    <row r="1409" spans="1:20" ht="8.25" customHeight="1" x14ac:dyDescent="0.3"/>
    <row r="1410" spans="1:20" x14ac:dyDescent="0.3">
      <c r="C1410" s="1015" t="s">
        <v>959</v>
      </c>
      <c r="D1410" s="1015"/>
      <c r="E1410" s="1015"/>
      <c r="F1410" s="1015"/>
      <c r="G1410" s="1015"/>
      <c r="H1410" s="32">
        <f>F1362+F1374+F1395+F1390</f>
        <v>45.59</v>
      </c>
    </row>
    <row r="1411" spans="1:20" ht="14.25" customHeight="1" x14ac:dyDescent="0.3">
      <c r="C1411" s="33"/>
      <c r="D1411" s="33"/>
      <c r="E1411" s="33"/>
      <c r="F1411" s="33"/>
      <c r="G1411" s="33"/>
      <c r="H1411" s="34"/>
    </row>
    <row r="1412" spans="1:20" x14ac:dyDescent="0.3">
      <c r="C1412" s="1015" t="s">
        <v>960</v>
      </c>
      <c r="D1412" s="1015"/>
      <c r="E1412" s="1015"/>
      <c r="F1412" s="1015"/>
      <c r="G1412" s="1015"/>
      <c r="H1412" s="32">
        <f>ROUND(H1410,0)</f>
        <v>46</v>
      </c>
    </row>
    <row r="1414" spans="1:20" s="54" customFormat="1" ht="19.8" x14ac:dyDescent="0.4">
      <c r="A1414" s="53"/>
      <c r="B1414" s="1016" t="s">
        <v>958</v>
      </c>
      <c r="C1414" s="1016"/>
      <c r="D1414" s="1016"/>
      <c r="E1414" s="1016"/>
      <c r="F1414" s="1016"/>
      <c r="G1414" s="1016"/>
      <c r="H1414" s="1016"/>
      <c r="I1414" s="1016"/>
      <c r="J1414" s="1016"/>
      <c r="K1414" s="137"/>
      <c r="L1414" s="126"/>
      <c r="M1414" s="126"/>
      <c r="N1414" s="70"/>
      <c r="O1414" s="53"/>
      <c r="P1414" s="53"/>
      <c r="Q1414" s="53"/>
      <c r="R1414" s="53"/>
      <c r="S1414" s="53"/>
      <c r="T1414" s="53"/>
    </row>
    <row r="1415" spans="1:20" s="54" customFormat="1" ht="19.8" x14ac:dyDescent="0.4">
      <c r="A1415" s="53"/>
      <c r="B1415" s="53"/>
      <c r="C1415" s="53"/>
      <c r="D1415" s="53"/>
      <c r="E1415" s="53"/>
      <c r="F1415" s="53"/>
      <c r="G1415" s="53"/>
      <c r="H1415" s="53"/>
      <c r="I1415" s="53"/>
      <c r="J1415" s="53"/>
      <c r="K1415" s="132"/>
      <c r="L1415" s="126"/>
      <c r="M1415" s="126"/>
      <c r="N1415" s="70"/>
      <c r="O1415" s="53"/>
      <c r="P1415" s="53"/>
      <c r="Q1415" s="53"/>
      <c r="R1415" s="53"/>
      <c r="S1415" s="53"/>
      <c r="T1415" s="53"/>
    </row>
    <row r="1416" spans="1:20" s="54" customFormat="1" ht="44.25" customHeight="1" x14ac:dyDescent="0.4">
      <c r="A1416" s="53"/>
      <c r="B1416" s="50" t="s">
        <v>777</v>
      </c>
      <c r="C1416" s="1017" t="s">
        <v>782</v>
      </c>
      <c r="D1416" s="1017"/>
      <c r="E1416" s="1017"/>
      <c r="F1416" s="52">
        <f>H1468</f>
        <v>53</v>
      </c>
      <c r="G1416" s="52" t="s">
        <v>971</v>
      </c>
      <c r="H1416" s="53"/>
      <c r="I1416" s="53"/>
      <c r="J1416" s="53"/>
      <c r="K1416" s="132"/>
      <c r="L1416" s="126"/>
      <c r="M1416" s="126"/>
      <c r="N1416" s="70"/>
      <c r="O1416" s="53"/>
      <c r="P1416" s="53"/>
      <c r="Q1416" s="53"/>
      <c r="R1416" s="53"/>
      <c r="S1416" s="53"/>
      <c r="T1416" s="53"/>
    </row>
    <row r="1418" spans="1:20" x14ac:dyDescent="0.3">
      <c r="C1418" s="1018" t="s">
        <v>932</v>
      </c>
      <c r="D1418" s="1018"/>
      <c r="E1418" s="10"/>
      <c r="F1418" s="11">
        <f>F1425+F1428+F1426</f>
        <v>41.36</v>
      </c>
      <c r="G1418" s="12" t="s">
        <v>971</v>
      </c>
    </row>
    <row r="1419" spans="1:20" ht="7.5" customHeight="1" x14ac:dyDescent="0.3"/>
    <row r="1420" spans="1:20" x14ac:dyDescent="0.3">
      <c r="C1420" s="13" t="s">
        <v>929</v>
      </c>
      <c r="D1420" s="14" t="s">
        <v>928</v>
      </c>
      <c r="E1420" s="14" t="s">
        <v>514</v>
      </c>
      <c r="F1420" s="14" t="s">
        <v>515</v>
      </c>
      <c r="G1420" s="14" t="s">
        <v>962</v>
      </c>
      <c r="H1420" s="14" t="s">
        <v>926</v>
      </c>
      <c r="I1420" s="14" t="s">
        <v>516</v>
      </c>
      <c r="J1420" s="14" t="s">
        <v>961</v>
      </c>
      <c r="K1420" s="138"/>
    </row>
    <row r="1421" spans="1:20" x14ac:dyDescent="0.3">
      <c r="C1421" s="17" t="str">
        <f>C1365</f>
        <v>Лікар-лаборант</v>
      </c>
      <c r="D1421" s="17">
        <f>D1365</f>
        <v>10799.43</v>
      </c>
      <c r="E1421" s="16">
        <f>D1421*12</f>
        <v>129593.16</v>
      </c>
      <c r="F1421" s="17">
        <f>F1365</f>
        <v>8307.26</v>
      </c>
      <c r="G1421" s="17">
        <f>G1365</f>
        <v>4153.63</v>
      </c>
      <c r="H1421" s="16">
        <f>E1421+F1421+G1421</f>
        <v>142054.05000000002</v>
      </c>
      <c r="I1421" s="17">
        <v>1807.2</v>
      </c>
      <c r="J1421" s="16">
        <f>ROUND((H1421/I1421)/60,2)</f>
        <v>1.31</v>
      </c>
      <c r="K1421" s="140"/>
    </row>
    <row r="1422" spans="1:20" x14ac:dyDescent="0.3">
      <c r="C1422" s="17" t="str">
        <f>C1366</f>
        <v>Лаборант клінічної лабораторії</v>
      </c>
      <c r="D1422" s="17">
        <f>D1366</f>
        <v>7871.18</v>
      </c>
      <c r="E1422" s="16">
        <f>D1422*12</f>
        <v>94454.16</v>
      </c>
      <c r="F1422" s="17">
        <f>F1366</f>
        <v>6054.75</v>
      </c>
      <c r="G1422" s="17">
        <f>G1366</f>
        <v>3027.375</v>
      </c>
      <c r="H1422" s="16">
        <f>E1422+F1422+G1422</f>
        <v>103536.285</v>
      </c>
      <c r="I1422" s="17">
        <v>1807.2</v>
      </c>
      <c r="J1422" s="16">
        <f>ROUND((H1422/I1422)/60,2)</f>
        <v>0.95</v>
      </c>
      <c r="K1422" s="140"/>
    </row>
    <row r="1423" spans="1:20" ht="8.25" customHeight="1" x14ac:dyDescent="0.3"/>
    <row r="1424" spans="1:20" ht="27.6" x14ac:dyDescent="0.3">
      <c r="C1424" s="13" t="s">
        <v>929</v>
      </c>
      <c r="D1424" s="14" t="s">
        <v>961</v>
      </c>
      <c r="E1424" s="14" t="s">
        <v>930</v>
      </c>
      <c r="F1424" s="14" t="s">
        <v>931</v>
      </c>
    </row>
    <row r="1425" spans="2:7" x14ac:dyDescent="0.3">
      <c r="C1425" s="15" t="str">
        <f>C1421</f>
        <v>Лікар-лаборант</v>
      </c>
      <c r="D1425" s="16">
        <f>J1421</f>
        <v>1.31</v>
      </c>
      <c r="E1425" s="17">
        <v>15</v>
      </c>
      <c r="F1425" s="18">
        <f>ROUND(D1425*E1425,2)</f>
        <v>19.649999999999999</v>
      </c>
    </row>
    <row r="1426" spans="2:7" x14ac:dyDescent="0.3">
      <c r="C1426" s="15" t="str">
        <f>C1422</f>
        <v>Лаборант клінічної лабораторії</v>
      </c>
      <c r="D1426" s="16">
        <f>J1422</f>
        <v>0.95</v>
      </c>
      <c r="E1426" s="17">
        <v>15</v>
      </c>
      <c r="F1426" s="18">
        <f>ROUND(D1426*E1426,2)</f>
        <v>14.25</v>
      </c>
    </row>
    <row r="1427" spans="2:7" ht="9.75" customHeight="1" x14ac:dyDescent="0.3">
      <c r="D1427" s="19"/>
      <c r="E1427" s="7" t="s">
        <v>1016</v>
      </c>
    </row>
    <row r="1428" spans="2:7" x14ac:dyDescent="0.3">
      <c r="C1428" s="17" t="s">
        <v>933</v>
      </c>
      <c r="D1428" s="16">
        <f>F1425+F1426</f>
        <v>33.9</v>
      </c>
      <c r="E1428" s="20">
        <v>0.22</v>
      </c>
      <c r="F1428" s="21">
        <f>ROUND(D1428*E1428,2)</f>
        <v>7.46</v>
      </c>
    </row>
    <row r="1429" spans="2:7" ht="6.75" customHeight="1" x14ac:dyDescent="0.3"/>
    <row r="1430" spans="2:7" x14ac:dyDescent="0.3">
      <c r="C1430" s="12" t="s">
        <v>946</v>
      </c>
      <c r="D1430" s="12"/>
      <c r="E1430" s="12"/>
      <c r="F1430" s="12">
        <f>G1444</f>
        <v>7.74</v>
      </c>
      <c r="G1430" s="12" t="s">
        <v>971</v>
      </c>
    </row>
    <row r="1431" spans="2:7" ht="6.75" customHeight="1" x14ac:dyDescent="0.3"/>
    <row r="1432" spans="2:7" ht="27.6" x14ac:dyDescent="0.3">
      <c r="B1432" s="82" t="s">
        <v>991</v>
      </c>
      <c r="C1432" s="83" t="s">
        <v>986</v>
      </c>
      <c r="D1432" s="83" t="s">
        <v>987</v>
      </c>
      <c r="E1432" s="83" t="s">
        <v>988</v>
      </c>
      <c r="F1432" s="83" t="s">
        <v>989</v>
      </c>
      <c r="G1432" s="82" t="s">
        <v>990</v>
      </c>
    </row>
    <row r="1433" spans="2:7" x14ac:dyDescent="0.3">
      <c r="B1433" s="84">
        <v>1</v>
      </c>
      <c r="C1433" s="85" t="s">
        <v>1078</v>
      </c>
      <c r="D1433" s="86" t="s">
        <v>1045</v>
      </c>
      <c r="E1433" s="217">
        <f>'МЕДИЧНІ М'!E62</f>
        <v>539</v>
      </c>
      <c r="F1433" s="86">
        <v>400</v>
      </c>
      <c r="G1433" s="88">
        <f>ROUND(E1433/F1433,2)</f>
        <v>1.35</v>
      </c>
    </row>
    <row r="1434" spans="2:7" x14ac:dyDescent="0.3">
      <c r="B1434" s="73">
        <f>B1433+1</f>
        <v>2</v>
      </c>
      <c r="C1434" s="79" t="s">
        <v>1052</v>
      </c>
      <c r="D1434" s="86" t="s">
        <v>1045</v>
      </c>
      <c r="E1434" s="75">
        <f>'МЕДИЧНІ М'!E35</f>
        <v>253</v>
      </c>
      <c r="F1434" s="86">
        <v>400</v>
      </c>
      <c r="G1434" s="88">
        <f>ROUND(E1434/F1434,2)</f>
        <v>0.63</v>
      </c>
    </row>
    <row r="1435" spans="2:7" x14ac:dyDescent="0.3">
      <c r="B1435" s="73">
        <f t="shared" ref="B1435:B1443" si="34">B1434+1</f>
        <v>3</v>
      </c>
      <c r="C1435" s="79" t="s">
        <v>981</v>
      </c>
      <c r="D1435" s="76" t="s">
        <v>941</v>
      </c>
      <c r="E1435" s="76">
        <f>'МЕДИЧНІ М'!E49</f>
        <v>0.6</v>
      </c>
      <c r="F1435" s="77">
        <v>1</v>
      </c>
      <c r="G1435" s="88">
        <f>ROUND(E1435*F1435,2)</f>
        <v>0.6</v>
      </c>
    </row>
    <row r="1436" spans="2:7" x14ac:dyDescent="0.3">
      <c r="B1436" s="73">
        <f t="shared" si="34"/>
        <v>4</v>
      </c>
      <c r="C1436" s="79" t="s">
        <v>985</v>
      </c>
      <c r="D1436" s="76" t="s">
        <v>937</v>
      </c>
      <c r="E1436" s="76">
        <f>'МЕДИЧНІ М'!F39</f>
        <v>0.3</v>
      </c>
      <c r="F1436" s="77">
        <v>1</v>
      </c>
      <c r="G1436" s="88">
        <f>ROUND(E1436*F1436,2)</f>
        <v>0.3</v>
      </c>
    </row>
    <row r="1437" spans="2:7" x14ac:dyDescent="0.3">
      <c r="B1437" s="73">
        <f t="shared" si="34"/>
        <v>5</v>
      </c>
      <c r="C1437" s="79" t="s">
        <v>1050</v>
      </c>
      <c r="D1437" s="76" t="s">
        <v>941</v>
      </c>
      <c r="E1437" s="76">
        <f>'МЕДИЧНІ М'!E77</f>
        <v>0.9</v>
      </c>
      <c r="F1437" s="77">
        <v>1</v>
      </c>
      <c r="G1437" s="88">
        <f>ROUND(E1437*F1437,2)</f>
        <v>0.9</v>
      </c>
    </row>
    <row r="1438" spans="2:7" x14ac:dyDescent="0.3">
      <c r="B1438" s="73">
        <f t="shared" si="34"/>
        <v>6</v>
      </c>
      <c r="C1438" s="27" t="s">
        <v>942</v>
      </c>
      <c r="D1438" s="78" t="s">
        <v>974</v>
      </c>
      <c r="E1438" s="76">
        <f>'МЕДИЧНІ М'!E65</f>
        <v>24.6</v>
      </c>
      <c r="F1438" s="77">
        <v>100</v>
      </c>
      <c r="G1438" s="78">
        <f>ROUND(E1438/F1438,2)</f>
        <v>0.25</v>
      </c>
    </row>
    <row r="1439" spans="2:7" x14ac:dyDescent="0.3">
      <c r="B1439" s="73">
        <f t="shared" si="34"/>
        <v>7</v>
      </c>
      <c r="C1439" s="79" t="s">
        <v>934</v>
      </c>
      <c r="D1439" s="76" t="s">
        <v>941</v>
      </c>
      <c r="E1439" s="76">
        <f>'МЕДИЧНІ М'!E59</f>
        <v>2.8</v>
      </c>
      <c r="F1439" s="86">
        <v>10</v>
      </c>
      <c r="G1439" s="88">
        <f>ROUND(E1439/F1439,2)</f>
        <v>0.28000000000000003</v>
      </c>
    </row>
    <row r="1440" spans="2:7" x14ac:dyDescent="0.3">
      <c r="B1440" s="73">
        <f t="shared" si="34"/>
        <v>8</v>
      </c>
      <c r="C1440" s="27" t="s">
        <v>972</v>
      </c>
      <c r="D1440" s="76" t="s">
        <v>944</v>
      </c>
      <c r="E1440" s="76">
        <f>'МЕДИЧНІ М'!E21</f>
        <v>7</v>
      </c>
      <c r="F1440" s="86">
        <v>100</v>
      </c>
      <c r="G1440" s="88">
        <f>ROUND(E1440/F1440,2)</f>
        <v>7.0000000000000007E-2</v>
      </c>
    </row>
    <row r="1441" spans="2:10" x14ac:dyDescent="0.3">
      <c r="B1441" s="73">
        <f t="shared" si="34"/>
        <v>9</v>
      </c>
      <c r="C1441" s="79" t="s">
        <v>982</v>
      </c>
      <c r="D1441" s="76" t="s">
        <v>941</v>
      </c>
      <c r="E1441" s="76">
        <f>'МЕДИЧНІ М'!E48</f>
        <v>11</v>
      </c>
      <c r="F1441" s="77">
        <v>100</v>
      </c>
      <c r="G1441" s="88">
        <f>ROUND(E1441/F1441,2)</f>
        <v>0.11</v>
      </c>
    </row>
    <row r="1442" spans="2:10" x14ac:dyDescent="0.3">
      <c r="B1442" s="73">
        <f t="shared" si="34"/>
        <v>10</v>
      </c>
      <c r="C1442" s="27" t="s">
        <v>940</v>
      </c>
      <c r="D1442" s="28" t="s">
        <v>941</v>
      </c>
      <c r="E1442" s="81">
        <f>'МЕДИЧНІ М'!E37</f>
        <v>2</v>
      </c>
      <c r="F1442" s="28">
        <v>1.5</v>
      </c>
      <c r="G1442" s="28">
        <f>ROUND(E1442*F1442,2)</f>
        <v>3</v>
      </c>
    </row>
    <row r="1443" spans="2:10" x14ac:dyDescent="0.3">
      <c r="B1443" s="73">
        <f t="shared" si="34"/>
        <v>11</v>
      </c>
      <c r="C1443" s="27" t="s">
        <v>1124</v>
      </c>
      <c r="D1443" s="28" t="s">
        <v>944</v>
      </c>
      <c r="E1443" s="81">
        <f>'МЕДИЧНІ М'!E24</f>
        <v>0.5</v>
      </c>
      <c r="F1443" s="81">
        <v>0.5</v>
      </c>
      <c r="G1443" s="28">
        <f>ROUND(E1443*F1443,2)</f>
        <v>0.25</v>
      </c>
    </row>
    <row r="1444" spans="2:10" x14ac:dyDescent="0.3">
      <c r="B1444" s="1012" t="s">
        <v>945</v>
      </c>
      <c r="C1444" s="1013"/>
      <c r="D1444" s="1013"/>
      <c r="E1444" s="1013"/>
      <c r="F1444" s="1014"/>
      <c r="G1444" s="89">
        <f>SUM(G1433:G1443)</f>
        <v>7.74</v>
      </c>
    </row>
    <row r="1445" spans="2:10" ht="3.75" customHeight="1" x14ac:dyDescent="0.3"/>
    <row r="1446" spans="2:10" x14ac:dyDescent="0.3">
      <c r="C1446" s="12" t="s">
        <v>968</v>
      </c>
      <c r="D1446" s="12"/>
      <c r="E1446" s="12"/>
      <c r="F1446" s="11">
        <f>H1449</f>
        <v>0</v>
      </c>
      <c r="G1446" s="12" t="s">
        <v>971</v>
      </c>
    </row>
    <row r="1447" spans="2:10" ht="6.75" customHeight="1" x14ac:dyDescent="0.3">
      <c r="C1447" s="22"/>
      <c r="D1447" s="22"/>
      <c r="E1447" s="22"/>
      <c r="F1447" s="23"/>
      <c r="G1447" s="22"/>
    </row>
    <row r="1448" spans="2:10" ht="27.6" x14ac:dyDescent="0.3">
      <c r="C1448" s="14" t="s">
        <v>513</v>
      </c>
      <c r="D1448" s="14" t="s">
        <v>969</v>
      </c>
      <c r="E1448" s="14" t="s">
        <v>516</v>
      </c>
      <c r="F1448" s="14" t="s">
        <v>970</v>
      </c>
      <c r="G1448" s="14" t="s">
        <v>930</v>
      </c>
      <c r="H1448" s="14" t="s">
        <v>961</v>
      </c>
      <c r="I1448" s="44"/>
      <c r="J1448" s="44"/>
    </row>
    <row r="1449" spans="2:10" x14ac:dyDescent="0.3">
      <c r="C1449" s="27" t="str">
        <f>АМОРТИЗАЦІЯ!B68</f>
        <v>Аналiзатор бiохiмiчний STAT FAX 1904 Plus</v>
      </c>
      <c r="D1449" s="16">
        <f>АМОРТИЗАЦІЯ!C68</f>
        <v>0</v>
      </c>
      <c r="E1449" s="17">
        <f>I1422+I1421</f>
        <v>3614.4</v>
      </c>
      <c r="F1449" s="17">
        <f>ROUND((D1449/E1449)/60,2)</f>
        <v>0</v>
      </c>
      <c r="G1449" s="17">
        <f>E1426+E1425</f>
        <v>30</v>
      </c>
      <c r="H1449" s="16">
        <f>ROUND(F1449*G1449,2)</f>
        <v>0</v>
      </c>
      <c r="I1449" s="434"/>
      <c r="J1449" s="44"/>
    </row>
    <row r="1450" spans="2:10" ht="6.75" customHeight="1" x14ac:dyDescent="0.3"/>
    <row r="1451" spans="2:10" x14ac:dyDescent="0.3">
      <c r="C1451" s="12" t="s">
        <v>948</v>
      </c>
      <c r="D1451" s="12"/>
      <c r="E1451" s="12"/>
      <c r="F1451" s="11">
        <f>H1464</f>
        <v>3.8999999999999995</v>
      </c>
      <c r="G1451" s="12" t="s">
        <v>971</v>
      </c>
    </row>
    <row r="1452" spans="2:10" ht="5.25" customHeight="1" x14ac:dyDescent="0.3">
      <c r="C1452" s="22"/>
      <c r="D1452" s="22"/>
      <c r="E1452" s="22"/>
      <c r="F1452" s="23"/>
    </row>
    <row r="1453" spans="2:10" ht="27.6" x14ac:dyDescent="0.3">
      <c r="C1453" s="14" t="s">
        <v>948</v>
      </c>
      <c r="D1453" s="14" t="s">
        <v>1110</v>
      </c>
      <c r="E1453" s="14" t="s">
        <v>516</v>
      </c>
      <c r="F1453" s="14" t="s">
        <v>954</v>
      </c>
      <c r="G1453" s="14" t="s">
        <v>930</v>
      </c>
      <c r="H1453" s="14" t="s">
        <v>1111</v>
      </c>
    </row>
    <row r="1454" spans="2:10" x14ac:dyDescent="0.3">
      <c r="C1454" s="1009" t="str">
        <f>C1421</f>
        <v>Лікар-лаборант</v>
      </c>
      <c r="D1454" s="1010"/>
      <c r="E1454" s="1010"/>
      <c r="F1454" s="1010"/>
      <c r="G1454" s="1010"/>
      <c r="H1454" s="1011"/>
    </row>
    <row r="1455" spans="2:10" x14ac:dyDescent="0.3">
      <c r="C1455" s="17" t="s">
        <v>951</v>
      </c>
      <c r="D1455" s="112">
        <f>D1399</f>
        <v>12188.608008565312</v>
      </c>
      <c r="E1455" s="17">
        <f>I1421</f>
        <v>1807.2</v>
      </c>
      <c r="F1455" s="17">
        <f>ROUND((D1455/E1455)/60,2)</f>
        <v>0.11</v>
      </c>
      <c r="G1455" s="17">
        <f>E1425</f>
        <v>15</v>
      </c>
      <c r="H1455" s="16">
        <f>ROUND(F1455*G1455,2)</f>
        <v>1.65</v>
      </c>
    </row>
    <row r="1456" spans="2:10" x14ac:dyDescent="0.3">
      <c r="C1456" s="17" t="s">
        <v>952</v>
      </c>
      <c r="D1456" s="112">
        <f>D1400</f>
        <v>53.149721627408987</v>
      </c>
      <c r="E1456" s="17">
        <f>I1421</f>
        <v>1807.2</v>
      </c>
      <c r="F1456" s="17">
        <f>ROUND((D1456/E1456)/60,2)</f>
        <v>0</v>
      </c>
      <c r="G1456" s="17">
        <f>E1425</f>
        <v>15</v>
      </c>
      <c r="H1456" s="16">
        <f>ROUND(F1456*G1456,2)</f>
        <v>0</v>
      </c>
    </row>
    <row r="1457" spans="1:20" x14ac:dyDescent="0.3">
      <c r="C1457" s="17" t="s">
        <v>953</v>
      </c>
      <c r="D1457" s="112">
        <f>D1401</f>
        <v>374.98368308351178</v>
      </c>
      <c r="E1457" s="17">
        <f>I1421</f>
        <v>1807.2</v>
      </c>
      <c r="F1457" s="17">
        <f>ROUND((D1457/E1457)/60,2)</f>
        <v>0</v>
      </c>
      <c r="G1457" s="17">
        <f>E1425</f>
        <v>15</v>
      </c>
      <c r="H1457" s="16">
        <f>ROUND(F1457*G1457,2)</f>
        <v>0</v>
      </c>
    </row>
    <row r="1458" spans="1:20" x14ac:dyDescent="0.3">
      <c r="C1458" s="17" t="s">
        <v>1109</v>
      </c>
      <c r="D1458" s="112">
        <f>D1402</f>
        <v>1686.0389293361886</v>
      </c>
      <c r="E1458" s="17">
        <f>I1421</f>
        <v>1807.2</v>
      </c>
      <c r="F1458" s="17">
        <f>ROUND((D1458/E1458)/60,2)</f>
        <v>0.02</v>
      </c>
      <c r="G1458" s="17">
        <f>E1425</f>
        <v>15</v>
      </c>
      <c r="H1458" s="16">
        <f>ROUND(F1458*G1458,2)</f>
        <v>0.3</v>
      </c>
    </row>
    <row r="1459" spans="1:20" x14ac:dyDescent="0.3">
      <c r="C1459" s="1009" t="str">
        <f>C1422</f>
        <v>Лаборант клінічної лабораторії</v>
      </c>
      <c r="D1459" s="1010"/>
      <c r="E1459" s="1010"/>
      <c r="F1459" s="1010"/>
      <c r="G1459" s="1010"/>
      <c r="H1459" s="1011"/>
    </row>
    <row r="1460" spans="1:20" x14ac:dyDescent="0.3">
      <c r="C1460" s="17" t="s">
        <v>951</v>
      </c>
      <c r="D1460" s="112">
        <f>D1404</f>
        <v>12188.608008565312</v>
      </c>
      <c r="E1460" s="17">
        <f>I1422</f>
        <v>1807.2</v>
      </c>
      <c r="F1460" s="17">
        <f>ROUND((D1460/E1460)/60,2)</f>
        <v>0.11</v>
      </c>
      <c r="G1460" s="17">
        <f>E1426</f>
        <v>15</v>
      </c>
      <c r="H1460" s="16">
        <f>ROUND(F1460*G1460,2)</f>
        <v>1.65</v>
      </c>
    </row>
    <row r="1461" spans="1:20" x14ac:dyDescent="0.3">
      <c r="C1461" s="17" t="s">
        <v>952</v>
      </c>
      <c r="D1461" s="112">
        <f>D1405</f>
        <v>53.149721627408987</v>
      </c>
      <c r="E1461" s="17">
        <f>I1422</f>
        <v>1807.2</v>
      </c>
      <c r="F1461" s="17">
        <f>ROUND((D1461/E1461)/60,2)</f>
        <v>0</v>
      </c>
      <c r="G1461" s="17">
        <f>E1426</f>
        <v>15</v>
      </c>
      <c r="H1461" s="16">
        <f>ROUND(F1461*G1461,2)</f>
        <v>0</v>
      </c>
    </row>
    <row r="1462" spans="1:20" x14ac:dyDescent="0.3">
      <c r="C1462" s="17" t="s">
        <v>953</v>
      </c>
      <c r="D1462" s="112">
        <f>D1406</f>
        <v>374.98368308351178</v>
      </c>
      <c r="E1462" s="17">
        <f>I1422</f>
        <v>1807.2</v>
      </c>
      <c r="F1462" s="17">
        <f>ROUND((D1462/E1462)/60,2)</f>
        <v>0</v>
      </c>
      <c r="G1462" s="17">
        <f>E1426</f>
        <v>15</v>
      </c>
      <c r="H1462" s="16">
        <f>ROUND(F1462*G1462,2)</f>
        <v>0</v>
      </c>
    </row>
    <row r="1463" spans="1:20" x14ac:dyDescent="0.3">
      <c r="C1463" s="17" t="s">
        <v>1109</v>
      </c>
      <c r="D1463" s="112">
        <f>D1407</f>
        <v>1686.0389293361886</v>
      </c>
      <c r="E1463" s="17">
        <f>I1422</f>
        <v>1807.2</v>
      </c>
      <c r="F1463" s="17">
        <f>ROUND((D1463/E1463)/60,2)</f>
        <v>0.02</v>
      </c>
      <c r="G1463" s="17">
        <f>E1426</f>
        <v>15</v>
      </c>
      <c r="H1463" s="16">
        <f>ROUND(F1463*G1463,2)</f>
        <v>0.3</v>
      </c>
    </row>
    <row r="1464" spans="1:20" x14ac:dyDescent="0.3">
      <c r="C1464" s="1012" t="s">
        <v>957</v>
      </c>
      <c r="D1464" s="1013"/>
      <c r="E1464" s="1013"/>
      <c r="F1464" s="1013"/>
      <c r="G1464" s="1014"/>
      <c r="H1464" s="18">
        <f>SUM(H1455:H1463)</f>
        <v>3.8999999999999995</v>
      </c>
    </row>
    <row r="1466" spans="1:20" x14ac:dyDescent="0.3">
      <c r="C1466" s="1015" t="s">
        <v>959</v>
      </c>
      <c r="D1466" s="1015"/>
      <c r="E1466" s="1015"/>
      <c r="F1466" s="1015"/>
      <c r="G1466" s="1015"/>
      <c r="H1466" s="32">
        <f>F1418+F1430+F1451+F1446</f>
        <v>53</v>
      </c>
    </row>
    <row r="1467" spans="1:20" ht="15" customHeight="1" x14ac:dyDescent="0.3">
      <c r="C1467" s="33"/>
      <c r="D1467" s="33"/>
      <c r="E1467" s="33"/>
      <c r="F1467" s="33"/>
      <c r="G1467" s="33"/>
      <c r="H1467" s="34"/>
    </row>
    <row r="1468" spans="1:20" x14ac:dyDescent="0.3">
      <c r="C1468" s="1015" t="s">
        <v>960</v>
      </c>
      <c r="D1468" s="1015"/>
      <c r="E1468" s="1015"/>
      <c r="F1468" s="1015"/>
      <c r="G1468" s="1015"/>
      <c r="H1468" s="32">
        <f>ROUND(H1466,0)</f>
        <v>53</v>
      </c>
    </row>
    <row r="1470" spans="1:20" s="54" customFormat="1" ht="19.8" x14ac:dyDescent="0.4">
      <c r="A1470" s="53"/>
      <c r="B1470" s="1016" t="s">
        <v>958</v>
      </c>
      <c r="C1470" s="1016"/>
      <c r="D1470" s="1016"/>
      <c r="E1470" s="1016"/>
      <c r="F1470" s="1016"/>
      <c r="G1470" s="1016"/>
      <c r="H1470" s="1016"/>
      <c r="I1470" s="1016"/>
      <c r="J1470" s="1016"/>
      <c r="K1470" s="137"/>
      <c r="L1470" s="126"/>
      <c r="M1470" s="126"/>
      <c r="N1470" s="70"/>
      <c r="O1470" s="53"/>
      <c r="P1470" s="53"/>
      <c r="Q1470" s="53"/>
      <c r="R1470" s="53"/>
      <c r="S1470" s="53"/>
      <c r="T1470" s="53"/>
    </row>
    <row r="1471" spans="1:20" s="54" customFormat="1" ht="5.25" customHeight="1" x14ac:dyDescent="0.4">
      <c r="A1471" s="53"/>
      <c r="B1471" s="53"/>
      <c r="C1471" s="53"/>
      <c r="D1471" s="53"/>
      <c r="E1471" s="53"/>
      <c r="F1471" s="53"/>
      <c r="G1471" s="53"/>
      <c r="H1471" s="53"/>
      <c r="I1471" s="53"/>
      <c r="J1471" s="53"/>
      <c r="K1471" s="132"/>
      <c r="L1471" s="126"/>
      <c r="M1471" s="126"/>
      <c r="N1471" s="70"/>
      <c r="O1471" s="53"/>
      <c r="P1471" s="53"/>
      <c r="Q1471" s="53"/>
      <c r="R1471" s="53"/>
      <c r="S1471" s="53"/>
      <c r="T1471" s="53"/>
    </row>
    <row r="1472" spans="1:20" s="54" customFormat="1" ht="45.75" customHeight="1" x14ac:dyDescent="0.4">
      <c r="A1472" s="53"/>
      <c r="B1472" s="50" t="s">
        <v>779</v>
      </c>
      <c r="C1472" s="1017" t="s">
        <v>784</v>
      </c>
      <c r="D1472" s="1017"/>
      <c r="E1472" s="1017"/>
      <c r="F1472" s="52">
        <f>H1525</f>
        <v>52</v>
      </c>
      <c r="G1472" s="52" t="s">
        <v>971</v>
      </c>
      <c r="H1472" s="53"/>
      <c r="I1472" s="53"/>
      <c r="J1472" s="53"/>
      <c r="K1472" s="132"/>
      <c r="L1472" s="126"/>
      <c r="M1472" s="126"/>
      <c r="N1472" s="70"/>
      <c r="O1472" s="53"/>
      <c r="P1472" s="53"/>
      <c r="Q1472" s="53"/>
      <c r="R1472" s="53"/>
      <c r="S1472" s="53"/>
      <c r="T1472" s="53"/>
    </row>
    <row r="1473" spans="2:11" ht="5.25" customHeight="1" x14ac:dyDescent="0.3"/>
    <row r="1474" spans="2:11" x14ac:dyDescent="0.3">
      <c r="C1474" s="1018" t="s">
        <v>932</v>
      </c>
      <c r="D1474" s="1018"/>
      <c r="E1474" s="10"/>
      <c r="F1474" s="11">
        <f>F1481+F1484+F1482</f>
        <v>41.36</v>
      </c>
      <c r="G1474" s="12" t="s">
        <v>971</v>
      </c>
    </row>
    <row r="1475" spans="2:11" ht="5.25" customHeight="1" x14ac:dyDescent="0.3"/>
    <row r="1476" spans="2:11" x14ac:dyDescent="0.3">
      <c r="C1476" s="13" t="s">
        <v>929</v>
      </c>
      <c r="D1476" s="14" t="s">
        <v>928</v>
      </c>
      <c r="E1476" s="14" t="s">
        <v>514</v>
      </c>
      <c r="F1476" s="14" t="s">
        <v>515</v>
      </c>
      <c r="G1476" s="14" t="s">
        <v>962</v>
      </c>
      <c r="H1476" s="14" t="s">
        <v>926</v>
      </c>
      <c r="I1476" s="14" t="s">
        <v>516</v>
      </c>
      <c r="J1476" s="14" t="s">
        <v>961</v>
      </c>
      <c r="K1476" s="138"/>
    </row>
    <row r="1477" spans="2:11" x14ac:dyDescent="0.3">
      <c r="C1477" s="17" t="str">
        <f>C1421</f>
        <v>Лікар-лаборант</v>
      </c>
      <c r="D1477" s="17">
        <f>D1421</f>
        <v>10799.43</v>
      </c>
      <c r="E1477" s="16">
        <f>D1477*12</f>
        <v>129593.16</v>
      </c>
      <c r="F1477" s="17">
        <f>F1421</f>
        <v>8307.26</v>
      </c>
      <c r="G1477" s="17">
        <f>G1421</f>
        <v>4153.63</v>
      </c>
      <c r="H1477" s="16">
        <f>E1477+F1477+G1477</f>
        <v>142054.05000000002</v>
      </c>
      <c r="I1477" s="17">
        <v>1807.2</v>
      </c>
      <c r="J1477" s="16">
        <f>ROUND((H1477/I1477)/60,2)</f>
        <v>1.31</v>
      </c>
      <c r="K1477" s="140"/>
    </row>
    <row r="1478" spans="2:11" x14ac:dyDescent="0.3">
      <c r="C1478" s="17" t="str">
        <f>C1422</f>
        <v>Лаборант клінічної лабораторії</v>
      </c>
      <c r="D1478" s="17">
        <f>D1422</f>
        <v>7871.18</v>
      </c>
      <c r="E1478" s="16">
        <f>D1478*12</f>
        <v>94454.16</v>
      </c>
      <c r="F1478" s="17">
        <f>F1422</f>
        <v>6054.75</v>
      </c>
      <c r="G1478" s="17">
        <f>G1422</f>
        <v>3027.375</v>
      </c>
      <c r="H1478" s="16">
        <f>E1478+F1478+G1478</f>
        <v>103536.285</v>
      </c>
      <c r="I1478" s="17">
        <v>1807.2</v>
      </c>
      <c r="J1478" s="16">
        <f>ROUND((H1478/I1478)/60,2)</f>
        <v>0.95</v>
      </c>
      <c r="K1478" s="140"/>
    </row>
    <row r="1479" spans="2:11" ht="3.75" customHeight="1" x14ac:dyDescent="0.3"/>
    <row r="1480" spans="2:11" ht="27.6" x14ac:dyDescent="0.3">
      <c r="C1480" s="13" t="s">
        <v>929</v>
      </c>
      <c r="D1480" s="14" t="s">
        <v>961</v>
      </c>
      <c r="E1480" s="14" t="s">
        <v>930</v>
      </c>
      <c r="F1480" s="14" t="s">
        <v>931</v>
      </c>
    </row>
    <row r="1481" spans="2:11" x14ac:dyDescent="0.3">
      <c r="C1481" s="15" t="str">
        <f>C1477</f>
        <v>Лікар-лаборант</v>
      </c>
      <c r="D1481" s="16">
        <f>J1477</f>
        <v>1.31</v>
      </c>
      <c r="E1481" s="17">
        <v>15</v>
      </c>
      <c r="F1481" s="18">
        <f>ROUND(D1481*E1481,2)</f>
        <v>19.649999999999999</v>
      </c>
    </row>
    <row r="1482" spans="2:11" x14ac:dyDescent="0.3">
      <c r="C1482" s="15" t="str">
        <f>C1478</f>
        <v>Лаборант клінічної лабораторії</v>
      </c>
      <c r="D1482" s="16">
        <f>J1478</f>
        <v>0.95</v>
      </c>
      <c r="E1482" s="17">
        <v>15</v>
      </c>
      <c r="F1482" s="18">
        <f>ROUND(D1482*E1482,2)</f>
        <v>14.25</v>
      </c>
    </row>
    <row r="1483" spans="2:11" ht="6" customHeight="1" x14ac:dyDescent="0.3">
      <c r="D1483" s="19"/>
      <c r="E1483" s="7" t="s">
        <v>1016</v>
      </c>
    </row>
    <row r="1484" spans="2:11" x14ac:dyDescent="0.3">
      <c r="C1484" s="17" t="s">
        <v>933</v>
      </c>
      <c r="D1484" s="16">
        <f>F1481+F1482</f>
        <v>33.9</v>
      </c>
      <c r="E1484" s="20">
        <v>0.22</v>
      </c>
      <c r="F1484" s="21">
        <f>ROUND(D1484*E1484,2)</f>
        <v>7.46</v>
      </c>
    </row>
    <row r="1485" spans="2:11" ht="6.75" customHeight="1" x14ac:dyDescent="0.3"/>
    <row r="1486" spans="2:11" x14ac:dyDescent="0.3">
      <c r="C1486" s="12" t="s">
        <v>946</v>
      </c>
      <c r="D1486" s="12"/>
      <c r="E1486" s="12"/>
      <c r="F1486" s="12">
        <f>G1501</f>
        <v>6.2500000000000009</v>
      </c>
      <c r="G1486" s="12" t="s">
        <v>971</v>
      </c>
    </row>
    <row r="1487" spans="2:11" ht="3.75" customHeight="1" x14ac:dyDescent="0.3"/>
    <row r="1488" spans="2:11" ht="27.6" x14ac:dyDescent="0.3">
      <c r="B1488" s="82" t="s">
        <v>991</v>
      </c>
      <c r="C1488" s="83" t="s">
        <v>986</v>
      </c>
      <c r="D1488" s="83" t="s">
        <v>987</v>
      </c>
      <c r="E1488" s="83" t="s">
        <v>988</v>
      </c>
      <c r="F1488" s="83" t="s">
        <v>989</v>
      </c>
      <c r="G1488" s="82" t="s">
        <v>990</v>
      </c>
    </row>
    <row r="1489" spans="2:7" x14ac:dyDescent="0.3">
      <c r="B1489" s="84">
        <v>1</v>
      </c>
      <c r="C1489" s="85" t="s">
        <v>1053</v>
      </c>
      <c r="D1489" s="86" t="s">
        <v>1045</v>
      </c>
      <c r="E1489" s="217">
        <f>'МЕДИЧНІ М'!E17</f>
        <v>153</v>
      </c>
      <c r="F1489" s="86">
        <v>800</v>
      </c>
      <c r="G1489" s="78">
        <f>ROUND(E1489/F1489,2)</f>
        <v>0.19</v>
      </c>
    </row>
    <row r="1490" spans="2:7" x14ac:dyDescent="0.3">
      <c r="B1490" s="73">
        <f>B1489+1</f>
        <v>2</v>
      </c>
      <c r="C1490" s="79" t="s">
        <v>1054</v>
      </c>
      <c r="D1490" s="86" t="s">
        <v>1045</v>
      </c>
      <c r="E1490" s="218">
        <f>'МЕДИЧНІ М'!E16</f>
        <v>153</v>
      </c>
      <c r="F1490" s="86">
        <v>800</v>
      </c>
      <c r="G1490" s="78">
        <f>ROUND(E1490/F1490,2)</f>
        <v>0.19</v>
      </c>
    </row>
    <row r="1491" spans="2:7" x14ac:dyDescent="0.3">
      <c r="B1491" s="73">
        <f t="shared" ref="B1491:B1500" si="35">B1490+1</f>
        <v>3</v>
      </c>
      <c r="C1491" s="79" t="s">
        <v>1079</v>
      </c>
      <c r="D1491" s="86" t="s">
        <v>1045</v>
      </c>
      <c r="E1491" s="75">
        <f>'МЕДИЧНІ М'!E19</f>
        <v>144</v>
      </c>
      <c r="F1491" s="86">
        <v>800</v>
      </c>
      <c r="G1491" s="78">
        <f>ROUND(E1491/F1491,2)</f>
        <v>0.18</v>
      </c>
    </row>
    <row r="1492" spans="2:7" x14ac:dyDescent="0.3">
      <c r="B1492" s="73">
        <f t="shared" si="35"/>
        <v>4</v>
      </c>
      <c r="C1492" s="79" t="s">
        <v>1080</v>
      </c>
      <c r="D1492" s="86" t="s">
        <v>1045</v>
      </c>
      <c r="E1492" s="75">
        <f>'МЕДИЧНІ М'!E20</f>
        <v>144</v>
      </c>
      <c r="F1492" s="86">
        <v>800</v>
      </c>
      <c r="G1492" s="78">
        <f>ROUND(E1492/F1492,2)</f>
        <v>0.18</v>
      </c>
    </row>
    <row r="1493" spans="2:7" x14ac:dyDescent="0.3">
      <c r="B1493" s="73">
        <f t="shared" si="35"/>
        <v>5</v>
      </c>
      <c r="C1493" s="79" t="s">
        <v>981</v>
      </c>
      <c r="D1493" s="76" t="s">
        <v>941</v>
      </c>
      <c r="E1493" s="76">
        <f>'МЕДИЧНІ М'!E49</f>
        <v>0.6</v>
      </c>
      <c r="F1493" s="77">
        <v>1</v>
      </c>
      <c r="G1493" s="88">
        <f>ROUND(E1493*F1493,2)</f>
        <v>0.6</v>
      </c>
    </row>
    <row r="1494" spans="2:7" x14ac:dyDescent="0.3">
      <c r="B1494" s="73">
        <f t="shared" si="35"/>
        <v>6</v>
      </c>
      <c r="C1494" s="79" t="s">
        <v>985</v>
      </c>
      <c r="D1494" s="76" t="s">
        <v>937</v>
      </c>
      <c r="E1494" s="76">
        <f>'МЕДИЧНІ М'!F39</f>
        <v>0.3</v>
      </c>
      <c r="F1494" s="77">
        <v>1</v>
      </c>
      <c r="G1494" s="88">
        <f>ROUND(E1494*F1494,2)</f>
        <v>0.3</v>
      </c>
    </row>
    <row r="1495" spans="2:7" x14ac:dyDescent="0.3">
      <c r="B1495" s="73">
        <f t="shared" si="35"/>
        <v>7</v>
      </c>
      <c r="C1495" s="79" t="s">
        <v>1050</v>
      </c>
      <c r="D1495" s="76" t="s">
        <v>941</v>
      </c>
      <c r="E1495" s="76">
        <f>'МЕДИЧНІ М'!E77</f>
        <v>0.9</v>
      </c>
      <c r="F1495" s="77">
        <v>1</v>
      </c>
      <c r="G1495" s="88">
        <f>ROUND(E1495*F1495,2)</f>
        <v>0.9</v>
      </c>
    </row>
    <row r="1496" spans="2:7" x14ac:dyDescent="0.3">
      <c r="B1496" s="73">
        <f t="shared" si="35"/>
        <v>8</v>
      </c>
      <c r="C1496" s="27" t="s">
        <v>942</v>
      </c>
      <c r="D1496" s="78" t="s">
        <v>974</v>
      </c>
      <c r="E1496" s="76">
        <f>'МЕДИЧНІ М'!E65</f>
        <v>24.6</v>
      </c>
      <c r="F1496" s="77">
        <v>100</v>
      </c>
      <c r="G1496" s="78">
        <f>ROUND(E1496/F1496,2)</f>
        <v>0.25</v>
      </c>
    </row>
    <row r="1497" spans="2:7" x14ac:dyDescent="0.3">
      <c r="B1497" s="73">
        <f t="shared" si="35"/>
        <v>9</v>
      </c>
      <c r="C1497" s="79" t="s">
        <v>934</v>
      </c>
      <c r="D1497" s="76" t="s">
        <v>941</v>
      </c>
      <c r="E1497" s="76">
        <f>'МЕДИЧНІ М'!E59</f>
        <v>2.8</v>
      </c>
      <c r="F1497" s="86">
        <v>10</v>
      </c>
      <c r="G1497" s="88">
        <f>ROUND(E1497/F1497,2)</f>
        <v>0.28000000000000003</v>
      </c>
    </row>
    <row r="1498" spans="2:7" x14ac:dyDescent="0.3">
      <c r="B1498" s="73">
        <f t="shared" si="35"/>
        <v>10</v>
      </c>
      <c r="C1498" s="27" t="s">
        <v>972</v>
      </c>
      <c r="D1498" s="76" t="s">
        <v>944</v>
      </c>
      <c r="E1498" s="76">
        <f>'МЕДИЧНІ М'!E21</f>
        <v>7</v>
      </c>
      <c r="F1498" s="86">
        <v>100</v>
      </c>
      <c r="G1498" s="88">
        <f>ROUND(E1498/F1498,2)</f>
        <v>7.0000000000000007E-2</v>
      </c>
    </row>
    <row r="1499" spans="2:7" x14ac:dyDescent="0.3">
      <c r="B1499" s="73">
        <f t="shared" si="35"/>
        <v>11</v>
      </c>
      <c r="C1499" s="27" t="s">
        <v>940</v>
      </c>
      <c r="D1499" s="28" t="s">
        <v>941</v>
      </c>
      <c r="E1499" s="81">
        <f>'МЕДИЧНІ М'!E37</f>
        <v>2</v>
      </c>
      <c r="F1499" s="28">
        <v>1.5</v>
      </c>
      <c r="G1499" s="28">
        <f>ROUND(E1499*F1499,2)</f>
        <v>3</v>
      </c>
    </row>
    <row r="1500" spans="2:7" x14ac:dyDescent="0.3">
      <c r="B1500" s="73">
        <f t="shared" si="35"/>
        <v>12</v>
      </c>
      <c r="C1500" s="79" t="s">
        <v>982</v>
      </c>
      <c r="D1500" s="76" t="s">
        <v>941</v>
      </c>
      <c r="E1500" s="76">
        <f>'МЕДИЧНІ М'!E48</f>
        <v>11</v>
      </c>
      <c r="F1500" s="77">
        <v>100</v>
      </c>
      <c r="G1500" s="88">
        <f>ROUND(E1500/F1500,2)</f>
        <v>0.11</v>
      </c>
    </row>
    <row r="1501" spans="2:7" x14ac:dyDescent="0.3">
      <c r="B1501" s="1012" t="s">
        <v>945</v>
      </c>
      <c r="C1501" s="1013"/>
      <c r="D1501" s="1013"/>
      <c r="E1501" s="1013"/>
      <c r="F1501" s="1014"/>
      <c r="G1501" s="89">
        <f>SUM(G1489:G1500)</f>
        <v>6.2500000000000009</v>
      </c>
    </row>
    <row r="1502" spans="2:7" ht="9" customHeight="1" x14ac:dyDescent="0.3"/>
    <row r="1503" spans="2:7" x14ac:dyDescent="0.3">
      <c r="C1503" s="12" t="s">
        <v>968</v>
      </c>
      <c r="D1503" s="12"/>
      <c r="E1503" s="12"/>
      <c r="F1503" s="11">
        <f>H1506</f>
        <v>0</v>
      </c>
      <c r="G1503" s="12" t="s">
        <v>971</v>
      </c>
    </row>
    <row r="1504" spans="2:7" ht="7.5" customHeight="1" x14ac:dyDescent="0.3">
      <c r="C1504" s="22"/>
      <c r="D1504" s="22"/>
      <c r="E1504" s="22"/>
      <c r="F1504" s="23"/>
      <c r="G1504" s="22"/>
    </row>
    <row r="1505" spans="3:10" ht="27.6" x14ac:dyDescent="0.3">
      <c r="C1505" s="14" t="s">
        <v>513</v>
      </c>
      <c r="D1505" s="14" t="s">
        <v>969</v>
      </c>
      <c r="E1505" s="14" t="s">
        <v>516</v>
      </c>
      <c r="F1505" s="14" t="s">
        <v>970</v>
      </c>
      <c r="G1505" s="14" t="s">
        <v>930</v>
      </c>
      <c r="H1505" s="14" t="s">
        <v>961</v>
      </c>
      <c r="I1505" s="44"/>
      <c r="J1505" s="44"/>
    </row>
    <row r="1506" spans="3:10" x14ac:dyDescent="0.3">
      <c r="C1506" s="27" t="str">
        <f>C1449</f>
        <v>Аналiзатор бiохiмiчний STAT FAX 1904 Plus</v>
      </c>
      <c r="D1506" s="27">
        <f>D1449</f>
        <v>0</v>
      </c>
      <c r="E1506" s="17">
        <f>I1478+I1477</f>
        <v>3614.4</v>
      </c>
      <c r="F1506" s="17">
        <f>ROUND((D1506/E1506)/60,2)</f>
        <v>0</v>
      </c>
      <c r="G1506" s="17">
        <f>E1482+E1481</f>
        <v>30</v>
      </c>
      <c r="H1506" s="16">
        <f>ROUND(F1506*G1506,2)</f>
        <v>0</v>
      </c>
      <c r="I1506" s="434"/>
      <c r="J1506" s="44"/>
    </row>
    <row r="1508" spans="3:10" x14ac:dyDescent="0.3">
      <c r="C1508" s="12" t="s">
        <v>948</v>
      </c>
      <c r="D1508" s="12"/>
      <c r="E1508" s="12"/>
      <c r="F1508" s="11">
        <f>H1521</f>
        <v>3.8999999999999995</v>
      </c>
      <c r="G1508" s="12" t="s">
        <v>971</v>
      </c>
    </row>
    <row r="1509" spans="3:10" ht="6.75" customHeight="1" x14ac:dyDescent="0.3">
      <c r="C1509" s="22"/>
      <c r="D1509" s="22"/>
      <c r="E1509" s="22"/>
      <c r="F1509" s="23"/>
    </row>
    <row r="1510" spans="3:10" ht="27.6" x14ac:dyDescent="0.3">
      <c r="C1510" s="14" t="s">
        <v>948</v>
      </c>
      <c r="D1510" s="14" t="s">
        <v>1110</v>
      </c>
      <c r="E1510" s="14" t="s">
        <v>516</v>
      </c>
      <c r="F1510" s="14" t="s">
        <v>954</v>
      </c>
      <c r="G1510" s="14" t="s">
        <v>930</v>
      </c>
      <c r="H1510" s="14" t="s">
        <v>1111</v>
      </c>
    </row>
    <row r="1511" spans="3:10" x14ac:dyDescent="0.3">
      <c r="C1511" s="1009" t="str">
        <f>C1477</f>
        <v>Лікар-лаборант</v>
      </c>
      <c r="D1511" s="1010"/>
      <c r="E1511" s="1010"/>
      <c r="F1511" s="1010"/>
      <c r="G1511" s="1010"/>
      <c r="H1511" s="1011"/>
    </row>
    <row r="1512" spans="3:10" x14ac:dyDescent="0.3">
      <c r="C1512" s="17" t="s">
        <v>951</v>
      </c>
      <c r="D1512" s="112">
        <f>D1455</f>
        <v>12188.608008565312</v>
      </c>
      <c r="E1512" s="17">
        <f>I1477</f>
        <v>1807.2</v>
      </c>
      <c r="F1512" s="17">
        <f>ROUND((D1512/E1512)/60,2)</f>
        <v>0.11</v>
      </c>
      <c r="G1512" s="17">
        <f>E1481</f>
        <v>15</v>
      </c>
      <c r="H1512" s="16">
        <f>ROUND(F1512*G1512,2)</f>
        <v>1.65</v>
      </c>
    </row>
    <row r="1513" spans="3:10" x14ac:dyDescent="0.3">
      <c r="C1513" s="17" t="s">
        <v>952</v>
      </c>
      <c r="D1513" s="112">
        <f>D1456</f>
        <v>53.149721627408987</v>
      </c>
      <c r="E1513" s="17">
        <f>I1477</f>
        <v>1807.2</v>
      </c>
      <c r="F1513" s="17">
        <f>ROUND((D1513/E1513)/60,2)</f>
        <v>0</v>
      </c>
      <c r="G1513" s="17">
        <f>E1481</f>
        <v>15</v>
      </c>
      <c r="H1513" s="16">
        <f>ROUND(F1513*G1513,2)</f>
        <v>0</v>
      </c>
    </row>
    <row r="1514" spans="3:10" x14ac:dyDescent="0.3">
      <c r="C1514" s="17" t="s">
        <v>953</v>
      </c>
      <c r="D1514" s="112">
        <f>D1457</f>
        <v>374.98368308351178</v>
      </c>
      <c r="E1514" s="17">
        <f>I1477</f>
        <v>1807.2</v>
      </c>
      <c r="F1514" s="17">
        <f>ROUND((D1514/E1514)/60,2)</f>
        <v>0</v>
      </c>
      <c r="G1514" s="17">
        <f>E1481</f>
        <v>15</v>
      </c>
      <c r="H1514" s="16">
        <f>ROUND(F1514*G1514,2)</f>
        <v>0</v>
      </c>
    </row>
    <row r="1515" spans="3:10" x14ac:dyDescent="0.3">
      <c r="C1515" s="17" t="s">
        <v>1109</v>
      </c>
      <c r="D1515" s="112">
        <f>D1458</f>
        <v>1686.0389293361886</v>
      </c>
      <c r="E1515" s="17">
        <f>I1477</f>
        <v>1807.2</v>
      </c>
      <c r="F1515" s="17">
        <f>ROUND((D1515/E1515)/60,2)</f>
        <v>0.02</v>
      </c>
      <c r="G1515" s="17">
        <f>E1481</f>
        <v>15</v>
      </c>
      <c r="H1515" s="16">
        <f>ROUND(F1515*G1515,2)</f>
        <v>0.3</v>
      </c>
    </row>
    <row r="1516" spans="3:10" x14ac:dyDescent="0.3">
      <c r="C1516" s="1009" t="str">
        <f>C1478</f>
        <v>Лаборант клінічної лабораторії</v>
      </c>
      <c r="D1516" s="1010"/>
      <c r="E1516" s="1010"/>
      <c r="F1516" s="1010"/>
      <c r="G1516" s="1010"/>
      <c r="H1516" s="1011"/>
    </row>
    <row r="1517" spans="3:10" x14ac:dyDescent="0.3">
      <c r="C1517" s="17" t="s">
        <v>951</v>
      </c>
      <c r="D1517" s="112">
        <f>D1460</f>
        <v>12188.608008565312</v>
      </c>
      <c r="E1517" s="17">
        <f>I1478</f>
        <v>1807.2</v>
      </c>
      <c r="F1517" s="17">
        <f>ROUND((D1517/E1517)/60,2)</f>
        <v>0.11</v>
      </c>
      <c r="G1517" s="17">
        <f>E1482</f>
        <v>15</v>
      </c>
      <c r="H1517" s="16">
        <f>ROUND(F1517*G1517,2)</f>
        <v>1.65</v>
      </c>
    </row>
    <row r="1518" spans="3:10" x14ac:dyDescent="0.3">
      <c r="C1518" s="17" t="s">
        <v>952</v>
      </c>
      <c r="D1518" s="112">
        <f>D1461</f>
        <v>53.149721627408987</v>
      </c>
      <c r="E1518" s="17">
        <f>I1478</f>
        <v>1807.2</v>
      </c>
      <c r="F1518" s="17">
        <f>ROUND((D1518/E1518)/60,2)</f>
        <v>0</v>
      </c>
      <c r="G1518" s="17">
        <f>E1482</f>
        <v>15</v>
      </c>
      <c r="H1518" s="16">
        <f>ROUND(F1518*G1518,2)</f>
        <v>0</v>
      </c>
    </row>
    <row r="1519" spans="3:10" x14ac:dyDescent="0.3">
      <c r="C1519" s="17" t="s">
        <v>953</v>
      </c>
      <c r="D1519" s="112">
        <f>D1462</f>
        <v>374.98368308351178</v>
      </c>
      <c r="E1519" s="17">
        <f>I1478</f>
        <v>1807.2</v>
      </c>
      <c r="F1519" s="17">
        <f>ROUND((D1519/E1519)/60,2)</f>
        <v>0</v>
      </c>
      <c r="G1519" s="17">
        <f>E1482</f>
        <v>15</v>
      </c>
      <c r="H1519" s="16">
        <f>ROUND(F1519*G1519,2)</f>
        <v>0</v>
      </c>
    </row>
    <row r="1520" spans="3:10" x14ac:dyDescent="0.3">
      <c r="C1520" s="17" t="s">
        <v>1109</v>
      </c>
      <c r="D1520" s="112">
        <f>D1463</f>
        <v>1686.0389293361886</v>
      </c>
      <c r="E1520" s="17">
        <f>I1478</f>
        <v>1807.2</v>
      </c>
      <c r="F1520" s="17">
        <f>ROUND((D1520/E1520)/60,2)</f>
        <v>0.02</v>
      </c>
      <c r="G1520" s="17">
        <f>E1482</f>
        <v>15</v>
      </c>
      <c r="H1520" s="16">
        <f>ROUND(F1520*G1520,2)</f>
        <v>0.3</v>
      </c>
    </row>
    <row r="1521" spans="1:20" x14ac:dyDescent="0.3">
      <c r="C1521" s="1012" t="s">
        <v>957</v>
      </c>
      <c r="D1521" s="1013"/>
      <c r="E1521" s="1013"/>
      <c r="F1521" s="1013"/>
      <c r="G1521" s="1014"/>
      <c r="H1521" s="18">
        <f>SUM(H1512:H1520)</f>
        <v>3.8999999999999995</v>
      </c>
    </row>
    <row r="1523" spans="1:20" x14ac:dyDescent="0.3">
      <c r="C1523" s="1015" t="s">
        <v>959</v>
      </c>
      <c r="D1523" s="1015"/>
      <c r="E1523" s="1015"/>
      <c r="F1523" s="1015"/>
      <c r="G1523" s="1015"/>
      <c r="H1523" s="32">
        <f>F1474+F1486+F1508+F1503</f>
        <v>51.51</v>
      </c>
    </row>
    <row r="1524" spans="1:20" x14ac:dyDescent="0.3">
      <c r="C1524" s="33"/>
      <c r="D1524" s="33"/>
      <c r="E1524" s="33"/>
      <c r="F1524" s="33"/>
      <c r="G1524" s="33"/>
      <c r="H1524" s="34"/>
    </row>
    <row r="1525" spans="1:20" x14ac:dyDescent="0.3">
      <c r="C1525" s="1015" t="s">
        <v>960</v>
      </c>
      <c r="D1525" s="1015"/>
      <c r="E1525" s="1015"/>
      <c r="F1525" s="1015"/>
      <c r="G1525" s="1015"/>
      <c r="H1525" s="32">
        <f>ROUND(H1523,0)</f>
        <v>52</v>
      </c>
    </row>
    <row r="1527" spans="1:20" s="54" customFormat="1" ht="19.8" x14ac:dyDescent="0.4">
      <c r="A1527" s="53"/>
      <c r="B1527" s="1016" t="s">
        <v>958</v>
      </c>
      <c r="C1527" s="1016"/>
      <c r="D1527" s="1016"/>
      <c r="E1527" s="1016"/>
      <c r="F1527" s="1016"/>
      <c r="G1527" s="1016"/>
      <c r="H1527" s="1016"/>
      <c r="I1527" s="1016"/>
      <c r="J1527" s="1016"/>
      <c r="K1527" s="137"/>
      <c r="L1527" s="126"/>
      <c r="M1527" s="126"/>
      <c r="N1527" s="70"/>
      <c r="O1527" s="53"/>
      <c r="P1527" s="53"/>
      <c r="Q1527" s="53"/>
      <c r="R1527" s="53"/>
      <c r="S1527" s="53"/>
      <c r="T1527" s="53"/>
    </row>
    <row r="1528" spans="1:20" s="54" customFormat="1" ht="6.75" customHeight="1" x14ac:dyDescent="0.4">
      <c r="A1528" s="53"/>
      <c r="B1528" s="53"/>
      <c r="C1528" s="53"/>
      <c r="D1528" s="53"/>
      <c r="E1528" s="53"/>
      <c r="F1528" s="53"/>
      <c r="G1528" s="53"/>
      <c r="H1528" s="53"/>
      <c r="I1528" s="53"/>
      <c r="J1528" s="53"/>
      <c r="K1528" s="132"/>
      <c r="L1528" s="126"/>
      <c r="M1528" s="126"/>
      <c r="N1528" s="70"/>
      <c r="O1528" s="53"/>
      <c r="P1528" s="53"/>
      <c r="Q1528" s="53"/>
      <c r="R1528" s="53"/>
      <c r="S1528" s="53"/>
      <c r="T1528" s="53"/>
    </row>
    <row r="1529" spans="1:20" s="54" customFormat="1" ht="46.5" customHeight="1" x14ac:dyDescent="0.4">
      <c r="A1529" s="53"/>
      <c r="B1529" s="50" t="s">
        <v>781</v>
      </c>
      <c r="C1529" s="1017" t="s">
        <v>785</v>
      </c>
      <c r="D1529" s="1017"/>
      <c r="E1529" s="1017"/>
      <c r="F1529" s="52">
        <f>H1580</f>
        <v>52</v>
      </c>
      <c r="G1529" s="52" t="s">
        <v>971</v>
      </c>
      <c r="H1529" s="53"/>
      <c r="I1529" s="53"/>
      <c r="J1529" s="53"/>
      <c r="K1529" s="132"/>
      <c r="L1529" s="126"/>
      <c r="M1529" s="126"/>
      <c r="N1529" s="70"/>
      <c r="O1529" s="53"/>
      <c r="P1529" s="53"/>
      <c r="Q1529" s="53"/>
      <c r="R1529" s="53"/>
      <c r="S1529" s="53"/>
      <c r="T1529" s="53"/>
    </row>
    <row r="1530" spans="1:20" ht="8.25" customHeight="1" x14ac:dyDescent="0.3"/>
    <row r="1531" spans="1:20" x14ac:dyDescent="0.3">
      <c r="C1531" s="1018" t="s">
        <v>932</v>
      </c>
      <c r="D1531" s="1018"/>
      <c r="E1531" s="10"/>
      <c r="F1531" s="11">
        <f>F1538+F1541+F1539</f>
        <v>41.36</v>
      </c>
      <c r="G1531" s="12" t="s">
        <v>971</v>
      </c>
    </row>
    <row r="1532" spans="1:20" ht="6" customHeight="1" x14ac:dyDescent="0.3"/>
    <row r="1533" spans="1:20" x14ac:dyDescent="0.3">
      <c r="C1533" s="13" t="s">
        <v>929</v>
      </c>
      <c r="D1533" s="14" t="s">
        <v>928</v>
      </c>
      <c r="E1533" s="14" t="s">
        <v>514</v>
      </c>
      <c r="F1533" s="14" t="s">
        <v>515</v>
      </c>
      <c r="G1533" s="14" t="s">
        <v>962</v>
      </c>
      <c r="H1533" s="14" t="s">
        <v>926</v>
      </c>
      <c r="I1533" s="14" t="s">
        <v>516</v>
      </c>
      <c r="J1533" s="14" t="s">
        <v>961</v>
      </c>
      <c r="K1533" s="138"/>
    </row>
    <row r="1534" spans="1:20" x14ac:dyDescent="0.3">
      <c r="C1534" s="17" t="str">
        <f>C1477</f>
        <v>Лікар-лаборант</v>
      </c>
      <c r="D1534" s="17">
        <f>D1477</f>
        <v>10799.43</v>
      </c>
      <c r="E1534" s="16">
        <f>D1534*12</f>
        <v>129593.16</v>
      </c>
      <c r="F1534" s="17">
        <f>F1477</f>
        <v>8307.26</v>
      </c>
      <c r="G1534" s="17">
        <f>G1477</f>
        <v>4153.63</v>
      </c>
      <c r="H1534" s="16">
        <f>E1534+F1534+G1534</f>
        <v>142054.05000000002</v>
      </c>
      <c r="I1534" s="17">
        <v>1807.2</v>
      </c>
      <c r="J1534" s="16">
        <f>ROUND((H1534/I1534)/60,2)</f>
        <v>1.31</v>
      </c>
      <c r="K1534" s="140"/>
    </row>
    <row r="1535" spans="1:20" x14ac:dyDescent="0.3">
      <c r="C1535" s="17" t="str">
        <f>C1478</f>
        <v>Лаборант клінічної лабораторії</v>
      </c>
      <c r="D1535" s="17">
        <f>D1478</f>
        <v>7871.18</v>
      </c>
      <c r="E1535" s="16">
        <f>D1535*12</f>
        <v>94454.16</v>
      </c>
      <c r="F1535" s="17">
        <f>F1478</f>
        <v>6054.75</v>
      </c>
      <c r="G1535" s="17">
        <f>G1478</f>
        <v>3027.375</v>
      </c>
      <c r="H1535" s="16">
        <f>E1535+F1535+G1535</f>
        <v>103536.285</v>
      </c>
      <c r="I1535" s="17">
        <v>1807.2</v>
      </c>
      <c r="J1535" s="16">
        <f>ROUND((H1535/I1535)/60,2)</f>
        <v>0.95</v>
      </c>
      <c r="K1535" s="140"/>
    </row>
    <row r="1536" spans="1:20" ht="6.75" customHeight="1" x14ac:dyDescent="0.3"/>
    <row r="1537" spans="2:7" ht="27.6" x14ac:dyDescent="0.3">
      <c r="C1537" s="13" t="s">
        <v>929</v>
      </c>
      <c r="D1537" s="14" t="s">
        <v>961</v>
      </c>
      <c r="E1537" s="14" t="s">
        <v>930</v>
      </c>
      <c r="F1537" s="14" t="s">
        <v>931</v>
      </c>
    </row>
    <row r="1538" spans="2:7" x14ac:dyDescent="0.3">
      <c r="C1538" s="15" t="str">
        <f>C1534</f>
        <v>Лікар-лаборант</v>
      </c>
      <c r="D1538" s="16">
        <f>J1534</f>
        <v>1.31</v>
      </c>
      <c r="E1538" s="17">
        <v>15</v>
      </c>
      <c r="F1538" s="18">
        <f>ROUND(D1538*E1538,2)</f>
        <v>19.649999999999999</v>
      </c>
    </row>
    <row r="1539" spans="2:7" x14ac:dyDescent="0.3">
      <c r="C1539" s="15" t="str">
        <f>C1535</f>
        <v>Лаборант клінічної лабораторії</v>
      </c>
      <c r="D1539" s="16">
        <f>J1535</f>
        <v>0.95</v>
      </c>
      <c r="E1539" s="17">
        <v>15</v>
      </c>
      <c r="F1539" s="18">
        <f>ROUND(D1539*E1539,2)</f>
        <v>14.25</v>
      </c>
    </row>
    <row r="1540" spans="2:7" ht="7.5" customHeight="1" x14ac:dyDescent="0.3">
      <c r="D1540" s="19"/>
      <c r="E1540" s="7" t="s">
        <v>1016</v>
      </c>
    </row>
    <row r="1541" spans="2:7" x14ac:dyDescent="0.3">
      <c r="C1541" s="17" t="s">
        <v>933</v>
      </c>
      <c r="D1541" s="16">
        <f>F1538+F1539</f>
        <v>33.9</v>
      </c>
      <c r="E1541" s="20">
        <v>0.22</v>
      </c>
      <c r="F1541" s="21">
        <f>ROUND(D1541*E1541,2)</f>
        <v>7.46</v>
      </c>
    </row>
    <row r="1542" spans="2:7" ht="7.5" customHeight="1" x14ac:dyDescent="0.3"/>
    <row r="1543" spans="2:7" x14ac:dyDescent="0.3">
      <c r="C1543" s="12" t="s">
        <v>946</v>
      </c>
      <c r="D1543" s="12"/>
      <c r="E1543" s="12"/>
      <c r="F1543" s="12">
        <f>G1556</f>
        <v>6.38</v>
      </c>
      <c r="G1543" s="12" t="s">
        <v>971</v>
      </c>
    </row>
    <row r="1544" spans="2:7" ht="7.5" customHeight="1" x14ac:dyDescent="0.3"/>
    <row r="1545" spans="2:7" ht="27.6" x14ac:dyDescent="0.3">
      <c r="B1545" s="82" t="s">
        <v>991</v>
      </c>
      <c r="C1545" s="83" t="s">
        <v>986</v>
      </c>
      <c r="D1545" s="83" t="s">
        <v>987</v>
      </c>
      <c r="E1545" s="83" t="s">
        <v>988</v>
      </c>
      <c r="F1545" s="83" t="s">
        <v>989</v>
      </c>
      <c r="G1545" s="82" t="s">
        <v>990</v>
      </c>
    </row>
    <row r="1546" spans="2:7" x14ac:dyDescent="0.3">
      <c r="B1546" s="84">
        <v>1</v>
      </c>
      <c r="C1546" s="85" t="s">
        <v>1060</v>
      </c>
      <c r="D1546" s="86" t="s">
        <v>1045</v>
      </c>
      <c r="E1546" s="87">
        <f>'МЕДИЧНІ М'!E76</f>
        <v>495</v>
      </c>
      <c r="F1546" s="86">
        <v>800</v>
      </c>
      <c r="G1546" s="78">
        <f>ROUND(E1546/F1546,2)</f>
        <v>0.62</v>
      </c>
    </row>
    <row r="1547" spans="2:7" x14ac:dyDescent="0.3">
      <c r="B1547" s="73">
        <f>B1546+1</f>
        <v>2</v>
      </c>
      <c r="C1547" s="79" t="s">
        <v>981</v>
      </c>
      <c r="D1547" s="76" t="s">
        <v>941</v>
      </c>
      <c r="E1547" s="76">
        <f>'МЕДИЧНІ М'!E49</f>
        <v>0.6</v>
      </c>
      <c r="F1547" s="77">
        <v>1</v>
      </c>
      <c r="G1547" s="88">
        <f>ROUND(E1547*F1547,2)</f>
        <v>0.6</v>
      </c>
    </row>
    <row r="1548" spans="2:7" x14ac:dyDescent="0.3">
      <c r="B1548" s="73">
        <f t="shared" ref="B1548:B1555" si="36">B1547+1</f>
        <v>3</v>
      </c>
      <c r="C1548" s="79" t="s">
        <v>985</v>
      </c>
      <c r="D1548" s="76" t="s">
        <v>937</v>
      </c>
      <c r="E1548" s="76">
        <f>'МЕДИЧНІ М'!F39</f>
        <v>0.3</v>
      </c>
      <c r="F1548" s="77">
        <v>1</v>
      </c>
      <c r="G1548" s="88">
        <f>ROUND(E1548*F1548,2)</f>
        <v>0.3</v>
      </c>
    </row>
    <row r="1549" spans="2:7" x14ac:dyDescent="0.3">
      <c r="B1549" s="73">
        <f t="shared" si="36"/>
        <v>4</v>
      </c>
      <c r="C1549" s="79" t="s">
        <v>1050</v>
      </c>
      <c r="D1549" s="76" t="s">
        <v>941</v>
      </c>
      <c r="E1549" s="76">
        <f>'МЕДИЧНІ М'!E77</f>
        <v>0.9</v>
      </c>
      <c r="F1549" s="77">
        <v>1</v>
      </c>
      <c r="G1549" s="88">
        <f>ROUND(E1549*F1549,2)</f>
        <v>0.9</v>
      </c>
    </row>
    <row r="1550" spans="2:7" x14ac:dyDescent="0.3">
      <c r="B1550" s="73">
        <f t="shared" si="36"/>
        <v>5</v>
      </c>
      <c r="C1550" s="27" t="s">
        <v>942</v>
      </c>
      <c r="D1550" s="78" t="s">
        <v>974</v>
      </c>
      <c r="E1550" s="76">
        <f>'МЕДИЧНІ М'!E65</f>
        <v>24.6</v>
      </c>
      <c r="F1550" s="77">
        <v>100</v>
      </c>
      <c r="G1550" s="78">
        <f>ROUND(E1550/F1550,2)</f>
        <v>0.25</v>
      </c>
    </row>
    <row r="1551" spans="2:7" x14ac:dyDescent="0.3">
      <c r="B1551" s="73">
        <f t="shared" si="36"/>
        <v>6</v>
      </c>
      <c r="C1551" s="79" t="s">
        <v>934</v>
      </c>
      <c r="D1551" s="76" t="s">
        <v>941</v>
      </c>
      <c r="E1551" s="76">
        <f>'МЕДИЧНІ М'!E59</f>
        <v>2.8</v>
      </c>
      <c r="F1551" s="86">
        <v>10</v>
      </c>
      <c r="G1551" s="88">
        <f>ROUND(E1551/F1551,2)</f>
        <v>0.28000000000000003</v>
      </c>
    </row>
    <row r="1552" spans="2:7" x14ac:dyDescent="0.3">
      <c r="B1552" s="73">
        <f t="shared" si="36"/>
        <v>7</v>
      </c>
      <c r="C1552" s="27" t="s">
        <v>972</v>
      </c>
      <c r="D1552" s="76" t="s">
        <v>944</v>
      </c>
      <c r="E1552" s="76">
        <f>'МЕДИЧНІ М'!E21</f>
        <v>7</v>
      </c>
      <c r="F1552" s="86">
        <v>100</v>
      </c>
      <c r="G1552" s="88">
        <f>ROUND(E1552/F1552,2)</f>
        <v>7.0000000000000007E-2</v>
      </c>
    </row>
    <row r="1553" spans="2:10" x14ac:dyDescent="0.3">
      <c r="B1553" s="73">
        <f t="shared" si="36"/>
        <v>8</v>
      </c>
      <c r="C1553" s="79" t="s">
        <v>982</v>
      </c>
      <c r="D1553" s="76" t="s">
        <v>941</v>
      </c>
      <c r="E1553" s="76">
        <f>'МЕДИЧНІ М'!E48</f>
        <v>11</v>
      </c>
      <c r="F1553" s="77">
        <v>100</v>
      </c>
      <c r="G1553" s="88">
        <f>ROUND(E1553/F1553,2)</f>
        <v>0.11</v>
      </c>
    </row>
    <row r="1554" spans="2:10" x14ac:dyDescent="0.3">
      <c r="B1554" s="73">
        <f t="shared" si="36"/>
        <v>9</v>
      </c>
      <c r="C1554" s="27" t="s">
        <v>940</v>
      </c>
      <c r="D1554" s="28" t="s">
        <v>941</v>
      </c>
      <c r="E1554" s="81">
        <f>'МЕДИЧНІ М'!E37</f>
        <v>2</v>
      </c>
      <c r="F1554" s="28">
        <v>1.5</v>
      </c>
      <c r="G1554" s="28">
        <f>ROUND(E1554*F1554,2)</f>
        <v>3</v>
      </c>
    </row>
    <row r="1555" spans="2:10" x14ac:dyDescent="0.3">
      <c r="B1555" s="73">
        <f t="shared" si="36"/>
        <v>10</v>
      </c>
      <c r="C1555" s="27" t="s">
        <v>1124</v>
      </c>
      <c r="D1555" s="28" t="s">
        <v>944</v>
      </c>
      <c r="E1555" s="81">
        <f>'МЕДИЧНІ М'!E24</f>
        <v>0.5</v>
      </c>
      <c r="F1555" s="81">
        <v>0.5</v>
      </c>
      <c r="G1555" s="28">
        <f>ROUND(E1555*F1555,2)</f>
        <v>0.25</v>
      </c>
    </row>
    <row r="1556" spans="2:10" x14ac:dyDescent="0.3">
      <c r="B1556" s="1012" t="s">
        <v>945</v>
      </c>
      <c r="C1556" s="1013"/>
      <c r="D1556" s="1013"/>
      <c r="E1556" s="1013"/>
      <c r="F1556" s="1014"/>
      <c r="G1556" s="89">
        <f>SUM(G1546:G1555)</f>
        <v>6.38</v>
      </c>
    </row>
    <row r="1558" spans="2:10" x14ac:dyDescent="0.3">
      <c r="C1558" s="12" t="s">
        <v>968</v>
      </c>
      <c r="D1558" s="12"/>
      <c r="E1558" s="12"/>
      <c r="F1558" s="11">
        <f>H1561</f>
        <v>0</v>
      </c>
      <c r="G1558" s="12" t="s">
        <v>971</v>
      </c>
    </row>
    <row r="1559" spans="2:10" ht="8.25" customHeight="1" x14ac:dyDescent="0.3">
      <c r="C1559" s="22"/>
      <c r="D1559" s="22"/>
      <c r="E1559" s="22"/>
      <c r="F1559" s="23"/>
      <c r="G1559" s="22"/>
    </row>
    <row r="1560" spans="2:10" ht="27.6" x14ac:dyDescent="0.3">
      <c r="C1560" s="14" t="s">
        <v>513</v>
      </c>
      <c r="D1560" s="14" t="s">
        <v>969</v>
      </c>
      <c r="E1560" s="14" t="s">
        <v>516</v>
      </c>
      <c r="F1560" s="14" t="s">
        <v>970</v>
      </c>
      <c r="G1560" s="14" t="s">
        <v>930</v>
      </c>
      <c r="H1560" s="14" t="s">
        <v>961</v>
      </c>
      <c r="I1560" s="44"/>
      <c r="J1560" s="44"/>
    </row>
    <row r="1561" spans="2:10" x14ac:dyDescent="0.3">
      <c r="C1561" s="27" t="str">
        <f>C1506</f>
        <v>Аналiзатор бiохiмiчний STAT FAX 1904 Plus</v>
      </c>
      <c r="D1561" s="27">
        <f>D1506</f>
        <v>0</v>
      </c>
      <c r="E1561" s="17">
        <f>I1535+I1534</f>
        <v>3614.4</v>
      </c>
      <c r="F1561" s="17">
        <f>ROUND((D1561/E1561)/60,2)</f>
        <v>0</v>
      </c>
      <c r="G1561" s="17">
        <f>E1539+E1538</f>
        <v>30</v>
      </c>
      <c r="H1561" s="16">
        <f>ROUND(F1561*G1561,2)</f>
        <v>0</v>
      </c>
      <c r="I1561" s="434"/>
      <c r="J1561" s="44"/>
    </row>
    <row r="1563" spans="2:10" x14ac:dyDescent="0.3">
      <c r="C1563" s="12" t="s">
        <v>948</v>
      </c>
      <c r="D1563" s="12"/>
      <c r="E1563" s="12"/>
      <c r="F1563" s="11">
        <f>H1576</f>
        <v>3.8999999999999995</v>
      </c>
      <c r="G1563" s="12" t="s">
        <v>971</v>
      </c>
    </row>
    <row r="1564" spans="2:10" x14ac:dyDescent="0.3">
      <c r="C1564" s="22"/>
      <c r="D1564" s="22"/>
      <c r="E1564" s="22"/>
      <c r="F1564" s="23"/>
    </row>
    <row r="1565" spans="2:10" ht="27.6" x14ac:dyDescent="0.3">
      <c r="C1565" s="14" t="s">
        <v>948</v>
      </c>
      <c r="D1565" s="14" t="s">
        <v>1110</v>
      </c>
      <c r="E1565" s="14" t="s">
        <v>516</v>
      </c>
      <c r="F1565" s="14" t="s">
        <v>954</v>
      </c>
      <c r="G1565" s="14" t="s">
        <v>930</v>
      </c>
      <c r="H1565" s="14" t="s">
        <v>1111</v>
      </c>
    </row>
    <row r="1566" spans="2:10" x14ac:dyDescent="0.3">
      <c r="C1566" s="1009" t="str">
        <f>C1534</f>
        <v>Лікар-лаборант</v>
      </c>
      <c r="D1566" s="1010"/>
      <c r="E1566" s="1010"/>
      <c r="F1566" s="1010"/>
      <c r="G1566" s="1010"/>
      <c r="H1566" s="1011"/>
    </row>
    <row r="1567" spans="2:10" x14ac:dyDescent="0.3">
      <c r="C1567" s="17" t="s">
        <v>951</v>
      </c>
      <c r="D1567" s="112">
        <f>D1512</f>
        <v>12188.608008565312</v>
      </c>
      <c r="E1567" s="17">
        <f>I1534</f>
        <v>1807.2</v>
      </c>
      <c r="F1567" s="17">
        <f>ROUND((D1567/E1567)/60,2)</f>
        <v>0.11</v>
      </c>
      <c r="G1567" s="17">
        <f>E1538</f>
        <v>15</v>
      </c>
      <c r="H1567" s="16">
        <f>ROUND(F1567*G1567,2)</f>
        <v>1.65</v>
      </c>
    </row>
    <row r="1568" spans="2:10" x14ac:dyDescent="0.3">
      <c r="C1568" s="17" t="s">
        <v>952</v>
      </c>
      <c r="D1568" s="112">
        <f>D1513</f>
        <v>53.149721627408987</v>
      </c>
      <c r="E1568" s="17">
        <f>I1534</f>
        <v>1807.2</v>
      </c>
      <c r="F1568" s="17">
        <f>ROUND((D1568/E1568)/60,2)</f>
        <v>0</v>
      </c>
      <c r="G1568" s="17">
        <f>E1538</f>
        <v>15</v>
      </c>
      <c r="H1568" s="16">
        <f>ROUND(F1568*G1568,2)</f>
        <v>0</v>
      </c>
    </row>
    <row r="1569" spans="1:20" x14ac:dyDescent="0.3">
      <c r="C1569" s="17" t="s">
        <v>953</v>
      </c>
      <c r="D1569" s="112">
        <f>D1514</f>
        <v>374.98368308351178</v>
      </c>
      <c r="E1569" s="17">
        <f>I1534</f>
        <v>1807.2</v>
      </c>
      <c r="F1569" s="17">
        <f>ROUND((D1569/E1569)/60,2)</f>
        <v>0</v>
      </c>
      <c r="G1569" s="17">
        <f>E1538</f>
        <v>15</v>
      </c>
      <c r="H1569" s="16">
        <f>ROUND(F1569*G1569,2)</f>
        <v>0</v>
      </c>
    </row>
    <row r="1570" spans="1:20" x14ac:dyDescent="0.3">
      <c r="C1570" s="17" t="s">
        <v>1109</v>
      </c>
      <c r="D1570" s="112">
        <f>D1515</f>
        <v>1686.0389293361886</v>
      </c>
      <c r="E1570" s="17">
        <f>I1534</f>
        <v>1807.2</v>
      </c>
      <c r="F1570" s="17">
        <f>ROUND((D1570/E1570)/60,2)</f>
        <v>0.02</v>
      </c>
      <c r="G1570" s="17">
        <f>E1538</f>
        <v>15</v>
      </c>
      <c r="H1570" s="16">
        <f>ROUND(F1570*G1570,2)</f>
        <v>0.3</v>
      </c>
    </row>
    <row r="1571" spans="1:20" x14ac:dyDescent="0.3">
      <c r="C1571" s="1009" t="str">
        <f>C1535</f>
        <v>Лаборант клінічної лабораторії</v>
      </c>
      <c r="D1571" s="1010"/>
      <c r="E1571" s="1010"/>
      <c r="F1571" s="1010"/>
      <c r="G1571" s="1010"/>
      <c r="H1571" s="1011"/>
    </row>
    <row r="1572" spans="1:20" x14ac:dyDescent="0.3">
      <c r="C1572" s="17" t="s">
        <v>951</v>
      </c>
      <c r="D1572" s="112">
        <f>D1517</f>
        <v>12188.608008565312</v>
      </c>
      <c r="E1572" s="17">
        <f>I1535</f>
        <v>1807.2</v>
      </c>
      <c r="F1572" s="17">
        <f>ROUND((D1572/E1572)/60,2)</f>
        <v>0.11</v>
      </c>
      <c r="G1572" s="17">
        <f>E1539</f>
        <v>15</v>
      </c>
      <c r="H1572" s="16">
        <f>ROUND(F1572*G1572,2)</f>
        <v>1.65</v>
      </c>
    </row>
    <row r="1573" spans="1:20" x14ac:dyDescent="0.3">
      <c r="C1573" s="17" t="s">
        <v>952</v>
      </c>
      <c r="D1573" s="112">
        <f>D1518</f>
        <v>53.149721627408987</v>
      </c>
      <c r="E1573" s="17">
        <f>I1535</f>
        <v>1807.2</v>
      </c>
      <c r="F1573" s="17">
        <f>ROUND((D1573/E1573)/60,2)</f>
        <v>0</v>
      </c>
      <c r="G1573" s="17">
        <f>E1539</f>
        <v>15</v>
      </c>
      <c r="H1573" s="16">
        <f>ROUND(F1573*G1573,2)</f>
        <v>0</v>
      </c>
    </row>
    <row r="1574" spans="1:20" x14ac:dyDescent="0.3">
      <c r="C1574" s="17" t="s">
        <v>953</v>
      </c>
      <c r="D1574" s="112">
        <f>D1519</f>
        <v>374.98368308351178</v>
      </c>
      <c r="E1574" s="17">
        <f>I1535</f>
        <v>1807.2</v>
      </c>
      <c r="F1574" s="17">
        <f>ROUND((D1574/E1574)/60,2)</f>
        <v>0</v>
      </c>
      <c r="G1574" s="17">
        <f>E1539</f>
        <v>15</v>
      </c>
      <c r="H1574" s="16">
        <f>ROUND(F1574*G1574,2)</f>
        <v>0</v>
      </c>
    </row>
    <row r="1575" spans="1:20" x14ac:dyDescent="0.3">
      <c r="C1575" s="17" t="s">
        <v>1109</v>
      </c>
      <c r="D1575" s="112">
        <f>D1520</f>
        <v>1686.0389293361886</v>
      </c>
      <c r="E1575" s="17">
        <f>I1535</f>
        <v>1807.2</v>
      </c>
      <c r="F1575" s="17">
        <f>ROUND((D1575/E1575)/60,2)</f>
        <v>0.02</v>
      </c>
      <c r="G1575" s="17">
        <f>E1539</f>
        <v>15</v>
      </c>
      <c r="H1575" s="16">
        <f>ROUND(F1575*G1575,2)</f>
        <v>0.3</v>
      </c>
    </row>
    <row r="1576" spans="1:20" x14ac:dyDescent="0.3">
      <c r="C1576" s="1012" t="s">
        <v>957</v>
      </c>
      <c r="D1576" s="1013"/>
      <c r="E1576" s="1013"/>
      <c r="F1576" s="1013"/>
      <c r="G1576" s="1014"/>
      <c r="H1576" s="18">
        <f>SUM(H1567:H1575)</f>
        <v>3.8999999999999995</v>
      </c>
    </row>
    <row r="1578" spans="1:20" x14ac:dyDescent="0.3">
      <c r="C1578" s="1015" t="s">
        <v>959</v>
      </c>
      <c r="D1578" s="1015"/>
      <c r="E1578" s="1015"/>
      <c r="F1578" s="1015"/>
      <c r="G1578" s="1015"/>
      <c r="H1578" s="32">
        <f>F1531+F1543+F1563+F1558</f>
        <v>51.64</v>
      </c>
    </row>
    <row r="1579" spans="1:20" x14ac:dyDescent="0.3">
      <c r="C1579" s="33"/>
      <c r="D1579" s="33"/>
      <c r="E1579" s="33"/>
      <c r="F1579" s="33"/>
      <c r="G1579" s="33"/>
      <c r="H1579" s="34"/>
    </row>
    <row r="1580" spans="1:20" x14ac:dyDescent="0.3">
      <c r="C1580" s="1015" t="s">
        <v>960</v>
      </c>
      <c r="D1580" s="1015"/>
      <c r="E1580" s="1015"/>
      <c r="F1580" s="1015"/>
      <c r="G1580" s="1015"/>
      <c r="H1580" s="32">
        <f>ROUND(H1578,0)</f>
        <v>52</v>
      </c>
    </row>
    <row r="1582" spans="1:20" s="54" customFormat="1" ht="19.8" x14ac:dyDescent="0.4">
      <c r="A1582" s="53"/>
      <c r="B1582" s="1016" t="s">
        <v>958</v>
      </c>
      <c r="C1582" s="1016"/>
      <c r="D1582" s="1016"/>
      <c r="E1582" s="1016"/>
      <c r="F1582" s="1016"/>
      <c r="G1582" s="1016"/>
      <c r="H1582" s="1016"/>
      <c r="I1582" s="1016"/>
      <c r="J1582" s="1016"/>
      <c r="K1582" s="137"/>
      <c r="L1582" s="126"/>
      <c r="M1582" s="126"/>
      <c r="N1582" s="70"/>
      <c r="O1582" s="53"/>
      <c r="P1582" s="53"/>
      <c r="Q1582" s="53"/>
      <c r="R1582" s="53"/>
      <c r="S1582" s="53"/>
      <c r="T1582" s="53"/>
    </row>
    <row r="1583" spans="1:20" s="54" customFormat="1" ht="19.8" x14ac:dyDescent="0.4">
      <c r="A1583" s="53"/>
      <c r="B1583" s="53"/>
      <c r="C1583" s="53"/>
      <c r="D1583" s="53"/>
      <c r="E1583" s="53"/>
      <c r="F1583" s="53"/>
      <c r="G1583" s="53"/>
      <c r="H1583" s="53"/>
      <c r="I1583" s="53"/>
      <c r="J1583" s="53"/>
      <c r="K1583" s="132"/>
      <c r="L1583" s="126"/>
      <c r="M1583" s="126"/>
      <c r="N1583" s="70"/>
      <c r="O1583" s="53"/>
      <c r="P1583" s="53"/>
      <c r="Q1583" s="53"/>
      <c r="R1583" s="53"/>
      <c r="S1583" s="53"/>
      <c r="T1583" s="53"/>
    </row>
    <row r="1584" spans="1:20" s="54" customFormat="1" ht="37.5" customHeight="1" x14ac:dyDescent="0.4">
      <c r="A1584" s="53"/>
      <c r="B1584" s="50" t="s">
        <v>783</v>
      </c>
      <c r="C1584" s="1017" t="s">
        <v>1081</v>
      </c>
      <c r="D1584" s="1017"/>
      <c r="E1584" s="1017"/>
      <c r="F1584" s="52">
        <f>H1636</f>
        <v>41</v>
      </c>
      <c r="G1584" s="52" t="s">
        <v>971</v>
      </c>
      <c r="H1584" s="53"/>
      <c r="I1584" s="53"/>
      <c r="J1584" s="53"/>
      <c r="K1584" s="132"/>
      <c r="L1584" s="126"/>
      <c r="M1584" s="126"/>
      <c r="N1584" s="70"/>
      <c r="O1584" s="53"/>
      <c r="P1584" s="53"/>
      <c r="Q1584" s="53"/>
      <c r="R1584" s="53"/>
      <c r="S1584" s="53"/>
      <c r="T1584" s="53"/>
    </row>
    <row r="1586" spans="2:11" x14ac:dyDescent="0.3">
      <c r="C1586" s="1018" t="s">
        <v>932</v>
      </c>
      <c r="D1586" s="1018"/>
      <c r="E1586" s="10"/>
      <c r="F1586" s="11">
        <f>F1593+F1596+F1594</f>
        <v>25.72</v>
      </c>
      <c r="G1586" s="12" t="s">
        <v>971</v>
      </c>
    </row>
    <row r="1587" spans="2:11" ht="8.25" customHeight="1" x14ac:dyDescent="0.3"/>
    <row r="1588" spans="2:11" x14ac:dyDescent="0.3">
      <c r="C1588" s="13" t="s">
        <v>929</v>
      </c>
      <c r="D1588" s="14" t="s">
        <v>928</v>
      </c>
      <c r="E1588" s="14" t="s">
        <v>514</v>
      </c>
      <c r="F1588" s="14" t="s">
        <v>515</v>
      </c>
      <c r="G1588" s="14" t="s">
        <v>962</v>
      </c>
      <c r="H1588" s="14" t="s">
        <v>926</v>
      </c>
      <c r="I1588" s="14" t="s">
        <v>516</v>
      </c>
      <c r="J1588" s="14" t="s">
        <v>961</v>
      </c>
      <c r="K1588" s="138"/>
    </row>
    <row r="1589" spans="2:11" x14ac:dyDescent="0.3">
      <c r="C1589" s="17" t="str">
        <f>C1534</f>
        <v>Лікар-лаборант</v>
      </c>
      <c r="D1589" s="17">
        <f>D1534</f>
        <v>10799.43</v>
      </c>
      <c r="E1589" s="16">
        <f>D1589*12</f>
        <v>129593.16</v>
      </c>
      <c r="F1589" s="17">
        <f>F1534</f>
        <v>8307.26</v>
      </c>
      <c r="G1589" s="17">
        <f>G1534</f>
        <v>4153.63</v>
      </c>
      <c r="H1589" s="16">
        <f>E1589+F1589+G1589</f>
        <v>142054.05000000002</v>
      </c>
      <c r="I1589" s="17">
        <v>1807.2</v>
      </c>
      <c r="J1589" s="16">
        <f>ROUND((H1589/I1589)/60,2)</f>
        <v>1.31</v>
      </c>
      <c r="K1589" s="140"/>
    </row>
    <row r="1590" spans="2:11" x14ac:dyDescent="0.3">
      <c r="C1590" s="17" t="str">
        <f>C1535</f>
        <v>Лаборант клінічної лабораторії</v>
      </c>
      <c r="D1590" s="17">
        <f>D1535</f>
        <v>7871.18</v>
      </c>
      <c r="E1590" s="16">
        <f>D1590*12</f>
        <v>94454.16</v>
      </c>
      <c r="F1590" s="17">
        <f>F1535</f>
        <v>6054.75</v>
      </c>
      <c r="G1590" s="17">
        <f>G1535</f>
        <v>3027.375</v>
      </c>
      <c r="H1590" s="16">
        <f>E1590+F1590+G1590</f>
        <v>103536.285</v>
      </c>
      <c r="I1590" s="17">
        <v>1807.2</v>
      </c>
      <c r="J1590" s="16">
        <f>ROUND((H1590/I1590)/60,2)</f>
        <v>0.95</v>
      </c>
      <c r="K1590" s="140"/>
    </row>
    <row r="1591" spans="2:11" ht="9.75" customHeight="1" x14ac:dyDescent="0.3"/>
    <row r="1592" spans="2:11" ht="27.6" x14ac:dyDescent="0.3">
      <c r="C1592" s="13" t="s">
        <v>929</v>
      </c>
      <c r="D1592" s="14" t="s">
        <v>961</v>
      </c>
      <c r="E1592" s="14" t="s">
        <v>930</v>
      </c>
      <c r="F1592" s="14" t="s">
        <v>931</v>
      </c>
    </row>
    <row r="1593" spans="2:11" x14ac:dyDescent="0.3">
      <c r="C1593" s="15" t="str">
        <f>C1589</f>
        <v>Лікар-лаборант</v>
      </c>
      <c r="D1593" s="16">
        <f>J1589</f>
        <v>1.31</v>
      </c>
      <c r="E1593" s="17">
        <v>15</v>
      </c>
      <c r="F1593" s="18">
        <f>ROUND(D1593*E1593,2)</f>
        <v>19.649999999999999</v>
      </c>
    </row>
    <row r="1594" spans="2:11" x14ac:dyDescent="0.3">
      <c r="C1594" s="15" t="str">
        <f>C1590</f>
        <v>Лаборант клінічної лабораторії</v>
      </c>
      <c r="D1594" s="16">
        <f>J1590</f>
        <v>0.95</v>
      </c>
      <c r="E1594" s="17">
        <v>1.5</v>
      </c>
      <c r="F1594" s="18">
        <f>ROUND(D1594*E1594,2)</f>
        <v>1.43</v>
      </c>
    </row>
    <row r="1595" spans="2:11" ht="9" customHeight="1" x14ac:dyDescent="0.3">
      <c r="D1595" s="19"/>
      <c r="E1595" s="7" t="s">
        <v>1016</v>
      </c>
    </row>
    <row r="1596" spans="2:11" x14ac:dyDescent="0.3">
      <c r="C1596" s="17" t="s">
        <v>933</v>
      </c>
      <c r="D1596" s="16">
        <f>F1593+F1594</f>
        <v>21.08</v>
      </c>
      <c r="E1596" s="20">
        <v>0.22</v>
      </c>
      <c r="F1596" s="21">
        <f>ROUND(D1596*E1596,2)</f>
        <v>4.6399999999999997</v>
      </c>
    </row>
    <row r="1598" spans="2:11" x14ac:dyDescent="0.3">
      <c r="C1598" s="12" t="s">
        <v>946</v>
      </c>
      <c r="D1598" s="12"/>
      <c r="E1598" s="12"/>
      <c r="F1598" s="12">
        <f>G1612</f>
        <v>9.82</v>
      </c>
      <c r="G1598" s="12" t="s">
        <v>971</v>
      </c>
    </row>
    <row r="1599" spans="2:11" ht="8.25" customHeight="1" x14ac:dyDescent="0.3"/>
    <row r="1600" spans="2:11" ht="27.6" x14ac:dyDescent="0.3">
      <c r="B1600" s="82" t="s">
        <v>991</v>
      </c>
      <c r="C1600" s="83" t="s">
        <v>986</v>
      </c>
      <c r="D1600" s="83" t="s">
        <v>987</v>
      </c>
      <c r="E1600" s="83" t="s">
        <v>988</v>
      </c>
      <c r="F1600" s="83" t="s">
        <v>989</v>
      </c>
      <c r="G1600" s="82" t="s">
        <v>990</v>
      </c>
    </row>
    <row r="1601" spans="2:8" x14ac:dyDescent="0.3">
      <c r="B1601" s="84">
        <v>1</v>
      </c>
      <c r="C1601" s="85" t="s">
        <v>1062</v>
      </c>
      <c r="D1601" s="86" t="s">
        <v>1045</v>
      </c>
      <c r="E1601" s="87">
        <f>'МЕДИЧНІ М'!E72</f>
        <v>136</v>
      </c>
      <c r="F1601" s="86">
        <v>100</v>
      </c>
      <c r="G1601" s="78">
        <f>ROUND(E1601/F1601,2)</f>
        <v>1.36</v>
      </c>
    </row>
    <row r="1602" spans="2:8" x14ac:dyDescent="0.3">
      <c r="B1602" s="73">
        <f>B1601+1</f>
        <v>2</v>
      </c>
      <c r="C1602" s="79" t="s">
        <v>89</v>
      </c>
      <c r="D1602" s="76" t="s">
        <v>941</v>
      </c>
      <c r="E1602" s="75">
        <f>'МЕДИЧНІ М'!E36</f>
        <v>2.7</v>
      </c>
      <c r="F1602" s="77">
        <v>1</v>
      </c>
      <c r="G1602" s="88">
        <f>ROUND(E1602*F1602,2)</f>
        <v>2.7</v>
      </c>
    </row>
    <row r="1603" spans="2:8" x14ac:dyDescent="0.3">
      <c r="B1603" s="73">
        <f t="shared" ref="B1603:B1611" si="37">B1602+1</f>
        <v>3</v>
      </c>
      <c r="C1603" s="79" t="s">
        <v>981</v>
      </c>
      <c r="D1603" s="76" t="s">
        <v>941</v>
      </c>
      <c r="E1603" s="76">
        <f>'МЕДИЧНІ М'!E49</f>
        <v>0.6</v>
      </c>
      <c r="F1603" s="77">
        <v>1</v>
      </c>
      <c r="G1603" s="88">
        <f>ROUND(E1603*F1603,2)</f>
        <v>0.6</v>
      </c>
    </row>
    <row r="1604" spans="2:8" x14ac:dyDescent="0.3">
      <c r="B1604" s="73">
        <f t="shared" si="37"/>
        <v>4</v>
      </c>
      <c r="C1604" s="79" t="s">
        <v>985</v>
      </c>
      <c r="D1604" s="76" t="s">
        <v>937</v>
      </c>
      <c r="E1604" s="76">
        <f>'МЕДИЧНІ М'!F39</f>
        <v>0.3</v>
      </c>
      <c r="F1604" s="77">
        <v>1</v>
      </c>
      <c r="G1604" s="88">
        <f>ROUND(E1604*F1604,2)</f>
        <v>0.3</v>
      </c>
    </row>
    <row r="1605" spans="2:8" x14ac:dyDescent="0.3">
      <c r="B1605" s="73">
        <f t="shared" si="37"/>
        <v>5</v>
      </c>
      <c r="C1605" s="79" t="s">
        <v>1050</v>
      </c>
      <c r="D1605" s="76" t="s">
        <v>941</v>
      </c>
      <c r="E1605" s="76">
        <f>'МЕДИЧНІ М'!E77</f>
        <v>0.9</v>
      </c>
      <c r="F1605" s="77">
        <v>1</v>
      </c>
      <c r="G1605" s="88">
        <f>ROUND(E1605*F1605,2)</f>
        <v>0.9</v>
      </c>
    </row>
    <row r="1606" spans="2:8" x14ac:dyDescent="0.3">
      <c r="B1606" s="73">
        <f t="shared" si="37"/>
        <v>6</v>
      </c>
      <c r="C1606" s="27" t="s">
        <v>942</v>
      </c>
      <c r="D1606" s="78" t="s">
        <v>974</v>
      </c>
      <c r="E1606" s="76">
        <f>'МЕДИЧНІ М'!E65</f>
        <v>24.6</v>
      </c>
      <c r="F1606" s="77">
        <v>100</v>
      </c>
      <c r="G1606" s="78">
        <f>ROUND(E1606/F1606,2)</f>
        <v>0.25</v>
      </c>
    </row>
    <row r="1607" spans="2:8" x14ac:dyDescent="0.3">
      <c r="B1607" s="73">
        <f t="shared" si="37"/>
        <v>7</v>
      </c>
      <c r="C1607" s="79" t="s">
        <v>934</v>
      </c>
      <c r="D1607" s="76" t="s">
        <v>941</v>
      </c>
      <c r="E1607" s="76">
        <f>'МЕДИЧНІ М'!E59</f>
        <v>2.8</v>
      </c>
      <c r="F1607" s="86">
        <v>10</v>
      </c>
      <c r="G1607" s="88">
        <f>ROUND(E1607/F1607,2)</f>
        <v>0.28000000000000003</v>
      </c>
    </row>
    <row r="1608" spans="2:8" x14ac:dyDescent="0.3">
      <c r="B1608" s="73">
        <f t="shared" si="37"/>
        <v>8</v>
      </c>
      <c r="C1608" s="27" t="s">
        <v>972</v>
      </c>
      <c r="D1608" s="76" t="s">
        <v>944</v>
      </c>
      <c r="E1608" s="76">
        <f>'МЕДИЧНІ М'!E21</f>
        <v>7</v>
      </c>
      <c r="F1608" s="86">
        <v>100</v>
      </c>
      <c r="G1608" s="88">
        <f>ROUND(E1608/F1608,2)</f>
        <v>7.0000000000000007E-2</v>
      </c>
    </row>
    <row r="1609" spans="2:8" x14ac:dyDescent="0.3">
      <c r="B1609" s="73">
        <f t="shared" si="37"/>
        <v>9</v>
      </c>
      <c r="C1609" s="79" t="s">
        <v>982</v>
      </c>
      <c r="D1609" s="76" t="s">
        <v>941</v>
      </c>
      <c r="E1609" s="76">
        <f>'МЕДИЧНІ М'!E48</f>
        <v>11</v>
      </c>
      <c r="F1609" s="77">
        <v>100</v>
      </c>
      <c r="G1609" s="88">
        <f>ROUND(E1609/F1609,2)</f>
        <v>0.11</v>
      </c>
    </row>
    <row r="1610" spans="2:8" x14ac:dyDescent="0.3">
      <c r="B1610" s="73">
        <f t="shared" si="37"/>
        <v>10</v>
      </c>
      <c r="C1610" s="27" t="s">
        <v>940</v>
      </c>
      <c r="D1610" s="28" t="s">
        <v>941</v>
      </c>
      <c r="E1610" s="81">
        <f>'МЕДИЧНІ М'!E37</f>
        <v>2</v>
      </c>
      <c r="F1610" s="28">
        <v>1.5</v>
      </c>
      <c r="G1610" s="28">
        <f>ROUND(E1610*F1610,2)</f>
        <v>3</v>
      </c>
    </row>
    <row r="1611" spans="2:8" x14ac:dyDescent="0.3">
      <c r="B1611" s="73">
        <f t="shared" si="37"/>
        <v>11</v>
      </c>
      <c r="C1611" s="27" t="s">
        <v>1124</v>
      </c>
      <c r="D1611" s="28" t="s">
        <v>944</v>
      </c>
      <c r="E1611" s="81">
        <f>'МЕДИЧНІ М'!E24</f>
        <v>0.5</v>
      </c>
      <c r="F1611" s="81">
        <v>0.5</v>
      </c>
      <c r="G1611" s="28">
        <f>ROUND(E1611*F1611,2)</f>
        <v>0.25</v>
      </c>
    </row>
    <row r="1612" spans="2:8" x14ac:dyDescent="0.3">
      <c r="B1612" s="1012" t="s">
        <v>945</v>
      </c>
      <c r="C1612" s="1013"/>
      <c r="D1612" s="1013"/>
      <c r="E1612" s="1013"/>
      <c r="F1612" s="1014"/>
      <c r="G1612" s="89">
        <f>SUM(G1601:G1611)</f>
        <v>9.82</v>
      </c>
    </row>
    <row r="1613" spans="2:8" ht="6" customHeight="1" x14ac:dyDescent="0.3"/>
    <row r="1614" spans="2:8" x14ac:dyDescent="0.3">
      <c r="C1614" s="12" t="s">
        <v>968</v>
      </c>
      <c r="D1614" s="12"/>
      <c r="E1614" s="12"/>
      <c r="F1614" s="11">
        <f>H1617</f>
        <v>3.15</v>
      </c>
      <c r="G1614" s="12" t="s">
        <v>971</v>
      </c>
    </row>
    <row r="1615" spans="2:8" ht="4.5" customHeight="1" x14ac:dyDescent="0.3">
      <c r="C1615" s="22"/>
      <c r="D1615" s="22"/>
      <c r="E1615" s="22"/>
      <c r="F1615" s="23"/>
      <c r="G1615" s="22"/>
    </row>
    <row r="1616" spans="2:8" ht="27.6" x14ac:dyDescent="0.3">
      <c r="C1616" s="14" t="s">
        <v>513</v>
      </c>
      <c r="D1616" s="14" t="s">
        <v>969</v>
      </c>
      <c r="E1616" s="14" t="s">
        <v>516</v>
      </c>
      <c r="F1616" s="14" t="s">
        <v>970</v>
      </c>
      <c r="G1616" s="14" t="s">
        <v>930</v>
      </c>
      <c r="H1616" s="14" t="s">
        <v>961</v>
      </c>
    </row>
    <row r="1617" spans="3:9" ht="27.6" x14ac:dyDescent="0.3">
      <c r="C1617" s="27" t="str">
        <f>АМОРТИЗАЦІЯ!B7</f>
        <v>Аналізатор Гематологічний автоматичний BC-30S</v>
      </c>
      <c r="D1617" s="17">
        <f>АМОРТИЗАЦІЯ!C7</f>
        <v>22909.439999999999</v>
      </c>
      <c r="E1617" s="17">
        <f>I1589</f>
        <v>1807.2</v>
      </c>
      <c r="F1617" s="17">
        <f>ROUND((D1617/E1617)/60,2)</f>
        <v>0.21</v>
      </c>
      <c r="G1617" s="17">
        <f>E1593</f>
        <v>15</v>
      </c>
      <c r="H1617" s="16">
        <f>ROUND(F1617*G1617,2)</f>
        <v>3.15</v>
      </c>
      <c r="I1617" s="38"/>
    </row>
    <row r="1618" spans="3:9" ht="7.5" customHeight="1" x14ac:dyDescent="0.3"/>
    <row r="1619" spans="3:9" x14ac:dyDescent="0.3">
      <c r="C1619" s="12" t="s">
        <v>948</v>
      </c>
      <c r="D1619" s="12"/>
      <c r="E1619" s="12"/>
      <c r="F1619" s="11">
        <f>H1632</f>
        <v>2.15</v>
      </c>
      <c r="G1619" s="12" t="s">
        <v>971</v>
      </c>
    </row>
    <row r="1620" spans="3:9" ht="5.25" customHeight="1" x14ac:dyDescent="0.3">
      <c r="C1620" s="22"/>
      <c r="D1620" s="22"/>
      <c r="E1620" s="22"/>
      <c r="F1620" s="23"/>
    </row>
    <row r="1621" spans="3:9" ht="27.6" x14ac:dyDescent="0.3">
      <c r="C1621" s="14" t="s">
        <v>948</v>
      </c>
      <c r="D1621" s="14" t="s">
        <v>1110</v>
      </c>
      <c r="E1621" s="14" t="s">
        <v>516</v>
      </c>
      <c r="F1621" s="14" t="s">
        <v>954</v>
      </c>
      <c r="G1621" s="14" t="s">
        <v>930</v>
      </c>
      <c r="H1621" s="14" t="s">
        <v>1111</v>
      </c>
    </row>
    <row r="1622" spans="3:9" x14ac:dyDescent="0.3">
      <c r="C1622" s="1009" t="str">
        <f>C1589</f>
        <v>Лікар-лаборант</v>
      </c>
      <c r="D1622" s="1010"/>
      <c r="E1622" s="1010"/>
      <c r="F1622" s="1010"/>
      <c r="G1622" s="1010"/>
      <c r="H1622" s="1011"/>
    </row>
    <row r="1623" spans="3:9" x14ac:dyDescent="0.3">
      <c r="C1623" s="17" t="s">
        <v>951</v>
      </c>
      <c r="D1623" s="112">
        <f>D1567</f>
        <v>12188.608008565312</v>
      </c>
      <c r="E1623" s="17">
        <f>I1589</f>
        <v>1807.2</v>
      </c>
      <c r="F1623" s="17">
        <f>ROUND((D1623/E1623)/60,2)</f>
        <v>0.11</v>
      </c>
      <c r="G1623" s="17">
        <f>E1593</f>
        <v>15</v>
      </c>
      <c r="H1623" s="16">
        <f>ROUND(F1623*G1623,2)</f>
        <v>1.65</v>
      </c>
    </row>
    <row r="1624" spans="3:9" x14ac:dyDescent="0.3">
      <c r="C1624" s="17" t="s">
        <v>952</v>
      </c>
      <c r="D1624" s="112">
        <f>D1568</f>
        <v>53.149721627408987</v>
      </c>
      <c r="E1624" s="17">
        <f>I1589</f>
        <v>1807.2</v>
      </c>
      <c r="F1624" s="17">
        <f>ROUND((D1624/E1624)/60,2)</f>
        <v>0</v>
      </c>
      <c r="G1624" s="17">
        <f>E1593</f>
        <v>15</v>
      </c>
      <c r="H1624" s="16">
        <f>ROUND(F1624*G1624,2)</f>
        <v>0</v>
      </c>
    </row>
    <row r="1625" spans="3:9" x14ac:dyDescent="0.3">
      <c r="C1625" s="17" t="s">
        <v>953</v>
      </c>
      <c r="D1625" s="112">
        <f>D1569</f>
        <v>374.98368308351178</v>
      </c>
      <c r="E1625" s="17">
        <f>I1589</f>
        <v>1807.2</v>
      </c>
      <c r="F1625" s="17">
        <f>ROUND((D1625/E1625)/60,2)</f>
        <v>0</v>
      </c>
      <c r="G1625" s="17">
        <f>E1593</f>
        <v>15</v>
      </c>
      <c r="H1625" s="16">
        <f>ROUND(F1625*G1625,2)</f>
        <v>0</v>
      </c>
    </row>
    <row r="1626" spans="3:9" x14ac:dyDescent="0.3">
      <c r="C1626" s="17" t="s">
        <v>1109</v>
      </c>
      <c r="D1626" s="112">
        <f>D1570</f>
        <v>1686.0389293361886</v>
      </c>
      <c r="E1626" s="17">
        <f>I1589</f>
        <v>1807.2</v>
      </c>
      <c r="F1626" s="17">
        <f>ROUND((D1626/E1626)/60,2)</f>
        <v>0.02</v>
      </c>
      <c r="G1626" s="17">
        <f>E1593</f>
        <v>15</v>
      </c>
      <c r="H1626" s="16">
        <f>ROUND(F1626*G1626,2)</f>
        <v>0.3</v>
      </c>
    </row>
    <row r="1627" spans="3:9" x14ac:dyDescent="0.3">
      <c r="C1627" s="1009" t="str">
        <f>C1590</f>
        <v>Лаборант клінічної лабораторії</v>
      </c>
      <c r="D1627" s="1010"/>
      <c r="E1627" s="1010"/>
      <c r="F1627" s="1010"/>
      <c r="G1627" s="1010"/>
      <c r="H1627" s="1011"/>
    </row>
    <row r="1628" spans="3:9" x14ac:dyDescent="0.3">
      <c r="C1628" s="17" t="s">
        <v>951</v>
      </c>
      <c r="D1628" s="112">
        <f>D1572</f>
        <v>12188.608008565312</v>
      </c>
      <c r="E1628" s="17">
        <f>I1590</f>
        <v>1807.2</v>
      </c>
      <c r="F1628" s="17">
        <f>ROUND((D1628/E1628)/60,2)</f>
        <v>0.11</v>
      </c>
      <c r="G1628" s="17">
        <f>E1594</f>
        <v>1.5</v>
      </c>
      <c r="H1628" s="16">
        <f>ROUND(F1628*G1628,2)</f>
        <v>0.17</v>
      </c>
    </row>
    <row r="1629" spans="3:9" x14ac:dyDescent="0.3">
      <c r="C1629" s="17" t="s">
        <v>952</v>
      </c>
      <c r="D1629" s="112">
        <f>D1573</f>
        <v>53.149721627408987</v>
      </c>
      <c r="E1629" s="17">
        <f>I1590</f>
        <v>1807.2</v>
      </c>
      <c r="F1629" s="17">
        <f>ROUND((D1629/E1629)/60,2)</f>
        <v>0</v>
      </c>
      <c r="G1629" s="17">
        <f>E1594</f>
        <v>1.5</v>
      </c>
      <c r="H1629" s="16">
        <f>ROUND(F1629*G1629,2)</f>
        <v>0</v>
      </c>
    </row>
    <row r="1630" spans="3:9" x14ac:dyDescent="0.3">
      <c r="C1630" s="17" t="s">
        <v>953</v>
      </c>
      <c r="D1630" s="112">
        <f>D1574</f>
        <v>374.98368308351178</v>
      </c>
      <c r="E1630" s="17">
        <f>I1590</f>
        <v>1807.2</v>
      </c>
      <c r="F1630" s="17">
        <f>ROUND((D1630/E1630)/60,2)</f>
        <v>0</v>
      </c>
      <c r="G1630" s="17">
        <f>E1594</f>
        <v>1.5</v>
      </c>
      <c r="H1630" s="16">
        <f>ROUND(F1630*G1630,2)</f>
        <v>0</v>
      </c>
    </row>
    <row r="1631" spans="3:9" x14ac:dyDescent="0.3">
      <c r="C1631" s="17" t="s">
        <v>1109</v>
      </c>
      <c r="D1631" s="112">
        <f>D1575</f>
        <v>1686.0389293361886</v>
      </c>
      <c r="E1631" s="17">
        <f>I1590</f>
        <v>1807.2</v>
      </c>
      <c r="F1631" s="17">
        <f>ROUND((D1631/E1631)/60,2)</f>
        <v>0.02</v>
      </c>
      <c r="G1631" s="17">
        <f>E1594</f>
        <v>1.5</v>
      </c>
      <c r="H1631" s="16">
        <f>ROUND(F1631*G1631,2)</f>
        <v>0.03</v>
      </c>
    </row>
    <row r="1632" spans="3:9" ht="14.25" customHeight="1" x14ac:dyDescent="0.3">
      <c r="C1632" s="1012" t="s">
        <v>957</v>
      </c>
      <c r="D1632" s="1013"/>
      <c r="E1632" s="1013"/>
      <c r="F1632" s="1013"/>
      <c r="G1632" s="1014"/>
      <c r="H1632" s="18">
        <f>SUM(H1623:H1631)</f>
        <v>2.15</v>
      </c>
    </row>
    <row r="1634" spans="3:8" x14ac:dyDescent="0.3">
      <c r="C1634" s="1015" t="s">
        <v>959</v>
      </c>
      <c r="D1634" s="1015"/>
      <c r="E1634" s="1015"/>
      <c r="F1634" s="1015"/>
      <c r="G1634" s="1015"/>
      <c r="H1634" s="32">
        <f>F1586+F1598+F1619+F1614</f>
        <v>40.839999999999996</v>
      </c>
    </row>
    <row r="1635" spans="3:8" ht="11.25" customHeight="1" x14ac:dyDescent="0.3">
      <c r="C1635" s="33"/>
      <c r="D1635" s="33"/>
      <c r="E1635" s="33"/>
      <c r="F1635" s="33"/>
      <c r="G1635" s="33"/>
      <c r="H1635" s="34"/>
    </row>
    <row r="1636" spans="3:8" x14ac:dyDescent="0.3">
      <c r="C1636" s="1015" t="s">
        <v>960</v>
      </c>
      <c r="D1636" s="1015"/>
      <c r="E1636" s="1015"/>
      <c r="F1636" s="1015"/>
      <c r="G1636" s="1015"/>
      <c r="H1636" s="32">
        <f>ROUND(H1634,0)</f>
        <v>41</v>
      </c>
    </row>
  </sheetData>
  <mergeCells count="261">
    <mergeCell ref="B283:J283"/>
    <mergeCell ref="C223:G223"/>
    <mergeCell ref="C218:H218"/>
    <mergeCell ref="B203:F203"/>
    <mergeCell ref="B147:F147"/>
    <mergeCell ref="C51:H51"/>
    <mergeCell ref="C108:H108"/>
    <mergeCell ref="C113:G113"/>
    <mergeCell ref="C115:G115"/>
    <mergeCell ref="C56:G56"/>
    <mergeCell ref="C58:G58"/>
    <mergeCell ref="C60:G60"/>
    <mergeCell ref="B62:J62"/>
    <mergeCell ref="C66:D66"/>
    <mergeCell ref="C64:E64"/>
    <mergeCell ref="C162:H162"/>
    <mergeCell ref="C123:D123"/>
    <mergeCell ref="C169:G169"/>
    <mergeCell ref="C177:D177"/>
    <mergeCell ref="C167:G167"/>
    <mergeCell ref="C157:H157"/>
    <mergeCell ref="C175:E175"/>
    <mergeCell ref="C171:G171"/>
    <mergeCell ref="B173:J173"/>
    <mergeCell ref="C213:H213"/>
    <mergeCell ref="C121:E121"/>
    <mergeCell ref="B2:J2"/>
    <mergeCell ref="C4:E4"/>
    <mergeCell ref="C6:D6"/>
    <mergeCell ref="C46:H46"/>
    <mergeCell ref="B36:F36"/>
    <mergeCell ref="B93:F93"/>
    <mergeCell ref="C334:G334"/>
    <mergeCell ref="C322:H322"/>
    <mergeCell ref="C343:D343"/>
    <mergeCell ref="B339:J339"/>
    <mergeCell ref="C341:E341"/>
    <mergeCell ref="C287:D287"/>
    <mergeCell ref="C285:E285"/>
    <mergeCell ref="C332:G332"/>
    <mergeCell ref="B312:F312"/>
    <mergeCell ref="C272:H272"/>
    <mergeCell ref="C227:G227"/>
    <mergeCell ref="C281:G281"/>
    <mergeCell ref="C231:E231"/>
    <mergeCell ref="C233:D233"/>
    <mergeCell ref="C267:H267"/>
    <mergeCell ref="C277:G277"/>
    <mergeCell ref="B229:J229"/>
    <mergeCell ref="B257:F257"/>
    <mergeCell ref="C279:G279"/>
    <mergeCell ref="B119:J119"/>
    <mergeCell ref="C103:H103"/>
    <mergeCell ref="C117:G117"/>
    <mergeCell ref="C225:G225"/>
    <mergeCell ref="C327:H327"/>
    <mergeCell ref="C443:H443"/>
    <mergeCell ref="B454:J454"/>
    <mergeCell ref="C392:G392"/>
    <mergeCell ref="C336:G336"/>
    <mergeCell ref="C378:H378"/>
    <mergeCell ref="B368:F368"/>
    <mergeCell ref="C398:D398"/>
    <mergeCell ref="C383:H383"/>
    <mergeCell ref="C390:G390"/>
    <mergeCell ref="B574:J574"/>
    <mergeCell ref="C625:G625"/>
    <mergeCell ref="B605:F605"/>
    <mergeCell ref="C578:D578"/>
    <mergeCell ref="C615:H615"/>
    <mergeCell ref="C576:E576"/>
    <mergeCell ref="C620:H620"/>
    <mergeCell ref="C448:G448"/>
    <mergeCell ref="C572:G572"/>
    <mergeCell ref="C568:G568"/>
    <mergeCell ref="B518:J518"/>
    <mergeCell ref="C520:E520"/>
    <mergeCell ref="C522:D522"/>
    <mergeCell ref="C558:H558"/>
    <mergeCell ref="C570:G570"/>
    <mergeCell ref="B548:F548"/>
    <mergeCell ref="C458:D458"/>
    <mergeCell ref="B492:F492"/>
    <mergeCell ref="C514:G514"/>
    <mergeCell ref="C516:G516"/>
    <mergeCell ref="C507:H507"/>
    <mergeCell ref="C512:G512"/>
    <mergeCell ref="C502:H502"/>
    <mergeCell ref="B394:J394"/>
    <mergeCell ref="C388:G388"/>
    <mergeCell ref="C563:H563"/>
    <mergeCell ref="B428:F428"/>
    <mergeCell ref="C438:H438"/>
    <mergeCell ref="C452:G452"/>
    <mergeCell ref="C396:E396"/>
    <mergeCell ref="C456:E456"/>
    <mergeCell ref="C450:G450"/>
    <mergeCell ref="C743:G743"/>
    <mergeCell ref="C627:G627"/>
    <mergeCell ref="C749:D749"/>
    <mergeCell ref="B745:J745"/>
    <mergeCell ref="C685:G685"/>
    <mergeCell ref="C683:G683"/>
    <mergeCell ref="C633:E633"/>
    <mergeCell ref="C635:D635"/>
    <mergeCell ref="C681:G681"/>
    <mergeCell ref="C747:E747"/>
    <mergeCell ref="C691:D691"/>
    <mergeCell ref="B719:F719"/>
    <mergeCell ref="C734:H734"/>
    <mergeCell ref="C741:G741"/>
    <mergeCell ref="B631:J631"/>
    <mergeCell ref="C729:H729"/>
    <mergeCell ref="C739:G739"/>
    <mergeCell ref="B687:J687"/>
    <mergeCell ref="C689:E689"/>
    <mergeCell ref="C629:G629"/>
    <mergeCell ref="C676:H676"/>
    <mergeCell ref="B661:F661"/>
    <mergeCell ref="C671:H671"/>
    <mergeCell ref="C975:D975"/>
    <mergeCell ref="C973:E973"/>
    <mergeCell ref="C969:G969"/>
    <mergeCell ref="C1020:G1020"/>
    <mergeCell ref="C967:G967"/>
    <mergeCell ref="C912:G912"/>
    <mergeCell ref="C900:H900"/>
    <mergeCell ref="C905:H905"/>
    <mergeCell ref="C796:G796"/>
    <mergeCell ref="C798:G798"/>
    <mergeCell ref="C914:G914"/>
    <mergeCell ref="C918:E918"/>
    <mergeCell ref="C965:G965"/>
    <mergeCell ref="B890:F890"/>
    <mergeCell ref="C910:G910"/>
    <mergeCell ref="C960:H960"/>
    <mergeCell ref="B945:F945"/>
    <mergeCell ref="C955:H955"/>
    <mergeCell ref="C852:G852"/>
    <mergeCell ref="C860:E860"/>
    <mergeCell ref="C862:D862"/>
    <mergeCell ref="B802:J802"/>
    <mergeCell ref="B832:F832"/>
    <mergeCell ref="C804:E804"/>
    <mergeCell ref="C786:H786"/>
    <mergeCell ref="C847:H847"/>
    <mergeCell ref="C800:G800"/>
    <mergeCell ref="C854:G854"/>
    <mergeCell ref="C856:G856"/>
    <mergeCell ref="C791:H791"/>
    <mergeCell ref="B916:J916"/>
    <mergeCell ref="C920:D920"/>
    <mergeCell ref="B776:F776"/>
    <mergeCell ref="B858:J858"/>
    <mergeCell ref="C806:D806"/>
    <mergeCell ref="C842:H842"/>
    <mergeCell ref="B971:J971"/>
    <mergeCell ref="C1010:H1010"/>
    <mergeCell ref="B1000:F1000"/>
    <mergeCell ref="C1190:G1190"/>
    <mergeCell ref="C1183:H1183"/>
    <mergeCell ref="C1139:E1139"/>
    <mergeCell ref="B1055:F1055"/>
    <mergeCell ref="C1070:H1070"/>
    <mergeCell ref="C1133:G1133"/>
    <mergeCell ref="B1111:F1111"/>
    <mergeCell ref="C1141:D1141"/>
    <mergeCell ref="C1135:G1135"/>
    <mergeCell ref="C1077:G1077"/>
    <mergeCell ref="C1024:G1024"/>
    <mergeCell ref="C1022:G1022"/>
    <mergeCell ref="C1015:H1015"/>
    <mergeCell ref="C1083:E1083"/>
    <mergeCell ref="C1028:E1028"/>
    <mergeCell ref="C1075:G1075"/>
    <mergeCell ref="B1081:J1081"/>
    <mergeCell ref="C1079:G1079"/>
    <mergeCell ref="C1030:D1030"/>
    <mergeCell ref="C1065:H1065"/>
    <mergeCell ref="B1026:J1026"/>
    <mergeCell ref="B1168:F1168"/>
    <mergeCell ref="C1403:H1403"/>
    <mergeCell ref="C1410:G1410"/>
    <mergeCell ref="C1121:H1121"/>
    <mergeCell ref="C1085:D1085"/>
    <mergeCell ref="C1188:G1188"/>
    <mergeCell ref="C1126:H1126"/>
    <mergeCell ref="C1131:G1131"/>
    <mergeCell ref="B1137:J1137"/>
    <mergeCell ref="C1192:G1192"/>
    <mergeCell ref="B1194:J1194"/>
    <mergeCell ref="C1196:E1196"/>
    <mergeCell ref="C1178:H1178"/>
    <mergeCell ref="C1347:H1347"/>
    <mergeCell ref="C1354:G1354"/>
    <mergeCell ref="B1302:J1302"/>
    <mergeCell ref="C1297:G1297"/>
    <mergeCell ref="C1299:G1299"/>
    <mergeCell ref="B1332:F1332"/>
    <mergeCell ref="C1295:G1295"/>
    <mergeCell ref="C1285:H1285"/>
    <mergeCell ref="C1290:H1290"/>
    <mergeCell ref="C1198:D1198"/>
    <mergeCell ref="C1252:D1252"/>
    <mergeCell ref="C1246:G1246"/>
    <mergeCell ref="B1275:F1275"/>
    <mergeCell ref="B1222:F1222"/>
    <mergeCell ref="C1242:G1242"/>
    <mergeCell ref="C1232:H1232"/>
    <mergeCell ref="C1244:G1244"/>
    <mergeCell ref="C1474:D1474"/>
    <mergeCell ref="C1472:E1472"/>
    <mergeCell ref="C1416:E1416"/>
    <mergeCell ref="B1358:J1358"/>
    <mergeCell ref="C1398:H1398"/>
    <mergeCell ref="C1412:G1412"/>
    <mergeCell ref="B1388:F1388"/>
    <mergeCell ref="B1414:J1414"/>
    <mergeCell ref="C1362:D1362"/>
    <mergeCell ref="C1408:G1408"/>
    <mergeCell ref="C1306:D1306"/>
    <mergeCell ref="C1304:E1304"/>
    <mergeCell ref="C1342:H1342"/>
    <mergeCell ref="C1356:G1356"/>
    <mergeCell ref="C1360:E1360"/>
    <mergeCell ref="C1352:G1352"/>
    <mergeCell ref="C1529:E1529"/>
    <mergeCell ref="C1237:H1237"/>
    <mergeCell ref="C1418:D1418"/>
    <mergeCell ref="C1566:H1566"/>
    <mergeCell ref="C1576:G1576"/>
    <mergeCell ref="B1556:F1556"/>
    <mergeCell ref="B1470:J1470"/>
    <mergeCell ref="C1250:E1250"/>
    <mergeCell ref="B1248:J1248"/>
    <mergeCell ref="C1516:H1516"/>
    <mergeCell ref="B1501:F1501"/>
    <mergeCell ref="C1584:E1584"/>
    <mergeCell ref="B1444:F1444"/>
    <mergeCell ref="C1468:G1468"/>
    <mergeCell ref="C1466:G1466"/>
    <mergeCell ref="C1454:H1454"/>
    <mergeCell ref="C1636:G1636"/>
    <mergeCell ref="C1586:D1586"/>
    <mergeCell ref="B1612:F1612"/>
    <mergeCell ref="C1622:H1622"/>
    <mergeCell ref="C1627:H1627"/>
    <mergeCell ref="C1634:G1634"/>
    <mergeCell ref="C1632:G1632"/>
    <mergeCell ref="B1582:J1582"/>
    <mergeCell ref="C1531:D1531"/>
    <mergeCell ref="C1523:G1523"/>
    <mergeCell ref="B1527:J1527"/>
    <mergeCell ref="C1580:G1580"/>
    <mergeCell ref="C1464:G1464"/>
    <mergeCell ref="C1578:G1578"/>
    <mergeCell ref="C1571:H1571"/>
    <mergeCell ref="C1459:H1459"/>
    <mergeCell ref="C1511:H1511"/>
    <mergeCell ref="C1521:G1521"/>
    <mergeCell ref="C1525:G1525"/>
  </mergeCells>
  <phoneticPr fontId="8" type="noConversion"/>
  <hyperlinks>
    <hyperlink ref="M10" location="'2 Лабораторія'!A61" display="Аналіз сечі Нечипоренко" xr:uid="{00000000-0004-0000-1200-000000000000}"/>
    <hyperlink ref="M9" location="'2 Лабораторія'!A4" display="Загальні аналіз сечі" xr:uid="{00000000-0004-0000-1200-000001000000}"/>
    <hyperlink ref="M11" location="'2 Лабораторія'!A115" display="Дослідження калу на гельмінтози" xr:uid="{00000000-0004-0000-1200-000002000000}"/>
    <hyperlink ref="M12" location="'2 Лабораторія'!A166" display="Мікроскопія калу - копрограма" xr:uid="{00000000-0004-0000-1200-000003000000}"/>
    <hyperlink ref="M13" location="'2 Лабораторія'!A218" display="Дослідження зішкрібка на гостриці" xr:uid="{00000000-0004-0000-1200-000004000000}"/>
    <hyperlink ref="M14" location="'2 Лабораторія'!A269" display="Мікроскопія харкотиння" xr:uid="{00000000-0004-0000-1200-000005000000}"/>
    <hyperlink ref="M15" location="'2 Лабораторія'!A320" display="Бактеріоскопія харкотиння (Мікобактерії туберкульозу)" xr:uid="{00000000-0004-0000-1200-000006000000}"/>
    <hyperlink ref="M16" location="'2 Лабораторія'!A396" display="Загальний аналіз крові" xr:uid="{00000000-0004-0000-1200-000007000000}"/>
    <hyperlink ref="M17" location="'2 Лабораторія'!A431" display="Розгорнутий аналіз крові (визначення лейкоцитарної формули)" xr:uid="{00000000-0004-0000-1200-000008000000}"/>
    <hyperlink ref="M18" location="'2 Лабораторія'!A520" display="Аналіз крові на глюкозу" xr:uid="{00000000-0004-0000-1200-000009000000}"/>
    <hyperlink ref="M19" location="'2 Лабораторія'!A549" display="Аналіз крові на визначення групи та резусу" xr:uid="{00000000-0004-0000-1200-00000A000000}"/>
    <hyperlink ref="M20" location="'2 Лабораторія'!A605" display="Біохімічні дослідження крові (ниркові проби)" xr:uid="{00000000-0004-0000-1200-00000B000000}"/>
    <hyperlink ref="M21" location="'2 Лабораторія'!A660" display="Біохімічні дослідження крові (печінкові проби)" xr:uid="{00000000-0004-0000-1200-00000C000000}"/>
    <hyperlink ref="M22" location="'2 Лабораторія'!A717" display="Біохімічні дослідження крові (ревмо проби)" xr:uid="{00000000-0004-0000-1200-00000D000000}"/>
    <hyperlink ref="M23" location="'2 Лабораторія'!A773" display="Біохімічні дослідження крові (Ліпідограма)" xr:uid="{00000000-0004-0000-1200-00000E000000}"/>
    <hyperlink ref="M24" location="'2 Лабораторія'!A828" display="Біохімічні дослідження крові (Коагулогрмаа)" xr:uid="{00000000-0004-0000-1200-00000F000000}"/>
    <hyperlink ref="M25" location="'2 Лабораторія'!A885" display="Біохімічні дослідження крові (Сечова кислота)" xr:uid="{00000000-0004-0000-1200-000010000000}"/>
    <hyperlink ref="M26" location="'2 Лабораторія'!A939" display="Біохімічні дослідження крові (Електроліти)" xr:uid="{00000000-0004-0000-1200-000011000000}"/>
    <hyperlink ref="M27" location="'2 Лабораторія'!A1028" display="Біохімічні дослідження крові (ГГТ)" xr:uid="{00000000-0004-0000-1200-000012000000}"/>
    <hyperlink ref="M28" location="'2 Лабораторія'!A1047" display="Мікрореакція преципітації для діагностики сифілісу" xr:uid="{00000000-0004-0000-1200-000013000000}"/>
    <hyperlink ref="M29" location="'2 Лабораторія'!A1102" display="Дослідження крові на сифіліс (ІФА)" xr:uid="{00000000-0004-0000-1200-000014000000}"/>
    <hyperlink ref="M30" location="'2 Лабораторія'!A1158" display="Мазок на флору" xr:uid="{00000000-0004-0000-1200-000015000000}"/>
    <hyperlink ref="M31" location="'2 Лабораторія'!A1209" display="Зішкрібок на хламідії" xr:uid="{00000000-0004-0000-1200-000016000000}"/>
    <hyperlink ref="M32" location="'2 Лабораторія'!A1260" display="Розгорнутий аналіз крові на гематологічному аналізаторі" xr:uid="{00000000-0004-0000-1200-000017000000}"/>
    <hyperlink ref="M33" location="'2 Лабораторія'!A1314" display="Розгорутий аналіз крові на гематологічному аналізаторі" xr:uid="{00000000-0004-0000-1200-000018000000}"/>
    <hyperlink ref="M34" location="'2 Лабораторія'!A1368" display="Біохімічні дослідження крові (ниркові проби) на біохімічному аналізаторі" xr:uid="{00000000-0004-0000-1200-000019000000}"/>
    <hyperlink ref="M35" location="'2 Лабораторія'!A1423" display="Біохімічні дослідження крові (печінкові проби) на біохімічному аналізаторі" xr:uid="{00000000-0004-0000-1200-00001A000000}"/>
    <hyperlink ref="M36" location="'2 Лабораторія'!A1480" display="Біохімічні дослідження крові (Ліпідограма) на біохімічному аналізаторі" xr:uid="{00000000-0004-0000-1200-00001B000000}"/>
    <hyperlink ref="M37" location="'2 Лабораторія'!A1534" display="Біохімічні дослідження крові (Коагулогрма) на коагулометр" xr:uid="{00000000-0004-0000-1200-00001C000000}"/>
  </hyperlinks>
  <pageMargins left="0" right="0" top="0" bottom="0" header="0.31496062992125984" footer="0.31496062992125984"/>
  <pageSetup paperSize="9" scale="65" orientation="portrait" r:id="rId1"/>
  <rowBreaks count="28" manualBreakCount="28">
    <brk id="61" min="1" max="9" man="1"/>
    <brk id="118" min="1" max="9" man="1"/>
    <brk id="172" min="1" max="9" man="1"/>
    <brk id="228" min="1" max="9" man="1"/>
    <brk id="282" min="1" max="9" man="1"/>
    <brk id="338" min="1" max="9" man="1"/>
    <brk id="393" min="1" max="9" man="1"/>
    <brk id="453" min="1" max="9" man="1"/>
    <brk id="517" min="1" max="9" man="1"/>
    <brk id="573" min="1" max="9" man="1"/>
    <brk id="630" min="1" max="9" man="1"/>
    <brk id="686" min="1" max="9" man="1"/>
    <brk id="744" min="1" max="9" man="1"/>
    <brk id="801" min="1" max="9" man="1"/>
    <brk id="857" min="1" max="9" man="1"/>
    <brk id="915" min="1" max="9" man="1"/>
    <brk id="970" min="1" max="9" man="1"/>
    <brk id="1025" min="1" max="9" man="1"/>
    <brk id="1080" min="1" max="9" man="1"/>
    <brk id="1136" min="1" max="9" man="1"/>
    <brk id="1193" min="1" max="9" man="1"/>
    <brk id="1247" min="1" max="9" man="1"/>
    <brk id="1301" min="1" max="9" man="1"/>
    <brk id="1357" min="1" max="9" man="1"/>
    <brk id="1413" min="1" max="9" man="1"/>
    <brk id="1469" min="1" max="9" man="1"/>
    <brk id="1526" min="1" max="9" man="1"/>
    <brk id="1581" min="1" max="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J31"/>
  <sheetViews>
    <sheetView view="pageBreakPreview" zoomScaleNormal="100" workbookViewId="0">
      <selection activeCell="H32" sqref="H32"/>
    </sheetView>
  </sheetViews>
  <sheetFormatPr defaultRowHeight="14.4" x14ac:dyDescent="0.3"/>
  <cols>
    <col min="2" max="2" width="9.109375" style="65"/>
    <col min="3" max="3" width="4.5546875" style="7" bestFit="1" customWidth="1"/>
    <col min="4" max="4" width="76.44140625" style="7" customWidth="1"/>
    <col min="5" max="5" width="0" style="7" hidden="1" customWidth="1"/>
    <col min="6" max="8" width="9.109375" style="7"/>
    <col min="10" max="10" width="9.109375" style="3"/>
  </cols>
  <sheetData>
    <row r="2" spans="3:8" x14ac:dyDescent="0.3">
      <c r="C2" s="17"/>
      <c r="D2" s="17"/>
      <c r="E2" s="17"/>
      <c r="F2" s="17" t="s">
        <v>787</v>
      </c>
      <c r="G2" s="17"/>
      <c r="H2" s="17"/>
    </row>
    <row r="3" spans="3:8" ht="42" x14ac:dyDescent="0.3">
      <c r="C3" s="17"/>
      <c r="D3" s="17"/>
      <c r="E3" s="15" t="s">
        <v>540</v>
      </c>
      <c r="F3" s="15" t="s">
        <v>541</v>
      </c>
      <c r="G3" s="15" t="s">
        <v>542</v>
      </c>
      <c r="H3" s="17"/>
    </row>
    <row r="4" spans="3:8" x14ac:dyDescent="0.3">
      <c r="C4" s="17">
        <v>3</v>
      </c>
      <c r="D4" s="15" t="s">
        <v>788</v>
      </c>
      <c r="E4" s="16"/>
      <c r="F4" s="17"/>
      <c r="G4" s="17"/>
      <c r="H4" s="17"/>
    </row>
    <row r="5" spans="3:8" x14ac:dyDescent="0.3">
      <c r="C5" s="94" t="s">
        <v>789</v>
      </c>
      <c r="D5" s="15" t="s">
        <v>790</v>
      </c>
      <c r="E5" s="16">
        <v>5003.7</v>
      </c>
      <c r="F5" s="17">
        <v>9663</v>
      </c>
      <c r="G5" s="17">
        <v>20</v>
      </c>
      <c r="H5" s="17">
        <f>ROUND((E5/F5)*G5,2)</f>
        <v>10.36</v>
      </c>
    </row>
    <row r="6" spans="3:8" x14ac:dyDescent="0.3">
      <c r="C6" s="94" t="s">
        <v>791</v>
      </c>
      <c r="D6" s="15" t="s">
        <v>792</v>
      </c>
      <c r="E6" s="16">
        <f t="shared" ref="E6:E31" si="0">E5</f>
        <v>5003.7</v>
      </c>
      <c r="F6" s="17">
        <v>9663</v>
      </c>
      <c r="G6" s="17">
        <v>20</v>
      </c>
      <c r="H6" s="17">
        <f t="shared" ref="H6:H31" si="1">ROUND((E6/F6)*G6,2)</f>
        <v>10.36</v>
      </c>
    </row>
    <row r="7" spans="3:8" x14ac:dyDescent="0.3">
      <c r="C7" s="94" t="s">
        <v>793</v>
      </c>
      <c r="D7" s="95" t="s">
        <v>794</v>
      </c>
      <c r="E7" s="16">
        <f t="shared" si="0"/>
        <v>5003.7</v>
      </c>
      <c r="F7" s="17">
        <v>9663</v>
      </c>
      <c r="G7" s="17">
        <v>20</v>
      </c>
      <c r="H7" s="17">
        <f t="shared" si="1"/>
        <v>10.36</v>
      </c>
    </row>
    <row r="8" spans="3:8" x14ac:dyDescent="0.3">
      <c r="C8" s="94" t="s">
        <v>795</v>
      </c>
      <c r="D8" s="95" t="s">
        <v>796</v>
      </c>
      <c r="E8" s="16">
        <f t="shared" si="0"/>
        <v>5003.7</v>
      </c>
      <c r="F8" s="17">
        <v>9663</v>
      </c>
      <c r="G8" s="17">
        <v>30</v>
      </c>
      <c r="H8" s="17">
        <f t="shared" si="1"/>
        <v>15.53</v>
      </c>
    </row>
    <row r="9" spans="3:8" x14ac:dyDescent="0.3">
      <c r="C9" s="94" t="s">
        <v>797</v>
      </c>
      <c r="D9" s="95" t="s">
        <v>798</v>
      </c>
      <c r="E9" s="16">
        <f t="shared" si="0"/>
        <v>5003.7</v>
      </c>
      <c r="F9" s="17">
        <v>9663</v>
      </c>
      <c r="G9" s="17">
        <v>30</v>
      </c>
      <c r="H9" s="17">
        <f t="shared" si="1"/>
        <v>15.53</v>
      </c>
    </row>
    <row r="10" spans="3:8" x14ac:dyDescent="0.3">
      <c r="C10" s="94" t="s">
        <v>799</v>
      </c>
      <c r="D10" s="95" t="s">
        <v>800</v>
      </c>
      <c r="E10" s="16">
        <f t="shared" si="0"/>
        <v>5003.7</v>
      </c>
      <c r="F10" s="17">
        <v>9663</v>
      </c>
      <c r="G10" s="17">
        <v>30</v>
      </c>
      <c r="H10" s="17">
        <f t="shared" si="1"/>
        <v>15.53</v>
      </c>
    </row>
    <row r="11" spans="3:8" x14ac:dyDescent="0.3">
      <c r="C11" s="94" t="s">
        <v>801</v>
      </c>
      <c r="D11" s="95" t="s">
        <v>802</v>
      </c>
      <c r="E11" s="16">
        <f t="shared" si="0"/>
        <v>5003.7</v>
      </c>
      <c r="F11" s="17">
        <v>9663</v>
      </c>
      <c r="G11" s="17">
        <v>20</v>
      </c>
      <c r="H11" s="17">
        <f t="shared" si="1"/>
        <v>10.36</v>
      </c>
    </row>
    <row r="12" spans="3:8" x14ac:dyDescent="0.3">
      <c r="C12" s="94" t="s">
        <v>803</v>
      </c>
      <c r="D12" s="95" t="s">
        <v>804</v>
      </c>
      <c r="E12" s="16">
        <f t="shared" si="0"/>
        <v>5003.7</v>
      </c>
      <c r="F12" s="17">
        <v>9663</v>
      </c>
      <c r="G12" s="17">
        <v>20</v>
      </c>
      <c r="H12" s="17">
        <f t="shared" si="1"/>
        <v>10.36</v>
      </c>
    </row>
    <row r="13" spans="3:8" x14ac:dyDescent="0.3">
      <c r="C13" s="94" t="s">
        <v>805</v>
      </c>
      <c r="D13" s="95" t="s">
        <v>806</v>
      </c>
      <c r="E13" s="16">
        <f t="shared" si="0"/>
        <v>5003.7</v>
      </c>
      <c r="F13" s="17">
        <v>9663</v>
      </c>
      <c r="G13" s="17">
        <v>20</v>
      </c>
      <c r="H13" s="17">
        <f t="shared" si="1"/>
        <v>10.36</v>
      </c>
    </row>
    <row r="14" spans="3:8" x14ac:dyDescent="0.3">
      <c r="C14" s="94" t="s">
        <v>807</v>
      </c>
      <c r="D14" s="95" t="s">
        <v>808</v>
      </c>
      <c r="E14" s="16">
        <f t="shared" si="0"/>
        <v>5003.7</v>
      </c>
      <c r="F14" s="17">
        <v>9663</v>
      </c>
      <c r="G14" s="17">
        <v>20</v>
      </c>
      <c r="H14" s="17">
        <f t="shared" si="1"/>
        <v>10.36</v>
      </c>
    </row>
    <row r="15" spans="3:8" x14ac:dyDescent="0.3">
      <c r="C15" s="94" t="s">
        <v>809</v>
      </c>
      <c r="D15" s="95" t="s">
        <v>810</v>
      </c>
      <c r="E15" s="16">
        <f t="shared" si="0"/>
        <v>5003.7</v>
      </c>
      <c r="F15" s="17">
        <v>9663</v>
      </c>
      <c r="G15" s="17">
        <v>20</v>
      </c>
      <c r="H15" s="17">
        <f t="shared" si="1"/>
        <v>10.36</v>
      </c>
    </row>
    <row r="16" spans="3:8" x14ac:dyDescent="0.3">
      <c r="C16" s="94" t="s">
        <v>811</v>
      </c>
      <c r="D16" s="95" t="s">
        <v>812</v>
      </c>
      <c r="E16" s="16">
        <f t="shared" si="0"/>
        <v>5003.7</v>
      </c>
      <c r="F16" s="17">
        <v>9663</v>
      </c>
      <c r="G16" s="17">
        <v>30</v>
      </c>
      <c r="H16" s="17">
        <f t="shared" si="1"/>
        <v>15.53</v>
      </c>
    </row>
    <row r="17" spans="3:8" x14ac:dyDescent="0.3">
      <c r="C17" s="94" t="s">
        <v>813</v>
      </c>
      <c r="D17" s="95" t="s">
        <v>814</v>
      </c>
      <c r="E17" s="16">
        <f t="shared" si="0"/>
        <v>5003.7</v>
      </c>
      <c r="F17" s="17">
        <v>9663</v>
      </c>
      <c r="G17" s="17">
        <v>30</v>
      </c>
      <c r="H17" s="17">
        <f t="shared" si="1"/>
        <v>15.53</v>
      </c>
    </row>
    <row r="18" spans="3:8" x14ac:dyDescent="0.3">
      <c r="C18" s="94" t="s">
        <v>815</v>
      </c>
      <c r="D18" s="95" t="s">
        <v>816</v>
      </c>
      <c r="E18" s="16">
        <f t="shared" si="0"/>
        <v>5003.7</v>
      </c>
      <c r="F18" s="17">
        <v>9663</v>
      </c>
      <c r="G18" s="17">
        <v>30</v>
      </c>
      <c r="H18" s="17">
        <f t="shared" si="1"/>
        <v>15.53</v>
      </c>
    </row>
    <row r="19" spans="3:8" x14ac:dyDescent="0.3">
      <c r="C19" s="94" t="s">
        <v>817</v>
      </c>
      <c r="D19" s="95" t="s">
        <v>818</v>
      </c>
      <c r="E19" s="16">
        <f t="shared" si="0"/>
        <v>5003.7</v>
      </c>
      <c r="F19" s="17">
        <v>9663</v>
      </c>
      <c r="G19" s="17">
        <v>20</v>
      </c>
      <c r="H19" s="17">
        <f t="shared" si="1"/>
        <v>10.36</v>
      </c>
    </row>
    <row r="20" spans="3:8" x14ac:dyDescent="0.3">
      <c r="C20" s="94" t="s">
        <v>819</v>
      </c>
      <c r="D20" s="95" t="s">
        <v>820</v>
      </c>
      <c r="E20" s="16">
        <f t="shared" si="0"/>
        <v>5003.7</v>
      </c>
      <c r="F20" s="17">
        <v>9663</v>
      </c>
      <c r="G20" s="17">
        <v>20</v>
      </c>
      <c r="H20" s="17">
        <f t="shared" si="1"/>
        <v>10.36</v>
      </c>
    </row>
    <row r="21" spans="3:8" x14ac:dyDescent="0.3">
      <c r="C21" s="94" t="s">
        <v>821</v>
      </c>
      <c r="D21" s="95" t="s">
        <v>822</v>
      </c>
      <c r="E21" s="16">
        <f t="shared" si="0"/>
        <v>5003.7</v>
      </c>
      <c r="F21" s="17">
        <v>9663</v>
      </c>
      <c r="G21" s="17">
        <v>20</v>
      </c>
      <c r="H21" s="17">
        <f t="shared" si="1"/>
        <v>10.36</v>
      </c>
    </row>
    <row r="22" spans="3:8" x14ac:dyDescent="0.3">
      <c r="C22" s="94" t="s">
        <v>823</v>
      </c>
      <c r="D22" s="95" t="s">
        <v>824</v>
      </c>
      <c r="E22" s="16">
        <f t="shared" si="0"/>
        <v>5003.7</v>
      </c>
      <c r="F22" s="17">
        <v>9663</v>
      </c>
      <c r="G22" s="17">
        <v>30</v>
      </c>
      <c r="H22" s="17">
        <f t="shared" si="1"/>
        <v>15.53</v>
      </c>
    </row>
    <row r="23" spans="3:8" x14ac:dyDescent="0.3">
      <c r="C23" s="94" t="s">
        <v>825</v>
      </c>
      <c r="D23" s="95" t="s">
        <v>826</v>
      </c>
      <c r="E23" s="16">
        <f t="shared" si="0"/>
        <v>5003.7</v>
      </c>
      <c r="F23" s="17">
        <v>9663</v>
      </c>
      <c r="G23" s="17">
        <v>30</v>
      </c>
      <c r="H23" s="17">
        <f t="shared" si="1"/>
        <v>15.53</v>
      </c>
    </row>
    <row r="24" spans="3:8" x14ac:dyDescent="0.3">
      <c r="C24" s="94" t="s">
        <v>827</v>
      </c>
      <c r="D24" s="95" t="s">
        <v>828</v>
      </c>
      <c r="E24" s="16">
        <f t="shared" si="0"/>
        <v>5003.7</v>
      </c>
      <c r="F24" s="17">
        <v>9663</v>
      </c>
      <c r="G24" s="17">
        <v>20</v>
      </c>
      <c r="H24" s="17">
        <f t="shared" si="1"/>
        <v>10.36</v>
      </c>
    </row>
    <row r="25" spans="3:8" x14ac:dyDescent="0.3">
      <c r="C25" s="94" t="s">
        <v>829</v>
      </c>
      <c r="D25" s="95" t="s">
        <v>830</v>
      </c>
      <c r="E25" s="16">
        <f t="shared" si="0"/>
        <v>5003.7</v>
      </c>
      <c r="F25" s="17">
        <v>9663</v>
      </c>
      <c r="G25" s="17">
        <v>20</v>
      </c>
      <c r="H25" s="17">
        <f t="shared" si="1"/>
        <v>10.36</v>
      </c>
    </row>
    <row r="26" spans="3:8" x14ac:dyDescent="0.3">
      <c r="C26" s="94" t="s">
        <v>831</v>
      </c>
      <c r="D26" s="95" t="s">
        <v>832</v>
      </c>
      <c r="E26" s="16">
        <f t="shared" si="0"/>
        <v>5003.7</v>
      </c>
      <c r="F26" s="17">
        <v>9663</v>
      </c>
      <c r="G26" s="17">
        <v>20</v>
      </c>
      <c r="H26" s="17">
        <f t="shared" si="1"/>
        <v>10.36</v>
      </c>
    </row>
    <row r="27" spans="3:8" x14ac:dyDescent="0.3">
      <c r="C27" s="94" t="s">
        <v>833</v>
      </c>
      <c r="D27" s="95" t="s">
        <v>834</v>
      </c>
      <c r="E27" s="16">
        <f t="shared" si="0"/>
        <v>5003.7</v>
      </c>
      <c r="F27" s="17">
        <v>9663</v>
      </c>
      <c r="G27" s="17">
        <v>20</v>
      </c>
      <c r="H27" s="17">
        <f t="shared" si="1"/>
        <v>10.36</v>
      </c>
    </row>
    <row r="28" spans="3:8" x14ac:dyDescent="0.3">
      <c r="C28" s="94" t="s">
        <v>835</v>
      </c>
      <c r="D28" s="95" t="s">
        <v>836</v>
      </c>
      <c r="E28" s="16">
        <f t="shared" si="0"/>
        <v>5003.7</v>
      </c>
      <c r="F28" s="17">
        <v>9663</v>
      </c>
      <c r="G28" s="17">
        <v>40</v>
      </c>
      <c r="H28" s="17">
        <f t="shared" si="1"/>
        <v>20.71</v>
      </c>
    </row>
    <row r="29" spans="3:8" x14ac:dyDescent="0.3">
      <c r="C29" s="94" t="s">
        <v>837</v>
      </c>
      <c r="D29" s="15" t="s">
        <v>838</v>
      </c>
      <c r="E29" s="16">
        <f t="shared" si="0"/>
        <v>5003.7</v>
      </c>
      <c r="F29" s="17">
        <v>9663</v>
      </c>
      <c r="G29" s="17">
        <v>30</v>
      </c>
      <c r="H29" s="17">
        <f t="shared" si="1"/>
        <v>15.53</v>
      </c>
    </row>
    <row r="30" spans="3:8" x14ac:dyDescent="0.3">
      <c r="C30" s="94" t="s">
        <v>839</v>
      </c>
      <c r="D30" s="15" t="s">
        <v>840</v>
      </c>
      <c r="E30" s="16">
        <f t="shared" si="0"/>
        <v>5003.7</v>
      </c>
      <c r="F30" s="17">
        <v>9663</v>
      </c>
      <c r="G30" s="17">
        <v>20</v>
      </c>
      <c r="H30" s="17">
        <f t="shared" si="1"/>
        <v>10.36</v>
      </c>
    </row>
    <row r="31" spans="3:8" x14ac:dyDescent="0.3">
      <c r="C31" s="94" t="s">
        <v>841</v>
      </c>
      <c r="D31" s="15" t="s">
        <v>842</v>
      </c>
      <c r="E31" s="16">
        <f t="shared" si="0"/>
        <v>5003.7</v>
      </c>
      <c r="F31" s="17">
        <v>9663</v>
      </c>
      <c r="G31" s="17">
        <v>30</v>
      </c>
      <c r="H31" s="17">
        <f t="shared" si="1"/>
        <v>15.53</v>
      </c>
    </row>
  </sheetData>
  <phoneticPr fontId="8" type="noConversion"/>
  <pageMargins left="0" right="0" top="0" bottom="0" header="0" footer="0"/>
  <pageSetup paperSize="9" scale="97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M171"/>
  <sheetViews>
    <sheetView view="pageBreakPreview" zoomScaleNormal="100" workbookViewId="0">
      <selection activeCell="O177" sqref="O177"/>
    </sheetView>
  </sheetViews>
  <sheetFormatPr defaultRowHeight="14.4" x14ac:dyDescent="0.3"/>
  <cols>
    <col min="2" max="2" width="9.33203125" style="7" bestFit="1" customWidth="1"/>
    <col min="3" max="3" width="48.88671875" style="7" customWidth="1"/>
    <col min="4" max="4" width="9.33203125" style="7" bestFit="1" customWidth="1"/>
    <col min="5" max="5" width="9.44140625" style="7" bestFit="1" customWidth="1"/>
    <col min="6" max="6" width="12.33203125" style="7" customWidth="1"/>
    <col min="7" max="7" width="13.5546875" style="7" customWidth="1"/>
    <col min="8" max="8" width="11.5546875" style="7" bestFit="1" customWidth="1"/>
    <col min="9" max="10" width="9.33203125" style="7" bestFit="1" customWidth="1"/>
  </cols>
  <sheetData>
    <row r="2" spans="2:13" ht="17.399999999999999" x14ac:dyDescent="0.3">
      <c r="B2" s="1031" t="s">
        <v>958</v>
      </c>
      <c r="C2" s="1031"/>
      <c r="D2" s="1031"/>
      <c r="E2" s="1031"/>
      <c r="F2" s="1031"/>
      <c r="G2" s="1031"/>
      <c r="H2" s="1031"/>
      <c r="I2" s="1031"/>
      <c r="J2" s="1031"/>
    </row>
    <row r="4" spans="2:13" ht="17.399999999999999" x14ac:dyDescent="0.3">
      <c r="B4" s="195" t="s">
        <v>80</v>
      </c>
      <c r="C4" s="1047" t="s">
        <v>75</v>
      </c>
      <c r="D4" s="1047"/>
      <c r="E4" s="1047"/>
      <c r="F4" s="196">
        <f>H57</f>
        <v>124</v>
      </c>
      <c r="G4" s="196" t="s">
        <v>971</v>
      </c>
    </row>
    <row r="6" spans="2:13" x14ac:dyDescent="0.3">
      <c r="C6" s="1018" t="s">
        <v>932</v>
      </c>
      <c r="D6" s="1018"/>
      <c r="E6" s="197"/>
      <c r="F6" s="198">
        <f>F13+F16+F14</f>
        <v>49.69</v>
      </c>
      <c r="G6" s="199" t="s">
        <v>971</v>
      </c>
    </row>
    <row r="8" spans="2:13" s="7" customFormat="1" ht="27.6" x14ac:dyDescent="0.25">
      <c r="C8" s="13" t="s">
        <v>929</v>
      </c>
      <c r="D8" s="14" t="s">
        <v>928</v>
      </c>
      <c r="E8" s="14" t="s">
        <v>514</v>
      </c>
      <c r="F8" s="14" t="s">
        <v>515</v>
      </c>
      <c r="G8" s="14" t="s">
        <v>962</v>
      </c>
      <c r="H8" s="14" t="s">
        <v>926</v>
      </c>
      <c r="I8" s="14" t="s">
        <v>516</v>
      </c>
      <c r="J8" s="14" t="s">
        <v>961</v>
      </c>
      <c r="L8" s="115" t="s">
        <v>80</v>
      </c>
      <c r="M8" s="116" t="str">
        <f>C4</f>
        <v>Дослідження крові  "EQUI SARS-CoV-2 IgМ" (ІФА)</v>
      </c>
    </row>
    <row r="9" spans="2:13" s="7" customFormat="1" ht="13.8" x14ac:dyDescent="0.25">
      <c r="C9" s="17" t="s">
        <v>534</v>
      </c>
      <c r="D9" s="16">
        <f>ЗП!C24</f>
        <v>10799.43</v>
      </c>
      <c r="E9" s="16">
        <f>D9*12</f>
        <v>129593.16</v>
      </c>
      <c r="F9" s="16">
        <f>ЗП!E24</f>
        <v>8307.26</v>
      </c>
      <c r="G9" s="16">
        <f>ЗП!F24</f>
        <v>4153.63</v>
      </c>
      <c r="H9" s="16">
        <f>E9+F9+G9</f>
        <v>142054.05000000002</v>
      </c>
      <c r="I9" s="17">
        <v>1807.2</v>
      </c>
      <c r="J9" s="16">
        <f>ROUND((H9/I9)/60,2)</f>
        <v>1.31</v>
      </c>
      <c r="L9" s="115" t="s">
        <v>81</v>
      </c>
      <c r="M9" s="116" t="str">
        <f>C61</f>
        <v>Дослідження крові "EQUI SARS-CoV-2 IgG" (ІФА)</v>
      </c>
    </row>
    <row r="10" spans="2:13" s="7" customFormat="1" ht="13.8" x14ac:dyDescent="0.25">
      <c r="C10" s="17" t="s">
        <v>1207</v>
      </c>
      <c r="D10" s="16">
        <f>ЗП!C43</f>
        <v>7871.18</v>
      </c>
      <c r="E10" s="16">
        <f>D10*12</f>
        <v>94454.16</v>
      </c>
      <c r="F10" s="16">
        <f>ЗП!E43</f>
        <v>6054.75</v>
      </c>
      <c r="G10" s="16">
        <f>ЗП!F43</f>
        <v>3027.375</v>
      </c>
      <c r="H10" s="16">
        <f>E10+F10+G10</f>
        <v>103536.285</v>
      </c>
      <c r="I10" s="17">
        <v>1807.2</v>
      </c>
      <c r="J10" s="16">
        <f>ROUND((H10/I10)/60,2)</f>
        <v>0.95</v>
      </c>
      <c r="L10" s="115" t="s">
        <v>103</v>
      </c>
      <c r="M10" s="116" t="str">
        <f>C118</f>
        <v>Дослідження крові "EQUI SARS-CoV-2 IgA" (ІФА)</v>
      </c>
    </row>
    <row r="11" spans="2:13" s="7" customFormat="1" ht="13.8" x14ac:dyDescent="0.25"/>
    <row r="12" spans="2:13" s="7" customFormat="1" ht="27.6" x14ac:dyDescent="0.25">
      <c r="C12" s="13" t="s">
        <v>929</v>
      </c>
      <c r="D12" s="14" t="s">
        <v>961</v>
      </c>
      <c r="E12" s="14" t="s">
        <v>930</v>
      </c>
      <c r="F12" s="14" t="s">
        <v>931</v>
      </c>
    </row>
    <row r="13" spans="2:13" s="200" customFormat="1" ht="13.8" x14ac:dyDescent="0.25">
      <c r="B13" s="7"/>
      <c r="C13" s="15" t="str">
        <f>C9</f>
        <v>Лікар-лаборант</v>
      </c>
      <c r="D13" s="16">
        <f>J9</f>
        <v>1.31</v>
      </c>
      <c r="E13" s="17">
        <v>30</v>
      </c>
      <c r="F13" s="18">
        <f>ROUND(D13*E13,2)</f>
        <v>39.299999999999997</v>
      </c>
    </row>
    <row r="14" spans="2:13" s="7" customFormat="1" ht="13.8" x14ac:dyDescent="0.25">
      <c r="B14" s="200"/>
      <c r="C14" s="201" t="str">
        <f>C10</f>
        <v>Лаборант клінічної лабораторії</v>
      </c>
      <c r="D14" s="202">
        <f>J10</f>
        <v>0.95</v>
      </c>
      <c r="E14" s="203">
        <v>1.5</v>
      </c>
      <c r="F14" s="204">
        <f>ROUND(D14*E14,2)</f>
        <v>1.43</v>
      </c>
    </row>
    <row r="15" spans="2:13" s="7" customFormat="1" ht="13.8" x14ac:dyDescent="0.25">
      <c r="D15" s="19"/>
      <c r="E15" s="7" t="s">
        <v>1016</v>
      </c>
    </row>
    <row r="16" spans="2:13" s="200" customFormat="1" ht="13.8" x14ac:dyDescent="0.25">
      <c r="B16" s="7"/>
      <c r="C16" s="17" t="s">
        <v>933</v>
      </c>
      <c r="D16" s="16">
        <f>F13+F14</f>
        <v>40.729999999999997</v>
      </c>
      <c r="E16" s="20">
        <v>0.22</v>
      </c>
      <c r="F16" s="21">
        <f>ROUND(D16*E16,2)</f>
        <v>8.9600000000000009</v>
      </c>
    </row>
    <row r="18" spans="2:10" x14ac:dyDescent="0.3">
      <c r="C18" s="12" t="s">
        <v>946</v>
      </c>
      <c r="D18" s="12"/>
      <c r="E18" s="12"/>
      <c r="F18" s="12">
        <f>G33</f>
        <v>68.789999999999992</v>
      </c>
      <c r="G18" s="12" t="s">
        <v>971</v>
      </c>
      <c r="H18" s="200"/>
      <c r="I18" s="200"/>
      <c r="J18" s="200"/>
    </row>
    <row r="20" spans="2:10" s="200" customFormat="1" ht="27.6" x14ac:dyDescent="0.25">
      <c r="B20" s="82" t="s">
        <v>991</v>
      </c>
      <c r="C20" s="83" t="s">
        <v>986</v>
      </c>
      <c r="D20" s="83" t="s">
        <v>987</v>
      </c>
      <c r="E20" s="83" t="s">
        <v>988</v>
      </c>
      <c r="F20" s="83" t="s">
        <v>989</v>
      </c>
      <c r="G20" s="82" t="s">
        <v>990</v>
      </c>
    </row>
    <row r="21" spans="2:10" s="200" customFormat="1" ht="13.8" x14ac:dyDescent="0.25">
      <c r="B21" s="84">
        <v>1</v>
      </c>
      <c r="C21" s="85" t="s">
        <v>76</v>
      </c>
      <c r="D21" s="86" t="s">
        <v>1045</v>
      </c>
      <c r="E21" s="210">
        <f>'МЕДИЧНІ М'!E184</f>
        <v>3200</v>
      </c>
      <c r="F21" s="86">
        <v>60</v>
      </c>
      <c r="G21" s="88">
        <f>ROUND(E21/F21,2)</f>
        <v>53.33</v>
      </c>
    </row>
    <row r="22" spans="2:10" s="200" customFormat="1" ht="13.8" x14ac:dyDescent="0.25">
      <c r="B22" s="84">
        <f t="shared" ref="B22:B32" si="0">B21+1</f>
        <v>2</v>
      </c>
      <c r="C22" s="194" t="s">
        <v>1071</v>
      </c>
      <c r="D22" s="211" t="s">
        <v>1036</v>
      </c>
      <c r="E22" s="211">
        <f>'МЕДИЧНІ М'!E187</f>
        <v>4950</v>
      </c>
      <c r="F22" s="86">
        <v>1000</v>
      </c>
      <c r="G22" s="88">
        <f>ROUND(E22/F22,2)</f>
        <v>4.95</v>
      </c>
    </row>
    <row r="23" spans="2:10" s="200" customFormat="1" ht="13.8" x14ac:dyDescent="0.25">
      <c r="B23" s="84">
        <f t="shared" si="0"/>
        <v>3</v>
      </c>
      <c r="C23" s="194" t="s">
        <v>1072</v>
      </c>
      <c r="D23" s="211" t="s">
        <v>1036</v>
      </c>
      <c r="E23" s="211">
        <f>'МЕДИЧНІ М'!E44</f>
        <v>110</v>
      </c>
      <c r="F23" s="86">
        <v>100</v>
      </c>
      <c r="G23" s="88">
        <f>ROUND(E23/F23,2)</f>
        <v>1.1000000000000001</v>
      </c>
    </row>
    <row r="24" spans="2:10" s="200" customFormat="1" ht="33.75" customHeight="1" x14ac:dyDescent="0.25">
      <c r="B24" s="84">
        <f t="shared" si="0"/>
        <v>4</v>
      </c>
      <c r="C24" s="194" t="s">
        <v>86</v>
      </c>
      <c r="D24" s="212" t="s">
        <v>941</v>
      </c>
      <c r="E24" s="212">
        <f>'МЕДИЧНІ М'!E183</f>
        <v>4.25</v>
      </c>
      <c r="F24" s="213">
        <v>1</v>
      </c>
      <c r="G24" s="88">
        <f>ROUND(E24*F24,2)</f>
        <v>4.25</v>
      </c>
    </row>
    <row r="25" spans="2:10" s="200" customFormat="1" ht="13.8" x14ac:dyDescent="0.25">
      <c r="B25" s="84">
        <f t="shared" si="0"/>
        <v>5</v>
      </c>
      <c r="C25" s="194" t="s">
        <v>985</v>
      </c>
      <c r="D25" s="212" t="s">
        <v>937</v>
      </c>
      <c r="E25" s="212">
        <f>'МЕДИЧНІ М'!F39</f>
        <v>0.3</v>
      </c>
      <c r="F25" s="213">
        <v>1</v>
      </c>
      <c r="G25" s="88">
        <f>ROUND(E25*F25,2)</f>
        <v>0.3</v>
      </c>
    </row>
    <row r="26" spans="2:10" s="200" customFormat="1" ht="13.8" x14ac:dyDescent="0.25">
      <c r="B26" s="84">
        <f t="shared" si="0"/>
        <v>6</v>
      </c>
      <c r="C26" s="194" t="s">
        <v>1050</v>
      </c>
      <c r="D26" s="212" t="s">
        <v>941</v>
      </c>
      <c r="E26" s="212">
        <f>'МЕДИЧНІ М'!E77</f>
        <v>0.9</v>
      </c>
      <c r="F26" s="213">
        <v>1</v>
      </c>
      <c r="G26" s="88">
        <f>ROUND(E26*F26,2)</f>
        <v>0.9</v>
      </c>
    </row>
    <row r="27" spans="2:10" s="200" customFormat="1" ht="13.8" x14ac:dyDescent="0.25">
      <c r="B27" s="84">
        <f t="shared" si="0"/>
        <v>7</v>
      </c>
      <c r="C27" s="27" t="s">
        <v>942</v>
      </c>
      <c r="D27" s="214" t="s">
        <v>974</v>
      </c>
      <c r="E27" s="212">
        <f>'МЕДИЧНІ М'!E65</f>
        <v>24.6</v>
      </c>
      <c r="F27" s="213">
        <v>100</v>
      </c>
      <c r="G27" s="214">
        <f>ROUND(E27/F27,2)</f>
        <v>0.25</v>
      </c>
    </row>
    <row r="28" spans="2:10" s="200" customFormat="1" ht="13.8" x14ac:dyDescent="0.25">
      <c r="B28" s="84">
        <f t="shared" si="0"/>
        <v>8</v>
      </c>
      <c r="C28" s="194" t="s">
        <v>934</v>
      </c>
      <c r="D28" s="212" t="s">
        <v>941</v>
      </c>
      <c r="E28" s="212">
        <f>'МЕДИЧНІ М'!E59</f>
        <v>2.8</v>
      </c>
      <c r="F28" s="86">
        <v>10</v>
      </c>
      <c r="G28" s="88">
        <f>ROUND(E28/F28,2)</f>
        <v>0.28000000000000003</v>
      </c>
    </row>
    <row r="29" spans="2:10" s="200" customFormat="1" ht="13.8" x14ac:dyDescent="0.25">
      <c r="B29" s="84">
        <f t="shared" si="0"/>
        <v>9</v>
      </c>
      <c r="C29" s="27" t="s">
        <v>972</v>
      </c>
      <c r="D29" s="212" t="s">
        <v>944</v>
      </c>
      <c r="E29" s="212">
        <f>'МЕДИЧНІ М'!E21</f>
        <v>7</v>
      </c>
      <c r="F29" s="86">
        <v>100</v>
      </c>
      <c r="G29" s="88">
        <f>ROUND(E29/F29,2)</f>
        <v>7.0000000000000007E-2</v>
      </c>
    </row>
    <row r="30" spans="2:10" s="200" customFormat="1" ht="13.8" x14ac:dyDescent="0.25">
      <c r="B30" s="84">
        <f t="shared" si="0"/>
        <v>10</v>
      </c>
      <c r="C30" s="194" t="s">
        <v>982</v>
      </c>
      <c r="D30" s="212" t="s">
        <v>941</v>
      </c>
      <c r="E30" s="212">
        <f>'МЕДИЧНІ М'!E48</f>
        <v>11</v>
      </c>
      <c r="F30" s="213">
        <v>100</v>
      </c>
      <c r="G30" s="88">
        <f>ROUND(E30/F30,2)</f>
        <v>0.11</v>
      </c>
    </row>
    <row r="31" spans="2:10" s="200" customFormat="1" ht="13.8" x14ac:dyDescent="0.25">
      <c r="B31" s="84">
        <f t="shared" si="0"/>
        <v>11</v>
      </c>
      <c r="C31" s="27" t="s">
        <v>940</v>
      </c>
      <c r="D31" s="28" t="s">
        <v>941</v>
      </c>
      <c r="E31" s="81">
        <f>'МЕДИЧНІ М'!E37</f>
        <v>2</v>
      </c>
      <c r="F31" s="28">
        <v>1.5</v>
      </c>
      <c r="G31" s="28">
        <f>ROUND(E31*F31,2)</f>
        <v>3</v>
      </c>
    </row>
    <row r="32" spans="2:10" s="200" customFormat="1" ht="13.8" x14ac:dyDescent="0.25">
      <c r="B32" s="84">
        <f t="shared" si="0"/>
        <v>12</v>
      </c>
      <c r="C32" s="27" t="s">
        <v>1124</v>
      </c>
      <c r="D32" s="28" t="s">
        <v>944</v>
      </c>
      <c r="E32" s="81">
        <f>'МЕДИЧНІ М'!E24</f>
        <v>0.5</v>
      </c>
      <c r="F32" s="81">
        <v>0.5</v>
      </c>
      <c r="G32" s="28">
        <f>ROUND(E32*F32,2)</f>
        <v>0.25</v>
      </c>
    </row>
    <row r="33" spans="2:10" s="200" customFormat="1" ht="13.8" x14ac:dyDescent="0.25">
      <c r="B33" s="1044" t="s">
        <v>945</v>
      </c>
      <c r="C33" s="1045"/>
      <c r="D33" s="1045"/>
      <c r="E33" s="1045"/>
      <c r="F33" s="1046"/>
      <c r="G33" s="89">
        <f>SUM(G21:G32)</f>
        <v>68.789999999999992</v>
      </c>
    </row>
    <row r="35" spans="2:10" x14ac:dyDescent="0.3">
      <c r="C35" s="12" t="s">
        <v>968</v>
      </c>
      <c r="D35" s="12"/>
      <c r="E35" s="12"/>
      <c r="F35" s="11">
        <f>H38</f>
        <v>1.58</v>
      </c>
      <c r="G35" s="12" t="s">
        <v>971</v>
      </c>
      <c r="H35" s="200"/>
      <c r="I35" s="200"/>
      <c r="J35" s="200"/>
    </row>
    <row r="36" spans="2:10" x14ac:dyDescent="0.3">
      <c r="B36" s="200"/>
      <c r="C36" s="206"/>
      <c r="D36" s="206"/>
      <c r="E36" s="206"/>
      <c r="F36" s="207"/>
      <c r="G36" s="206"/>
    </row>
    <row r="37" spans="2:10" s="200" customFormat="1" ht="27.6" x14ac:dyDescent="0.25">
      <c r="C37" s="215" t="s">
        <v>513</v>
      </c>
      <c r="D37" s="215" t="s">
        <v>1180</v>
      </c>
      <c r="E37" s="215" t="s">
        <v>516</v>
      </c>
      <c r="F37" s="215" t="s">
        <v>970</v>
      </c>
      <c r="G37" s="215" t="s">
        <v>930</v>
      </c>
      <c r="H37" s="215" t="s">
        <v>961</v>
      </c>
    </row>
    <row r="38" spans="2:10" s="200" customFormat="1" ht="13.8" x14ac:dyDescent="0.25">
      <c r="C38" s="27" t="s">
        <v>1090</v>
      </c>
      <c r="D38" s="203">
        <f>АМОРТИЗАЦІЯ!C52</f>
        <v>37090</v>
      </c>
      <c r="E38" s="203">
        <v>13679.5</v>
      </c>
      <c r="F38" s="203">
        <f>ROUND((D38/E38)/60,2)</f>
        <v>0.05</v>
      </c>
      <c r="G38" s="203">
        <f>E14+E13</f>
        <v>31.5</v>
      </c>
      <c r="H38" s="202">
        <f>ROUND(F38*G38,2)</f>
        <v>1.58</v>
      </c>
      <c r="I38" s="216"/>
    </row>
    <row r="40" spans="2:10" x14ac:dyDescent="0.3">
      <c r="C40" s="12" t="s">
        <v>948</v>
      </c>
      <c r="D40" s="12"/>
      <c r="E40" s="12"/>
      <c r="F40" s="11">
        <f>H53</f>
        <v>4.1000000000000005</v>
      </c>
      <c r="G40" s="12" t="s">
        <v>971</v>
      </c>
      <c r="H40" s="200"/>
      <c r="I40" s="200"/>
      <c r="J40" s="200"/>
    </row>
    <row r="41" spans="2:10" x14ac:dyDescent="0.3">
      <c r="B41" s="200"/>
      <c r="C41" s="206"/>
      <c r="D41" s="206"/>
      <c r="E41" s="206"/>
      <c r="F41" s="207"/>
    </row>
    <row r="42" spans="2:10" s="200" customFormat="1" ht="41.4" x14ac:dyDescent="0.25">
      <c r="C42" s="215" t="s">
        <v>948</v>
      </c>
      <c r="D42" s="215" t="s">
        <v>1110</v>
      </c>
      <c r="E42" s="215" t="s">
        <v>516</v>
      </c>
      <c r="F42" s="215" t="s">
        <v>954</v>
      </c>
      <c r="G42" s="215" t="s">
        <v>930</v>
      </c>
      <c r="H42" s="215" t="s">
        <v>1111</v>
      </c>
    </row>
    <row r="43" spans="2:10" s="200" customFormat="1" ht="13.8" x14ac:dyDescent="0.25">
      <c r="C43" s="1038" t="str">
        <f>C9</f>
        <v>Лікар-лаборант</v>
      </c>
      <c r="D43" s="1039"/>
      <c r="E43" s="1039"/>
      <c r="F43" s="1039"/>
      <c r="G43" s="1039"/>
      <c r="H43" s="1040"/>
    </row>
    <row r="44" spans="2:10" s="200" customFormat="1" ht="13.8" x14ac:dyDescent="0.25">
      <c r="C44" s="203" t="s">
        <v>951</v>
      </c>
      <c r="D44" s="223">
        <f>НАКЛАДНІ!F4</f>
        <v>12188.608008565312</v>
      </c>
      <c r="E44" s="203">
        <f>I9</f>
        <v>1807.2</v>
      </c>
      <c r="F44" s="203">
        <f>ROUND((D44/E44)/60,2)</f>
        <v>0.11</v>
      </c>
      <c r="G44" s="203">
        <f>E13</f>
        <v>30</v>
      </c>
      <c r="H44" s="202">
        <f>ROUND(F44*G44,2)</f>
        <v>3.3</v>
      </c>
    </row>
    <row r="45" spans="2:10" s="200" customFormat="1" ht="13.8" x14ac:dyDescent="0.25">
      <c r="C45" s="203" t="s">
        <v>952</v>
      </c>
      <c r="D45" s="223">
        <f>НАКЛАДНІ!F5</f>
        <v>53.149721627408987</v>
      </c>
      <c r="E45" s="203">
        <f>I9</f>
        <v>1807.2</v>
      </c>
      <c r="F45" s="203">
        <f>ROUND((D45/E45)/60,2)</f>
        <v>0</v>
      </c>
      <c r="G45" s="203">
        <f>E13</f>
        <v>30</v>
      </c>
      <c r="H45" s="202">
        <f>ROUND(F45*G45,2)</f>
        <v>0</v>
      </c>
    </row>
    <row r="46" spans="2:10" s="200" customFormat="1" ht="13.8" x14ac:dyDescent="0.25">
      <c r="C46" s="203" t="s">
        <v>953</v>
      </c>
      <c r="D46" s="223">
        <f>НАКЛАДНІ!F6</f>
        <v>374.98368308351178</v>
      </c>
      <c r="E46" s="203">
        <f>I9</f>
        <v>1807.2</v>
      </c>
      <c r="F46" s="203">
        <f>ROUND((D46/E46)/60,2)</f>
        <v>0</v>
      </c>
      <c r="G46" s="203">
        <f>E13</f>
        <v>30</v>
      </c>
      <c r="H46" s="202">
        <f>ROUND(F46*G46,2)</f>
        <v>0</v>
      </c>
    </row>
    <row r="47" spans="2:10" s="200" customFormat="1" ht="13.8" x14ac:dyDescent="0.25">
      <c r="C47" s="203" t="s">
        <v>1109</v>
      </c>
      <c r="D47" s="223">
        <f>НАКЛАДНІ!F7</f>
        <v>1686.0389293361886</v>
      </c>
      <c r="E47" s="203">
        <f>I9</f>
        <v>1807.2</v>
      </c>
      <c r="F47" s="203">
        <f>ROUND((D47/E47)/60,2)</f>
        <v>0.02</v>
      </c>
      <c r="G47" s="203">
        <f>E13</f>
        <v>30</v>
      </c>
      <c r="H47" s="202">
        <f>ROUND(F47*G47,2)</f>
        <v>0.6</v>
      </c>
    </row>
    <row r="48" spans="2:10" s="200" customFormat="1" ht="13.8" x14ac:dyDescent="0.25">
      <c r="C48" s="1038" t="str">
        <f>C10</f>
        <v>Лаборант клінічної лабораторії</v>
      </c>
      <c r="D48" s="1039"/>
      <c r="E48" s="1039"/>
      <c r="F48" s="1039"/>
      <c r="G48" s="1039"/>
      <c r="H48" s="1040"/>
    </row>
    <row r="49" spans="2:10" s="200" customFormat="1" ht="13.8" x14ac:dyDescent="0.25">
      <c r="C49" s="203" t="s">
        <v>951</v>
      </c>
      <c r="D49" s="223">
        <f>D44</f>
        <v>12188.608008565312</v>
      </c>
      <c r="E49" s="203">
        <f>I10</f>
        <v>1807.2</v>
      </c>
      <c r="F49" s="203">
        <f>ROUND((D49/E49)/60,2)</f>
        <v>0.11</v>
      </c>
      <c r="G49" s="203">
        <f>E14</f>
        <v>1.5</v>
      </c>
      <c r="H49" s="202">
        <f>ROUND(F49*G49,2)</f>
        <v>0.17</v>
      </c>
    </row>
    <row r="50" spans="2:10" s="200" customFormat="1" ht="13.8" x14ac:dyDescent="0.25">
      <c r="C50" s="203" t="s">
        <v>952</v>
      </c>
      <c r="D50" s="223">
        <f>D45</f>
        <v>53.149721627408987</v>
      </c>
      <c r="E50" s="203">
        <f>I10</f>
        <v>1807.2</v>
      </c>
      <c r="F50" s="203">
        <f>ROUND((D50/E50)/60,2)</f>
        <v>0</v>
      </c>
      <c r="G50" s="203">
        <f>E14</f>
        <v>1.5</v>
      </c>
      <c r="H50" s="202">
        <f>ROUND(F50*G50,2)</f>
        <v>0</v>
      </c>
    </row>
    <row r="51" spans="2:10" s="200" customFormat="1" ht="13.8" x14ac:dyDescent="0.25">
      <c r="C51" s="203" t="s">
        <v>953</v>
      </c>
      <c r="D51" s="223">
        <f>D46</f>
        <v>374.98368308351178</v>
      </c>
      <c r="E51" s="203">
        <f>I10</f>
        <v>1807.2</v>
      </c>
      <c r="F51" s="203">
        <f>ROUND((D51/E51)/60,2)</f>
        <v>0</v>
      </c>
      <c r="G51" s="203">
        <f>E14</f>
        <v>1.5</v>
      </c>
      <c r="H51" s="202">
        <f>ROUND(F51*G51,2)</f>
        <v>0</v>
      </c>
    </row>
    <row r="52" spans="2:10" s="200" customFormat="1" ht="13.8" x14ac:dyDescent="0.25">
      <c r="C52" s="203" t="s">
        <v>1109</v>
      </c>
      <c r="D52" s="223">
        <f>D47</f>
        <v>1686.0389293361886</v>
      </c>
      <c r="E52" s="203">
        <f>I10</f>
        <v>1807.2</v>
      </c>
      <c r="F52" s="203">
        <f>ROUND((D52/E52)/60,2)</f>
        <v>0.02</v>
      </c>
      <c r="G52" s="203">
        <f>E14</f>
        <v>1.5</v>
      </c>
      <c r="H52" s="202">
        <f>ROUND(F52*G52,2)</f>
        <v>0.03</v>
      </c>
    </row>
    <row r="53" spans="2:10" s="7" customFormat="1" ht="13.8" x14ac:dyDescent="0.25">
      <c r="B53" s="200"/>
      <c r="C53" s="1044" t="s">
        <v>957</v>
      </c>
      <c r="D53" s="1045"/>
      <c r="E53" s="1045"/>
      <c r="F53" s="1045"/>
      <c r="G53" s="1046"/>
      <c r="H53" s="204">
        <f>SUM(H44:H52)</f>
        <v>4.1000000000000005</v>
      </c>
    </row>
    <row r="55" spans="2:10" ht="17.399999999999999" x14ac:dyDescent="0.3">
      <c r="C55" s="1048" t="s">
        <v>959</v>
      </c>
      <c r="D55" s="1048"/>
      <c r="E55" s="1048"/>
      <c r="F55" s="1048"/>
      <c r="G55" s="1048"/>
      <c r="H55" s="208">
        <f>F6+F18+F40+F35</f>
        <v>124.15999999999998</v>
      </c>
    </row>
    <row r="56" spans="2:10" ht="17.399999999999999" x14ac:dyDescent="0.3">
      <c r="C56" s="39"/>
      <c r="D56" s="39"/>
      <c r="E56" s="39"/>
      <c r="F56" s="39"/>
      <c r="G56" s="39"/>
      <c r="H56" s="5"/>
    </row>
    <row r="57" spans="2:10" ht="17.399999999999999" x14ac:dyDescent="0.3">
      <c r="C57" s="1048" t="s">
        <v>960</v>
      </c>
      <c r="D57" s="1048"/>
      <c r="E57" s="1048"/>
      <c r="F57" s="1048"/>
      <c r="G57" s="1048"/>
      <c r="H57" s="208">
        <f>ROUND(H55,0)</f>
        <v>124</v>
      </c>
    </row>
    <row r="59" spans="2:10" ht="17.399999999999999" x14ac:dyDescent="0.3">
      <c r="B59" s="1031" t="s">
        <v>958</v>
      </c>
      <c r="C59" s="1031"/>
      <c r="D59" s="1031"/>
      <c r="E59" s="1031"/>
      <c r="F59" s="1031"/>
      <c r="G59" s="1031"/>
      <c r="H59" s="1031"/>
      <c r="I59" s="1031"/>
      <c r="J59" s="1031"/>
    </row>
    <row r="61" spans="2:10" ht="17.399999999999999" x14ac:dyDescent="0.3">
      <c r="B61" s="195" t="s">
        <v>81</v>
      </c>
      <c r="C61" s="1047" t="s">
        <v>77</v>
      </c>
      <c r="D61" s="1047"/>
      <c r="E61" s="1047"/>
      <c r="F61" s="196">
        <f>H114</f>
        <v>108</v>
      </c>
      <c r="G61" s="196" t="s">
        <v>971</v>
      </c>
    </row>
    <row r="63" spans="2:10" x14ac:dyDescent="0.3">
      <c r="C63" s="1018" t="s">
        <v>932</v>
      </c>
      <c r="D63" s="1018"/>
      <c r="E63" s="197"/>
      <c r="F63" s="198">
        <f>F70+F73+F71</f>
        <v>49.69</v>
      </c>
      <c r="G63" s="199" t="s">
        <v>971</v>
      </c>
    </row>
    <row r="65" spans="2:10" s="7" customFormat="1" ht="27.6" x14ac:dyDescent="0.25">
      <c r="C65" s="13" t="s">
        <v>929</v>
      </c>
      <c r="D65" s="14" t="s">
        <v>928</v>
      </c>
      <c r="E65" s="14" t="s">
        <v>514</v>
      </c>
      <c r="F65" s="14" t="s">
        <v>515</v>
      </c>
      <c r="G65" s="14" t="s">
        <v>962</v>
      </c>
      <c r="H65" s="14" t="s">
        <v>926</v>
      </c>
      <c r="I65" s="14" t="s">
        <v>516</v>
      </c>
      <c r="J65" s="14" t="s">
        <v>961</v>
      </c>
    </row>
    <row r="66" spans="2:10" s="7" customFormat="1" ht="13.8" x14ac:dyDescent="0.25">
      <c r="C66" s="17" t="s">
        <v>534</v>
      </c>
      <c r="D66" s="16">
        <f>D9</f>
        <v>10799.43</v>
      </c>
      <c r="E66" s="16">
        <f t="shared" ref="E66:J66" si="1">E9</f>
        <v>129593.16</v>
      </c>
      <c r="F66" s="16">
        <f t="shared" si="1"/>
        <v>8307.26</v>
      </c>
      <c r="G66" s="16">
        <f t="shared" si="1"/>
        <v>4153.63</v>
      </c>
      <c r="H66" s="16">
        <f t="shared" si="1"/>
        <v>142054.05000000002</v>
      </c>
      <c r="I66" s="16">
        <f t="shared" si="1"/>
        <v>1807.2</v>
      </c>
      <c r="J66" s="16">
        <f t="shared" si="1"/>
        <v>1.31</v>
      </c>
    </row>
    <row r="67" spans="2:10" s="7" customFormat="1" ht="13.8" x14ac:dyDescent="0.25">
      <c r="C67" s="17" t="s">
        <v>1207</v>
      </c>
      <c r="D67" s="16">
        <f>D10</f>
        <v>7871.18</v>
      </c>
      <c r="E67" s="16">
        <f t="shared" ref="E67:J67" si="2">E10</f>
        <v>94454.16</v>
      </c>
      <c r="F67" s="16">
        <f t="shared" si="2"/>
        <v>6054.75</v>
      </c>
      <c r="G67" s="16">
        <f t="shared" si="2"/>
        <v>3027.375</v>
      </c>
      <c r="H67" s="16">
        <f t="shared" si="2"/>
        <v>103536.285</v>
      </c>
      <c r="I67" s="16">
        <f t="shared" si="2"/>
        <v>1807.2</v>
      </c>
      <c r="J67" s="16">
        <f t="shared" si="2"/>
        <v>0.95</v>
      </c>
    </row>
    <row r="68" spans="2:10" s="7" customFormat="1" ht="13.8" x14ac:dyDescent="0.25"/>
    <row r="69" spans="2:10" s="7" customFormat="1" ht="27.6" x14ac:dyDescent="0.25">
      <c r="C69" s="13" t="s">
        <v>929</v>
      </c>
      <c r="D69" s="14" t="s">
        <v>961</v>
      </c>
      <c r="E69" s="14" t="s">
        <v>930</v>
      </c>
      <c r="F69" s="14" t="s">
        <v>931</v>
      </c>
    </row>
    <row r="70" spans="2:10" s="200" customFormat="1" ht="13.8" x14ac:dyDescent="0.25">
      <c r="B70" s="7"/>
      <c r="C70" s="15" t="str">
        <f>C66</f>
        <v>Лікар-лаборант</v>
      </c>
      <c r="D70" s="16">
        <f>J66</f>
        <v>1.31</v>
      </c>
      <c r="E70" s="17">
        <v>30</v>
      </c>
      <c r="F70" s="18">
        <f>ROUND(D70*E70,2)</f>
        <v>39.299999999999997</v>
      </c>
    </row>
    <row r="71" spans="2:10" s="7" customFormat="1" ht="13.8" x14ac:dyDescent="0.25">
      <c r="B71" s="200"/>
      <c r="C71" s="201" t="str">
        <f>C67</f>
        <v>Лаборант клінічної лабораторії</v>
      </c>
      <c r="D71" s="202">
        <f>J67</f>
        <v>0.95</v>
      </c>
      <c r="E71" s="203">
        <v>1.5</v>
      </c>
      <c r="F71" s="204">
        <f>ROUND(D71*E71,2)</f>
        <v>1.43</v>
      </c>
    </row>
    <row r="72" spans="2:10" s="7" customFormat="1" ht="13.8" x14ac:dyDescent="0.25">
      <c r="D72" s="19"/>
      <c r="E72" s="7" t="s">
        <v>1016</v>
      </c>
    </row>
    <row r="73" spans="2:10" s="200" customFormat="1" ht="13.8" x14ac:dyDescent="0.25">
      <c r="B73" s="7"/>
      <c r="C73" s="17" t="s">
        <v>933</v>
      </c>
      <c r="D73" s="16">
        <f>F70+F71</f>
        <v>40.729999999999997</v>
      </c>
      <c r="E73" s="20">
        <v>0.22</v>
      </c>
      <c r="F73" s="21">
        <f>ROUND(D73*E73,2)</f>
        <v>8.9600000000000009</v>
      </c>
    </row>
    <row r="74" spans="2:10" x14ac:dyDescent="0.3">
      <c r="B74" s="200"/>
      <c r="C74" s="200"/>
      <c r="D74" s="200"/>
      <c r="E74" s="200"/>
      <c r="F74" s="200"/>
      <c r="G74" s="200"/>
      <c r="H74" s="200"/>
      <c r="I74" s="200"/>
      <c r="J74" s="200"/>
    </row>
    <row r="75" spans="2:10" x14ac:dyDescent="0.3">
      <c r="B75" s="200"/>
      <c r="C75" s="199" t="s">
        <v>946</v>
      </c>
      <c r="D75" s="199"/>
      <c r="E75" s="199"/>
      <c r="F75" s="199">
        <f>G90</f>
        <v>52.96</v>
      </c>
      <c r="G75" s="199" t="s">
        <v>971</v>
      </c>
    </row>
    <row r="77" spans="2:10" s="200" customFormat="1" ht="27.6" x14ac:dyDescent="0.25">
      <c r="B77" s="82" t="s">
        <v>991</v>
      </c>
      <c r="C77" s="83" t="s">
        <v>986</v>
      </c>
      <c r="D77" s="83" t="s">
        <v>987</v>
      </c>
      <c r="E77" s="83" t="s">
        <v>988</v>
      </c>
      <c r="F77" s="83" t="s">
        <v>78</v>
      </c>
      <c r="G77" s="82" t="s">
        <v>990</v>
      </c>
    </row>
    <row r="78" spans="2:10" s="200" customFormat="1" ht="13.8" x14ac:dyDescent="0.25">
      <c r="B78" s="84">
        <v>1</v>
      </c>
      <c r="C78" s="85" t="s">
        <v>79</v>
      </c>
      <c r="D78" s="86" t="s">
        <v>1045</v>
      </c>
      <c r="E78" s="210">
        <f>'МЕДИЧНІ М'!E185</f>
        <v>3000</v>
      </c>
      <c r="F78" s="86">
        <v>80</v>
      </c>
      <c r="G78" s="88">
        <f>ROUND(E78/F78,2)</f>
        <v>37.5</v>
      </c>
    </row>
    <row r="79" spans="2:10" s="200" customFormat="1" ht="13.8" x14ac:dyDescent="0.25">
      <c r="B79" s="84">
        <f t="shared" ref="B79:B89" si="3">B78+1</f>
        <v>2</v>
      </c>
      <c r="C79" s="194" t="s">
        <v>1071</v>
      </c>
      <c r="D79" s="211" t="s">
        <v>1036</v>
      </c>
      <c r="E79" s="211">
        <f>'МЕДИЧНІ М'!E187</f>
        <v>4950</v>
      </c>
      <c r="F79" s="86">
        <v>1000</v>
      </c>
      <c r="G79" s="88">
        <f>ROUND(E79/F79,2)</f>
        <v>4.95</v>
      </c>
    </row>
    <row r="80" spans="2:10" s="200" customFormat="1" ht="13.8" x14ac:dyDescent="0.25">
      <c r="B80" s="84">
        <f t="shared" si="3"/>
        <v>3</v>
      </c>
      <c r="C80" s="194" t="s">
        <v>1072</v>
      </c>
      <c r="D80" s="211" t="s">
        <v>1036</v>
      </c>
      <c r="E80" s="211">
        <f>'МЕДИЧНІ М'!E44</f>
        <v>110</v>
      </c>
      <c r="F80" s="86">
        <v>100</v>
      </c>
      <c r="G80" s="88">
        <f>ROUND(E80/F80,2)</f>
        <v>1.1000000000000001</v>
      </c>
    </row>
    <row r="81" spans="2:10" s="200" customFormat="1" ht="36" customHeight="1" x14ac:dyDescent="0.25">
      <c r="B81" s="84">
        <f t="shared" si="3"/>
        <v>4</v>
      </c>
      <c r="C81" s="194" t="s">
        <v>86</v>
      </c>
      <c r="D81" s="212" t="s">
        <v>941</v>
      </c>
      <c r="E81" s="212">
        <f>'МЕДИЧНІ М'!E183</f>
        <v>4.25</v>
      </c>
      <c r="F81" s="213">
        <v>1</v>
      </c>
      <c r="G81" s="88">
        <f>ROUND(E81*F81,2)</f>
        <v>4.25</v>
      </c>
    </row>
    <row r="82" spans="2:10" s="200" customFormat="1" ht="13.8" x14ac:dyDescent="0.25">
      <c r="B82" s="84">
        <f t="shared" si="3"/>
        <v>5</v>
      </c>
      <c r="C82" s="194" t="s">
        <v>985</v>
      </c>
      <c r="D82" s="212" t="s">
        <v>937</v>
      </c>
      <c r="E82" s="212">
        <f>'МЕДИЧНІ М'!F39</f>
        <v>0.3</v>
      </c>
      <c r="F82" s="213">
        <v>1</v>
      </c>
      <c r="G82" s="88">
        <f>ROUND(E82*F82,2)</f>
        <v>0.3</v>
      </c>
    </row>
    <row r="83" spans="2:10" s="200" customFormat="1" ht="13.8" x14ac:dyDescent="0.25">
      <c r="B83" s="84">
        <f t="shared" si="3"/>
        <v>6</v>
      </c>
      <c r="C83" s="194" t="s">
        <v>1050</v>
      </c>
      <c r="D83" s="212" t="s">
        <v>941</v>
      </c>
      <c r="E83" s="212">
        <f>'МЕДИЧНІ М'!E77</f>
        <v>0.9</v>
      </c>
      <c r="F83" s="213">
        <v>1</v>
      </c>
      <c r="G83" s="88">
        <f>ROUND(E83*F83,2)</f>
        <v>0.9</v>
      </c>
    </row>
    <row r="84" spans="2:10" s="200" customFormat="1" ht="13.8" x14ac:dyDescent="0.25">
      <c r="B84" s="84">
        <f t="shared" si="3"/>
        <v>7</v>
      </c>
      <c r="C84" s="27" t="s">
        <v>942</v>
      </c>
      <c r="D84" s="214" t="s">
        <v>974</v>
      </c>
      <c r="E84" s="212">
        <f>'МЕДИЧНІ М'!E65</f>
        <v>24.6</v>
      </c>
      <c r="F84" s="213">
        <v>100</v>
      </c>
      <c r="G84" s="214">
        <f>ROUND(E84/F84,2)</f>
        <v>0.25</v>
      </c>
    </row>
    <row r="85" spans="2:10" s="200" customFormat="1" ht="13.8" x14ac:dyDescent="0.25">
      <c r="B85" s="84">
        <f t="shared" si="3"/>
        <v>8</v>
      </c>
      <c r="C85" s="194" t="s">
        <v>934</v>
      </c>
      <c r="D85" s="212" t="s">
        <v>941</v>
      </c>
      <c r="E85" s="212">
        <f>'МЕДИЧНІ М'!E59</f>
        <v>2.8</v>
      </c>
      <c r="F85" s="86">
        <v>10</v>
      </c>
      <c r="G85" s="88">
        <f>ROUND(E85/F85,2)</f>
        <v>0.28000000000000003</v>
      </c>
    </row>
    <row r="86" spans="2:10" s="200" customFormat="1" ht="13.8" x14ac:dyDescent="0.25">
      <c r="B86" s="84">
        <f t="shared" si="3"/>
        <v>9</v>
      </c>
      <c r="C86" s="27" t="s">
        <v>972</v>
      </c>
      <c r="D86" s="212" t="s">
        <v>944</v>
      </c>
      <c r="E86" s="212">
        <f>'МЕДИЧНІ М'!E21</f>
        <v>7</v>
      </c>
      <c r="F86" s="86">
        <v>100</v>
      </c>
      <c r="G86" s="88">
        <f>ROUND(E86/F86,2)</f>
        <v>7.0000000000000007E-2</v>
      </c>
    </row>
    <row r="87" spans="2:10" s="200" customFormat="1" ht="13.8" x14ac:dyDescent="0.25">
      <c r="B87" s="84">
        <f t="shared" si="3"/>
        <v>10</v>
      </c>
      <c r="C87" s="194" t="s">
        <v>982</v>
      </c>
      <c r="D87" s="212" t="s">
        <v>941</v>
      </c>
      <c r="E87" s="212">
        <f>'МЕДИЧНІ М'!E48</f>
        <v>11</v>
      </c>
      <c r="F87" s="213">
        <v>100</v>
      </c>
      <c r="G87" s="88">
        <f>ROUND(E87/F87,2)</f>
        <v>0.11</v>
      </c>
    </row>
    <row r="88" spans="2:10" s="200" customFormat="1" ht="13.8" x14ac:dyDescent="0.25">
      <c r="B88" s="84">
        <f t="shared" si="3"/>
        <v>11</v>
      </c>
      <c r="C88" s="27" t="s">
        <v>940</v>
      </c>
      <c r="D88" s="28" t="s">
        <v>941</v>
      </c>
      <c r="E88" s="81">
        <f>'МЕДИЧНІ М'!E37</f>
        <v>2</v>
      </c>
      <c r="F88" s="28">
        <v>1.5</v>
      </c>
      <c r="G88" s="28">
        <f>ROUND(E88*F88,2)</f>
        <v>3</v>
      </c>
    </row>
    <row r="89" spans="2:10" s="200" customFormat="1" ht="13.8" x14ac:dyDescent="0.25">
      <c r="B89" s="84">
        <f t="shared" si="3"/>
        <v>12</v>
      </c>
      <c r="C89" s="27" t="s">
        <v>1124</v>
      </c>
      <c r="D89" s="28" t="s">
        <v>944</v>
      </c>
      <c r="E89" s="81">
        <f>'МЕДИЧНІ М'!E24</f>
        <v>0.5</v>
      </c>
      <c r="F89" s="81">
        <v>0.5</v>
      </c>
      <c r="G89" s="28">
        <f>ROUND(E89*F89,2)</f>
        <v>0.25</v>
      </c>
    </row>
    <row r="90" spans="2:10" x14ac:dyDescent="0.3">
      <c r="B90" s="1044" t="s">
        <v>945</v>
      </c>
      <c r="C90" s="1045"/>
      <c r="D90" s="1045"/>
      <c r="E90" s="1045"/>
      <c r="F90" s="1046"/>
      <c r="G90" s="205">
        <f>SUM(G78:G89)</f>
        <v>52.96</v>
      </c>
    </row>
    <row r="92" spans="2:10" x14ac:dyDescent="0.3">
      <c r="C92" s="12" t="s">
        <v>968</v>
      </c>
      <c r="D92" s="12"/>
      <c r="E92" s="12"/>
      <c r="F92" s="11">
        <f>H95</f>
        <v>1.58</v>
      </c>
      <c r="G92" s="12" t="s">
        <v>971</v>
      </c>
      <c r="H92" s="200"/>
      <c r="I92" s="200"/>
      <c r="J92" s="200"/>
    </row>
    <row r="93" spans="2:10" x14ac:dyDescent="0.3">
      <c r="B93" s="200"/>
      <c r="C93" s="206"/>
      <c r="D93" s="206"/>
      <c r="E93" s="206"/>
      <c r="F93" s="207"/>
      <c r="G93" s="206"/>
    </row>
    <row r="94" spans="2:10" s="200" customFormat="1" ht="27.6" x14ac:dyDescent="0.25">
      <c r="C94" s="215" t="s">
        <v>513</v>
      </c>
      <c r="D94" s="215" t="s">
        <v>1180</v>
      </c>
      <c r="E94" s="215" t="s">
        <v>516</v>
      </c>
      <c r="F94" s="215" t="s">
        <v>970</v>
      </c>
      <c r="G94" s="215" t="s">
        <v>930</v>
      </c>
      <c r="H94" s="215" t="s">
        <v>961</v>
      </c>
    </row>
    <row r="95" spans="2:10" s="200" customFormat="1" ht="13.8" x14ac:dyDescent="0.25">
      <c r="C95" s="27" t="s">
        <v>1090</v>
      </c>
      <c r="D95" s="203">
        <f>АМОРТИЗАЦІЯ!C52</f>
        <v>37090</v>
      </c>
      <c r="E95" s="203">
        <v>13679.5</v>
      </c>
      <c r="F95" s="203">
        <f>ROUND((D95/E95)/60,2)</f>
        <v>0.05</v>
      </c>
      <c r="G95" s="203">
        <f>E71+E70</f>
        <v>31.5</v>
      </c>
      <c r="H95" s="202">
        <f>ROUND(F95*G95,2)</f>
        <v>1.58</v>
      </c>
      <c r="I95" s="216"/>
    </row>
    <row r="97" spans="2:10" x14ac:dyDescent="0.3">
      <c r="C97" s="12" t="s">
        <v>948</v>
      </c>
      <c r="D97" s="12"/>
      <c r="E97" s="12"/>
      <c r="F97" s="11">
        <f>H110</f>
        <v>4.1000000000000005</v>
      </c>
      <c r="G97" s="12" t="s">
        <v>971</v>
      </c>
      <c r="H97" s="200"/>
      <c r="I97" s="200"/>
      <c r="J97" s="200"/>
    </row>
    <row r="98" spans="2:10" x14ac:dyDescent="0.3">
      <c r="B98" s="200"/>
      <c r="C98" s="206"/>
      <c r="D98" s="206"/>
      <c r="E98" s="206"/>
      <c r="F98" s="207"/>
    </row>
    <row r="99" spans="2:10" s="200" customFormat="1" ht="41.4" x14ac:dyDescent="0.25">
      <c r="C99" s="215" t="s">
        <v>948</v>
      </c>
      <c r="D99" s="215" t="s">
        <v>1110</v>
      </c>
      <c r="E99" s="215" t="s">
        <v>516</v>
      </c>
      <c r="F99" s="215" t="s">
        <v>954</v>
      </c>
      <c r="G99" s="215" t="s">
        <v>930</v>
      </c>
      <c r="H99" s="215" t="s">
        <v>1111</v>
      </c>
    </row>
    <row r="100" spans="2:10" s="200" customFormat="1" ht="13.8" x14ac:dyDescent="0.25">
      <c r="C100" s="1038" t="str">
        <f>C66</f>
        <v>Лікар-лаборант</v>
      </c>
      <c r="D100" s="1039"/>
      <c r="E100" s="1039"/>
      <c r="F100" s="1039"/>
      <c r="G100" s="1039"/>
      <c r="H100" s="1040"/>
    </row>
    <row r="101" spans="2:10" s="200" customFormat="1" ht="13.8" x14ac:dyDescent="0.25">
      <c r="C101" s="203" t="s">
        <v>951</v>
      </c>
      <c r="D101" s="223">
        <f>D44</f>
        <v>12188.608008565312</v>
      </c>
      <c r="E101" s="203">
        <f>I66</f>
        <v>1807.2</v>
      </c>
      <c r="F101" s="203">
        <f>ROUND((D101/E101)/60,2)</f>
        <v>0.11</v>
      </c>
      <c r="G101" s="203">
        <f>E70</f>
        <v>30</v>
      </c>
      <c r="H101" s="202">
        <f>ROUND(F101*G101,2)</f>
        <v>3.3</v>
      </c>
    </row>
    <row r="102" spans="2:10" s="200" customFormat="1" ht="13.8" x14ac:dyDescent="0.25">
      <c r="C102" s="203" t="s">
        <v>952</v>
      </c>
      <c r="D102" s="223">
        <f>D45</f>
        <v>53.149721627408987</v>
      </c>
      <c r="E102" s="203">
        <f>I66</f>
        <v>1807.2</v>
      </c>
      <c r="F102" s="203">
        <f>ROUND((D102/E102)/60,2)</f>
        <v>0</v>
      </c>
      <c r="G102" s="203">
        <f>E70</f>
        <v>30</v>
      </c>
      <c r="H102" s="202">
        <f>ROUND(F102*G102,2)</f>
        <v>0</v>
      </c>
    </row>
    <row r="103" spans="2:10" s="200" customFormat="1" ht="13.8" x14ac:dyDescent="0.25">
      <c r="C103" s="203" t="s">
        <v>953</v>
      </c>
      <c r="D103" s="223">
        <f>D46</f>
        <v>374.98368308351178</v>
      </c>
      <c r="E103" s="203">
        <f>I66</f>
        <v>1807.2</v>
      </c>
      <c r="F103" s="203">
        <f>ROUND((D103/E103)/60,2)</f>
        <v>0</v>
      </c>
      <c r="G103" s="203">
        <f>E70</f>
        <v>30</v>
      </c>
      <c r="H103" s="202">
        <f>ROUND(F103*G103,2)</f>
        <v>0</v>
      </c>
    </row>
    <row r="104" spans="2:10" s="200" customFormat="1" ht="13.8" x14ac:dyDescent="0.25">
      <c r="C104" s="203" t="s">
        <v>1109</v>
      </c>
      <c r="D104" s="223">
        <f>D47</f>
        <v>1686.0389293361886</v>
      </c>
      <c r="E104" s="203">
        <f>I66</f>
        <v>1807.2</v>
      </c>
      <c r="F104" s="203">
        <f>ROUND((D104/E104)/60,2)</f>
        <v>0.02</v>
      </c>
      <c r="G104" s="203">
        <f>E70</f>
        <v>30</v>
      </c>
      <c r="H104" s="202">
        <f>ROUND(F104*G104,2)</f>
        <v>0.6</v>
      </c>
    </row>
    <row r="105" spans="2:10" s="200" customFormat="1" ht="13.8" x14ac:dyDescent="0.25">
      <c r="C105" s="1038" t="str">
        <f>C67</f>
        <v>Лаборант клінічної лабораторії</v>
      </c>
      <c r="D105" s="1039"/>
      <c r="E105" s="1039"/>
      <c r="F105" s="1039"/>
      <c r="G105" s="1039"/>
      <c r="H105" s="1040"/>
    </row>
    <row r="106" spans="2:10" s="200" customFormat="1" ht="13.8" x14ac:dyDescent="0.25">
      <c r="C106" s="203" t="s">
        <v>951</v>
      </c>
      <c r="D106" s="223">
        <f>D101</f>
        <v>12188.608008565312</v>
      </c>
      <c r="E106" s="203">
        <f>I67</f>
        <v>1807.2</v>
      </c>
      <c r="F106" s="203">
        <f>ROUND((D106/E106)/60,2)</f>
        <v>0.11</v>
      </c>
      <c r="G106" s="203">
        <f>E71</f>
        <v>1.5</v>
      </c>
      <c r="H106" s="202">
        <f>ROUND(F106*G106,2)</f>
        <v>0.17</v>
      </c>
    </row>
    <row r="107" spans="2:10" s="200" customFormat="1" ht="13.8" x14ac:dyDescent="0.25">
      <c r="C107" s="203" t="s">
        <v>952</v>
      </c>
      <c r="D107" s="223">
        <f>D102</f>
        <v>53.149721627408987</v>
      </c>
      <c r="E107" s="203">
        <f>I67</f>
        <v>1807.2</v>
      </c>
      <c r="F107" s="203">
        <f>ROUND((D107/E107)/60,2)</f>
        <v>0</v>
      </c>
      <c r="G107" s="203">
        <f>E71</f>
        <v>1.5</v>
      </c>
      <c r="H107" s="202">
        <f>ROUND(F107*G107,2)</f>
        <v>0</v>
      </c>
    </row>
    <row r="108" spans="2:10" s="200" customFormat="1" ht="13.8" x14ac:dyDescent="0.25">
      <c r="C108" s="203" t="s">
        <v>953</v>
      </c>
      <c r="D108" s="223">
        <f>D103</f>
        <v>374.98368308351178</v>
      </c>
      <c r="E108" s="203">
        <f>I67</f>
        <v>1807.2</v>
      </c>
      <c r="F108" s="203">
        <f>ROUND((D108/E108)/60,2)</f>
        <v>0</v>
      </c>
      <c r="G108" s="203">
        <f>E71</f>
        <v>1.5</v>
      </c>
      <c r="H108" s="202">
        <f>ROUND(F108*G108,2)</f>
        <v>0</v>
      </c>
    </row>
    <row r="109" spans="2:10" s="200" customFormat="1" ht="13.8" x14ac:dyDescent="0.25">
      <c r="C109" s="203" t="s">
        <v>1109</v>
      </c>
      <c r="D109" s="223">
        <f>D104</f>
        <v>1686.0389293361886</v>
      </c>
      <c r="E109" s="203">
        <f>I67</f>
        <v>1807.2</v>
      </c>
      <c r="F109" s="203">
        <f>ROUND((D109/E109)/60,2)</f>
        <v>0.02</v>
      </c>
      <c r="G109" s="203">
        <f>E71</f>
        <v>1.5</v>
      </c>
      <c r="H109" s="202">
        <f>ROUND(F109*G109,2)</f>
        <v>0.03</v>
      </c>
    </row>
    <row r="110" spans="2:10" s="7" customFormat="1" ht="13.8" x14ac:dyDescent="0.25">
      <c r="B110" s="200"/>
      <c r="C110" s="1044" t="s">
        <v>957</v>
      </c>
      <c r="D110" s="1045"/>
      <c r="E110" s="1045"/>
      <c r="F110" s="1045"/>
      <c r="G110" s="1046"/>
      <c r="H110" s="204">
        <f>SUM(H101:H109)</f>
        <v>4.1000000000000005</v>
      </c>
    </row>
    <row r="111" spans="2:10" x14ac:dyDescent="0.3">
      <c r="B111" s="200"/>
      <c r="C111" s="200"/>
      <c r="D111" s="200"/>
      <c r="E111" s="200"/>
      <c r="F111" s="200"/>
      <c r="G111" s="200"/>
      <c r="H111" s="200"/>
      <c r="I111" s="200"/>
      <c r="J111" s="200"/>
    </row>
    <row r="112" spans="2:10" ht="17.399999999999999" x14ac:dyDescent="0.3">
      <c r="B112" s="200"/>
      <c r="C112" s="1048" t="s">
        <v>959</v>
      </c>
      <c r="D112" s="1048"/>
      <c r="E112" s="1048"/>
      <c r="F112" s="1048"/>
      <c r="G112" s="1048"/>
      <c r="H112" s="208">
        <f>F63+F75+F97+F92</f>
        <v>108.33</v>
      </c>
    </row>
    <row r="113" spans="2:10" ht="17.399999999999999" x14ac:dyDescent="0.3">
      <c r="C113" s="39"/>
      <c r="D113" s="39"/>
      <c r="E113" s="39"/>
      <c r="F113" s="39"/>
      <c r="G113" s="39"/>
      <c r="H113" s="5"/>
    </row>
    <row r="114" spans="2:10" ht="17.399999999999999" x14ac:dyDescent="0.3">
      <c r="C114" s="1048" t="s">
        <v>960</v>
      </c>
      <c r="D114" s="1048"/>
      <c r="E114" s="1048"/>
      <c r="F114" s="1048"/>
      <c r="G114" s="1048"/>
      <c r="H114" s="208">
        <f>ROUND(H112,0)</f>
        <v>108</v>
      </c>
    </row>
    <row r="115" spans="2:10" s="6" customFormat="1" ht="17.399999999999999" x14ac:dyDescent="0.3">
      <c r="B115" s="44"/>
      <c r="C115" s="39"/>
      <c r="D115" s="39"/>
      <c r="E115" s="39"/>
      <c r="F115" s="39"/>
      <c r="G115" s="39"/>
      <c r="H115" s="209"/>
      <c r="I115" s="44"/>
      <c r="J115" s="44"/>
    </row>
    <row r="116" spans="2:10" ht="17.399999999999999" x14ac:dyDescent="0.3">
      <c r="B116" s="1031" t="s">
        <v>958</v>
      </c>
      <c r="C116" s="1031"/>
      <c r="D116" s="1031"/>
      <c r="E116" s="1031"/>
      <c r="F116" s="1031"/>
      <c r="G116" s="1031"/>
      <c r="H116" s="1031"/>
      <c r="I116" s="1031"/>
      <c r="J116" s="1031"/>
    </row>
    <row r="118" spans="2:10" ht="18.75" customHeight="1" x14ac:dyDescent="0.3">
      <c r="B118" s="195" t="s">
        <v>103</v>
      </c>
      <c r="C118" s="1047" t="s">
        <v>82</v>
      </c>
      <c r="D118" s="1047"/>
      <c r="E118" s="1047"/>
      <c r="F118" s="196">
        <f>H171</f>
        <v>108</v>
      </c>
      <c r="G118" s="196" t="s">
        <v>971</v>
      </c>
    </row>
    <row r="120" spans="2:10" x14ac:dyDescent="0.3">
      <c r="C120" s="1018" t="s">
        <v>932</v>
      </c>
      <c r="D120" s="1018"/>
      <c r="E120" s="197"/>
      <c r="F120" s="198">
        <f>F127+F130+F128</f>
        <v>49.69</v>
      </c>
      <c r="G120" s="199" t="s">
        <v>971</v>
      </c>
    </row>
    <row r="122" spans="2:10" s="7" customFormat="1" ht="27.6" x14ac:dyDescent="0.25">
      <c r="C122" s="13" t="s">
        <v>929</v>
      </c>
      <c r="D122" s="14" t="s">
        <v>928</v>
      </c>
      <c r="E122" s="14" t="s">
        <v>514</v>
      </c>
      <c r="F122" s="14" t="s">
        <v>515</v>
      </c>
      <c r="G122" s="14" t="s">
        <v>962</v>
      </c>
      <c r="H122" s="14" t="s">
        <v>926</v>
      </c>
      <c r="I122" s="14" t="s">
        <v>516</v>
      </c>
      <c r="J122" s="14" t="s">
        <v>961</v>
      </c>
    </row>
    <row r="123" spans="2:10" s="7" customFormat="1" ht="13.8" x14ac:dyDescent="0.25">
      <c r="C123" s="17" t="s">
        <v>534</v>
      </c>
      <c r="D123" s="16">
        <f>D66</f>
        <v>10799.43</v>
      </c>
      <c r="E123" s="16">
        <f t="shared" ref="E123:J123" si="4">E66</f>
        <v>129593.16</v>
      </c>
      <c r="F123" s="16">
        <f t="shared" si="4"/>
        <v>8307.26</v>
      </c>
      <c r="G123" s="16">
        <f t="shared" si="4"/>
        <v>4153.63</v>
      </c>
      <c r="H123" s="16">
        <f t="shared" si="4"/>
        <v>142054.05000000002</v>
      </c>
      <c r="I123" s="16">
        <f t="shared" si="4"/>
        <v>1807.2</v>
      </c>
      <c r="J123" s="16">
        <f t="shared" si="4"/>
        <v>1.31</v>
      </c>
    </row>
    <row r="124" spans="2:10" s="7" customFormat="1" ht="13.8" x14ac:dyDescent="0.25">
      <c r="C124" s="17" t="s">
        <v>1207</v>
      </c>
      <c r="D124" s="16">
        <f>D67</f>
        <v>7871.18</v>
      </c>
      <c r="E124" s="16">
        <f t="shared" ref="E124:J124" si="5">E67</f>
        <v>94454.16</v>
      </c>
      <c r="F124" s="16">
        <f t="shared" si="5"/>
        <v>6054.75</v>
      </c>
      <c r="G124" s="16">
        <f t="shared" si="5"/>
        <v>3027.375</v>
      </c>
      <c r="H124" s="16">
        <f t="shared" si="5"/>
        <v>103536.285</v>
      </c>
      <c r="I124" s="16">
        <f t="shared" si="5"/>
        <v>1807.2</v>
      </c>
      <c r="J124" s="16">
        <f t="shared" si="5"/>
        <v>0.95</v>
      </c>
    </row>
    <row r="125" spans="2:10" s="7" customFormat="1" ht="13.8" x14ac:dyDescent="0.25"/>
    <row r="126" spans="2:10" s="7" customFormat="1" ht="27.6" x14ac:dyDescent="0.25">
      <c r="C126" s="13" t="s">
        <v>929</v>
      </c>
      <c r="D126" s="14" t="s">
        <v>961</v>
      </c>
      <c r="E126" s="14" t="s">
        <v>930</v>
      </c>
      <c r="F126" s="14" t="s">
        <v>931</v>
      </c>
    </row>
    <row r="127" spans="2:10" s="200" customFormat="1" ht="13.8" x14ac:dyDescent="0.25">
      <c r="B127" s="7"/>
      <c r="C127" s="15" t="str">
        <f>C123</f>
        <v>Лікар-лаборант</v>
      </c>
      <c r="D127" s="16">
        <f>J123</f>
        <v>1.31</v>
      </c>
      <c r="E127" s="17">
        <v>30</v>
      </c>
      <c r="F127" s="18">
        <f>ROUND(D127*E127,2)</f>
        <v>39.299999999999997</v>
      </c>
    </row>
    <row r="128" spans="2:10" s="7" customFormat="1" ht="13.8" x14ac:dyDescent="0.25">
      <c r="B128" s="200"/>
      <c r="C128" s="201" t="str">
        <f>C124</f>
        <v>Лаборант клінічної лабораторії</v>
      </c>
      <c r="D128" s="202">
        <f>J124</f>
        <v>0.95</v>
      </c>
      <c r="E128" s="203">
        <v>1.5</v>
      </c>
      <c r="F128" s="204">
        <f>ROUND(D128*E128,2)</f>
        <v>1.43</v>
      </c>
    </row>
    <row r="129" spans="2:10" s="7" customFormat="1" ht="13.8" x14ac:dyDescent="0.25">
      <c r="D129" s="19"/>
      <c r="E129" s="7" t="s">
        <v>1016</v>
      </c>
    </row>
    <row r="130" spans="2:10" s="200" customFormat="1" ht="13.8" x14ac:dyDescent="0.25">
      <c r="B130" s="7"/>
      <c r="C130" s="17" t="s">
        <v>933</v>
      </c>
      <c r="D130" s="16">
        <f>F127+F128</f>
        <v>40.729999999999997</v>
      </c>
      <c r="E130" s="20">
        <v>0.22</v>
      </c>
      <c r="F130" s="21">
        <f>ROUND(D130*E130,2)</f>
        <v>8.9600000000000009</v>
      </c>
    </row>
    <row r="131" spans="2:10" x14ac:dyDescent="0.3">
      <c r="B131" s="200"/>
      <c r="C131" s="200"/>
      <c r="D131" s="200"/>
      <c r="E131" s="200"/>
      <c r="F131" s="200"/>
      <c r="G131" s="200"/>
      <c r="H131" s="200"/>
      <c r="I131" s="200"/>
      <c r="J131" s="200"/>
    </row>
    <row r="132" spans="2:10" x14ac:dyDescent="0.3">
      <c r="B132" s="200"/>
      <c r="C132" s="199" t="s">
        <v>946</v>
      </c>
      <c r="D132" s="199"/>
      <c r="E132" s="199"/>
      <c r="F132" s="199">
        <f>G147</f>
        <v>52.96</v>
      </c>
      <c r="G132" s="199" t="s">
        <v>971</v>
      </c>
    </row>
    <row r="134" spans="2:10" s="200" customFormat="1" ht="27.6" x14ac:dyDescent="0.25">
      <c r="B134" s="82" t="s">
        <v>991</v>
      </c>
      <c r="C134" s="83" t="s">
        <v>986</v>
      </c>
      <c r="D134" s="83" t="s">
        <v>987</v>
      </c>
      <c r="E134" s="83" t="s">
        <v>988</v>
      </c>
      <c r="F134" s="83" t="s">
        <v>78</v>
      </c>
      <c r="G134" s="82" t="s">
        <v>990</v>
      </c>
    </row>
    <row r="135" spans="2:10" s="200" customFormat="1" ht="26.25" customHeight="1" x14ac:dyDescent="0.25">
      <c r="B135" s="84">
        <v>1</v>
      </c>
      <c r="C135" s="85" t="s">
        <v>79</v>
      </c>
      <c r="D135" s="86" t="s">
        <v>1045</v>
      </c>
      <c r="E135" s="210">
        <f>'МЕДИЧНІ М'!E185</f>
        <v>3000</v>
      </c>
      <c r="F135" s="86">
        <v>80</v>
      </c>
      <c r="G135" s="88">
        <f>ROUND(E135/F135,2)</f>
        <v>37.5</v>
      </c>
    </row>
    <row r="136" spans="2:10" s="200" customFormat="1" ht="13.8" x14ac:dyDescent="0.25">
      <c r="B136" s="84">
        <f t="shared" ref="B136:B146" si="6">B135+1</f>
        <v>2</v>
      </c>
      <c r="C136" s="194" t="s">
        <v>1071</v>
      </c>
      <c r="D136" s="211" t="s">
        <v>1036</v>
      </c>
      <c r="E136" s="211">
        <f>'МЕДИЧНІ М'!E187</f>
        <v>4950</v>
      </c>
      <c r="F136" s="86">
        <v>1000</v>
      </c>
      <c r="G136" s="88">
        <f>ROUND(E136/F136,2)</f>
        <v>4.95</v>
      </c>
    </row>
    <row r="137" spans="2:10" s="200" customFormat="1" ht="13.8" x14ac:dyDescent="0.25">
      <c r="B137" s="84">
        <f t="shared" si="6"/>
        <v>3</v>
      </c>
      <c r="C137" s="194" t="s">
        <v>1072</v>
      </c>
      <c r="D137" s="211" t="s">
        <v>1036</v>
      </c>
      <c r="E137" s="211">
        <f>'МЕДИЧНІ М'!E44</f>
        <v>110</v>
      </c>
      <c r="F137" s="86">
        <v>100</v>
      </c>
      <c r="G137" s="88">
        <f>ROUND(E137/F137,2)</f>
        <v>1.1000000000000001</v>
      </c>
    </row>
    <row r="138" spans="2:10" s="200" customFormat="1" ht="30" customHeight="1" x14ac:dyDescent="0.25">
      <c r="B138" s="84">
        <f t="shared" si="6"/>
        <v>4</v>
      </c>
      <c r="C138" s="194" t="s">
        <v>86</v>
      </c>
      <c r="D138" s="212" t="s">
        <v>941</v>
      </c>
      <c r="E138" s="212">
        <f>'МЕДИЧНІ М'!E183</f>
        <v>4.25</v>
      </c>
      <c r="F138" s="213">
        <v>1</v>
      </c>
      <c r="G138" s="88">
        <f>ROUND(E138*F138,2)</f>
        <v>4.25</v>
      </c>
    </row>
    <row r="139" spans="2:10" s="200" customFormat="1" ht="13.8" x14ac:dyDescent="0.25">
      <c r="B139" s="84">
        <f t="shared" si="6"/>
        <v>5</v>
      </c>
      <c r="C139" s="194" t="s">
        <v>985</v>
      </c>
      <c r="D139" s="212" t="s">
        <v>937</v>
      </c>
      <c r="E139" s="212">
        <f>'МЕДИЧНІ М'!F39</f>
        <v>0.3</v>
      </c>
      <c r="F139" s="213">
        <v>1</v>
      </c>
      <c r="G139" s="88">
        <f>ROUND(E139*F139,2)</f>
        <v>0.3</v>
      </c>
    </row>
    <row r="140" spans="2:10" s="200" customFormat="1" ht="13.8" x14ac:dyDescent="0.25">
      <c r="B140" s="84">
        <f t="shared" si="6"/>
        <v>6</v>
      </c>
      <c r="C140" s="194" t="s">
        <v>1050</v>
      </c>
      <c r="D140" s="212" t="s">
        <v>941</v>
      </c>
      <c r="E140" s="212">
        <f>'МЕДИЧНІ М'!E77</f>
        <v>0.9</v>
      </c>
      <c r="F140" s="213">
        <v>1</v>
      </c>
      <c r="G140" s="88">
        <f>ROUND(E140*F140,2)</f>
        <v>0.9</v>
      </c>
    </row>
    <row r="141" spans="2:10" s="200" customFormat="1" ht="13.8" x14ac:dyDescent="0.25">
      <c r="B141" s="84">
        <f t="shared" si="6"/>
        <v>7</v>
      </c>
      <c r="C141" s="27" t="s">
        <v>942</v>
      </c>
      <c r="D141" s="214" t="s">
        <v>974</v>
      </c>
      <c r="E141" s="212">
        <f>'МЕДИЧНІ М'!E65</f>
        <v>24.6</v>
      </c>
      <c r="F141" s="213">
        <v>100</v>
      </c>
      <c r="G141" s="214">
        <f>ROUND(E141/F141,2)</f>
        <v>0.25</v>
      </c>
    </row>
    <row r="142" spans="2:10" s="200" customFormat="1" ht="13.8" x14ac:dyDescent="0.25">
      <c r="B142" s="84">
        <f t="shared" si="6"/>
        <v>8</v>
      </c>
      <c r="C142" s="194" t="s">
        <v>934</v>
      </c>
      <c r="D142" s="212" t="s">
        <v>941</v>
      </c>
      <c r="E142" s="212">
        <f>'МЕДИЧНІ М'!E59</f>
        <v>2.8</v>
      </c>
      <c r="F142" s="86">
        <v>10</v>
      </c>
      <c r="G142" s="88">
        <f>ROUND(E142/F142,2)</f>
        <v>0.28000000000000003</v>
      </c>
    </row>
    <row r="143" spans="2:10" s="200" customFormat="1" ht="13.8" x14ac:dyDescent="0.25">
      <c r="B143" s="84">
        <f t="shared" si="6"/>
        <v>9</v>
      </c>
      <c r="C143" s="27" t="s">
        <v>972</v>
      </c>
      <c r="D143" s="212" t="s">
        <v>944</v>
      </c>
      <c r="E143" s="212">
        <f>'МЕДИЧНІ М'!E21</f>
        <v>7</v>
      </c>
      <c r="F143" s="86">
        <v>100</v>
      </c>
      <c r="G143" s="88">
        <f>ROUND(E143/F143,2)</f>
        <v>7.0000000000000007E-2</v>
      </c>
    </row>
    <row r="144" spans="2:10" s="200" customFormat="1" ht="13.8" x14ac:dyDescent="0.25">
      <c r="B144" s="84">
        <f t="shared" si="6"/>
        <v>10</v>
      </c>
      <c r="C144" s="194" t="s">
        <v>982</v>
      </c>
      <c r="D144" s="212" t="s">
        <v>941</v>
      </c>
      <c r="E144" s="212">
        <f>'МЕДИЧНІ М'!E48</f>
        <v>11</v>
      </c>
      <c r="F144" s="213">
        <v>100</v>
      </c>
      <c r="G144" s="88">
        <f>ROUND(E144/F144,2)</f>
        <v>0.11</v>
      </c>
    </row>
    <row r="145" spans="2:10" s="200" customFormat="1" ht="13.8" x14ac:dyDescent="0.25">
      <c r="B145" s="84">
        <f t="shared" si="6"/>
        <v>11</v>
      </c>
      <c r="C145" s="27" t="s">
        <v>940</v>
      </c>
      <c r="D145" s="28" t="s">
        <v>941</v>
      </c>
      <c r="E145" s="81">
        <f>'МЕДИЧНІ М'!E37</f>
        <v>2</v>
      </c>
      <c r="F145" s="28">
        <v>1.5</v>
      </c>
      <c r="G145" s="28">
        <f>ROUND(E145*F145,2)</f>
        <v>3</v>
      </c>
    </row>
    <row r="146" spans="2:10" s="200" customFormat="1" ht="13.8" x14ac:dyDescent="0.25">
      <c r="B146" s="84">
        <f t="shared" si="6"/>
        <v>12</v>
      </c>
      <c r="C146" s="27" t="s">
        <v>1124</v>
      </c>
      <c r="D146" s="28" t="s">
        <v>944</v>
      </c>
      <c r="E146" s="81">
        <f>'МЕДИЧНІ М'!E24</f>
        <v>0.5</v>
      </c>
      <c r="F146" s="81">
        <v>0.5</v>
      </c>
      <c r="G146" s="28">
        <f>ROUND(E146*F146,2)</f>
        <v>0.25</v>
      </c>
    </row>
    <row r="147" spans="2:10" s="200" customFormat="1" ht="13.8" x14ac:dyDescent="0.25">
      <c r="B147" s="1044" t="s">
        <v>945</v>
      </c>
      <c r="C147" s="1045"/>
      <c r="D147" s="1045"/>
      <c r="E147" s="1045"/>
      <c r="F147" s="1046"/>
      <c r="G147" s="89">
        <f>SUM(G135:G146)</f>
        <v>52.96</v>
      </c>
    </row>
    <row r="149" spans="2:10" x14ac:dyDescent="0.3">
      <c r="C149" s="12" t="s">
        <v>968</v>
      </c>
      <c r="D149" s="12"/>
      <c r="E149" s="12"/>
      <c r="F149" s="11">
        <f>H152</f>
        <v>1.58</v>
      </c>
      <c r="G149" s="12" t="s">
        <v>971</v>
      </c>
      <c r="H149" s="200"/>
      <c r="I149" s="200"/>
      <c r="J149" s="200"/>
    </row>
    <row r="150" spans="2:10" x14ac:dyDescent="0.3">
      <c r="B150" s="200"/>
      <c r="C150" s="206"/>
      <c r="D150" s="206"/>
      <c r="E150" s="206"/>
      <c r="F150" s="207"/>
      <c r="G150" s="206"/>
    </row>
    <row r="151" spans="2:10" s="200" customFormat="1" ht="27.6" x14ac:dyDescent="0.25">
      <c r="C151" s="215" t="s">
        <v>513</v>
      </c>
      <c r="D151" s="215" t="s">
        <v>1180</v>
      </c>
      <c r="E151" s="215" t="s">
        <v>516</v>
      </c>
      <c r="F151" s="215" t="s">
        <v>970</v>
      </c>
      <c r="G151" s="215" t="s">
        <v>930</v>
      </c>
      <c r="H151" s="215" t="s">
        <v>961</v>
      </c>
    </row>
    <row r="152" spans="2:10" s="200" customFormat="1" ht="13.8" x14ac:dyDescent="0.25">
      <c r="C152" s="27" t="s">
        <v>1090</v>
      </c>
      <c r="D152" s="203">
        <f>АМОРТИЗАЦІЯ!C52</f>
        <v>37090</v>
      </c>
      <c r="E152" s="203">
        <v>13679.5</v>
      </c>
      <c r="F152" s="203">
        <f>ROUND((D152/E152)/60,2)</f>
        <v>0.05</v>
      </c>
      <c r="G152" s="203">
        <f>E128+E127</f>
        <v>31.5</v>
      </c>
      <c r="H152" s="202">
        <f>ROUND(F152*G152,2)</f>
        <v>1.58</v>
      </c>
      <c r="I152" s="216"/>
    </row>
    <row r="154" spans="2:10" x14ac:dyDescent="0.3">
      <c r="C154" s="12" t="s">
        <v>948</v>
      </c>
      <c r="D154" s="12"/>
      <c r="E154" s="12"/>
      <c r="F154" s="11">
        <f>H167</f>
        <v>4.1000000000000005</v>
      </c>
      <c r="G154" s="12" t="s">
        <v>971</v>
      </c>
      <c r="H154" s="200"/>
      <c r="I154" s="200"/>
      <c r="J154" s="200"/>
    </row>
    <row r="155" spans="2:10" x14ac:dyDescent="0.3">
      <c r="B155" s="200"/>
      <c r="C155" s="206"/>
      <c r="D155" s="206"/>
      <c r="E155" s="206"/>
      <c r="F155" s="207"/>
    </row>
    <row r="156" spans="2:10" s="200" customFormat="1" ht="41.4" x14ac:dyDescent="0.25">
      <c r="C156" s="215" t="s">
        <v>948</v>
      </c>
      <c r="D156" s="215" t="s">
        <v>1110</v>
      </c>
      <c r="E156" s="215" t="s">
        <v>516</v>
      </c>
      <c r="F156" s="215" t="s">
        <v>954</v>
      </c>
      <c r="G156" s="215" t="s">
        <v>930</v>
      </c>
      <c r="H156" s="215" t="s">
        <v>1111</v>
      </c>
    </row>
    <row r="157" spans="2:10" s="200" customFormat="1" ht="13.8" x14ac:dyDescent="0.25">
      <c r="C157" s="1038" t="str">
        <f>C123</f>
        <v>Лікар-лаборант</v>
      </c>
      <c r="D157" s="1039"/>
      <c r="E157" s="1039"/>
      <c r="F157" s="1039"/>
      <c r="G157" s="1039"/>
      <c r="H157" s="1040"/>
    </row>
    <row r="158" spans="2:10" s="200" customFormat="1" ht="13.8" x14ac:dyDescent="0.25">
      <c r="C158" s="203" t="s">
        <v>951</v>
      </c>
      <c r="D158" s="223">
        <f>D101</f>
        <v>12188.608008565312</v>
      </c>
      <c r="E158" s="203">
        <f>I123</f>
        <v>1807.2</v>
      </c>
      <c r="F158" s="203">
        <f>ROUND((D158/E158)/60,2)</f>
        <v>0.11</v>
      </c>
      <c r="G158" s="203">
        <f>E127</f>
        <v>30</v>
      </c>
      <c r="H158" s="202">
        <f>ROUND(F158*G158,2)</f>
        <v>3.3</v>
      </c>
    </row>
    <row r="159" spans="2:10" s="200" customFormat="1" ht="13.8" x14ac:dyDescent="0.25">
      <c r="C159" s="203" t="s">
        <v>952</v>
      </c>
      <c r="D159" s="223">
        <f>D102</f>
        <v>53.149721627408987</v>
      </c>
      <c r="E159" s="203">
        <f>I123</f>
        <v>1807.2</v>
      </c>
      <c r="F159" s="203">
        <f>ROUND((D159/E159)/60,2)</f>
        <v>0</v>
      </c>
      <c r="G159" s="203">
        <f>E127</f>
        <v>30</v>
      </c>
      <c r="H159" s="202">
        <f>ROUND(F159*G159,2)</f>
        <v>0</v>
      </c>
    </row>
    <row r="160" spans="2:10" s="200" customFormat="1" ht="13.8" x14ac:dyDescent="0.25">
      <c r="C160" s="203" t="s">
        <v>953</v>
      </c>
      <c r="D160" s="223">
        <f>D103</f>
        <v>374.98368308351178</v>
      </c>
      <c r="E160" s="203">
        <f>I123</f>
        <v>1807.2</v>
      </c>
      <c r="F160" s="203">
        <f>ROUND((D160/E160)/60,2)</f>
        <v>0</v>
      </c>
      <c r="G160" s="203">
        <f>E127</f>
        <v>30</v>
      </c>
      <c r="H160" s="202">
        <f>ROUND(F160*G160,2)</f>
        <v>0</v>
      </c>
    </row>
    <row r="161" spans="2:10" s="200" customFormat="1" ht="13.8" x14ac:dyDescent="0.25">
      <c r="C161" s="203" t="s">
        <v>1109</v>
      </c>
      <c r="D161" s="223">
        <f>D104</f>
        <v>1686.0389293361886</v>
      </c>
      <c r="E161" s="203">
        <f>I123</f>
        <v>1807.2</v>
      </c>
      <c r="F161" s="203">
        <f>ROUND((D161/E161)/60,2)</f>
        <v>0.02</v>
      </c>
      <c r="G161" s="203">
        <f>E127</f>
        <v>30</v>
      </c>
      <c r="H161" s="202">
        <f>ROUND(F161*G161,2)</f>
        <v>0.6</v>
      </c>
    </row>
    <row r="162" spans="2:10" s="200" customFormat="1" ht="13.8" x14ac:dyDescent="0.25">
      <c r="C162" s="1038" t="str">
        <f>C124</f>
        <v>Лаборант клінічної лабораторії</v>
      </c>
      <c r="D162" s="1039"/>
      <c r="E162" s="1039"/>
      <c r="F162" s="1039"/>
      <c r="G162" s="1039"/>
      <c r="H162" s="1040"/>
    </row>
    <row r="163" spans="2:10" s="200" customFormat="1" ht="13.8" x14ac:dyDescent="0.25">
      <c r="C163" s="203" t="s">
        <v>951</v>
      </c>
      <c r="D163" s="223">
        <f>D158</f>
        <v>12188.608008565312</v>
      </c>
      <c r="E163" s="203">
        <f>I124</f>
        <v>1807.2</v>
      </c>
      <c r="F163" s="203">
        <f>ROUND((D163/E163)/60,2)</f>
        <v>0.11</v>
      </c>
      <c r="G163" s="203">
        <f>E128</f>
        <v>1.5</v>
      </c>
      <c r="H163" s="202">
        <f>ROUND(F163*G163,2)</f>
        <v>0.17</v>
      </c>
    </row>
    <row r="164" spans="2:10" s="200" customFormat="1" ht="13.8" x14ac:dyDescent="0.25">
      <c r="C164" s="203" t="s">
        <v>952</v>
      </c>
      <c r="D164" s="223">
        <f>D159</f>
        <v>53.149721627408987</v>
      </c>
      <c r="E164" s="203">
        <f>I124</f>
        <v>1807.2</v>
      </c>
      <c r="F164" s="203">
        <f>ROUND((D164/E164)/60,2)</f>
        <v>0</v>
      </c>
      <c r="G164" s="203">
        <f>E128</f>
        <v>1.5</v>
      </c>
      <c r="H164" s="202">
        <f>ROUND(F164*G164,2)</f>
        <v>0</v>
      </c>
    </row>
    <row r="165" spans="2:10" s="200" customFormat="1" ht="13.8" x14ac:dyDescent="0.25">
      <c r="C165" s="203" t="s">
        <v>953</v>
      </c>
      <c r="D165" s="223">
        <f>D160</f>
        <v>374.98368308351178</v>
      </c>
      <c r="E165" s="203">
        <f>I124</f>
        <v>1807.2</v>
      </c>
      <c r="F165" s="203">
        <f>ROUND((D165/E165)/60,2)</f>
        <v>0</v>
      </c>
      <c r="G165" s="203">
        <f>E128</f>
        <v>1.5</v>
      </c>
      <c r="H165" s="202">
        <f>ROUND(F165*G165,2)</f>
        <v>0</v>
      </c>
    </row>
    <row r="166" spans="2:10" s="200" customFormat="1" ht="13.8" x14ac:dyDescent="0.25">
      <c r="C166" s="203" t="s">
        <v>1109</v>
      </c>
      <c r="D166" s="223">
        <f>D161</f>
        <v>1686.0389293361886</v>
      </c>
      <c r="E166" s="203">
        <f>I124</f>
        <v>1807.2</v>
      </c>
      <c r="F166" s="203">
        <f>ROUND((D166/E166)/60,2)</f>
        <v>0.02</v>
      </c>
      <c r="G166" s="203">
        <f>E128</f>
        <v>1.5</v>
      </c>
      <c r="H166" s="202">
        <f>ROUND(F166*G166,2)</f>
        <v>0.03</v>
      </c>
    </row>
    <row r="167" spans="2:10" s="7" customFormat="1" ht="13.8" x14ac:dyDescent="0.25">
      <c r="B167" s="200"/>
      <c r="C167" s="1044" t="s">
        <v>957</v>
      </c>
      <c r="D167" s="1045"/>
      <c r="E167" s="1045"/>
      <c r="F167" s="1045"/>
      <c r="G167" s="1046"/>
      <c r="H167" s="204">
        <f>SUM(H158:H166)</f>
        <v>4.1000000000000005</v>
      </c>
    </row>
    <row r="168" spans="2:10" x14ac:dyDescent="0.3">
      <c r="B168" s="200"/>
      <c r="C168" s="200"/>
      <c r="D168" s="200"/>
      <c r="E168" s="200"/>
      <c r="F168" s="200"/>
      <c r="G168" s="200"/>
      <c r="H168" s="200"/>
      <c r="I168" s="200"/>
      <c r="J168" s="200"/>
    </row>
    <row r="169" spans="2:10" ht="17.399999999999999" x14ac:dyDescent="0.3">
      <c r="B169" s="200"/>
      <c r="C169" s="1041" t="s">
        <v>959</v>
      </c>
      <c r="D169" s="1042"/>
      <c r="E169" s="1042"/>
      <c r="F169" s="1042"/>
      <c r="G169" s="1043"/>
      <c r="H169" s="208">
        <f>F120+F132+F154+F149</f>
        <v>108.33</v>
      </c>
    </row>
    <row r="170" spans="2:10" ht="17.399999999999999" x14ac:dyDescent="0.3">
      <c r="C170" s="39"/>
      <c r="D170" s="39"/>
      <c r="E170" s="39"/>
      <c r="F170" s="39"/>
      <c r="G170" s="39"/>
      <c r="H170" s="5"/>
    </row>
    <row r="171" spans="2:10" ht="17.399999999999999" x14ac:dyDescent="0.3">
      <c r="C171" s="1041" t="s">
        <v>960</v>
      </c>
      <c r="D171" s="1042"/>
      <c r="E171" s="1042"/>
      <c r="F171" s="1042"/>
      <c r="G171" s="1043"/>
      <c r="H171" s="208">
        <f>ROUND(H169,0)</f>
        <v>108</v>
      </c>
    </row>
  </sheetData>
  <mergeCells count="27">
    <mergeCell ref="B59:J59"/>
    <mergeCell ref="B116:J116"/>
    <mergeCell ref="B90:F90"/>
    <mergeCell ref="C53:G53"/>
    <mergeCell ref="C55:G55"/>
    <mergeCell ref="C114:G114"/>
    <mergeCell ref="C171:G171"/>
    <mergeCell ref="C118:E118"/>
    <mergeCell ref="C120:D120"/>
    <mergeCell ref="B147:F147"/>
    <mergeCell ref="C157:H157"/>
    <mergeCell ref="C162:H162"/>
    <mergeCell ref="C169:G169"/>
    <mergeCell ref="C167:G167"/>
    <mergeCell ref="B2:J2"/>
    <mergeCell ref="C4:E4"/>
    <mergeCell ref="C6:D6"/>
    <mergeCell ref="B33:F33"/>
    <mergeCell ref="C112:G112"/>
    <mergeCell ref="C63:D63"/>
    <mergeCell ref="C100:H100"/>
    <mergeCell ref="C105:H105"/>
    <mergeCell ref="C110:G110"/>
    <mergeCell ref="C43:H43"/>
    <mergeCell ref="C48:H48"/>
    <mergeCell ref="C57:G57"/>
    <mergeCell ref="C61:E61"/>
  </mergeCells>
  <phoneticPr fontId="8" type="noConversion"/>
  <hyperlinks>
    <hyperlink ref="M9" location="'2 Лабораторія'!A61" display="Аналіз сечі Нечипоренко" xr:uid="{00000000-0004-0000-1300-000000000000}"/>
    <hyperlink ref="M8" location="'2 Лабораторія'!A4" display="Загальні аналіз сечі" xr:uid="{00000000-0004-0000-1300-000001000000}"/>
    <hyperlink ref="M10" location="'2 Лабораторія'!A115" display="Дослідження калу на гельмінтози" xr:uid="{00000000-0004-0000-1300-000002000000}"/>
  </hyperlinks>
  <pageMargins left="0.75" right="0.75" top="1" bottom="1" header="0.5" footer="0.5"/>
  <pageSetup paperSize="9" scale="64" orientation="portrait" r:id="rId1"/>
  <headerFooter alignWithMargins="0"/>
  <rowBreaks count="2" manualBreakCount="2">
    <brk id="58" max="16383" man="1"/>
    <brk id="115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R1322"/>
  <sheetViews>
    <sheetView view="pageBreakPreview" zoomScale="75" zoomScaleNormal="100" zoomScaleSheetLayoutView="75" workbookViewId="0">
      <selection activeCell="M30" sqref="M30"/>
    </sheetView>
  </sheetViews>
  <sheetFormatPr defaultRowHeight="14.4" x14ac:dyDescent="0.3"/>
  <cols>
    <col min="2" max="2" width="5.88671875" style="7" customWidth="1"/>
    <col min="3" max="3" width="44.109375" style="7" customWidth="1"/>
    <col min="4" max="4" width="12" style="7" customWidth="1"/>
    <col min="5" max="5" width="10.44140625" style="7" bestFit="1" customWidth="1"/>
    <col min="6" max="6" width="11" style="7" customWidth="1"/>
    <col min="7" max="7" width="14" style="7" customWidth="1"/>
    <col min="8" max="8" width="14.33203125" style="7" customWidth="1"/>
    <col min="9" max="10" width="9.33203125" style="7" bestFit="1" customWidth="1"/>
    <col min="11" max="11" width="9.109375" style="7"/>
    <col min="12" max="12" width="9.109375" style="41"/>
    <col min="13" max="13" width="67.109375" style="41" customWidth="1"/>
    <col min="14" max="17" width="9.109375" style="41"/>
    <col min="18" max="18" width="9.109375" style="7"/>
  </cols>
  <sheetData>
    <row r="2" spans="2:18" s="54" customFormat="1" ht="19.8" x14ac:dyDescent="0.4">
      <c r="B2" s="1016" t="s">
        <v>958</v>
      </c>
      <c r="C2" s="1016"/>
      <c r="D2" s="1016"/>
      <c r="E2" s="1016"/>
      <c r="F2" s="1016"/>
      <c r="G2" s="1016"/>
      <c r="H2" s="1016"/>
      <c r="I2" s="1016"/>
      <c r="J2" s="53"/>
      <c r="K2" s="53"/>
      <c r="L2" s="41"/>
      <c r="M2" s="41"/>
      <c r="N2" s="41"/>
      <c r="O2" s="41"/>
      <c r="P2" s="41"/>
      <c r="Q2" s="55"/>
      <c r="R2" s="53"/>
    </row>
    <row r="3" spans="2:18" x14ac:dyDescent="0.3">
      <c r="L3" s="40" t="s">
        <v>789</v>
      </c>
      <c r="M3" s="42" t="s">
        <v>790</v>
      </c>
    </row>
    <row r="4" spans="2:18" s="54" customFormat="1" ht="19.8" x14ac:dyDescent="0.4">
      <c r="B4" s="50" t="s">
        <v>789</v>
      </c>
      <c r="C4" s="67" t="s">
        <v>790</v>
      </c>
      <c r="D4" s="68"/>
      <c r="E4" s="68"/>
      <c r="F4" s="52">
        <f>H48</f>
        <v>45.000000000000007</v>
      </c>
      <c r="G4" s="52" t="s">
        <v>971</v>
      </c>
      <c r="H4" s="53"/>
      <c r="I4" s="53"/>
      <c r="J4" s="53"/>
      <c r="K4" s="53"/>
      <c r="L4" s="40" t="s">
        <v>791</v>
      </c>
      <c r="M4" s="42" t="s">
        <v>792</v>
      </c>
      <c r="N4" s="41"/>
      <c r="O4" s="41"/>
      <c r="P4" s="41"/>
      <c r="Q4" s="55"/>
      <c r="R4" s="53"/>
    </row>
    <row r="5" spans="2:18" x14ac:dyDescent="0.3">
      <c r="L5" s="40" t="s">
        <v>793</v>
      </c>
      <c r="M5" s="42" t="s">
        <v>794</v>
      </c>
    </row>
    <row r="6" spans="2:18" x14ac:dyDescent="0.3">
      <c r="C6" s="1018" t="s">
        <v>932</v>
      </c>
      <c r="D6" s="1018"/>
      <c r="E6" s="10"/>
      <c r="F6" s="11">
        <f>F12+F15</f>
        <v>18.060000000000002</v>
      </c>
      <c r="G6" s="12" t="s">
        <v>971</v>
      </c>
      <c r="L6" s="40" t="s">
        <v>795</v>
      </c>
      <c r="M6" s="42" t="s">
        <v>796</v>
      </c>
    </row>
    <row r="7" spans="2:18" x14ac:dyDescent="0.3">
      <c r="L7" s="40" t="s">
        <v>797</v>
      </c>
      <c r="M7" s="42" t="s">
        <v>798</v>
      </c>
    </row>
    <row r="8" spans="2:18" ht="27.6" x14ac:dyDescent="0.3">
      <c r="C8" s="13" t="s">
        <v>929</v>
      </c>
      <c r="D8" s="14" t="s">
        <v>928</v>
      </c>
      <c r="E8" s="14" t="s">
        <v>514</v>
      </c>
      <c r="F8" s="14" t="s">
        <v>515</v>
      </c>
      <c r="G8" s="14" t="s">
        <v>962</v>
      </c>
      <c r="H8" s="14" t="s">
        <v>926</v>
      </c>
      <c r="I8" s="14" t="s">
        <v>516</v>
      </c>
      <c r="J8" s="14" t="s">
        <v>927</v>
      </c>
      <c r="L8" s="40" t="s">
        <v>799</v>
      </c>
      <c r="M8" s="42" t="s">
        <v>800</v>
      </c>
    </row>
    <row r="9" spans="2:18" x14ac:dyDescent="0.3">
      <c r="C9" s="17" t="s">
        <v>963</v>
      </c>
      <c r="D9" s="16">
        <f>ЗП!C38</f>
        <v>6506.55</v>
      </c>
      <c r="E9" s="16">
        <f>D9*12</f>
        <v>78078.600000000006</v>
      </c>
      <c r="F9" s="16">
        <f>ЗП!E38</f>
        <v>5005</v>
      </c>
      <c r="G9" s="16">
        <f>F9*0.5</f>
        <v>2502.5</v>
      </c>
      <c r="H9" s="16">
        <f>E9+F9+G9</f>
        <v>85586.1</v>
      </c>
      <c r="I9" s="17">
        <v>1932.7</v>
      </c>
      <c r="J9" s="16">
        <f>ROUND((H9/I9)/60,2)</f>
        <v>0.74</v>
      </c>
      <c r="L9" s="40" t="s">
        <v>801</v>
      </c>
      <c r="M9" s="42" t="s">
        <v>802</v>
      </c>
    </row>
    <row r="10" spans="2:18" x14ac:dyDescent="0.3">
      <c r="L10" s="40" t="s">
        <v>803</v>
      </c>
      <c r="M10" s="71" t="s">
        <v>804</v>
      </c>
    </row>
    <row r="11" spans="2:18" ht="27.6" x14ac:dyDescent="0.3">
      <c r="C11" s="13" t="s">
        <v>929</v>
      </c>
      <c r="D11" s="14" t="s">
        <v>961</v>
      </c>
      <c r="E11" s="14" t="s">
        <v>930</v>
      </c>
      <c r="F11" s="14" t="s">
        <v>931</v>
      </c>
      <c r="L11" s="40" t="s">
        <v>805</v>
      </c>
      <c r="M11" s="71" t="s">
        <v>806</v>
      </c>
    </row>
    <row r="12" spans="2:18" x14ac:dyDescent="0.3">
      <c r="C12" s="17" t="str">
        <f>C9</f>
        <v>Сестра медична з масажу</v>
      </c>
      <c r="D12" s="16">
        <f>J9</f>
        <v>0.74</v>
      </c>
      <c r="E12" s="17">
        <v>20</v>
      </c>
      <c r="F12" s="18">
        <f>ROUND(D12*E12,2)</f>
        <v>14.8</v>
      </c>
      <c r="L12" s="40" t="s">
        <v>807</v>
      </c>
      <c r="M12" s="71" t="s">
        <v>808</v>
      </c>
    </row>
    <row r="13" spans="2:18" x14ac:dyDescent="0.3">
      <c r="L13" s="40" t="s">
        <v>809</v>
      </c>
      <c r="M13" s="71" t="s">
        <v>810</v>
      </c>
    </row>
    <row r="14" spans="2:18" ht="17.25" customHeight="1" x14ac:dyDescent="0.3">
      <c r="D14" s="19"/>
      <c r="L14" s="40" t="s">
        <v>811</v>
      </c>
      <c r="M14" s="71" t="s">
        <v>812</v>
      </c>
    </row>
    <row r="15" spans="2:18" x14ac:dyDescent="0.3">
      <c r="C15" s="17" t="s">
        <v>933</v>
      </c>
      <c r="D15" s="16">
        <f>F12</f>
        <v>14.8</v>
      </c>
      <c r="E15" s="20">
        <v>0.22</v>
      </c>
      <c r="F15" s="21">
        <f>ROUND(D15*E15,2)</f>
        <v>3.26</v>
      </c>
      <c r="L15" s="40" t="s">
        <v>813</v>
      </c>
      <c r="M15" s="71" t="s">
        <v>814</v>
      </c>
    </row>
    <row r="16" spans="2:18" x14ac:dyDescent="0.3">
      <c r="L16" s="40" t="s">
        <v>815</v>
      </c>
      <c r="M16" s="71" t="s">
        <v>816</v>
      </c>
    </row>
    <row r="17" spans="3:13" x14ac:dyDescent="0.3">
      <c r="C17" s="12" t="s">
        <v>946</v>
      </c>
      <c r="D17" s="12"/>
      <c r="E17" s="12"/>
      <c r="F17" s="12">
        <f>G27</f>
        <v>16.84</v>
      </c>
      <c r="G17" s="12" t="s">
        <v>971</v>
      </c>
      <c r="L17" s="40" t="s">
        <v>817</v>
      </c>
      <c r="M17" s="71" t="s">
        <v>818</v>
      </c>
    </row>
    <row r="18" spans="3:13" x14ac:dyDescent="0.3">
      <c r="C18" s="17" t="str">
        <f>'МЕДИЧНІ М'!B236</f>
        <v>Антисептик для обробки рук</v>
      </c>
      <c r="D18" s="73" t="str">
        <f>'МЕДИЧНІ М'!D236</f>
        <v>мл</v>
      </c>
      <c r="E18" s="78">
        <v>1</v>
      </c>
      <c r="F18" s="73">
        <f>'МЕДИЧНІ М'!F236</f>
        <v>0.375</v>
      </c>
      <c r="G18" s="81">
        <f>ROUND(E18*F18,2)</f>
        <v>0.38</v>
      </c>
      <c r="L18" s="40" t="s">
        <v>819</v>
      </c>
      <c r="M18" s="71" t="s">
        <v>820</v>
      </c>
    </row>
    <row r="19" spans="3:13" x14ac:dyDescent="0.3">
      <c r="C19" s="17" t="str">
        <f>'МЕДИЧНІ М'!B237</f>
        <v>Антисептик швидкої дії</v>
      </c>
      <c r="D19" s="73" t="str">
        <f>'МЕДИЧНІ М'!D237</f>
        <v>мл</v>
      </c>
      <c r="E19" s="81">
        <v>1</v>
      </c>
      <c r="F19" s="73">
        <f>'МЕДИЧНІ М'!F237</f>
        <v>0.28799999999999998</v>
      </c>
      <c r="G19" s="81">
        <f>ROUND(E19*F19,2)</f>
        <v>0.28999999999999998</v>
      </c>
      <c r="L19" s="40" t="s">
        <v>821</v>
      </c>
      <c r="M19" s="71" t="s">
        <v>822</v>
      </c>
    </row>
    <row r="20" spans="3:13" x14ac:dyDescent="0.3">
      <c r="C20" s="17" t="str">
        <f>'МЕДИЧНІ М'!B238</f>
        <v>Деззасоби</v>
      </c>
      <c r="D20" s="73" t="str">
        <f>'МЕДИЧНІ М'!D238</f>
        <v>г</v>
      </c>
      <c r="E20" s="81">
        <v>0.5</v>
      </c>
      <c r="F20" s="73">
        <f>'МЕДИЧНІ М'!F238</f>
        <v>0.5</v>
      </c>
      <c r="G20" s="81">
        <f t="shared" ref="G20:G26" si="0">ROUND(E20*F20,2)</f>
        <v>0.25</v>
      </c>
      <c r="L20" s="40" t="s">
        <v>823</v>
      </c>
      <c r="M20" s="71" t="s">
        <v>824</v>
      </c>
    </row>
    <row r="21" spans="3:13" x14ac:dyDescent="0.3">
      <c r="C21" s="17" t="str">
        <f>'МЕДИЧНІ М'!B239</f>
        <v>Маска одноразова тришарова на резинці</v>
      </c>
      <c r="D21" s="73" t="str">
        <f>'МЕДИЧНІ М'!D239</f>
        <v>шт</v>
      </c>
      <c r="E21" s="81">
        <v>1</v>
      </c>
      <c r="F21" s="78">
        <f>'МЕДИЧНІ М'!F239</f>
        <v>2</v>
      </c>
      <c r="G21" s="81">
        <f t="shared" si="0"/>
        <v>2</v>
      </c>
      <c r="L21" s="40" t="s">
        <v>825</v>
      </c>
      <c r="M21" s="71" t="s">
        <v>826</v>
      </c>
    </row>
    <row r="22" spans="3:13" x14ac:dyDescent="0.3">
      <c r="C22" s="17" t="str">
        <f>'МЕДИЧНІ М'!B240</f>
        <v>Мило рідке</v>
      </c>
      <c r="D22" s="73" t="str">
        <f>'МЕДИЧНІ М'!D240</f>
        <v>мл</v>
      </c>
      <c r="E22" s="81">
        <v>1</v>
      </c>
      <c r="F22" s="73">
        <f>'МЕДИЧНІ М'!F240</f>
        <v>0.19600000000000001</v>
      </c>
      <c r="G22" s="81">
        <f t="shared" si="0"/>
        <v>0.2</v>
      </c>
      <c r="L22" s="40" t="s">
        <v>827</v>
      </c>
      <c r="M22" s="71" t="s">
        <v>828</v>
      </c>
    </row>
    <row r="23" spans="3:13" x14ac:dyDescent="0.3">
      <c r="C23" s="17" t="str">
        <f>'МЕДИЧНІ М'!B241</f>
        <v>Олія для масажу 100 мл</v>
      </c>
      <c r="D23" s="73" t="str">
        <f>'МЕДИЧНІ М'!D241</f>
        <v>мл</v>
      </c>
      <c r="E23" s="831">
        <v>10.6</v>
      </c>
      <c r="F23" s="73">
        <f>'МЕДИЧНІ М'!F241</f>
        <v>0.2</v>
      </c>
      <c r="G23" s="81">
        <f>ROUND(E23*F23,2)</f>
        <v>2.12</v>
      </c>
      <c r="L23" s="40" t="s">
        <v>829</v>
      </c>
      <c r="M23" s="71" t="s">
        <v>830</v>
      </c>
    </row>
    <row r="24" spans="3:13" x14ac:dyDescent="0.3">
      <c r="C24" s="17" t="str">
        <f>'МЕДИЧНІ М'!B242</f>
        <v>Пелюшка поглинаюча 60/60</v>
      </c>
      <c r="D24" s="73" t="str">
        <f>'МЕДИЧНІ М'!D242</f>
        <v>шт</v>
      </c>
      <c r="E24" s="81">
        <v>1</v>
      </c>
      <c r="F24" s="662">
        <f>'МЕДИЧНІ М'!F242</f>
        <v>6</v>
      </c>
      <c r="G24" s="81">
        <f>ROUND(E24*F24,2)</f>
        <v>6</v>
      </c>
      <c r="L24" s="40" t="s">
        <v>831</v>
      </c>
      <c r="M24" s="71" t="s">
        <v>832</v>
      </c>
    </row>
    <row r="25" spans="3:13" x14ac:dyDescent="0.3">
      <c r="C25" s="17" t="str">
        <f>'МЕДИЧНІ М'!B243</f>
        <v>Простирадло одноразове 100 м</v>
      </c>
      <c r="D25" s="73" t="str">
        <f>'МЕДИЧНІ М'!D243</f>
        <v>м</v>
      </c>
      <c r="E25" s="78">
        <v>2</v>
      </c>
      <c r="F25" s="73">
        <f>'МЕДИЧНІ М'!F243</f>
        <v>2.36</v>
      </c>
      <c r="G25" s="81">
        <f t="shared" si="0"/>
        <v>4.72</v>
      </c>
      <c r="L25" s="40" t="s">
        <v>833</v>
      </c>
      <c r="M25" s="71" t="s">
        <v>834</v>
      </c>
    </row>
    <row r="26" spans="3:13" x14ac:dyDescent="0.3">
      <c r="C26" s="17" t="str">
        <f>'МЕДИЧНІ М'!B244</f>
        <v>Рушник паперовий</v>
      </c>
      <c r="D26" s="73" t="str">
        <f>'МЕДИЧНІ М'!D244</f>
        <v>шт</v>
      </c>
      <c r="E26" s="81">
        <v>0.05</v>
      </c>
      <c r="F26" s="73">
        <f>'МЕДИЧНІ М'!F244</f>
        <v>17.5</v>
      </c>
      <c r="G26" s="81">
        <f t="shared" si="0"/>
        <v>0.88</v>
      </c>
      <c r="L26" s="40" t="s">
        <v>835</v>
      </c>
      <c r="M26" s="71" t="s">
        <v>836</v>
      </c>
    </row>
    <row r="27" spans="3:13" x14ac:dyDescent="0.3">
      <c r="C27" s="1019" t="s">
        <v>945</v>
      </c>
      <c r="D27" s="1019"/>
      <c r="E27" s="1019"/>
      <c r="F27" s="1019"/>
      <c r="G27" s="572">
        <f>SUM(G18:G26)</f>
        <v>16.84</v>
      </c>
      <c r="L27" s="40" t="s">
        <v>837</v>
      </c>
      <c r="M27" s="72" t="s">
        <v>838</v>
      </c>
    </row>
    <row r="28" spans="3:13" x14ac:dyDescent="0.3">
      <c r="L28" s="40" t="s">
        <v>839</v>
      </c>
      <c r="M28" s="72" t="s">
        <v>840</v>
      </c>
    </row>
    <row r="29" spans="3:13" x14ac:dyDescent="0.3">
      <c r="C29" s="12" t="s">
        <v>968</v>
      </c>
      <c r="D29" s="12"/>
      <c r="E29" s="12"/>
      <c r="F29" s="11">
        <f>H32</f>
        <v>0.2</v>
      </c>
      <c r="G29" s="12" t="s">
        <v>971</v>
      </c>
      <c r="L29" s="40" t="s">
        <v>841</v>
      </c>
      <c r="M29" s="72" t="s">
        <v>842</v>
      </c>
    </row>
    <row r="30" spans="3:13" x14ac:dyDescent="0.3">
      <c r="C30" s="22"/>
      <c r="D30" s="22"/>
      <c r="E30" s="22"/>
      <c r="F30" s="23"/>
      <c r="G30" s="22"/>
    </row>
    <row r="31" spans="3:13" ht="27.6" x14ac:dyDescent="0.3">
      <c r="C31" s="14" t="s">
        <v>513</v>
      </c>
      <c r="D31" s="14" t="s">
        <v>1108</v>
      </c>
      <c r="E31" s="14" t="s">
        <v>516</v>
      </c>
      <c r="F31" s="14" t="s">
        <v>970</v>
      </c>
      <c r="G31" s="14" t="s">
        <v>930</v>
      </c>
      <c r="H31" s="14" t="s">
        <v>961</v>
      </c>
    </row>
    <row r="32" spans="3:13" x14ac:dyDescent="0.3">
      <c r="C32" s="27" t="s">
        <v>1115</v>
      </c>
      <c r="D32" s="16">
        <f>АМОРТИЗАЦІЯ!C14</f>
        <v>193</v>
      </c>
      <c r="E32" s="17">
        <v>4831.75</v>
      </c>
      <c r="F32" s="17">
        <v>0.01</v>
      </c>
      <c r="G32" s="17">
        <f>E12</f>
        <v>20</v>
      </c>
      <c r="H32" s="16">
        <f>ROUND(F32*G32,2)</f>
        <v>0.2</v>
      </c>
    </row>
    <row r="34" spans="2:18" x14ac:dyDescent="0.3">
      <c r="C34" s="12" t="s">
        <v>948</v>
      </c>
      <c r="D34" s="12"/>
      <c r="E34" s="12"/>
      <c r="F34" s="11">
        <f>H42</f>
        <v>2.4000000000000004</v>
      </c>
      <c r="G34" s="12" t="s">
        <v>971</v>
      </c>
    </row>
    <row r="35" spans="2:18" x14ac:dyDescent="0.3">
      <c r="C35" s="22"/>
      <c r="D35" s="22"/>
      <c r="E35" s="22"/>
      <c r="F35" s="23"/>
    </row>
    <row r="36" spans="2:18" ht="41.4" x14ac:dyDescent="0.3">
      <c r="C36" s="14" t="s">
        <v>948</v>
      </c>
      <c r="D36" s="14" t="s">
        <v>955</v>
      </c>
      <c r="E36" s="14" t="s">
        <v>516</v>
      </c>
      <c r="F36" s="14" t="s">
        <v>954</v>
      </c>
      <c r="G36" s="14" t="s">
        <v>930</v>
      </c>
      <c r="H36" s="14" t="s">
        <v>956</v>
      </c>
    </row>
    <row r="37" spans="2:18" x14ac:dyDescent="0.3">
      <c r="C37" s="1009" t="str">
        <f>C12</f>
        <v>Сестра медична з масажу</v>
      </c>
      <c r="D37" s="1010"/>
      <c r="E37" s="1010"/>
      <c r="F37" s="1010"/>
      <c r="G37" s="1010"/>
      <c r="H37" s="1011"/>
    </row>
    <row r="38" spans="2:18" x14ac:dyDescent="0.3">
      <c r="C38" s="17" t="s">
        <v>951</v>
      </c>
      <c r="D38" s="112">
        <f>НАКЛАДНІ!F4</f>
        <v>12188.608008565312</v>
      </c>
      <c r="E38" s="17">
        <f>I9</f>
        <v>1932.7</v>
      </c>
      <c r="F38" s="17">
        <f>ROUND((D38/E38)/60,2)</f>
        <v>0.11</v>
      </c>
      <c r="G38" s="17">
        <f>E12</f>
        <v>20</v>
      </c>
      <c r="H38" s="16">
        <f>ROUND(F38*G38,2)</f>
        <v>2.2000000000000002</v>
      </c>
    </row>
    <row r="39" spans="2:18" x14ac:dyDescent="0.3">
      <c r="C39" s="17" t="s">
        <v>952</v>
      </c>
      <c r="D39" s="112">
        <f>НАКЛАДНІ!F5</f>
        <v>53.149721627408987</v>
      </c>
      <c r="E39" s="17">
        <f>I9</f>
        <v>1932.7</v>
      </c>
      <c r="F39" s="17">
        <f>ROUND((D39/E39)/60,2)</f>
        <v>0</v>
      </c>
      <c r="G39" s="17">
        <f>E12</f>
        <v>20</v>
      </c>
      <c r="H39" s="16">
        <f>ROUND(F39*G39,2)</f>
        <v>0</v>
      </c>
    </row>
    <row r="40" spans="2:18" x14ac:dyDescent="0.3">
      <c r="C40" s="17" t="s">
        <v>953</v>
      </c>
      <c r="D40" s="112">
        <f>НАКЛАДНІ!F6</f>
        <v>374.98368308351178</v>
      </c>
      <c r="E40" s="17">
        <f>I9</f>
        <v>1932.7</v>
      </c>
      <c r="F40" s="17">
        <f>ROUND((D40/E40)/60,2)</f>
        <v>0</v>
      </c>
      <c r="G40" s="17">
        <f>E12</f>
        <v>20</v>
      </c>
      <c r="H40" s="16">
        <f>ROUND(F40*G40,2)</f>
        <v>0</v>
      </c>
    </row>
    <row r="41" spans="2:18" x14ac:dyDescent="0.3">
      <c r="C41" s="17" t="s">
        <v>1109</v>
      </c>
      <c r="D41" s="112">
        <f>НАКЛАДНІ!F7</f>
        <v>1686.0389293361886</v>
      </c>
      <c r="E41" s="17">
        <f>I9</f>
        <v>1932.7</v>
      </c>
      <c r="F41" s="17">
        <f>ROUND((D41/E41)/60,2)</f>
        <v>0.01</v>
      </c>
      <c r="G41" s="17">
        <f>E12</f>
        <v>20</v>
      </c>
      <c r="H41" s="16">
        <f>ROUND(F41*G41,2)</f>
        <v>0.2</v>
      </c>
    </row>
    <row r="42" spans="2:18" x14ac:dyDescent="0.3">
      <c r="C42" s="1019" t="s">
        <v>957</v>
      </c>
      <c r="D42" s="1019"/>
      <c r="E42" s="1019"/>
      <c r="F42" s="1019"/>
      <c r="G42" s="1019"/>
      <c r="H42" s="18">
        <f>SUM(H38:H41)</f>
        <v>2.4000000000000004</v>
      </c>
    </row>
    <row r="45" spans="2:18" x14ac:dyDescent="0.3">
      <c r="C45" s="1015" t="s">
        <v>959</v>
      </c>
      <c r="D45" s="1015"/>
      <c r="E45" s="1015"/>
      <c r="F45" s="1015"/>
      <c r="G45" s="1015"/>
      <c r="H45" s="32">
        <f>F6+F17+F34+F29</f>
        <v>37.500000000000007</v>
      </c>
    </row>
    <row r="46" spans="2:18" s="1" customFormat="1" x14ac:dyDescent="0.3">
      <c r="B46" s="65"/>
      <c r="C46" s="33"/>
      <c r="D46" s="33"/>
      <c r="E46" s="33"/>
      <c r="F46" s="33"/>
      <c r="G46" s="33"/>
      <c r="H46" s="34"/>
      <c r="I46" s="65"/>
      <c r="J46" s="65"/>
      <c r="K46" s="65"/>
      <c r="L46" s="69"/>
      <c r="M46" s="69"/>
      <c r="N46" s="69"/>
      <c r="O46" s="69"/>
      <c r="P46" s="69"/>
      <c r="Q46" s="69"/>
      <c r="R46" s="65"/>
    </row>
    <row r="47" spans="2:18" x14ac:dyDescent="0.3">
      <c r="C47" s="1049" t="s">
        <v>1178</v>
      </c>
      <c r="D47" s="1049"/>
      <c r="E47" s="1049"/>
      <c r="F47" s="1049"/>
      <c r="G47" s="1049"/>
      <c r="H47" s="49">
        <f>ROUND(H45*0.2,2)</f>
        <v>7.5</v>
      </c>
    </row>
    <row r="48" spans="2:18" x14ac:dyDescent="0.3">
      <c r="C48" s="1015" t="s">
        <v>1179</v>
      </c>
      <c r="D48" s="1015"/>
      <c r="E48" s="1015"/>
      <c r="F48" s="1015"/>
      <c r="G48" s="1015"/>
      <c r="H48" s="32">
        <f>H45+H47</f>
        <v>45.000000000000007</v>
      </c>
    </row>
    <row r="51" spans="2:18" s="54" customFormat="1" ht="19.8" x14ac:dyDescent="0.4">
      <c r="B51" s="1016" t="s">
        <v>958</v>
      </c>
      <c r="C51" s="1016"/>
      <c r="D51" s="1016"/>
      <c r="E51" s="1016"/>
      <c r="F51" s="1016"/>
      <c r="G51" s="1016"/>
      <c r="H51" s="1016"/>
      <c r="I51" s="1016"/>
      <c r="J51" s="53"/>
      <c r="K51" s="53"/>
      <c r="L51" s="55"/>
      <c r="M51" s="55"/>
      <c r="N51" s="55"/>
      <c r="O51" s="55"/>
      <c r="P51" s="55"/>
      <c r="Q51" s="55"/>
      <c r="R51" s="53"/>
    </row>
    <row r="52" spans="2:18" s="54" customFormat="1" ht="19.8" x14ac:dyDescent="0.4"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5"/>
      <c r="M52" s="55"/>
      <c r="N52" s="55"/>
      <c r="O52" s="55"/>
      <c r="P52" s="55"/>
      <c r="Q52" s="55"/>
      <c r="R52" s="53"/>
    </row>
    <row r="53" spans="2:18" s="54" customFormat="1" ht="19.8" x14ac:dyDescent="0.4">
      <c r="B53" s="50" t="s">
        <v>791</v>
      </c>
      <c r="C53" s="67" t="s">
        <v>792</v>
      </c>
      <c r="D53" s="68"/>
      <c r="E53" s="68"/>
      <c r="F53" s="52">
        <f>H97</f>
        <v>45.000000000000007</v>
      </c>
      <c r="G53" s="52" t="s">
        <v>971</v>
      </c>
      <c r="H53" s="53"/>
      <c r="I53" s="53"/>
      <c r="J53" s="53"/>
      <c r="K53" s="53"/>
      <c r="L53" s="55"/>
      <c r="M53" s="55"/>
      <c r="N53" s="55"/>
      <c r="O53" s="55"/>
      <c r="P53" s="55"/>
      <c r="Q53" s="55"/>
      <c r="R53" s="53"/>
    </row>
    <row r="55" spans="2:18" x14ac:dyDescent="0.3">
      <c r="C55" s="1018" t="s">
        <v>932</v>
      </c>
      <c r="D55" s="1018"/>
      <c r="E55" s="10"/>
      <c r="F55" s="11">
        <f>F61+F64</f>
        <v>18.060000000000002</v>
      </c>
      <c r="G55" s="12" t="s">
        <v>971</v>
      </c>
    </row>
    <row r="57" spans="2:18" ht="27.6" x14ac:dyDescent="0.3">
      <c r="C57" s="13" t="s">
        <v>929</v>
      </c>
      <c r="D57" s="14" t="s">
        <v>928</v>
      </c>
      <c r="E57" s="14" t="s">
        <v>514</v>
      </c>
      <c r="F57" s="14" t="s">
        <v>515</v>
      </c>
      <c r="G57" s="14" t="s">
        <v>962</v>
      </c>
      <c r="H57" s="14" t="s">
        <v>926</v>
      </c>
      <c r="I57" s="14" t="s">
        <v>516</v>
      </c>
      <c r="J57" s="14" t="s">
        <v>927</v>
      </c>
    </row>
    <row r="58" spans="2:18" x14ac:dyDescent="0.3">
      <c r="C58" s="17" t="str">
        <f>C9</f>
        <v>Сестра медична з масажу</v>
      </c>
      <c r="D58" s="16">
        <f>D9</f>
        <v>6506.55</v>
      </c>
      <c r="E58" s="16">
        <f>D58*12</f>
        <v>78078.600000000006</v>
      </c>
      <c r="F58" s="16">
        <f>F9</f>
        <v>5005</v>
      </c>
      <c r="G58" s="16">
        <f>F58*0.5</f>
        <v>2502.5</v>
      </c>
      <c r="H58" s="16">
        <f>E58+F58+G58</f>
        <v>85586.1</v>
      </c>
      <c r="I58" s="17">
        <v>1932.7</v>
      </c>
      <c r="J58" s="16">
        <f>ROUND((H58/I58)/60,2)</f>
        <v>0.74</v>
      </c>
    </row>
    <row r="60" spans="2:18" ht="27.6" x14ac:dyDescent="0.3">
      <c r="C60" s="13" t="s">
        <v>929</v>
      </c>
      <c r="D60" s="14" t="s">
        <v>961</v>
      </c>
      <c r="E60" s="14" t="s">
        <v>930</v>
      </c>
      <c r="F60" s="14" t="s">
        <v>931</v>
      </c>
    </row>
    <row r="61" spans="2:18" x14ac:dyDescent="0.3">
      <c r="C61" s="17" t="str">
        <f>C58</f>
        <v>Сестра медична з масажу</v>
      </c>
      <c r="D61" s="16">
        <f>J58</f>
        <v>0.74</v>
      </c>
      <c r="E61" s="17">
        <v>20</v>
      </c>
      <c r="F61" s="18">
        <f>ROUND(D61*E61,2)</f>
        <v>14.8</v>
      </c>
    </row>
    <row r="63" spans="2:18" x14ac:dyDescent="0.3">
      <c r="D63" s="19"/>
    </row>
    <row r="64" spans="2:18" x14ac:dyDescent="0.3">
      <c r="C64" s="17" t="s">
        <v>933</v>
      </c>
      <c r="D64" s="16">
        <f>F61</f>
        <v>14.8</v>
      </c>
      <c r="E64" s="20">
        <v>0.22</v>
      </c>
      <c r="F64" s="21">
        <f>ROUND(D64*E64,2)</f>
        <v>3.26</v>
      </c>
    </row>
    <row r="66" spans="3:8" x14ac:dyDescent="0.3">
      <c r="C66" s="12" t="s">
        <v>946</v>
      </c>
      <c r="D66" s="12"/>
      <c r="E66" s="12"/>
      <c r="F66" s="12">
        <f>G76</f>
        <v>16.84</v>
      </c>
      <c r="G66" s="12" t="s">
        <v>971</v>
      </c>
    </row>
    <row r="67" spans="3:8" x14ac:dyDescent="0.3">
      <c r="C67" s="17" t="str">
        <f t="shared" ref="C67:G75" si="1">C18</f>
        <v>Антисептик для обробки рук</v>
      </c>
      <c r="D67" s="73" t="str">
        <f t="shared" si="1"/>
        <v>мл</v>
      </c>
      <c r="E67" s="73">
        <f t="shared" si="1"/>
        <v>1</v>
      </c>
      <c r="F67" s="73">
        <f t="shared" si="1"/>
        <v>0.375</v>
      </c>
      <c r="G67" s="73">
        <f t="shared" si="1"/>
        <v>0.38</v>
      </c>
    </row>
    <row r="68" spans="3:8" x14ac:dyDescent="0.3">
      <c r="C68" s="17" t="str">
        <f t="shared" si="1"/>
        <v>Антисептик швидкої дії</v>
      </c>
      <c r="D68" s="73" t="str">
        <f t="shared" si="1"/>
        <v>мл</v>
      </c>
      <c r="E68" s="73">
        <f t="shared" si="1"/>
        <v>1</v>
      </c>
      <c r="F68" s="73">
        <f t="shared" si="1"/>
        <v>0.28799999999999998</v>
      </c>
      <c r="G68" s="73">
        <f t="shared" si="1"/>
        <v>0.28999999999999998</v>
      </c>
    </row>
    <row r="69" spans="3:8" x14ac:dyDescent="0.3">
      <c r="C69" s="17" t="str">
        <f t="shared" si="1"/>
        <v>Деззасоби</v>
      </c>
      <c r="D69" s="73" t="str">
        <f t="shared" si="1"/>
        <v>г</v>
      </c>
      <c r="E69" s="73">
        <f t="shared" si="1"/>
        <v>0.5</v>
      </c>
      <c r="F69" s="73">
        <f t="shared" si="1"/>
        <v>0.5</v>
      </c>
      <c r="G69" s="73">
        <f t="shared" si="1"/>
        <v>0.25</v>
      </c>
    </row>
    <row r="70" spans="3:8" x14ac:dyDescent="0.3">
      <c r="C70" s="17" t="str">
        <f t="shared" si="1"/>
        <v>Маска одноразова тришарова на резинці</v>
      </c>
      <c r="D70" s="73" t="str">
        <f t="shared" si="1"/>
        <v>шт</v>
      </c>
      <c r="E70" s="73">
        <f t="shared" si="1"/>
        <v>1</v>
      </c>
      <c r="F70" s="73">
        <f t="shared" si="1"/>
        <v>2</v>
      </c>
      <c r="G70" s="73">
        <f t="shared" si="1"/>
        <v>2</v>
      </c>
    </row>
    <row r="71" spans="3:8" x14ac:dyDescent="0.3">
      <c r="C71" s="17" t="str">
        <f t="shared" si="1"/>
        <v>Мило рідке</v>
      </c>
      <c r="D71" s="73" t="str">
        <f t="shared" si="1"/>
        <v>мл</v>
      </c>
      <c r="E71" s="73">
        <f t="shared" si="1"/>
        <v>1</v>
      </c>
      <c r="F71" s="73">
        <f t="shared" si="1"/>
        <v>0.19600000000000001</v>
      </c>
      <c r="G71" s="73">
        <f t="shared" si="1"/>
        <v>0.2</v>
      </c>
    </row>
    <row r="72" spans="3:8" x14ac:dyDescent="0.3">
      <c r="C72" s="17" t="str">
        <f t="shared" si="1"/>
        <v>Олія для масажу 100 мл</v>
      </c>
      <c r="D72" s="73" t="str">
        <f t="shared" si="1"/>
        <v>мл</v>
      </c>
      <c r="E72" s="73">
        <f t="shared" si="1"/>
        <v>10.6</v>
      </c>
      <c r="F72" s="73">
        <f t="shared" si="1"/>
        <v>0.2</v>
      </c>
      <c r="G72" s="73">
        <f t="shared" si="1"/>
        <v>2.12</v>
      </c>
    </row>
    <row r="73" spans="3:8" x14ac:dyDescent="0.3">
      <c r="C73" s="17" t="str">
        <f t="shared" si="1"/>
        <v>Пелюшка поглинаюча 60/60</v>
      </c>
      <c r="D73" s="73" t="str">
        <f t="shared" si="1"/>
        <v>шт</v>
      </c>
      <c r="E73" s="73">
        <f t="shared" si="1"/>
        <v>1</v>
      </c>
      <c r="F73" s="73">
        <f t="shared" si="1"/>
        <v>6</v>
      </c>
      <c r="G73" s="73">
        <f t="shared" si="1"/>
        <v>6</v>
      </c>
    </row>
    <row r="74" spans="3:8" x14ac:dyDescent="0.3">
      <c r="C74" s="17" t="str">
        <f t="shared" si="1"/>
        <v>Простирадло одноразове 100 м</v>
      </c>
      <c r="D74" s="73" t="str">
        <f t="shared" si="1"/>
        <v>м</v>
      </c>
      <c r="E74" s="73">
        <f t="shared" si="1"/>
        <v>2</v>
      </c>
      <c r="F74" s="73">
        <f t="shared" si="1"/>
        <v>2.36</v>
      </c>
      <c r="G74" s="73">
        <f t="shared" si="1"/>
        <v>4.72</v>
      </c>
    </row>
    <row r="75" spans="3:8" x14ac:dyDescent="0.3">
      <c r="C75" s="17" t="str">
        <f t="shared" si="1"/>
        <v>Рушник паперовий</v>
      </c>
      <c r="D75" s="73" t="str">
        <f t="shared" si="1"/>
        <v>шт</v>
      </c>
      <c r="E75" s="73">
        <f t="shared" si="1"/>
        <v>0.05</v>
      </c>
      <c r="F75" s="73">
        <f t="shared" si="1"/>
        <v>17.5</v>
      </c>
      <c r="G75" s="73">
        <f t="shared" si="1"/>
        <v>0.88</v>
      </c>
    </row>
    <row r="76" spans="3:8" x14ac:dyDescent="0.3">
      <c r="C76" s="1019" t="s">
        <v>945</v>
      </c>
      <c r="D76" s="1019"/>
      <c r="E76" s="1019"/>
      <c r="F76" s="1019"/>
      <c r="G76" s="572">
        <f>SUM(G67:G75)</f>
        <v>16.84</v>
      </c>
    </row>
    <row r="78" spans="3:8" x14ac:dyDescent="0.3">
      <c r="C78" s="12" t="s">
        <v>968</v>
      </c>
      <c r="D78" s="12"/>
      <c r="E78" s="12"/>
      <c r="F78" s="11">
        <f>H81</f>
        <v>0.2</v>
      </c>
      <c r="G78" s="12" t="s">
        <v>971</v>
      </c>
    </row>
    <row r="79" spans="3:8" x14ac:dyDescent="0.3">
      <c r="C79" s="22"/>
      <c r="D79" s="22"/>
      <c r="E79" s="22"/>
      <c r="F79" s="23"/>
      <c r="G79" s="22"/>
    </row>
    <row r="80" spans="3:8" ht="27.6" x14ac:dyDescent="0.3">
      <c r="C80" s="14" t="s">
        <v>513</v>
      </c>
      <c r="D80" s="14" t="s">
        <v>1108</v>
      </c>
      <c r="E80" s="14" t="s">
        <v>516</v>
      </c>
      <c r="F80" s="14" t="s">
        <v>970</v>
      </c>
      <c r="G80" s="14" t="s">
        <v>930</v>
      </c>
      <c r="H80" s="14" t="s">
        <v>961</v>
      </c>
    </row>
    <row r="81" spans="2:10" x14ac:dyDescent="0.3">
      <c r="C81" s="27" t="s">
        <v>1204</v>
      </c>
      <c r="D81" s="16">
        <f>АМОРТИЗАЦІЯ!C14</f>
        <v>193</v>
      </c>
      <c r="E81" s="17">
        <v>4831.75</v>
      </c>
      <c r="F81" s="17">
        <v>0.01</v>
      </c>
      <c r="G81" s="17">
        <f>E61</f>
        <v>20</v>
      </c>
      <c r="H81" s="16">
        <f>ROUND(F81*G81,2)</f>
        <v>0.2</v>
      </c>
    </row>
    <row r="83" spans="2:10" x14ac:dyDescent="0.3">
      <c r="C83" s="12" t="s">
        <v>948</v>
      </c>
      <c r="D83" s="12"/>
      <c r="E83" s="12"/>
      <c r="F83" s="11">
        <f>H91</f>
        <v>2.4000000000000004</v>
      </c>
      <c r="G83" s="12" t="s">
        <v>971</v>
      </c>
    </row>
    <row r="84" spans="2:10" x14ac:dyDescent="0.3">
      <c r="C84" s="22"/>
      <c r="D84" s="22"/>
      <c r="E84" s="22"/>
      <c r="F84" s="23"/>
    </row>
    <row r="85" spans="2:10" ht="41.4" x14ac:dyDescent="0.3">
      <c r="C85" s="14" t="s">
        <v>948</v>
      </c>
      <c r="D85" s="14" t="s">
        <v>955</v>
      </c>
      <c r="E85" s="14" t="s">
        <v>516</v>
      </c>
      <c r="F85" s="14" t="s">
        <v>954</v>
      </c>
      <c r="G85" s="14" t="s">
        <v>930</v>
      </c>
      <c r="H85" s="14" t="s">
        <v>956</v>
      </c>
    </row>
    <row r="86" spans="2:10" x14ac:dyDescent="0.3">
      <c r="C86" s="1009" t="str">
        <f>C61</f>
        <v>Сестра медична з масажу</v>
      </c>
      <c r="D86" s="1010"/>
      <c r="E86" s="1010"/>
      <c r="F86" s="1010"/>
      <c r="G86" s="1010"/>
      <c r="H86" s="1011"/>
    </row>
    <row r="87" spans="2:10" x14ac:dyDescent="0.3">
      <c r="C87" s="17" t="s">
        <v>951</v>
      </c>
      <c r="D87" s="112">
        <f>D38</f>
        <v>12188.608008565312</v>
      </c>
      <c r="E87" s="17">
        <f>I58</f>
        <v>1932.7</v>
      </c>
      <c r="F87" s="17">
        <f>ROUND((D87/E87)/60,2)</f>
        <v>0.11</v>
      </c>
      <c r="G87" s="17">
        <f>E61</f>
        <v>20</v>
      </c>
      <c r="H87" s="16">
        <f>ROUND(F87*G87,2)</f>
        <v>2.2000000000000002</v>
      </c>
    </row>
    <row r="88" spans="2:10" x14ac:dyDescent="0.3">
      <c r="C88" s="17" t="s">
        <v>952</v>
      </c>
      <c r="D88" s="112">
        <f>D39</f>
        <v>53.149721627408987</v>
      </c>
      <c r="E88" s="17">
        <f>I58</f>
        <v>1932.7</v>
      </c>
      <c r="F88" s="17">
        <f>ROUND((D88/E88)/60,2)</f>
        <v>0</v>
      </c>
      <c r="G88" s="17">
        <f>E61</f>
        <v>20</v>
      </c>
      <c r="H88" s="16">
        <f>ROUND(F88*G88,2)</f>
        <v>0</v>
      </c>
    </row>
    <row r="89" spans="2:10" x14ac:dyDescent="0.3">
      <c r="C89" s="17" t="s">
        <v>953</v>
      </c>
      <c r="D89" s="112">
        <f>D40</f>
        <v>374.98368308351178</v>
      </c>
      <c r="E89" s="17">
        <f>I58</f>
        <v>1932.7</v>
      </c>
      <c r="F89" s="17">
        <f>ROUND((D89/E89)/60,2)</f>
        <v>0</v>
      </c>
      <c r="G89" s="17">
        <f>E61</f>
        <v>20</v>
      </c>
      <c r="H89" s="16">
        <f>ROUND(F89*G89,2)</f>
        <v>0</v>
      </c>
    </row>
    <row r="90" spans="2:10" x14ac:dyDescent="0.3">
      <c r="C90" s="17" t="s">
        <v>1109</v>
      </c>
      <c r="D90" s="112">
        <f>D41</f>
        <v>1686.0389293361886</v>
      </c>
      <c r="E90" s="17">
        <f>I58</f>
        <v>1932.7</v>
      </c>
      <c r="F90" s="17">
        <f>ROUND((D90/E90)/60,2)</f>
        <v>0.01</v>
      </c>
      <c r="G90" s="17">
        <f>E61</f>
        <v>20</v>
      </c>
      <c r="H90" s="16">
        <f>ROUND(F90*G90,2)</f>
        <v>0.2</v>
      </c>
    </row>
    <row r="91" spans="2:10" x14ac:dyDescent="0.3">
      <c r="C91" s="1019" t="s">
        <v>957</v>
      </c>
      <c r="D91" s="1019"/>
      <c r="E91" s="1019"/>
      <c r="F91" s="1019"/>
      <c r="G91" s="1019"/>
      <c r="H91" s="18">
        <f>SUM(H87:H90)</f>
        <v>2.4000000000000004</v>
      </c>
    </row>
    <row r="92" spans="2:10" ht="14.25" customHeight="1" x14ac:dyDescent="0.3"/>
    <row r="94" spans="2:10" x14ac:dyDescent="0.3">
      <c r="C94" s="1015" t="s">
        <v>959</v>
      </c>
      <c r="D94" s="1015"/>
      <c r="E94" s="1015"/>
      <c r="F94" s="1015"/>
      <c r="G94" s="1015"/>
      <c r="H94" s="32">
        <f>F55+F66+F83+F78</f>
        <v>37.500000000000007</v>
      </c>
    </row>
    <row r="95" spans="2:10" x14ac:dyDescent="0.3">
      <c r="B95" s="65"/>
      <c r="C95" s="33"/>
      <c r="D95" s="33"/>
      <c r="E95" s="33"/>
      <c r="F95" s="33"/>
      <c r="G95" s="33"/>
      <c r="H95" s="34"/>
      <c r="I95" s="65"/>
      <c r="J95" s="65"/>
    </row>
    <row r="96" spans="2:10" x14ac:dyDescent="0.3">
      <c r="C96" s="1049" t="s">
        <v>1178</v>
      </c>
      <c r="D96" s="1049"/>
      <c r="E96" s="1049"/>
      <c r="F96" s="1049"/>
      <c r="G96" s="1049"/>
      <c r="H96" s="49">
        <f>ROUND(H94*0.2,2)</f>
        <v>7.5</v>
      </c>
    </row>
    <row r="97" spans="2:18" x14ac:dyDescent="0.3">
      <c r="C97" s="1015" t="s">
        <v>1179</v>
      </c>
      <c r="D97" s="1015"/>
      <c r="E97" s="1015"/>
      <c r="F97" s="1015"/>
      <c r="G97" s="1015"/>
      <c r="H97" s="32">
        <f>H94+H96</f>
        <v>45.000000000000007</v>
      </c>
    </row>
    <row r="98" spans="2:18" x14ac:dyDescent="0.3">
      <c r="C98" s="33"/>
      <c r="D98" s="33"/>
      <c r="E98" s="33"/>
      <c r="F98" s="33"/>
      <c r="G98" s="33"/>
      <c r="H98" s="34"/>
    </row>
    <row r="99" spans="2:18" x14ac:dyDescent="0.3">
      <c r="C99" s="33"/>
      <c r="D99" s="33"/>
      <c r="E99" s="33"/>
      <c r="F99" s="33"/>
      <c r="G99" s="33"/>
      <c r="H99" s="34"/>
    </row>
    <row r="100" spans="2:18" s="54" customFormat="1" ht="19.8" x14ac:dyDescent="0.4">
      <c r="B100" s="1016" t="s">
        <v>958</v>
      </c>
      <c r="C100" s="1016"/>
      <c r="D100" s="1016"/>
      <c r="E100" s="1016"/>
      <c r="F100" s="1016"/>
      <c r="G100" s="1016"/>
      <c r="H100" s="1016"/>
      <c r="I100" s="1016"/>
      <c r="J100" s="53"/>
      <c r="K100" s="53"/>
      <c r="L100" s="55"/>
      <c r="M100" s="55"/>
      <c r="N100" s="55"/>
      <c r="O100" s="55"/>
      <c r="P100" s="55"/>
      <c r="Q100" s="55"/>
      <c r="R100" s="53"/>
    </row>
    <row r="101" spans="2:18" s="54" customFormat="1" ht="19.8" x14ac:dyDescent="0.4">
      <c r="B101" s="53"/>
      <c r="C101" s="53"/>
      <c r="D101" s="53"/>
      <c r="E101" s="53"/>
      <c r="F101" s="53"/>
      <c r="G101" s="53"/>
      <c r="H101" s="53"/>
      <c r="I101" s="53"/>
      <c r="J101" s="53"/>
      <c r="K101" s="53"/>
      <c r="L101" s="55"/>
      <c r="M101" s="55"/>
      <c r="N101" s="55"/>
      <c r="O101" s="55"/>
      <c r="P101" s="55"/>
      <c r="Q101" s="55"/>
      <c r="R101" s="53"/>
    </row>
    <row r="102" spans="2:18" s="54" customFormat="1" ht="19.8" x14ac:dyDescent="0.4">
      <c r="B102" s="50" t="s">
        <v>793</v>
      </c>
      <c r="C102" s="51" t="s">
        <v>794</v>
      </c>
      <c r="D102" s="68"/>
      <c r="E102" s="68"/>
      <c r="F102" s="52">
        <f>H146</f>
        <v>45.000000000000007</v>
      </c>
      <c r="G102" s="52" t="s">
        <v>971</v>
      </c>
      <c r="H102" s="53"/>
      <c r="I102" s="53"/>
      <c r="J102" s="53"/>
      <c r="K102" s="53"/>
      <c r="L102" s="55"/>
      <c r="M102" s="55"/>
      <c r="N102" s="55"/>
      <c r="O102" s="55"/>
      <c r="P102" s="55"/>
      <c r="Q102" s="55"/>
      <c r="R102" s="53"/>
    </row>
    <row r="104" spans="2:18" x14ac:dyDescent="0.3">
      <c r="C104" s="1018" t="s">
        <v>932</v>
      </c>
      <c r="D104" s="1018"/>
      <c r="E104" s="10"/>
      <c r="F104" s="11">
        <f>F110+F113</f>
        <v>18.060000000000002</v>
      </c>
      <c r="G104" s="12" t="s">
        <v>971</v>
      </c>
    </row>
    <row r="106" spans="2:18" ht="27.6" x14ac:dyDescent="0.3">
      <c r="C106" s="13" t="s">
        <v>929</v>
      </c>
      <c r="D106" s="14" t="s">
        <v>928</v>
      </c>
      <c r="E106" s="14" t="s">
        <v>514</v>
      </c>
      <c r="F106" s="14" t="s">
        <v>515</v>
      </c>
      <c r="G106" s="14" t="s">
        <v>962</v>
      </c>
      <c r="H106" s="14" t="s">
        <v>926</v>
      </c>
      <c r="I106" s="14" t="s">
        <v>516</v>
      </c>
      <c r="J106" s="14" t="s">
        <v>927</v>
      </c>
    </row>
    <row r="107" spans="2:18" x14ac:dyDescent="0.3">
      <c r="C107" s="17" t="s">
        <v>963</v>
      </c>
      <c r="D107" s="16">
        <f>D58</f>
        <v>6506.55</v>
      </c>
      <c r="E107" s="16">
        <f>D107*12</f>
        <v>78078.600000000006</v>
      </c>
      <c r="F107" s="16">
        <f>F58</f>
        <v>5005</v>
      </c>
      <c r="G107" s="16">
        <f>G58</f>
        <v>2502.5</v>
      </c>
      <c r="H107" s="16">
        <f>E107+F107+G107</f>
        <v>85586.1</v>
      </c>
      <c r="I107" s="17">
        <v>1932.7</v>
      </c>
      <c r="J107" s="16">
        <f>ROUND((H107/I107)/60,2)</f>
        <v>0.74</v>
      </c>
    </row>
    <row r="109" spans="2:18" ht="27.6" x14ac:dyDescent="0.3">
      <c r="C109" s="13" t="s">
        <v>929</v>
      </c>
      <c r="D109" s="14" t="s">
        <v>961</v>
      </c>
      <c r="E109" s="14" t="s">
        <v>930</v>
      </c>
      <c r="F109" s="14" t="s">
        <v>931</v>
      </c>
    </row>
    <row r="110" spans="2:18" x14ac:dyDescent="0.3">
      <c r="C110" s="17" t="str">
        <f>C107</f>
        <v>Сестра медична з масажу</v>
      </c>
      <c r="D110" s="16">
        <f>J107</f>
        <v>0.74</v>
      </c>
      <c r="E110" s="17">
        <v>20</v>
      </c>
      <c r="F110" s="18">
        <f>ROUND(D110*E110,2)</f>
        <v>14.8</v>
      </c>
    </row>
    <row r="112" spans="2:18" x14ac:dyDescent="0.3">
      <c r="D112" s="19"/>
    </row>
    <row r="113" spans="3:7" x14ac:dyDescent="0.3">
      <c r="C113" s="17" t="s">
        <v>933</v>
      </c>
      <c r="D113" s="16">
        <f>F110</f>
        <v>14.8</v>
      </c>
      <c r="E113" s="20">
        <v>0.22</v>
      </c>
      <c r="F113" s="21">
        <f>ROUND(D113*E113,2)</f>
        <v>3.26</v>
      </c>
    </row>
    <row r="115" spans="3:7" x14ac:dyDescent="0.3">
      <c r="C115" s="12" t="s">
        <v>946</v>
      </c>
      <c r="D115" s="12"/>
      <c r="E115" s="12"/>
      <c r="F115" s="12">
        <f>G125</f>
        <v>16.84</v>
      </c>
      <c r="G115" s="12" t="s">
        <v>971</v>
      </c>
    </row>
    <row r="116" spans="3:7" x14ac:dyDescent="0.3">
      <c r="C116" s="17" t="str">
        <f t="shared" ref="C116:G124" si="2">C67</f>
        <v>Антисептик для обробки рук</v>
      </c>
      <c r="D116" s="73" t="str">
        <f t="shared" si="2"/>
        <v>мл</v>
      </c>
      <c r="E116" s="73">
        <f t="shared" si="2"/>
        <v>1</v>
      </c>
      <c r="F116" s="73">
        <f t="shared" si="2"/>
        <v>0.375</v>
      </c>
      <c r="G116" s="73">
        <f t="shared" si="2"/>
        <v>0.38</v>
      </c>
    </row>
    <row r="117" spans="3:7" x14ac:dyDescent="0.3">
      <c r="C117" s="17" t="str">
        <f t="shared" si="2"/>
        <v>Антисептик швидкої дії</v>
      </c>
      <c r="D117" s="73" t="str">
        <f t="shared" si="2"/>
        <v>мл</v>
      </c>
      <c r="E117" s="73">
        <f t="shared" si="2"/>
        <v>1</v>
      </c>
      <c r="F117" s="73">
        <f t="shared" si="2"/>
        <v>0.28799999999999998</v>
      </c>
      <c r="G117" s="73">
        <f t="shared" si="2"/>
        <v>0.28999999999999998</v>
      </c>
    </row>
    <row r="118" spans="3:7" x14ac:dyDescent="0.3">
      <c r="C118" s="17" t="str">
        <f t="shared" si="2"/>
        <v>Деззасоби</v>
      </c>
      <c r="D118" s="73" t="str">
        <f t="shared" si="2"/>
        <v>г</v>
      </c>
      <c r="E118" s="73">
        <f t="shared" si="2"/>
        <v>0.5</v>
      </c>
      <c r="F118" s="73">
        <f t="shared" si="2"/>
        <v>0.5</v>
      </c>
      <c r="G118" s="73">
        <f t="shared" si="2"/>
        <v>0.25</v>
      </c>
    </row>
    <row r="119" spans="3:7" x14ac:dyDescent="0.3">
      <c r="C119" s="17" t="str">
        <f t="shared" si="2"/>
        <v>Маска одноразова тришарова на резинці</v>
      </c>
      <c r="D119" s="73" t="str">
        <f t="shared" si="2"/>
        <v>шт</v>
      </c>
      <c r="E119" s="73">
        <f t="shared" si="2"/>
        <v>1</v>
      </c>
      <c r="F119" s="73">
        <f t="shared" si="2"/>
        <v>2</v>
      </c>
      <c r="G119" s="73">
        <f t="shared" si="2"/>
        <v>2</v>
      </c>
    </row>
    <row r="120" spans="3:7" x14ac:dyDescent="0.3">
      <c r="C120" s="17" t="str">
        <f t="shared" si="2"/>
        <v>Мило рідке</v>
      </c>
      <c r="D120" s="73" t="str">
        <f t="shared" si="2"/>
        <v>мл</v>
      </c>
      <c r="E120" s="73">
        <f t="shared" si="2"/>
        <v>1</v>
      </c>
      <c r="F120" s="73">
        <f t="shared" si="2"/>
        <v>0.19600000000000001</v>
      </c>
      <c r="G120" s="73">
        <f t="shared" si="2"/>
        <v>0.2</v>
      </c>
    </row>
    <row r="121" spans="3:7" x14ac:dyDescent="0.3">
      <c r="C121" s="17" t="str">
        <f t="shared" si="2"/>
        <v>Олія для масажу 100 мл</v>
      </c>
      <c r="D121" s="73" t="str">
        <f t="shared" si="2"/>
        <v>мл</v>
      </c>
      <c r="E121" s="73">
        <f t="shared" si="2"/>
        <v>10.6</v>
      </c>
      <c r="F121" s="73">
        <f t="shared" si="2"/>
        <v>0.2</v>
      </c>
      <c r="G121" s="73">
        <f t="shared" si="2"/>
        <v>2.12</v>
      </c>
    </row>
    <row r="122" spans="3:7" x14ac:dyDescent="0.3">
      <c r="C122" s="17" t="str">
        <f t="shared" si="2"/>
        <v>Пелюшка поглинаюча 60/60</v>
      </c>
      <c r="D122" s="73" t="str">
        <f t="shared" si="2"/>
        <v>шт</v>
      </c>
      <c r="E122" s="73">
        <f t="shared" si="2"/>
        <v>1</v>
      </c>
      <c r="F122" s="662">
        <f t="shared" si="2"/>
        <v>6</v>
      </c>
      <c r="G122" s="73">
        <f t="shared" si="2"/>
        <v>6</v>
      </c>
    </row>
    <row r="123" spans="3:7" x14ac:dyDescent="0.3">
      <c r="C123" s="17" t="str">
        <f t="shared" si="2"/>
        <v>Простирадло одноразове 100 м</v>
      </c>
      <c r="D123" s="73" t="str">
        <f t="shared" si="2"/>
        <v>м</v>
      </c>
      <c r="E123" s="73">
        <f t="shared" si="2"/>
        <v>2</v>
      </c>
      <c r="F123" s="73">
        <f t="shared" si="2"/>
        <v>2.36</v>
      </c>
      <c r="G123" s="73">
        <f t="shared" si="2"/>
        <v>4.72</v>
      </c>
    </row>
    <row r="124" spans="3:7" x14ac:dyDescent="0.3">
      <c r="C124" s="17" t="str">
        <f t="shared" si="2"/>
        <v>Рушник паперовий</v>
      </c>
      <c r="D124" s="73" t="str">
        <f t="shared" si="2"/>
        <v>шт</v>
      </c>
      <c r="E124" s="73">
        <f t="shared" si="2"/>
        <v>0.05</v>
      </c>
      <c r="F124" s="73">
        <f t="shared" si="2"/>
        <v>17.5</v>
      </c>
      <c r="G124" s="73">
        <f t="shared" si="2"/>
        <v>0.88</v>
      </c>
    </row>
    <row r="125" spans="3:7" x14ac:dyDescent="0.3">
      <c r="C125" s="1019" t="s">
        <v>945</v>
      </c>
      <c r="D125" s="1019"/>
      <c r="E125" s="1019"/>
      <c r="F125" s="1019"/>
      <c r="G125" s="572">
        <f>SUM(G116:G124)</f>
        <v>16.84</v>
      </c>
    </row>
    <row r="127" spans="3:7" x14ac:dyDescent="0.3">
      <c r="C127" s="12" t="s">
        <v>968</v>
      </c>
      <c r="D127" s="12"/>
      <c r="E127" s="12"/>
      <c r="F127" s="11">
        <f>H130</f>
        <v>0.2</v>
      </c>
      <c r="G127" s="12" t="s">
        <v>971</v>
      </c>
    </row>
    <row r="128" spans="3:7" x14ac:dyDescent="0.3">
      <c r="C128" s="22"/>
      <c r="D128" s="22"/>
      <c r="E128" s="22"/>
      <c r="F128" s="23"/>
      <c r="G128" s="22"/>
    </row>
    <row r="129" spans="2:10" ht="27.6" x14ac:dyDescent="0.3">
      <c r="C129" s="14" t="s">
        <v>513</v>
      </c>
      <c r="D129" s="14" t="s">
        <v>1108</v>
      </c>
      <c r="E129" s="14" t="s">
        <v>516</v>
      </c>
      <c r="F129" s="14" t="s">
        <v>970</v>
      </c>
      <c r="G129" s="14" t="s">
        <v>930</v>
      </c>
      <c r="H129" s="14" t="s">
        <v>961</v>
      </c>
    </row>
    <row r="130" spans="2:10" x14ac:dyDescent="0.3">
      <c r="C130" s="27" t="s">
        <v>1204</v>
      </c>
      <c r="D130" s="16">
        <f>АМОРТИЗАЦІЯ!C14</f>
        <v>193</v>
      </c>
      <c r="E130" s="17">
        <v>4831.75</v>
      </c>
      <c r="F130" s="17">
        <v>0.01</v>
      </c>
      <c r="G130" s="17">
        <f>E110</f>
        <v>20</v>
      </c>
      <c r="H130" s="16">
        <f>ROUND(F130*G130,2)</f>
        <v>0.2</v>
      </c>
    </row>
    <row r="132" spans="2:10" x14ac:dyDescent="0.3">
      <c r="C132" s="12" t="s">
        <v>948</v>
      </c>
      <c r="D132" s="12"/>
      <c r="E132" s="12"/>
      <c r="F132" s="11">
        <f>H140</f>
        <v>2.4000000000000004</v>
      </c>
      <c r="G132" s="12" t="s">
        <v>971</v>
      </c>
    </row>
    <row r="133" spans="2:10" ht="8.25" customHeight="1" x14ac:dyDescent="0.3">
      <c r="C133" s="22"/>
      <c r="D133" s="22"/>
      <c r="E133" s="22"/>
      <c r="F133" s="23"/>
    </row>
    <row r="134" spans="2:10" ht="41.4" x14ac:dyDescent="0.3">
      <c r="C134" s="14" t="s">
        <v>948</v>
      </c>
      <c r="D134" s="14" t="s">
        <v>955</v>
      </c>
      <c r="E134" s="14" t="s">
        <v>516</v>
      </c>
      <c r="F134" s="14" t="s">
        <v>954</v>
      </c>
      <c r="G134" s="14" t="s">
        <v>930</v>
      </c>
      <c r="H134" s="14" t="s">
        <v>956</v>
      </c>
    </row>
    <row r="135" spans="2:10" x14ac:dyDescent="0.3">
      <c r="C135" s="1009" t="str">
        <f>C110</f>
        <v>Сестра медична з масажу</v>
      </c>
      <c r="D135" s="1010"/>
      <c r="E135" s="1010"/>
      <c r="F135" s="1010"/>
      <c r="G135" s="1010"/>
      <c r="H135" s="1011"/>
    </row>
    <row r="136" spans="2:10" x14ac:dyDescent="0.3">
      <c r="C136" s="17" t="s">
        <v>951</v>
      </c>
      <c r="D136" s="112">
        <f>D87</f>
        <v>12188.608008565312</v>
      </c>
      <c r="E136" s="17">
        <f>I107</f>
        <v>1932.7</v>
      </c>
      <c r="F136" s="17">
        <f>ROUND((D136/E136)/60,2)</f>
        <v>0.11</v>
      </c>
      <c r="G136" s="17">
        <f>E110</f>
        <v>20</v>
      </c>
      <c r="H136" s="16">
        <f>ROUND(F136*G136,2)</f>
        <v>2.2000000000000002</v>
      </c>
    </row>
    <row r="137" spans="2:10" x14ac:dyDescent="0.3">
      <c r="C137" s="17" t="s">
        <v>952</v>
      </c>
      <c r="D137" s="112">
        <f>D88</f>
        <v>53.149721627408987</v>
      </c>
      <c r="E137" s="17">
        <f>I107</f>
        <v>1932.7</v>
      </c>
      <c r="F137" s="17">
        <f>ROUND((D137/E137)/60,2)</f>
        <v>0</v>
      </c>
      <c r="G137" s="17">
        <f>E110</f>
        <v>20</v>
      </c>
      <c r="H137" s="16">
        <f>ROUND(F137*G137,2)</f>
        <v>0</v>
      </c>
    </row>
    <row r="138" spans="2:10" x14ac:dyDescent="0.3">
      <c r="C138" s="17" t="s">
        <v>953</v>
      </c>
      <c r="D138" s="112">
        <f>D89</f>
        <v>374.98368308351178</v>
      </c>
      <c r="E138" s="17">
        <f>I107</f>
        <v>1932.7</v>
      </c>
      <c r="F138" s="17">
        <f>ROUND((D138/E138)/60,2)</f>
        <v>0</v>
      </c>
      <c r="G138" s="17">
        <f>E110</f>
        <v>20</v>
      </c>
      <c r="H138" s="16">
        <f>ROUND(F138*G138,2)</f>
        <v>0</v>
      </c>
    </row>
    <row r="139" spans="2:10" x14ac:dyDescent="0.3">
      <c r="C139" s="17" t="s">
        <v>1109</v>
      </c>
      <c r="D139" s="112">
        <f>D90</f>
        <v>1686.0389293361886</v>
      </c>
      <c r="E139" s="17">
        <f>I107</f>
        <v>1932.7</v>
      </c>
      <c r="F139" s="17">
        <f>ROUND((D139/E139)/60,2)</f>
        <v>0.01</v>
      </c>
      <c r="G139" s="17">
        <f>E110</f>
        <v>20</v>
      </c>
      <c r="H139" s="16">
        <f>ROUND(F139*G139,2)</f>
        <v>0.2</v>
      </c>
    </row>
    <row r="140" spans="2:10" x14ac:dyDescent="0.3">
      <c r="C140" s="1019" t="s">
        <v>957</v>
      </c>
      <c r="D140" s="1019"/>
      <c r="E140" s="1019"/>
      <c r="F140" s="1019"/>
      <c r="G140" s="1019"/>
      <c r="H140" s="18">
        <f>SUM(H136:H139)</f>
        <v>2.4000000000000004</v>
      </c>
    </row>
    <row r="141" spans="2:10" ht="14.25" customHeight="1" x14ac:dyDescent="0.3"/>
    <row r="143" spans="2:10" x14ac:dyDescent="0.3">
      <c r="C143" s="1015" t="s">
        <v>959</v>
      </c>
      <c r="D143" s="1015"/>
      <c r="E143" s="1015"/>
      <c r="F143" s="1015"/>
      <c r="G143" s="1015"/>
      <c r="H143" s="32">
        <f>F104+F115+F132+F127</f>
        <v>37.500000000000007</v>
      </c>
    </row>
    <row r="144" spans="2:10" x14ac:dyDescent="0.3">
      <c r="B144" s="65"/>
      <c r="C144" s="33"/>
      <c r="D144" s="33"/>
      <c r="E144" s="33"/>
      <c r="F144" s="33"/>
      <c r="G144" s="33"/>
      <c r="H144" s="34"/>
      <c r="I144" s="65"/>
      <c r="J144" s="65"/>
    </row>
    <row r="145" spans="2:10" x14ac:dyDescent="0.3">
      <c r="C145" s="1049" t="s">
        <v>1178</v>
      </c>
      <c r="D145" s="1049"/>
      <c r="E145" s="1049"/>
      <c r="F145" s="1049"/>
      <c r="G145" s="1049"/>
      <c r="H145" s="49">
        <f>ROUND(H143*0.2,2)</f>
        <v>7.5</v>
      </c>
    </row>
    <row r="146" spans="2:10" x14ac:dyDescent="0.3">
      <c r="C146" s="1015" t="s">
        <v>1179</v>
      </c>
      <c r="D146" s="1015"/>
      <c r="E146" s="1015"/>
      <c r="F146" s="1015"/>
      <c r="G146" s="1015"/>
      <c r="H146" s="32">
        <f>H143+H145</f>
        <v>45.000000000000007</v>
      </c>
    </row>
    <row r="149" spans="2:10" ht="18.600000000000001" x14ac:dyDescent="0.3">
      <c r="B149" s="1016" t="s">
        <v>958</v>
      </c>
      <c r="C149" s="1016"/>
      <c r="D149" s="1016"/>
      <c r="E149" s="1016"/>
      <c r="F149" s="1016"/>
      <c r="G149" s="1016"/>
      <c r="H149" s="1016"/>
      <c r="I149" s="1016"/>
    </row>
    <row r="151" spans="2:10" x14ac:dyDescent="0.3">
      <c r="B151" s="25" t="s">
        <v>795</v>
      </c>
      <c r="C151" s="1050" t="s">
        <v>796</v>
      </c>
      <c r="D151" s="1050"/>
      <c r="E151" s="10"/>
      <c r="F151" s="26">
        <f>H195</f>
        <v>60</v>
      </c>
      <c r="G151" s="26" t="s">
        <v>971</v>
      </c>
    </row>
    <row r="153" spans="2:10" x14ac:dyDescent="0.3">
      <c r="C153" s="1018" t="s">
        <v>932</v>
      </c>
      <c r="D153" s="1018"/>
      <c r="E153" s="10"/>
      <c r="F153" s="11">
        <f>F159+F162</f>
        <v>27.08</v>
      </c>
      <c r="G153" s="12" t="s">
        <v>971</v>
      </c>
    </row>
    <row r="155" spans="2:10" ht="27.6" x14ac:dyDescent="0.3">
      <c r="C155" s="13" t="s">
        <v>929</v>
      </c>
      <c r="D155" s="14" t="s">
        <v>928</v>
      </c>
      <c r="E155" s="14" t="s">
        <v>514</v>
      </c>
      <c r="F155" s="14" t="s">
        <v>515</v>
      </c>
      <c r="G155" s="14" t="s">
        <v>962</v>
      </c>
      <c r="H155" s="14" t="s">
        <v>926</v>
      </c>
      <c r="I155" s="14" t="s">
        <v>516</v>
      </c>
      <c r="J155" s="14" t="s">
        <v>927</v>
      </c>
    </row>
    <row r="156" spans="2:10" x14ac:dyDescent="0.3">
      <c r="C156" s="17" t="s">
        <v>963</v>
      </c>
      <c r="D156" s="16">
        <f>D107</f>
        <v>6506.55</v>
      </c>
      <c r="E156" s="16">
        <f>D156*12</f>
        <v>78078.600000000006</v>
      </c>
      <c r="F156" s="16">
        <f>F107</f>
        <v>5005</v>
      </c>
      <c r="G156" s="16">
        <f>G107</f>
        <v>2502.5</v>
      </c>
      <c r="H156" s="16">
        <f>E156+F156+G156</f>
        <v>85586.1</v>
      </c>
      <c r="I156" s="17">
        <v>1932.7</v>
      </c>
      <c r="J156" s="16">
        <f>ROUND((H156/I156)/60,2)</f>
        <v>0.74</v>
      </c>
    </row>
    <row r="158" spans="2:10" ht="27.6" x14ac:dyDescent="0.3">
      <c r="C158" s="13" t="s">
        <v>929</v>
      </c>
      <c r="D158" s="14" t="s">
        <v>961</v>
      </c>
      <c r="E158" s="14" t="s">
        <v>930</v>
      </c>
      <c r="F158" s="14" t="s">
        <v>931</v>
      </c>
    </row>
    <row r="159" spans="2:10" x14ac:dyDescent="0.3">
      <c r="C159" s="17" t="str">
        <f>C156</f>
        <v>Сестра медична з масажу</v>
      </c>
      <c r="D159" s="16">
        <f>J156</f>
        <v>0.74</v>
      </c>
      <c r="E159" s="17">
        <v>30</v>
      </c>
      <c r="F159" s="18">
        <f>ROUND(D159*E159,2)</f>
        <v>22.2</v>
      </c>
    </row>
    <row r="161" spans="3:7" x14ac:dyDescent="0.3">
      <c r="D161" s="19"/>
    </row>
    <row r="162" spans="3:7" x14ac:dyDescent="0.3">
      <c r="C162" s="17" t="s">
        <v>933</v>
      </c>
      <c r="D162" s="16">
        <f>F159</f>
        <v>22.2</v>
      </c>
      <c r="E162" s="20">
        <v>0.22</v>
      </c>
      <c r="F162" s="21">
        <f>ROUND(D162*E162,2)</f>
        <v>4.88</v>
      </c>
    </row>
    <row r="164" spans="3:7" x14ac:dyDescent="0.3">
      <c r="C164" s="12" t="s">
        <v>946</v>
      </c>
      <c r="D164" s="12"/>
      <c r="E164" s="12"/>
      <c r="F164" s="12">
        <f>G174</f>
        <v>18.72</v>
      </c>
      <c r="G164" s="12" t="s">
        <v>971</v>
      </c>
    </row>
    <row r="165" spans="3:7" x14ac:dyDescent="0.3">
      <c r="C165" s="17" t="str">
        <f t="shared" ref="C165:G173" si="3">C116</f>
        <v>Антисептик для обробки рук</v>
      </c>
      <c r="D165" s="73" t="str">
        <f t="shared" si="3"/>
        <v>мл</v>
      </c>
      <c r="E165" s="73">
        <f t="shared" si="3"/>
        <v>1</v>
      </c>
      <c r="F165" s="73">
        <f t="shared" si="3"/>
        <v>0.375</v>
      </c>
      <c r="G165" s="73">
        <f t="shared" si="3"/>
        <v>0.38</v>
      </c>
    </row>
    <row r="166" spans="3:7" x14ac:dyDescent="0.3">
      <c r="C166" s="17" t="str">
        <f t="shared" si="3"/>
        <v>Антисептик швидкої дії</v>
      </c>
      <c r="D166" s="73" t="str">
        <f t="shared" si="3"/>
        <v>мл</v>
      </c>
      <c r="E166" s="73">
        <f t="shared" si="3"/>
        <v>1</v>
      </c>
      <c r="F166" s="73">
        <f t="shared" si="3"/>
        <v>0.28799999999999998</v>
      </c>
      <c r="G166" s="73">
        <f t="shared" si="3"/>
        <v>0.28999999999999998</v>
      </c>
    </row>
    <row r="167" spans="3:7" x14ac:dyDescent="0.3">
      <c r="C167" s="17" t="str">
        <f t="shared" si="3"/>
        <v>Деззасоби</v>
      </c>
      <c r="D167" s="73" t="str">
        <f t="shared" si="3"/>
        <v>г</v>
      </c>
      <c r="E167" s="73">
        <f t="shared" si="3"/>
        <v>0.5</v>
      </c>
      <c r="F167" s="73">
        <f t="shared" si="3"/>
        <v>0.5</v>
      </c>
      <c r="G167" s="73">
        <f t="shared" si="3"/>
        <v>0.25</v>
      </c>
    </row>
    <row r="168" spans="3:7" x14ac:dyDescent="0.3">
      <c r="C168" s="17" t="str">
        <f t="shared" si="3"/>
        <v>Маска одноразова тришарова на резинці</v>
      </c>
      <c r="D168" s="73" t="str">
        <f t="shared" si="3"/>
        <v>шт</v>
      </c>
      <c r="E168" s="73">
        <f t="shared" si="3"/>
        <v>1</v>
      </c>
      <c r="F168" s="73">
        <f t="shared" si="3"/>
        <v>2</v>
      </c>
      <c r="G168" s="73">
        <f t="shared" si="3"/>
        <v>2</v>
      </c>
    </row>
    <row r="169" spans="3:7" x14ac:dyDescent="0.3">
      <c r="C169" s="17" t="str">
        <f t="shared" si="3"/>
        <v>Мило рідке</v>
      </c>
      <c r="D169" s="73" t="str">
        <f t="shared" si="3"/>
        <v>мл</v>
      </c>
      <c r="E169" s="73">
        <f t="shared" si="3"/>
        <v>1</v>
      </c>
      <c r="F169" s="73">
        <f t="shared" si="3"/>
        <v>0.19600000000000001</v>
      </c>
      <c r="G169" s="73">
        <f t="shared" si="3"/>
        <v>0.2</v>
      </c>
    </row>
    <row r="170" spans="3:7" x14ac:dyDescent="0.3">
      <c r="C170" s="17" t="str">
        <f t="shared" si="3"/>
        <v>Олія для масажу 100 мл</v>
      </c>
      <c r="D170" s="73" t="str">
        <f t="shared" si="3"/>
        <v>мл</v>
      </c>
      <c r="E170" s="73">
        <f>20</f>
        <v>20</v>
      </c>
      <c r="F170" s="73">
        <f t="shared" si="3"/>
        <v>0.2</v>
      </c>
      <c r="G170" s="73">
        <f>E170*F170</f>
        <v>4</v>
      </c>
    </row>
    <row r="171" spans="3:7" x14ac:dyDescent="0.3">
      <c r="C171" s="17" t="str">
        <f t="shared" si="3"/>
        <v>Пелюшка поглинаюча 60/60</v>
      </c>
      <c r="D171" s="73" t="str">
        <f t="shared" si="3"/>
        <v>шт</v>
      </c>
      <c r="E171" s="73">
        <f t="shared" si="3"/>
        <v>1</v>
      </c>
      <c r="F171" s="73">
        <f t="shared" si="3"/>
        <v>6</v>
      </c>
      <c r="G171" s="73">
        <f t="shared" si="3"/>
        <v>6</v>
      </c>
    </row>
    <row r="172" spans="3:7" x14ac:dyDescent="0.3">
      <c r="C172" s="17" t="str">
        <f t="shared" si="3"/>
        <v>Простирадло одноразове 100 м</v>
      </c>
      <c r="D172" s="73" t="str">
        <f t="shared" si="3"/>
        <v>м</v>
      </c>
      <c r="E172" s="73">
        <f t="shared" si="3"/>
        <v>2</v>
      </c>
      <c r="F172" s="73">
        <f t="shared" si="3"/>
        <v>2.36</v>
      </c>
      <c r="G172" s="73">
        <f t="shared" si="3"/>
        <v>4.72</v>
      </c>
    </row>
    <row r="173" spans="3:7" x14ac:dyDescent="0.3">
      <c r="C173" s="17" t="str">
        <f t="shared" si="3"/>
        <v>Рушник паперовий</v>
      </c>
      <c r="D173" s="73" t="str">
        <f t="shared" si="3"/>
        <v>шт</v>
      </c>
      <c r="E173" s="73">
        <f t="shared" si="3"/>
        <v>0.05</v>
      </c>
      <c r="F173" s="73">
        <f t="shared" si="3"/>
        <v>17.5</v>
      </c>
      <c r="G173" s="73">
        <f t="shared" si="3"/>
        <v>0.88</v>
      </c>
    </row>
    <row r="174" spans="3:7" x14ac:dyDescent="0.3">
      <c r="C174" s="1019" t="s">
        <v>945</v>
      </c>
      <c r="D174" s="1019"/>
      <c r="E174" s="1019"/>
      <c r="F174" s="1019"/>
      <c r="G174" s="572">
        <f>SUM(G165:G173)</f>
        <v>18.72</v>
      </c>
    </row>
    <row r="176" spans="3:7" x14ac:dyDescent="0.3">
      <c r="C176" s="12" t="s">
        <v>968</v>
      </c>
      <c r="D176" s="12"/>
      <c r="E176" s="12"/>
      <c r="F176" s="11">
        <f>H179</f>
        <v>0.6</v>
      </c>
      <c r="G176" s="12" t="s">
        <v>971</v>
      </c>
    </row>
    <row r="177" spans="3:8" x14ac:dyDescent="0.3">
      <c r="C177" s="22"/>
      <c r="D177" s="22"/>
      <c r="E177" s="22"/>
      <c r="F177" s="23"/>
      <c r="G177" s="22"/>
    </row>
    <row r="178" spans="3:8" ht="27.6" x14ac:dyDescent="0.3">
      <c r="C178" s="14" t="s">
        <v>513</v>
      </c>
      <c r="D178" s="14" t="s">
        <v>1108</v>
      </c>
      <c r="E178" s="14" t="s">
        <v>516</v>
      </c>
      <c r="F178" s="14" t="s">
        <v>970</v>
      </c>
      <c r="G178" s="14" t="s">
        <v>930</v>
      </c>
      <c r="H178" s="14" t="s">
        <v>961</v>
      </c>
    </row>
    <row r="179" spans="3:8" x14ac:dyDescent="0.3">
      <c r="C179" s="27" t="s">
        <v>1204</v>
      </c>
      <c r="D179" s="16">
        <f>АМОРТИЗАЦІЯ!C14</f>
        <v>193</v>
      </c>
      <c r="E179" s="17">
        <v>4831.75</v>
      </c>
      <c r="F179" s="17">
        <v>0.02</v>
      </c>
      <c r="G179" s="17">
        <f>E159</f>
        <v>30</v>
      </c>
      <c r="H179" s="16">
        <f>ROUND(F179*G179,2)</f>
        <v>0.6</v>
      </c>
    </row>
    <row r="181" spans="3:8" x14ac:dyDescent="0.3">
      <c r="C181" s="12" t="s">
        <v>948</v>
      </c>
      <c r="D181" s="12"/>
      <c r="E181" s="12"/>
      <c r="F181" s="11">
        <f>H189</f>
        <v>3.5999999999999996</v>
      </c>
      <c r="G181" s="12" t="s">
        <v>971</v>
      </c>
    </row>
    <row r="182" spans="3:8" x14ac:dyDescent="0.3">
      <c r="C182" s="22"/>
      <c r="D182" s="22"/>
      <c r="E182" s="22"/>
      <c r="F182" s="23"/>
    </row>
    <row r="183" spans="3:8" ht="41.4" x14ac:dyDescent="0.3">
      <c r="C183" s="14" t="s">
        <v>948</v>
      </c>
      <c r="D183" s="14" t="s">
        <v>955</v>
      </c>
      <c r="E183" s="14" t="s">
        <v>516</v>
      </c>
      <c r="F183" s="14" t="s">
        <v>954</v>
      </c>
      <c r="G183" s="14" t="s">
        <v>930</v>
      </c>
      <c r="H183" s="14" t="s">
        <v>956</v>
      </c>
    </row>
    <row r="184" spans="3:8" x14ac:dyDescent="0.3">
      <c r="C184" s="1009" t="str">
        <f>C159</f>
        <v>Сестра медична з масажу</v>
      </c>
      <c r="D184" s="1010"/>
      <c r="E184" s="1010"/>
      <c r="F184" s="1010"/>
      <c r="G184" s="1010"/>
      <c r="H184" s="1011"/>
    </row>
    <row r="185" spans="3:8" x14ac:dyDescent="0.3">
      <c r="C185" s="17" t="s">
        <v>951</v>
      </c>
      <c r="D185" s="112">
        <f>D136</f>
        <v>12188.608008565312</v>
      </c>
      <c r="E185" s="17">
        <f>I156</f>
        <v>1932.7</v>
      </c>
      <c r="F185" s="17">
        <f>ROUND((D185/E185)/60,2)</f>
        <v>0.11</v>
      </c>
      <c r="G185" s="17">
        <f>E159</f>
        <v>30</v>
      </c>
      <c r="H185" s="16">
        <f>ROUND(F185*G185,2)</f>
        <v>3.3</v>
      </c>
    </row>
    <row r="186" spans="3:8" x14ac:dyDescent="0.3">
      <c r="C186" s="17" t="s">
        <v>952</v>
      </c>
      <c r="D186" s="112">
        <f>D137</f>
        <v>53.149721627408987</v>
      </c>
      <c r="E186" s="17">
        <f>I156</f>
        <v>1932.7</v>
      </c>
      <c r="F186" s="17">
        <f>ROUND((D186/E186)/60,2)</f>
        <v>0</v>
      </c>
      <c r="G186" s="17">
        <f>E159</f>
        <v>30</v>
      </c>
      <c r="H186" s="16">
        <f>ROUND(F186*G186,2)</f>
        <v>0</v>
      </c>
    </row>
    <row r="187" spans="3:8" x14ac:dyDescent="0.3">
      <c r="C187" s="17" t="s">
        <v>953</v>
      </c>
      <c r="D187" s="112">
        <f>D138</f>
        <v>374.98368308351178</v>
      </c>
      <c r="E187" s="17">
        <f>I156</f>
        <v>1932.7</v>
      </c>
      <c r="F187" s="17">
        <f>ROUND((D187/E187)/60,2)</f>
        <v>0</v>
      </c>
      <c r="G187" s="17">
        <f>E159</f>
        <v>30</v>
      </c>
      <c r="H187" s="16">
        <f>ROUND(F187*G187,2)</f>
        <v>0</v>
      </c>
    </row>
    <row r="188" spans="3:8" x14ac:dyDescent="0.3">
      <c r="C188" s="17" t="s">
        <v>1109</v>
      </c>
      <c r="D188" s="112">
        <f>D139</f>
        <v>1686.0389293361886</v>
      </c>
      <c r="E188" s="17">
        <f>I156</f>
        <v>1932.7</v>
      </c>
      <c r="F188" s="17">
        <f>ROUND((D188/E188)/60,2)</f>
        <v>0.01</v>
      </c>
      <c r="G188" s="17">
        <f>E159</f>
        <v>30</v>
      </c>
      <c r="H188" s="16">
        <f>ROUND(F188*G188,2)</f>
        <v>0.3</v>
      </c>
    </row>
    <row r="189" spans="3:8" x14ac:dyDescent="0.3">
      <c r="C189" s="1019" t="s">
        <v>957</v>
      </c>
      <c r="D189" s="1019"/>
      <c r="E189" s="1019"/>
      <c r="F189" s="1019"/>
      <c r="G189" s="1019"/>
      <c r="H189" s="18">
        <f>SUM(H185:H188)</f>
        <v>3.5999999999999996</v>
      </c>
    </row>
    <row r="190" spans="3:8" ht="13.5" customHeight="1" x14ac:dyDescent="0.3"/>
    <row r="192" spans="3:8" x14ac:dyDescent="0.3">
      <c r="C192" s="1015" t="s">
        <v>959</v>
      </c>
      <c r="D192" s="1015"/>
      <c r="E192" s="1015"/>
      <c r="F192" s="1015"/>
      <c r="G192" s="1015"/>
      <c r="H192" s="32">
        <f>F153+F164+F181+F176</f>
        <v>50</v>
      </c>
    </row>
    <row r="193" spans="2:10" x14ac:dyDescent="0.3">
      <c r="B193" s="65"/>
      <c r="C193" s="33"/>
      <c r="D193" s="33"/>
      <c r="E193" s="33"/>
      <c r="F193" s="33"/>
      <c r="G193" s="33"/>
      <c r="H193" s="34"/>
      <c r="I193" s="65"/>
      <c r="J193" s="65"/>
    </row>
    <row r="194" spans="2:10" x14ac:dyDescent="0.3">
      <c r="C194" s="1049" t="s">
        <v>1178</v>
      </c>
      <c r="D194" s="1049"/>
      <c r="E194" s="1049"/>
      <c r="F194" s="1049"/>
      <c r="G194" s="1049"/>
      <c r="H194" s="49">
        <f>ROUND(H192*0.2,2)</f>
        <v>10</v>
      </c>
    </row>
    <row r="195" spans="2:10" x14ac:dyDescent="0.3">
      <c r="C195" s="1015" t="s">
        <v>1179</v>
      </c>
      <c r="D195" s="1015"/>
      <c r="E195" s="1015"/>
      <c r="F195" s="1015"/>
      <c r="G195" s="1015"/>
      <c r="H195" s="32">
        <f>H192+H194</f>
        <v>60</v>
      </c>
    </row>
    <row r="198" spans="2:10" ht="18.600000000000001" x14ac:dyDescent="0.3">
      <c r="B198" s="1016" t="s">
        <v>958</v>
      </c>
      <c r="C198" s="1016"/>
      <c r="D198" s="1016"/>
      <c r="E198" s="1016"/>
      <c r="F198" s="1016"/>
      <c r="G198" s="1016"/>
      <c r="H198" s="1016"/>
      <c r="I198" s="1016"/>
    </row>
    <row r="199" spans="2:10" ht="9.75" customHeight="1" x14ac:dyDescent="0.3"/>
    <row r="200" spans="2:10" ht="38.25" customHeight="1" x14ac:dyDescent="0.3">
      <c r="B200" s="25" t="s">
        <v>797</v>
      </c>
      <c r="C200" s="1050" t="s">
        <v>798</v>
      </c>
      <c r="D200" s="1050"/>
      <c r="E200" s="10"/>
      <c r="F200" s="26">
        <f>H244</f>
        <v>60</v>
      </c>
      <c r="G200" s="26" t="s">
        <v>971</v>
      </c>
    </row>
    <row r="202" spans="2:10" x14ac:dyDescent="0.3">
      <c r="C202" s="1018" t="s">
        <v>932</v>
      </c>
      <c r="D202" s="1018"/>
      <c r="E202" s="10"/>
      <c r="F202" s="11">
        <f>F208+F211</f>
        <v>27.08</v>
      </c>
      <c r="G202" s="12" t="s">
        <v>971</v>
      </c>
    </row>
    <row r="204" spans="2:10" ht="27.6" x14ac:dyDescent="0.3">
      <c r="C204" s="13" t="s">
        <v>929</v>
      </c>
      <c r="D204" s="14" t="s">
        <v>928</v>
      </c>
      <c r="E204" s="14" t="s">
        <v>514</v>
      </c>
      <c r="F204" s="14" t="s">
        <v>515</v>
      </c>
      <c r="G204" s="14" t="s">
        <v>962</v>
      </c>
      <c r="H204" s="14" t="s">
        <v>926</v>
      </c>
      <c r="I204" s="14" t="s">
        <v>516</v>
      </c>
      <c r="J204" s="14" t="s">
        <v>927</v>
      </c>
    </row>
    <row r="205" spans="2:10" x14ac:dyDescent="0.3">
      <c r="C205" s="17" t="s">
        <v>963</v>
      </c>
      <c r="D205" s="16">
        <f>D156</f>
        <v>6506.55</v>
      </c>
      <c r="E205" s="16">
        <f>D205*12</f>
        <v>78078.600000000006</v>
      </c>
      <c r="F205" s="16">
        <f>F156</f>
        <v>5005</v>
      </c>
      <c r="G205" s="16">
        <f>F205*0.5</f>
        <v>2502.5</v>
      </c>
      <c r="H205" s="16">
        <f>E205+F205+G205</f>
        <v>85586.1</v>
      </c>
      <c r="I205" s="17">
        <v>1932.7</v>
      </c>
      <c r="J205" s="16">
        <f>ROUND((H205/I205)/60,2)</f>
        <v>0.74</v>
      </c>
    </row>
    <row r="207" spans="2:10" ht="27.6" x14ac:dyDescent="0.3">
      <c r="C207" s="13" t="s">
        <v>929</v>
      </c>
      <c r="D207" s="14" t="s">
        <v>961</v>
      </c>
      <c r="E207" s="14" t="s">
        <v>930</v>
      </c>
      <c r="F207" s="14" t="s">
        <v>931</v>
      </c>
    </row>
    <row r="208" spans="2:10" x14ac:dyDescent="0.3">
      <c r="C208" s="17" t="str">
        <f>C205</f>
        <v>Сестра медична з масажу</v>
      </c>
      <c r="D208" s="16">
        <f>J205</f>
        <v>0.74</v>
      </c>
      <c r="E208" s="17">
        <v>30</v>
      </c>
      <c r="F208" s="18">
        <f>ROUND(D208*E208,2)</f>
        <v>22.2</v>
      </c>
    </row>
    <row r="210" spans="2:18" x14ac:dyDescent="0.3">
      <c r="D210" s="19"/>
    </row>
    <row r="211" spans="2:18" x14ac:dyDescent="0.3">
      <c r="C211" s="17" t="s">
        <v>933</v>
      </c>
      <c r="D211" s="16">
        <f>F208</f>
        <v>22.2</v>
      </c>
      <c r="E211" s="20">
        <v>0.22</v>
      </c>
      <c r="F211" s="21">
        <f>ROUND(D211*E211,2)</f>
        <v>4.88</v>
      </c>
    </row>
    <row r="213" spans="2:18" x14ac:dyDescent="0.3">
      <c r="C213" s="12" t="s">
        <v>946</v>
      </c>
      <c r="D213" s="12"/>
      <c r="E213" s="12"/>
      <c r="F213" s="12">
        <f>G223</f>
        <v>18.72</v>
      </c>
      <c r="G213" s="12" t="s">
        <v>971</v>
      </c>
    </row>
    <row r="214" spans="2:18" s="179" customFormat="1" x14ac:dyDescent="0.3">
      <c r="B214" s="178"/>
      <c r="C214" s="17" t="str">
        <f t="shared" ref="C214:G222" si="4">C165</f>
        <v>Антисептик для обробки рук</v>
      </c>
      <c r="D214" s="73" t="str">
        <f t="shared" si="4"/>
        <v>мл</v>
      </c>
      <c r="E214" s="73">
        <f t="shared" si="4"/>
        <v>1</v>
      </c>
      <c r="F214" s="73">
        <f t="shared" si="4"/>
        <v>0.375</v>
      </c>
      <c r="G214" s="73">
        <f t="shared" si="4"/>
        <v>0.38</v>
      </c>
      <c r="H214" s="178"/>
      <c r="I214" s="178"/>
      <c r="J214" s="178"/>
      <c r="K214" s="178"/>
      <c r="L214" s="178"/>
      <c r="M214" s="178"/>
      <c r="N214" s="178"/>
      <c r="O214" s="178"/>
      <c r="P214" s="178"/>
      <c r="Q214" s="178"/>
      <c r="R214" s="178"/>
    </row>
    <row r="215" spans="2:18" x14ac:dyDescent="0.3">
      <c r="C215" s="17" t="str">
        <f t="shared" si="4"/>
        <v>Антисептик швидкої дії</v>
      </c>
      <c r="D215" s="73" t="str">
        <f t="shared" si="4"/>
        <v>мл</v>
      </c>
      <c r="E215" s="73">
        <f t="shared" si="4"/>
        <v>1</v>
      </c>
      <c r="F215" s="73">
        <f t="shared" si="4"/>
        <v>0.28799999999999998</v>
      </c>
      <c r="G215" s="73">
        <f t="shared" si="4"/>
        <v>0.28999999999999998</v>
      </c>
    </row>
    <row r="216" spans="2:18" x14ac:dyDescent="0.3">
      <c r="C216" s="17" t="str">
        <f t="shared" si="4"/>
        <v>Деззасоби</v>
      </c>
      <c r="D216" s="73" t="str">
        <f t="shared" si="4"/>
        <v>г</v>
      </c>
      <c r="E216" s="73">
        <f t="shared" si="4"/>
        <v>0.5</v>
      </c>
      <c r="F216" s="73">
        <f t="shared" si="4"/>
        <v>0.5</v>
      </c>
      <c r="G216" s="73">
        <f t="shared" si="4"/>
        <v>0.25</v>
      </c>
    </row>
    <row r="217" spans="2:18" x14ac:dyDescent="0.3">
      <c r="C217" s="17" t="str">
        <f t="shared" si="4"/>
        <v>Маска одноразова тришарова на резинці</v>
      </c>
      <c r="D217" s="73" t="str">
        <f t="shared" si="4"/>
        <v>шт</v>
      </c>
      <c r="E217" s="73">
        <f t="shared" si="4"/>
        <v>1</v>
      </c>
      <c r="F217" s="73">
        <f t="shared" si="4"/>
        <v>2</v>
      </c>
      <c r="G217" s="73">
        <f t="shared" si="4"/>
        <v>2</v>
      </c>
    </row>
    <row r="218" spans="2:18" x14ac:dyDescent="0.3">
      <c r="C218" s="17" t="str">
        <f t="shared" si="4"/>
        <v>Мило рідке</v>
      </c>
      <c r="D218" s="73" t="str">
        <f t="shared" si="4"/>
        <v>мл</v>
      </c>
      <c r="E218" s="73">
        <f t="shared" si="4"/>
        <v>1</v>
      </c>
      <c r="F218" s="73">
        <f t="shared" si="4"/>
        <v>0.19600000000000001</v>
      </c>
      <c r="G218" s="73">
        <f t="shared" si="4"/>
        <v>0.2</v>
      </c>
    </row>
    <row r="219" spans="2:18" x14ac:dyDescent="0.3">
      <c r="C219" s="17" t="str">
        <f t="shared" si="4"/>
        <v>Олія для масажу 100 мл</v>
      </c>
      <c r="D219" s="73" t="str">
        <f t="shared" si="4"/>
        <v>мл</v>
      </c>
      <c r="E219" s="73">
        <f t="shared" si="4"/>
        <v>20</v>
      </c>
      <c r="F219" s="73">
        <f t="shared" si="4"/>
        <v>0.2</v>
      </c>
      <c r="G219" s="73">
        <f t="shared" si="4"/>
        <v>4</v>
      </c>
    </row>
    <row r="220" spans="2:18" x14ac:dyDescent="0.3">
      <c r="C220" s="17" t="str">
        <f t="shared" si="4"/>
        <v>Пелюшка поглинаюча 60/60</v>
      </c>
      <c r="D220" s="73" t="str">
        <f t="shared" si="4"/>
        <v>шт</v>
      </c>
      <c r="E220" s="73">
        <f t="shared" si="4"/>
        <v>1</v>
      </c>
      <c r="F220" s="73">
        <f t="shared" si="4"/>
        <v>6</v>
      </c>
      <c r="G220" s="73">
        <f t="shared" si="4"/>
        <v>6</v>
      </c>
    </row>
    <row r="221" spans="2:18" x14ac:dyDescent="0.3">
      <c r="C221" s="17" t="str">
        <f t="shared" si="4"/>
        <v>Простирадло одноразове 100 м</v>
      </c>
      <c r="D221" s="73" t="str">
        <f t="shared" si="4"/>
        <v>м</v>
      </c>
      <c r="E221" s="73">
        <f t="shared" si="4"/>
        <v>2</v>
      </c>
      <c r="F221" s="73">
        <f t="shared" si="4"/>
        <v>2.36</v>
      </c>
      <c r="G221" s="73">
        <f t="shared" si="4"/>
        <v>4.72</v>
      </c>
    </row>
    <row r="222" spans="2:18" x14ac:dyDescent="0.3">
      <c r="C222" s="17" t="str">
        <f t="shared" si="4"/>
        <v>Рушник паперовий</v>
      </c>
      <c r="D222" s="73" t="str">
        <f t="shared" si="4"/>
        <v>шт</v>
      </c>
      <c r="E222" s="73">
        <f t="shared" si="4"/>
        <v>0.05</v>
      </c>
      <c r="F222" s="73">
        <f t="shared" si="4"/>
        <v>17.5</v>
      </c>
      <c r="G222" s="73">
        <f t="shared" si="4"/>
        <v>0.88</v>
      </c>
    </row>
    <row r="223" spans="2:18" x14ac:dyDescent="0.3">
      <c r="C223" s="1019" t="s">
        <v>945</v>
      </c>
      <c r="D223" s="1019"/>
      <c r="E223" s="1019"/>
      <c r="F223" s="1019"/>
      <c r="G223" s="572">
        <f>SUM(G214:G222)</f>
        <v>18.72</v>
      </c>
    </row>
    <row r="225" spans="3:8" x14ac:dyDescent="0.3">
      <c r="C225" s="12" t="s">
        <v>968</v>
      </c>
      <c r="D225" s="12"/>
      <c r="E225" s="12"/>
      <c r="F225" s="11">
        <f>H228</f>
        <v>0.6</v>
      </c>
      <c r="G225" s="12" t="s">
        <v>971</v>
      </c>
    </row>
    <row r="226" spans="3:8" x14ac:dyDescent="0.3">
      <c r="C226" s="22"/>
      <c r="D226" s="22"/>
      <c r="E226" s="22"/>
      <c r="F226" s="23"/>
      <c r="G226" s="22"/>
    </row>
    <row r="227" spans="3:8" ht="27.6" x14ac:dyDescent="0.3">
      <c r="C227" s="14" t="s">
        <v>513</v>
      </c>
      <c r="D227" s="14" t="s">
        <v>1108</v>
      </c>
      <c r="E227" s="14" t="s">
        <v>516</v>
      </c>
      <c r="F227" s="14" t="s">
        <v>970</v>
      </c>
      <c r="G227" s="14" t="s">
        <v>930</v>
      </c>
      <c r="H227" s="14" t="s">
        <v>961</v>
      </c>
    </row>
    <row r="228" spans="3:8" x14ac:dyDescent="0.3">
      <c r="C228" s="27" t="s">
        <v>1204</v>
      </c>
      <c r="D228" s="16">
        <f>АМОРТИЗАЦІЯ!C14</f>
        <v>193</v>
      </c>
      <c r="E228" s="17">
        <v>4831.75</v>
      </c>
      <c r="F228" s="17">
        <v>0.02</v>
      </c>
      <c r="G228" s="17">
        <f>E208</f>
        <v>30</v>
      </c>
      <c r="H228" s="16">
        <f>ROUND(F228*G228,2)</f>
        <v>0.6</v>
      </c>
    </row>
    <row r="230" spans="3:8" x14ac:dyDescent="0.3">
      <c r="C230" s="12" t="s">
        <v>948</v>
      </c>
      <c r="D230" s="12"/>
      <c r="E230" s="12"/>
      <c r="F230" s="11">
        <f>H238</f>
        <v>3.5999999999999996</v>
      </c>
      <c r="G230" s="12" t="s">
        <v>971</v>
      </c>
    </row>
    <row r="231" spans="3:8" ht="6" customHeight="1" x14ac:dyDescent="0.3">
      <c r="C231" s="22"/>
      <c r="D231" s="22"/>
      <c r="E231" s="22"/>
      <c r="F231" s="23"/>
    </row>
    <row r="232" spans="3:8" ht="41.4" x14ac:dyDescent="0.3">
      <c r="C232" s="14" t="s">
        <v>948</v>
      </c>
      <c r="D232" s="14" t="s">
        <v>955</v>
      </c>
      <c r="E232" s="14" t="s">
        <v>516</v>
      </c>
      <c r="F232" s="14" t="s">
        <v>954</v>
      </c>
      <c r="G232" s="14" t="s">
        <v>930</v>
      </c>
      <c r="H232" s="14" t="s">
        <v>956</v>
      </c>
    </row>
    <row r="233" spans="3:8" x14ac:dyDescent="0.3">
      <c r="C233" s="1009" t="str">
        <f>C208</f>
        <v>Сестра медична з масажу</v>
      </c>
      <c r="D233" s="1010"/>
      <c r="E233" s="1010"/>
      <c r="F233" s="1010"/>
      <c r="G233" s="1010"/>
      <c r="H233" s="1011"/>
    </row>
    <row r="234" spans="3:8" x14ac:dyDescent="0.3">
      <c r="C234" s="17" t="s">
        <v>951</v>
      </c>
      <c r="D234" s="112">
        <f>D185</f>
        <v>12188.608008565312</v>
      </c>
      <c r="E234" s="17">
        <f>I205</f>
        <v>1932.7</v>
      </c>
      <c r="F234" s="17">
        <f>ROUND((D234/E234)/60,2)</f>
        <v>0.11</v>
      </c>
      <c r="G234" s="17">
        <f>E208</f>
        <v>30</v>
      </c>
      <c r="H234" s="16">
        <f>ROUND(F234*G234,2)</f>
        <v>3.3</v>
      </c>
    </row>
    <row r="235" spans="3:8" x14ac:dyDescent="0.3">
      <c r="C235" s="17" t="s">
        <v>952</v>
      </c>
      <c r="D235" s="112">
        <f>D186</f>
        <v>53.149721627408987</v>
      </c>
      <c r="E235" s="17">
        <f>I205</f>
        <v>1932.7</v>
      </c>
      <c r="F235" s="17">
        <f>ROUND((D235/E235)/60,2)</f>
        <v>0</v>
      </c>
      <c r="G235" s="17">
        <f>E208</f>
        <v>30</v>
      </c>
      <c r="H235" s="16">
        <f>ROUND(F235*G235,2)</f>
        <v>0</v>
      </c>
    </row>
    <row r="236" spans="3:8" x14ac:dyDescent="0.3">
      <c r="C236" s="17" t="s">
        <v>953</v>
      </c>
      <c r="D236" s="112">
        <f>D187</f>
        <v>374.98368308351178</v>
      </c>
      <c r="E236" s="17">
        <f>I205</f>
        <v>1932.7</v>
      </c>
      <c r="F236" s="17">
        <f>ROUND((D236/E236)/60,2)</f>
        <v>0</v>
      </c>
      <c r="G236" s="17">
        <f>E208</f>
        <v>30</v>
      </c>
      <c r="H236" s="16">
        <f>ROUND(F236*G236,2)</f>
        <v>0</v>
      </c>
    </row>
    <row r="237" spans="3:8" x14ac:dyDescent="0.3">
      <c r="C237" s="17" t="s">
        <v>1109</v>
      </c>
      <c r="D237" s="112">
        <f>D188</f>
        <v>1686.0389293361886</v>
      </c>
      <c r="E237" s="17">
        <f>I205</f>
        <v>1932.7</v>
      </c>
      <c r="F237" s="17">
        <f>ROUND((D237/E237)/60,2)</f>
        <v>0.01</v>
      </c>
      <c r="G237" s="17">
        <f>E208</f>
        <v>30</v>
      </c>
      <c r="H237" s="16">
        <f>ROUND(F237*G237,2)</f>
        <v>0.3</v>
      </c>
    </row>
    <row r="238" spans="3:8" x14ac:dyDescent="0.3">
      <c r="C238" s="1019" t="s">
        <v>957</v>
      </c>
      <c r="D238" s="1019"/>
      <c r="E238" s="1019"/>
      <c r="F238" s="1019"/>
      <c r="G238" s="1019"/>
      <c r="H238" s="18">
        <f>SUM(H234:H237)</f>
        <v>3.5999999999999996</v>
      </c>
    </row>
    <row r="239" spans="3:8" ht="2.25" customHeight="1" x14ac:dyDescent="0.3"/>
    <row r="240" spans="3:8" ht="9.75" customHeight="1" x14ac:dyDescent="0.3"/>
    <row r="241" spans="2:10" x14ac:dyDescent="0.3">
      <c r="C241" s="1015" t="s">
        <v>959</v>
      </c>
      <c r="D241" s="1015"/>
      <c r="E241" s="1015"/>
      <c r="F241" s="1015"/>
      <c r="G241" s="1015"/>
      <c r="H241" s="32">
        <f>F202+F213+F230+F225</f>
        <v>50</v>
      </c>
    </row>
    <row r="242" spans="2:10" x14ac:dyDescent="0.3">
      <c r="B242" s="65"/>
      <c r="C242" s="33"/>
      <c r="D242" s="33"/>
      <c r="E242" s="33"/>
      <c r="F242" s="33"/>
      <c r="G242" s="33"/>
      <c r="H242" s="34"/>
      <c r="I242" s="65"/>
      <c r="J242" s="65"/>
    </row>
    <row r="243" spans="2:10" x14ac:dyDescent="0.3">
      <c r="C243" s="1049" t="s">
        <v>1178</v>
      </c>
      <c r="D243" s="1049"/>
      <c r="E243" s="1049"/>
      <c r="F243" s="1049"/>
      <c r="G243" s="1049"/>
      <c r="H243" s="49">
        <f>ROUND(H241*0.2,2)</f>
        <v>10</v>
      </c>
    </row>
    <row r="244" spans="2:10" x14ac:dyDescent="0.3">
      <c r="C244" s="1015" t="s">
        <v>1179</v>
      </c>
      <c r="D244" s="1015"/>
      <c r="E244" s="1015"/>
      <c r="F244" s="1015"/>
      <c r="G244" s="1015"/>
      <c r="H244" s="32">
        <f>H241+H243</f>
        <v>60</v>
      </c>
    </row>
    <row r="247" spans="2:10" ht="18.600000000000001" x14ac:dyDescent="0.3">
      <c r="B247" s="1016" t="s">
        <v>958</v>
      </c>
      <c r="C247" s="1016"/>
      <c r="D247" s="1016"/>
      <c r="E247" s="1016"/>
      <c r="F247" s="1016"/>
      <c r="G247" s="1016"/>
      <c r="H247" s="1016"/>
      <c r="I247" s="1016"/>
    </row>
    <row r="249" spans="2:10" ht="37.5" customHeight="1" x14ac:dyDescent="0.3">
      <c r="B249" s="25" t="s">
        <v>799</v>
      </c>
      <c r="C249" s="1050" t="s">
        <v>800</v>
      </c>
      <c r="D249" s="1050"/>
      <c r="E249" s="10"/>
      <c r="F249" s="26">
        <f>H293</f>
        <v>60</v>
      </c>
      <c r="G249" s="26" t="s">
        <v>971</v>
      </c>
    </row>
    <row r="251" spans="2:10" x14ac:dyDescent="0.3">
      <c r="C251" s="1018" t="s">
        <v>932</v>
      </c>
      <c r="D251" s="1018"/>
      <c r="E251" s="10"/>
      <c r="F251" s="11">
        <f>F257+F260</f>
        <v>27.08</v>
      </c>
      <c r="G251" s="12" t="s">
        <v>971</v>
      </c>
    </row>
    <row r="253" spans="2:10" ht="27.6" x14ac:dyDescent="0.3">
      <c r="C253" s="13" t="s">
        <v>929</v>
      </c>
      <c r="D253" s="14" t="s">
        <v>928</v>
      </c>
      <c r="E253" s="14" t="s">
        <v>514</v>
      </c>
      <c r="F253" s="14" t="s">
        <v>515</v>
      </c>
      <c r="G253" s="14" t="s">
        <v>962</v>
      </c>
      <c r="H253" s="14" t="s">
        <v>926</v>
      </c>
      <c r="I253" s="14" t="s">
        <v>516</v>
      </c>
      <c r="J253" s="14" t="s">
        <v>927</v>
      </c>
    </row>
    <row r="254" spans="2:10" x14ac:dyDescent="0.3">
      <c r="C254" s="17" t="s">
        <v>963</v>
      </c>
      <c r="D254" s="16">
        <f>D205</f>
        <v>6506.55</v>
      </c>
      <c r="E254" s="16">
        <f>D254*12</f>
        <v>78078.600000000006</v>
      </c>
      <c r="F254" s="16">
        <f>F205</f>
        <v>5005</v>
      </c>
      <c r="G254" s="16">
        <f>F254*0.5</f>
        <v>2502.5</v>
      </c>
      <c r="H254" s="16">
        <f>E254+F254+G254</f>
        <v>85586.1</v>
      </c>
      <c r="I254" s="17">
        <v>1932.7</v>
      </c>
      <c r="J254" s="16">
        <f>ROUND((H254/I254)/60,2)</f>
        <v>0.74</v>
      </c>
    </row>
    <row r="256" spans="2:10" ht="27.6" x14ac:dyDescent="0.3">
      <c r="C256" s="13" t="s">
        <v>929</v>
      </c>
      <c r="D256" s="14" t="s">
        <v>961</v>
      </c>
      <c r="E256" s="14" t="s">
        <v>930</v>
      </c>
      <c r="F256" s="14" t="s">
        <v>931</v>
      </c>
    </row>
    <row r="257" spans="3:7" x14ac:dyDescent="0.3">
      <c r="C257" s="17" t="str">
        <f>C254</f>
        <v>Сестра медична з масажу</v>
      </c>
      <c r="D257" s="16">
        <f>J254</f>
        <v>0.74</v>
      </c>
      <c r="E257" s="17">
        <v>30</v>
      </c>
      <c r="F257" s="18">
        <f>ROUND(D257*E257,2)</f>
        <v>22.2</v>
      </c>
    </row>
    <row r="259" spans="3:7" x14ac:dyDescent="0.3">
      <c r="D259" s="19"/>
    </row>
    <row r="260" spans="3:7" x14ac:dyDescent="0.3">
      <c r="C260" s="17" t="s">
        <v>933</v>
      </c>
      <c r="D260" s="16">
        <f>F257</f>
        <v>22.2</v>
      </c>
      <c r="E260" s="20">
        <v>0.22</v>
      </c>
      <c r="F260" s="21">
        <f>ROUND(D260*E260,2)</f>
        <v>4.88</v>
      </c>
    </row>
    <row r="262" spans="3:7" x14ac:dyDescent="0.3">
      <c r="C262" s="12" t="s">
        <v>946</v>
      </c>
      <c r="D262" s="12"/>
      <c r="E262" s="12"/>
      <c r="F262" s="12">
        <f>G272</f>
        <v>18.72</v>
      </c>
      <c r="G262" s="12" t="s">
        <v>971</v>
      </c>
    </row>
    <row r="263" spans="3:7" x14ac:dyDescent="0.3">
      <c r="C263" s="17" t="str">
        <f t="shared" ref="C263:G271" si="5">C214</f>
        <v>Антисептик для обробки рук</v>
      </c>
      <c r="D263" s="73" t="str">
        <f t="shared" si="5"/>
        <v>мл</v>
      </c>
      <c r="E263" s="73">
        <f t="shared" si="5"/>
        <v>1</v>
      </c>
      <c r="F263" s="73">
        <f t="shared" si="5"/>
        <v>0.375</v>
      </c>
      <c r="G263" s="73">
        <f t="shared" si="5"/>
        <v>0.38</v>
      </c>
    </row>
    <row r="264" spans="3:7" x14ac:dyDescent="0.3">
      <c r="C264" s="17" t="str">
        <f t="shared" si="5"/>
        <v>Антисептик швидкої дії</v>
      </c>
      <c r="D264" s="73" t="str">
        <f t="shared" si="5"/>
        <v>мл</v>
      </c>
      <c r="E264" s="73">
        <f t="shared" si="5"/>
        <v>1</v>
      </c>
      <c r="F264" s="73">
        <f t="shared" si="5"/>
        <v>0.28799999999999998</v>
      </c>
      <c r="G264" s="73">
        <f t="shared" si="5"/>
        <v>0.28999999999999998</v>
      </c>
    </row>
    <row r="265" spans="3:7" x14ac:dyDescent="0.3">
      <c r="C265" s="17" t="str">
        <f t="shared" si="5"/>
        <v>Деззасоби</v>
      </c>
      <c r="D265" s="73" t="str">
        <f t="shared" si="5"/>
        <v>г</v>
      </c>
      <c r="E265" s="73">
        <f t="shared" si="5"/>
        <v>0.5</v>
      </c>
      <c r="F265" s="73">
        <f t="shared" si="5"/>
        <v>0.5</v>
      </c>
      <c r="G265" s="73">
        <f t="shared" si="5"/>
        <v>0.25</v>
      </c>
    </row>
    <row r="266" spans="3:7" x14ac:dyDescent="0.3">
      <c r="C266" s="17" t="str">
        <f t="shared" si="5"/>
        <v>Маска одноразова тришарова на резинці</v>
      </c>
      <c r="D266" s="73" t="str">
        <f t="shared" si="5"/>
        <v>шт</v>
      </c>
      <c r="E266" s="73">
        <f t="shared" si="5"/>
        <v>1</v>
      </c>
      <c r="F266" s="73">
        <f t="shared" si="5"/>
        <v>2</v>
      </c>
      <c r="G266" s="73">
        <f t="shared" si="5"/>
        <v>2</v>
      </c>
    </row>
    <row r="267" spans="3:7" x14ac:dyDescent="0.3">
      <c r="C267" s="17" t="str">
        <f t="shared" si="5"/>
        <v>Мило рідке</v>
      </c>
      <c r="D267" s="73" t="str">
        <f t="shared" si="5"/>
        <v>мл</v>
      </c>
      <c r="E267" s="73">
        <f t="shared" si="5"/>
        <v>1</v>
      </c>
      <c r="F267" s="73">
        <f t="shared" si="5"/>
        <v>0.19600000000000001</v>
      </c>
      <c r="G267" s="73">
        <f t="shared" si="5"/>
        <v>0.2</v>
      </c>
    </row>
    <row r="268" spans="3:7" x14ac:dyDescent="0.3">
      <c r="C268" s="17" t="str">
        <f t="shared" si="5"/>
        <v>Олія для масажу 100 мл</v>
      </c>
      <c r="D268" s="73" t="str">
        <f t="shared" si="5"/>
        <v>мл</v>
      </c>
      <c r="E268" s="73">
        <f t="shared" si="5"/>
        <v>20</v>
      </c>
      <c r="F268" s="73">
        <f t="shared" si="5"/>
        <v>0.2</v>
      </c>
      <c r="G268" s="73">
        <f t="shared" si="5"/>
        <v>4</v>
      </c>
    </row>
    <row r="269" spans="3:7" x14ac:dyDescent="0.3">
      <c r="C269" s="17" t="str">
        <f t="shared" si="5"/>
        <v>Пелюшка поглинаюча 60/60</v>
      </c>
      <c r="D269" s="73" t="str">
        <f t="shared" si="5"/>
        <v>шт</v>
      </c>
      <c r="E269" s="73">
        <f t="shared" si="5"/>
        <v>1</v>
      </c>
      <c r="F269" s="73">
        <f t="shared" si="5"/>
        <v>6</v>
      </c>
      <c r="G269" s="73">
        <f t="shared" si="5"/>
        <v>6</v>
      </c>
    </row>
    <row r="270" spans="3:7" x14ac:dyDescent="0.3">
      <c r="C270" s="17" t="str">
        <f t="shared" si="5"/>
        <v>Простирадло одноразове 100 м</v>
      </c>
      <c r="D270" s="73" t="str">
        <f t="shared" si="5"/>
        <v>м</v>
      </c>
      <c r="E270" s="73">
        <f t="shared" si="5"/>
        <v>2</v>
      </c>
      <c r="F270" s="73">
        <f t="shared" si="5"/>
        <v>2.36</v>
      </c>
      <c r="G270" s="73">
        <f t="shared" si="5"/>
        <v>4.72</v>
      </c>
    </row>
    <row r="271" spans="3:7" x14ac:dyDescent="0.3">
      <c r="C271" s="17" t="str">
        <f t="shared" si="5"/>
        <v>Рушник паперовий</v>
      </c>
      <c r="D271" s="73" t="str">
        <f t="shared" si="5"/>
        <v>шт</v>
      </c>
      <c r="E271" s="73">
        <f t="shared" si="5"/>
        <v>0.05</v>
      </c>
      <c r="F271" s="73">
        <f t="shared" si="5"/>
        <v>17.5</v>
      </c>
      <c r="G271" s="73">
        <f t="shared" si="5"/>
        <v>0.88</v>
      </c>
    </row>
    <row r="272" spans="3:7" x14ac:dyDescent="0.3">
      <c r="C272" s="1019" t="s">
        <v>945</v>
      </c>
      <c r="D272" s="1019"/>
      <c r="E272" s="1019"/>
      <c r="F272" s="1019"/>
      <c r="G272" s="572">
        <f>SUM(G263:G271)</f>
        <v>18.72</v>
      </c>
    </row>
    <row r="274" spans="3:8" x14ac:dyDescent="0.3">
      <c r="C274" s="12" t="s">
        <v>968</v>
      </c>
      <c r="D274" s="12"/>
      <c r="E274" s="12"/>
      <c r="F274" s="11">
        <f>H277</f>
        <v>0.6</v>
      </c>
      <c r="G274" s="12" t="s">
        <v>971</v>
      </c>
    </row>
    <row r="275" spans="3:8" ht="6" customHeight="1" x14ac:dyDescent="0.3">
      <c r="C275" s="22"/>
      <c r="D275" s="22"/>
      <c r="E275" s="22"/>
      <c r="F275" s="23"/>
      <c r="G275" s="22"/>
    </row>
    <row r="276" spans="3:8" ht="27.6" x14ac:dyDescent="0.3">
      <c r="C276" s="14" t="s">
        <v>513</v>
      </c>
      <c r="D276" s="14" t="s">
        <v>1108</v>
      </c>
      <c r="E276" s="14" t="s">
        <v>516</v>
      </c>
      <c r="F276" s="14" t="s">
        <v>970</v>
      </c>
      <c r="G276" s="14" t="s">
        <v>930</v>
      </c>
      <c r="H276" s="14" t="s">
        <v>961</v>
      </c>
    </row>
    <row r="277" spans="3:8" x14ac:dyDescent="0.3">
      <c r="C277" s="27" t="s">
        <v>1204</v>
      </c>
      <c r="D277" s="16">
        <f>АМОРТИЗАЦІЯ!C14</f>
        <v>193</v>
      </c>
      <c r="E277" s="17">
        <v>4831.75</v>
      </c>
      <c r="F277" s="17">
        <v>0.02</v>
      </c>
      <c r="G277" s="17">
        <f>E257</f>
        <v>30</v>
      </c>
      <c r="H277" s="16">
        <f>ROUND(F277*G277,2)</f>
        <v>0.6</v>
      </c>
    </row>
    <row r="279" spans="3:8" x14ac:dyDescent="0.3">
      <c r="C279" s="12" t="s">
        <v>948</v>
      </c>
      <c r="D279" s="12"/>
      <c r="E279" s="12"/>
      <c r="F279" s="11">
        <f>H287</f>
        <v>3.5999999999999996</v>
      </c>
      <c r="G279" s="12" t="s">
        <v>971</v>
      </c>
    </row>
    <row r="280" spans="3:8" ht="8.25" customHeight="1" x14ac:dyDescent="0.3">
      <c r="C280" s="22"/>
      <c r="D280" s="22"/>
      <c r="E280" s="22"/>
      <c r="F280" s="23"/>
    </row>
    <row r="281" spans="3:8" ht="41.4" x14ac:dyDescent="0.3">
      <c r="C281" s="14" t="s">
        <v>948</v>
      </c>
      <c r="D281" s="14" t="s">
        <v>955</v>
      </c>
      <c r="E281" s="14" t="s">
        <v>516</v>
      </c>
      <c r="F281" s="14" t="s">
        <v>954</v>
      </c>
      <c r="G281" s="14" t="s">
        <v>930</v>
      </c>
      <c r="H281" s="14" t="s">
        <v>956</v>
      </c>
    </row>
    <row r="282" spans="3:8" x14ac:dyDescent="0.3">
      <c r="C282" s="1009" t="str">
        <f>C257</f>
        <v>Сестра медична з масажу</v>
      </c>
      <c r="D282" s="1010"/>
      <c r="E282" s="1010"/>
      <c r="F282" s="1010"/>
      <c r="G282" s="1010"/>
      <c r="H282" s="1011"/>
    </row>
    <row r="283" spans="3:8" x14ac:dyDescent="0.3">
      <c r="C283" s="17" t="s">
        <v>951</v>
      </c>
      <c r="D283" s="112">
        <f>D234</f>
        <v>12188.608008565312</v>
      </c>
      <c r="E283" s="17">
        <f>I254</f>
        <v>1932.7</v>
      </c>
      <c r="F283" s="17">
        <f>ROUND((D283/E283)/60,2)</f>
        <v>0.11</v>
      </c>
      <c r="G283" s="17">
        <f>E257</f>
        <v>30</v>
      </c>
      <c r="H283" s="16">
        <f>ROUND(F283*G283,2)</f>
        <v>3.3</v>
      </c>
    </row>
    <row r="284" spans="3:8" x14ac:dyDescent="0.3">
      <c r="C284" s="17" t="s">
        <v>952</v>
      </c>
      <c r="D284" s="112">
        <f>D235</f>
        <v>53.149721627408987</v>
      </c>
      <c r="E284" s="17">
        <f>I254</f>
        <v>1932.7</v>
      </c>
      <c r="F284" s="17">
        <f>ROUND((D284/E284)/60,2)</f>
        <v>0</v>
      </c>
      <c r="G284" s="17">
        <f>E257</f>
        <v>30</v>
      </c>
      <c r="H284" s="16">
        <f>ROUND(F284*G284,2)</f>
        <v>0</v>
      </c>
    </row>
    <row r="285" spans="3:8" x14ac:dyDescent="0.3">
      <c r="C285" s="17" t="s">
        <v>953</v>
      </c>
      <c r="D285" s="112">
        <f>D236</f>
        <v>374.98368308351178</v>
      </c>
      <c r="E285" s="17">
        <f>I254</f>
        <v>1932.7</v>
      </c>
      <c r="F285" s="17">
        <f>ROUND((D285/E285)/60,2)</f>
        <v>0</v>
      </c>
      <c r="G285" s="17">
        <f>E257</f>
        <v>30</v>
      </c>
      <c r="H285" s="16">
        <f>ROUND(F285*G285,2)</f>
        <v>0</v>
      </c>
    </row>
    <row r="286" spans="3:8" x14ac:dyDescent="0.3">
      <c r="C286" s="17" t="s">
        <v>1109</v>
      </c>
      <c r="D286" s="112">
        <f>D237</f>
        <v>1686.0389293361886</v>
      </c>
      <c r="E286" s="17">
        <f>I254</f>
        <v>1932.7</v>
      </c>
      <c r="F286" s="17">
        <f>ROUND((D286/E286)/60,2)</f>
        <v>0.01</v>
      </c>
      <c r="G286" s="17">
        <f>E257</f>
        <v>30</v>
      </c>
      <c r="H286" s="16">
        <f>ROUND(F286*G286,2)</f>
        <v>0.3</v>
      </c>
    </row>
    <row r="287" spans="3:8" x14ac:dyDescent="0.3">
      <c r="C287" s="1019" t="s">
        <v>957</v>
      </c>
      <c r="D287" s="1019"/>
      <c r="E287" s="1019"/>
      <c r="F287" s="1019"/>
      <c r="G287" s="1019"/>
      <c r="H287" s="18">
        <f>SUM(H283:H286)</f>
        <v>3.5999999999999996</v>
      </c>
    </row>
    <row r="290" spans="2:10" x14ac:dyDescent="0.3">
      <c r="C290" s="1015" t="s">
        <v>959</v>
      </c>
      <c r="D290" s="1015"/>
      <c r="E290" s="1015"/>
      <c r="F290" s="1015"/>
      <c r="G290" s="1015"/>
      <c r="H290" s="32">
        <f>F251+F262+F279+F274</f>
        <v>50</v>
      </c>
    </row>
    <row r="291" spans="2:10" x14ac:dyDescent="0.3">
      <c r="B291" s="65"/>
      <c r="C291" s="33"/>
      <c r="D291" s="33"/>
      <c r="E291" s="33"/>
      <c r="F291" s="33"/>
      <c r="G291" s="33"/>
      <c r="H291" s="34"/>
      <c r="I291" s="65"/>
      <c r="J291" s="65"/>
    </row>
    <row r="292" spans="2:10" x14ac:dyDescent="0.3">
      <c r="C292" s="1049" t="s">
        <v>1178</v>
      </c>
      <c r="D292" s="1049"/>
      <c r="E292" s="1049"/>
      <c r="F292" s="1049"/>
      <c r="G292" s="1049"/>
      <c r="H292" s="49">
        <f>ROUND(H290*0.2,2)</f>
        <v>10</v>
      </c>
    </row>
    <row r="293" spans="2:10" x14ac:dyDescent="0.3">
      <c r="C293" s="1015" t="s">
        <v>1179</v>
      </c>
      <c r="D293" s="1015"/>
      <c r="E293" s="1015"/>
      <c r="F293" s="1015"/>
      <c r="G293" s="1015"/>
      <c r="H293" s="32">
        <f>H290+H292</f>
        <v>60</v>
      </c>
    </row>
    <row r="296" spans="2:10" ht="18.600000000000001" x14ac:dyDescent="0.3">
      <c r="B296" s="1016" t="s">
        <v>958</v>
      </c>
      <c r="C296" s="1016"/>
      <c r="D296" s="1016"/>
      <c r="E296" s="1016"/>
      <c r="F296" s="1016"/>
      <c r="G296" s="1016"/>
      <c r="H296" s="1016"/>
      <c r="I296" s="1016"/>
    </row>
    <row r="298" spans="2:10" x14ac:dyDescent="0.3">
      <c r="B298" s="25" t="s">
        <v>801</v>
      </c>
      <c r="C298" s="1050" t="s">
        <v>802</v>
      </c>
      <c r="D298" s="1050"/>
      <c r="E298" s="10"/>
      <c r="F298" s="26">
        <f>H342</f>
        <v>45.000000000000007</v>
      </c>
      <c r="G298" s="26" t="s">
        <v>971</v>
      </c>
    </row>
    <row r="300" spans="2:10" x14ac:dyDescent="0.3">
      <c r="C300" s="1018" t="s">
        <v>932</v>
      </c>
      <c r="D300" s="1018"/>
      <c r="E300" s="10"/>
      <c r="F300" s="11">
        <f>F306+F309</f>
        <v>18.060000000000002</v>
      </c>
      <c r="G300" s="12" t="s">
        <v>971</v>
      </c>
    </row>
    <row r="302" spans="2:10" ht="27.6" x14ac:dyDescent="0.3">
      <c r="C302" s="13" t="s">
        <v>929</v>
      </c>
      <c r="D302" s="14" t="s">
        <v>928</v>
      </c>
      <c r="E302" s="14" t="s">
        <v>514</v>
      </c>
      <c r="F302" s="14" t="s">
        <v>515</v>
      </c>
      <c r="G302" s="14" t="s">
        <v>962</v>
      </c>
      <c r="H302" s="14" t="s">
        <v>926</v>
      </c>
      <c r="I302" s="14" t="s">
        <v>516</v>
      </c>
      <c r="J302" s="14" t="s">
        <v>927</v>
      </c>
    </row>
    <row r="303" spans="2:10" x14ac:dyDescent="0.3">
      <c r="C303" s="17" t="s">
        <v>963</v>
      </c>
      <c r="D303" s="16">
        <f>D254</f>
        <v>6506.55</v>
      </c>
      <c r="E303" s="16">
        <f>D303*12</f>
        <v>78078.600000000006</v>
      </c>
      <c r="F303" s="16">
        <f>F254</f>
        <v>5005</v>
      </c>
      <c r="G303" s="16">
        <f>G254</f>
        <v>2502.5</v>
      </c>
      <c r="H303" s="16">
        <f>E303+F303+G303</f>
        <v>85586.1</v>
      </c>
      <c r="I303" s="17">
        <v>1932.7</v>
      </c>
      <c r="J303" s="16">
        <f>ROUND((H303/I303)/60,2)</f>
        <v>0.74</v>
      </c>
    </row>
    <row r="305" spans="3:7" ht="27.6" x14ac:dyDescent="0.3">
      <c r="C305" s="13" t="s">
        <v>929</v>
      </c>
      <c r="D305" s="14" t="s">
        <v>961</v>
      </c>
      <c r="E305" s="14" t="s">
        <v>930</v>
      </c>
      <c r="F305" s="14" t="s">
        <v>931</v>
      </c>
    </row>
    <row r="306" spans="3:7" x14ac:dyDescent="0.3">
      <c r="C306" s="17" t="str">
        <f>C303</f>
        <v>Сестра медична з масажу</v>
      </c>
      <c r="D306" s="16">
        <f>J303</f>
        <v>0.74</v>
      </c>
      <c r="E306" s="17">
        <v>20</v>
      </c>
      <c r="F306" s="18">
        <f>ROUND(D306*E306,2)</f>
        <v>14.8</v>
      </c>
    </row>
    <row r="308" spans="3:7" x14ac:dyDescent="0.3">
      <c r="D308" s="19"/>
    </row>
    <row r="309" spans="3:7" x14ac:dyDescent="0.3">
      <c r="C309" s="17" t="s">
        <v>933</v>
      </c>
      <c r="D309" s="16">
        <f>F306</f>
        <v>14.8</v>
      </c>
      <c r="E309" s="20">
        <v>0.22</v>
      </c>
      <c r="F309" s="21">
        <f>ROUND(D309*E309,2)</f>
        <v>3.26</v>
      </c>
    </row>
    <row r="311" spans="3:7" x14ac:dyDescent="0.3">
      <c r="C311" s="12" t="s">
        <v>946</v>
      </c>
      <c r="D311" s="12"/>
      <c r="E311" s="12"/>
      <c r="F311" s="12">
        <f>G321</f>
        <v>16.84</v>
      </c>
      <c r="G311" s="12" t="s">
        <v>971</v>
      </c>
    </row>
    <row r="312" spans="3:7" x14ac:dyDescent="0.3">
      <c r="C312" s="17" t="str">
        <f t="shared" ref="C312:G320" si="6">C263</f>
        <v>Антисептик для обробки рук</v>
      </c>
      <c r="D312" s="73" t="str">
        <f t="shared" si="6"/>
        <v>мл</v>
      </c>
      <c r="E312" s="73">
        <f t="shared" si="6"/>
        <v>1</v>
      </c>
      <c r="F312" s="73">
        <f t="shared" si="6"/>
        <v>0.375</v>
      </c>
      <c r="G312" s="73">
        <f t="shared" si="6"/>
        <v>0.38</v>
      </c>
    </row>
    <row r="313" spans="3:7" x14ac:dyDescent="0.3">
      <c r="C313" s="17" t="str">
        <f t="shared" si="6"/>
        <v>Антисептик швидкої дії</v>
      </c>
      <c r="D313" s="73" t="str">
        <f t="shared" si="6"/>
        <v>мл</v>
      </c>
      <c r="E313" s="73">
        <f t="shared" si="6"/>
        <v>1</v>
      </c>
      <c r="F313" s="73">
        <f t="shared" si="6"/>
        <v>0.28799999999999998</v>
      </c>
      <c r="G313" s="73">
        <f t="shared" si="6"/>
        <v>0.28999999999999998</v>
      </c>
    </row>
    <row r="314" spans="3:7" x14ac:dyDescent="0.3">
      <c r="C314" s="17" t="str">
        <f t="shared" si="6"/>
        <v>Деззасоби</v>
      </c>
      <c r="D314" s="73" t="str">
        <f t="shared" si="6"/>
        <v>г</v>
      </c>
      <c r="E314" s="73">
        <f t="shared" si="6"/>
        <v>0.5</v>
      </c>
      <c r="F314" s="73">
        <f t="shared" si="6"/>
        <v>0.5</v>
      </c>
      <c r="G314" s="73">
        <f t="shared" si="6"/>
        <v>0.25</v>
      </c>
    </row>
    <row r="315" spans="3:7" x14ac:dyDescent="0.3">
      <c r="C315" s="17" t="str">
        <f t="shared" si="6"/>
        <v>Маска одноразова тришарова на резинці</v>
      </c>
      <c r="D315" s="73" t="str">
        <f t="shared" si="6"/>
        <v>шт</v>
      </c>
      <c r="E315" s="73">
        <f t="shared" si="6"/>
        <v>1</v>
      </c>
      <c r="F315" s="73">
        <f t="shared" si="6"/>
        <v>2</v>
      </c>
      <c r="G315" s="73">
        <f t="shared" si="6"/>
        <v>2</v>
      </c>
    </row>
    <row r="316" spans="3:7" x14ac:dyDescent="0.3">
      <c r="C316" s="17" t="str">
        <f t="shared" si="6"/>
        <v>Мило рідке</v>
      </c>
      <c r="D316" s="73" t="str">
        <f t="shared" si="6"/>
        <v>мл</v>
      </c>
      <c r="E316" s="73">
        <f t="shared" si="6"/>
        <v>1</v>
      </c>
      <c r="F316" s="73">
        <f t="shared" si="6"/>
        <v>0.19600000000000001</v>
      </c>
      <c r="G316" s="73">
        <f t="shared" si="6"/>
        <v>0.2</v>
      </c>
    </row>
    <row r="317" spans="3:7" x14ac:dyDescent="0.3">
      <c r="C317" s="17" t="str">
        <f t="shared" si="6"/>
        <v>Олія для масажу 100 мл</v>
      </c>
      <c r="D317" s="73" t="str">
        <f t="shared" si="6"/>
        <v>мл</v>
      </c>
      <c r="E317" s="221">
        <v>10.6</v>
      </c>
      <c r="F317" s="73">
        <f t="shared" si="6"/>
        <v>0.2</v>
      </c>
      <c r="G317" s="73">
        <f>E317*F317</f>
        <v>2.12</v>
      </c>
    </row>
    <row r="318" spans="3:7" x14ac:dyDescent="0.3">
      <c r="C318" s="17" t="str">
        <f t="shared" si="6"/>
        <v>Пелюшка поглинаюча 60/60</v>
      </c>
      <c r="D318" s="73" t="str">
        <f t="shared" si="6"/>
        <v>шт</v>
      </c>
      <c r="E318" s="73">
        <f t="shared" si="6"/>
        <v>1</v>
      </c>
      <c r="F318" s="73">
        <f t="shared" si="6"/>
        <v>6</v>
      </c>
      <c r="G318" s="73">
        <f t="shared" si="6"/>
        <v>6</v>
      </c>
    </row>
    <row r="319" spans="3:7" x14ac:dyDescent="0.3">
      <c r="C319" s="17" t="str">
        <f t="shared" si="6"/>
        <v>Простирадло одноразове 100 м</v>
      </c>
      <c r="D319" s="73" t="str">
        <f t="shared" si="6"/>
        <v>м</v>
      </c>
      <c r="E319" s="73">
        <f t="shared" si="6"/>
        <v>2</v>
      </c>
      <c r="F319" s="73">
        <f t="shared" si="6"/>
        <v>2.36</v>
      </c>
      <c r="G319" s="73">
        <f t="shared" si="6"/>
        <v>4.72</v>
      </c>
    </row>
    <row r="320" spans="3:7" x14ac:dyDescent="0.3">
      <c r="C320" s="17" t="str">
        <f t="shared" si="6"/>
        <v>Рушник паперовий</v>
      </c>
      <c r="D320" s="73" t="str">
        <f t="shared" si="6"/>
        <v>шт</v>
      </c>
      <c r="E320" s="73">
        <f t="shared" si="6"/>
        <v>0.05</v>
      </c>
      <c r="F320" s="73">
        <f t="shared" si="6"/>
        <v>17.5</v>
      </c>
      <c r="G320" s="73">
        <f t="shared" si="6"/>
        <v>0.88</v>
      </c>
    </row>
    <row r="321" spans="3:8" x14ac:dyDescent="0.3">
      <c r="C321" s="1019" t="s">
        <v>945</v>
      </c>
      <c r="D321" s="1019"/>
      <c r="E321" s="1019"/>
      <c r="F321" s="1019"/>
      <c r="G321" s="572">
        <f>SUM(G312:G320)</f>
        <v>16.84</v>
      </c>
    </row>
    <row r="323" spans="3:8" x14ac:dyDescent="0.3">
      <c r="C323" s="12" t="s">
        <v>968</v>
      </c>
      <c r="D323" s="12"/>
      <c r="E323" s="12"/>
      <c r="F323" s="11">
        <f>H326</f>
        <v>0.2</v>
      </c>
      <c r="G323" s="12" t="s">
        <v>971</v>
      </c>
    </row>
    <row r="324" spans="3:8" ht="8.25" customHeight="1" x14ac:dyDescent="0.3">
      <c r="C324" s="22"/>
      <c r="D324" s="22"/>
      <c r="E324" s="22"/>
      <c r="F324" s="23"/>
      <c r="G324" s="22"/>
    </row>
    <row r="325" spans="3:8" ht="27.6" x14ac:dyDescent="0.3">
      <c r="C325" s="14" t="s">
        <v>513</v>
      </c>
      <c r="D325" s="14" t="s">
        <v>1108</v>
      </c>
      <c r="E325" s="14" t="s">
        <v>516</v>
      </c>
      <c r="F325" s="14" t="s">
        <v>970</v>
      </c>
      <c r="G325" s="14" t="s">
        <v>930</v>
      </c>
      <c r="H325" s="14" t="s">
        <v>961</v>
      </c>
    </row>
    <row r="326" spans="3:8" x14ac:dyDescent="0.3">
      <c r="C326" s="27" t="s">
        <v>1204</v>
      </c>
      <c r="D326" s="16">
        <f>АМОРТИЗАЦІЯ!C14</f>
        <v>193</v>
      </c>
      <c r="E326" s="17">
        <v>4831.75</v>
      </c>
      <c r="F326" s="17">
        <v>0.01</v>
      </c>
      <c r="G326" s="17">
        <f>E306</f>
        <v>20</v>
      </c>
      <c r="H326" s="16">
        <f>ROUND(F326*G326,2)</f>
        <v>0.2</v>
      </c>
    </row>
    <row r="328" spans="3:8" x14ac:dyDescent="0.3">
      <c r="C328" s="12" t="s">
        <v>948</v>
      </c>
      <c r="D328" s="12"/>
      <c r="E328" s="12"/>
      <c r="F328" s="11">
        <f>H336</f>
        <v>2.4000000000000004</v>
      </c>
      <c r="G328" s="12" t="s">
        <v>971</v>
      </c>
    </row>
    <row r="329" spans="3:8" ht="5.25" customHeight="1" x14ac:dyDescent="0.3">
      <c r="C329" s="22"/>
      <c r="D329" s="22"/>
      <c r="E329" s="22"/>
      <c r="F329" s="23"/>
    </row>
    <row r="330" spans="3:8" ht="41.4" x14ac:dyDescent="0.3">
      <c r="C330" s="14" t="s">
        <v>948</v>
      </c>
      <c r="D330" s="14" t="s">
        <v>955</v>
      </c>
      <c r="E330" s="14" t="s">
        <v>516</v>
      </c>
      <c r="F330" s="14" t="s">
        <v>954</v>
      </c>
      <c r="G330" s="14" t="s">
        <v>930</v>
      </c>
      <c r="H330" s="14" t="s">
        <v>956</v>
      </c>
    </row>
    <row r="331" spans="3:8" x14ac:dyDescent="0.3">
      <c r="C331" s="1009" t="str">
        <f>C306</f>
        <v>Сестра медична з масажу</v>
      </c>
      <c r="D331" s="1010"/>
      <c r="E331" s="1010"/>
      <c r="F331" s="1010"/>
      <c r="G331" s="1010"/>
      <c r="H331" s="1011"/>
    </row>
    <row r="332" spans="3:8" x14ac:dyDescent="0.3">
      <c r="C332" s="17" t="s">
        <v>951</v>
      </c>
      <c r="D332" s="112">
        <f>D283</f>
        <v>12188.608008565312</v>
      </c>
      <c r="E332" s="17">
        <f>I303</f>
        <v>1932.7</v>
      </c>
      <c r="F332" s="17">
        <f>ROUND((D332/E332)/60,2)</f>
        <v>0.11</v>
      </c>
      <c r="G332" s="17">
        <f>E306</f>
        <v>20</v>
      </c>
      <c r="H332" s="16">
        <f>ROUND(F332*G332,2)</f>
        <v>2.2000000000000002</v>
      </c>
    </row>
    <row r="333" spans="3:8" x14ac:dyDescent="0.3">
      <c r="C333" s="17" t="s">
        <v>952</v>
      </c>
      <c r="D333" s="112">
        <f>D284</f>
        <v>53.149721627408987</v>
      </c>
      <c r="E333" s="17">
        <f>I303</f>
        <v>1932.7</v>
      </c>
      <c r="F333" s="17">
        <f>ROUND((D333/E333)/60,2)</f>
        <v>0</v>
      </c>
      <c r="G333" s="17">
        <f>E306</f>
        <v>20</v>
      </c>
      <c r="H333" s="16">
        <f>ROUND(F333*G333,2)</f>
        <v>0</v>
      </c>
    </row>
    <row r="334" spans="3:8" x14ac:dyDescent="0.3">
      <c r="C334" s="17" t="s">
        <v>953</v>
      </c>
      <c r="D334" s="112">
        <f>D285</f>
        <v>374.98368308351178</v>
      </c>
      <c r="E334" s="17">
        <f>I303</f>
        <v>1932.7</v>
      </c>
      <c r="F334" s="17">
        <f>ROUND((D334/E334)/60,2)</f>
        <v>0</v>
      </c>
      <c r="G334" s="17">
        <f>E306</f>
        <v>20</v>
      </c>
      <c r="H334" s="16">
        <f>ROUND(F334*G334,2)</f>
        <v>0</v>
      </c>
    </row>
    <row r="335" spans="3:8" x14ac:dyDescent="0.3">
      <c r="C335" s="17" t="s">
        <v>1109</v>
      </c>
      <c r="D335" s="112">
        <f>D286</f>
        <v>1686.0389293361886</v>
      </c>
      <c r="E335" s="17">
        <f>I303</f>
        <v>1932.7</v>
      </c>
      <c r="F335" s="17">
        <f>ROUND((D335/E335)/60,2)</f>
        <v>0.01</v>
      </c>
      <c r="G335" s="17">
        <f>E306</f>
        <v>20</v>
      </c>
      <c r="H335" s="16">
        <f>ROUND(F335*G335,2)</f>
        <v>0.2</v>
      </c>
    </row>
    <row r="336" spans="3:8" x14ac:dyDescent="0.3">
      <c r="C336" s="1019" t="s">
        <v>957</v>
      </c>
      <c r="D336" s="1019"/>
      <c r="E336" s="1019"/>
      <c r="F336" s="1019"/>
      <c r="G336" s="1019"/>
      <c r="H336" s="18">
        <f>SUM(H332:H335)</f>
        <v>2.4000000000000004</v>
      </c>
    </row>
    <row r="338" spans="2:10" ht="9" customHeight="1" x14ac:dyDescent="0.3"/>
    <row r="339" spans="2:10" x14ac:dyDescent="0.3">
      <c r="C339" s="1015" t="s">
        <v>959</v>
      </c>
      <c r="D339" s="1015"/>
      <c r="E339" s="1015"/>
      <c r="F339" s="1015"/>
      <c r="G339" s="1015"/>
      <c r="H339" s="32">
        <f>F300+F311+F328+F323</f>
        <v>37.500000000000007</v>
      </c>
    </row>
    <row r="340" spans="2:10" x14ac:dyDescent="0.3">
      <c r="B340" s="65"/>
      <c r="C340" s="33"/>
      <c r="D340" s="33"/>
      <c r="E340" s="33"/>
      <c r="F340" s="33"/>
      <c r="G340" s="33"/>
      <c r="H340" s="34"/>
      <c r="I340" s="65"/>
      <c r="J340" s="65"/>
    </row>
    <row r="341" spans="2:10" x14ac:dyDescent="0.3">
      <c r="C341" s="1049" t="s">
        <v>1178</v>
      </c>
      <c r="D341" s="1049"/>
      <c r="E341" s="1049"/>
      <c r="F341" s="1049"/>
      <c r="G341" s="1049"/>
      <c r="H341" s="49">
        <f>ROUND(H339*0.2,2)</f>
        <v>7.5</v>
      </c>
    </row>
    <row r="342" spans="2:10" x14ac:dyDescent="0.3">
      <c r="C342" s="1015" t="s">
        <v>1179</v>
      </c>
      <c r="D342" s="1015"/>
      <c r="E342" s="1015"/>
      <c r="F342" s="1015"/>
      <c r="G342" s="1015"/>
      <c r="H342" s="32">
        <f>H339+H341</f>
        <v>45.000000000000007</v>
      </c>
    </row>
    <row r="345" spans="2:10" ht="18.600000000000001" x14ac:dyDescent="0.3">
      <c r="B345" s="1016" t="s">
        <v>958</v>
      </c>
      <c r="C345" s="1016"/>
      <c r="D345" s="1016"/>
      <c r="E345" s="1016"/>
      <c r="F345" s="1016"/>
      <c r="G345" s="1016"/>
      <c r="H345" s="1016"/>
      <c r="I345" s="1016"/>
    </row>
    <row r="347" spans="2:10" x14ac:dyDescent="0.3">
      <c r="B347" s="25" t="s">
        <v>803</v>
      </c>
      <c r="C347" s="1050" t="s">
        <v>804</v>
      </c>
      <c r="D347" s="1050"/>
      <c r="E347" s="10"/>
      <c r="F347" s="26">
        <f>H391</f>
        <v>45.000000000000007</v>
      </c>
      <c r="G347" s="26" t="s">
        <v>971</v>
      </c>
    </row>
    <row r="349" spans="2:10" x14ac:dyDescent="0.3">
      <c r="C349" s="1018" t="s">
        <v>932</v>
      </c>
      <c r="D349" s="1018"/>
      <c r="E349" s="10"/>
      <c r="F349" s="11">
        <f>F355+F358</f>
        <v>18.060000000000002</v>
      </c>
      <c r="G349" s="12" t="s">
        <v>971</v>
      </c>
    </row>
    <row r="351" spans="2:10" ht="27.6" x14ac:dyDescent="0.3">
      <c r="C351" s="13" t="s">
        <v>929</v>
      </c>
      <c r="D351" s="14" t="s">
        <v>928</v>
      </c>
      <c r="E351" s="14" t="s">
        <v>514</v>
      </c>
      <c r="F351" s="14" t="s">
        <v>515</v>
      </c>
      <c r="G351" s="14" t="s">
        <v>962</v>
      </c>
      <c r="H351" s="14" t="s">
        <v>926</v>
      </c>
      <c r="I351" s="14" t="s">
        <v>516</v>
      </c>
      <c r="J351" s="14" t="s">
        <v>927</v>
      </c>
    </row>
    <row r="352" spans="2:10" x14ac:dyDescent="0.3">
      <c r="C352" s="17" t="s">
        <v>963</v>
      </c>
      <c r="D352" s="16">
        <f>D303</f>
        <v>6506.55</v>
      </c>
      <c r="E352" s="16">
        <f>D352*12</f>
        <v>78078.600000000006</v>
      </c>
      <c r="F352" s="16">
        <f>F303</f>
        <v>5005</v>
      </c>
      <c r="G352" s="16">
        <f>G303</f>
        <v>2502.5</v>
      </c>
      <c r="H352" s="16">
        <f>E352+F352+G352</f>
        <v>85586.1</v>
      </c>
      <c r="I352" s="17">
        <v>1932.7</v>
      </c>
      <c r="J352" s="16">
        <f>ROUND((H352/I352)/60,2)</f>
        <v>0.74</v>
      </c>
    </row>
    <row r="354" spans="3:7" ht="27.6" x14ac:dyDescent="0.3">
      <c r="C354" s="13" t="s">
        <v>929</v>
      </c>
      <c r="D354" s="14" t="s">
        <v>961</v>
      </c>
      <c r="E354" s="14" t="s">
        <v>930</v>
      </c>
      <c r="F354" s="14" t="s">
        <v>931</v>
      </c>
    </row>
    <row r="355" spans="3:7" x14ac:dyDescent="0.3">
      <c r="C355" s="17" t="str">
        <f>C352</f>
        <v>Сестра медична з масажу</v>
      </c>
      <c r="D355" s="16">
        <f>J352</f>
        <v>0.74</v>
      </c>
      <c r="E355" s="17">
        <v>20</v>
      </c>
      <c r="F355" s="18">
        <f>ROUND(D355*E355,2)</f>
        <v>14.8</v>
      </c>
    </row>
    <row r="357" spans="3:7" x14ac:dyDescent="0.3">
      <c r="D357" s="19"/>
    </row>
    <row r="358" spans="3:7" x14ac:dyDescent="0.3">
      <c r="C358" s="17" t="s">
        <v>933</v>
      </c>
      <c r="D358" s="16">
        <f>F355</f>
        <v>14.8</v>
      </c>
      <c r="E358" s="20">
        <v>0.22</v>
      </c>
      <c r="F358" s="21">
        <f>ROUND(D358*E358,2)</f>
        <v>3.26</v>
      </c>
    </row>
    <row r="360" spans="3:7" x14ac:dyDescent="0.3">
      <c r="C360" s="12" t="s">
        <v>946</v>
      </c>
      <c r="D360" s="12"/>
      <c r="E360" s="12"/>
      <c r="F360" s="12">
        <f>G370</f>
        <v>16.84</v>
      </c>
      <c r="G360" s="12" t="s">
        <v>971</v>
      </c>
    </row>
    <row r="361" spans="3:7" x14ac:dyDescent="0.3">
      <c r="C361" s="17" t="str">
        <f t="shared" ref="C361:G369" si="7">C312</f>
        <v>Антисептик для обробки рук</v>
      </c>
      <c r="D361" s="73" t="str">
        <f t="shared" si="7"/>
        <v>мл</v>
      </c>
      <c r="E361" s="73">
        <f t="shared" si="7"/>
        <v>1</v>
      </c>
      <c r="F361" s="73">
        <f t="shared" si="7"/>
        <v>0.375</v>
      </c>
      <c r="G361" s="73">
        <f t="shared" si="7"/>
        <v>0.38</v>
      </c>
    </row>
    <row r="362" spans="3:7" x14ac:dyDescent="0.3">
      <c r="C362" s="17" t="str">
        <f t="shared" si="7"/>
        <v>Антисептик швидкої дії</v>
      </c>
      <c r="D362" s="73" t="str">
        <f t="shared" si="7"/>
        <v>мл</v>
      </c>
      <c r="E362" s="73">
        <f t="shared" si="7"/>
        <v>1</v>
      </c>
      <c r="F362" s="73">
        <f t="shared" si="7"/>
        <v>0.28799999999999998</v>
      </c>
      <c r="G362" s="73">
        <f t="shared" si="7"/>
        <v>0.28999999999999998</v>
      </c>
    </row>
    <row r="363" spans="3:7" x14ac:dyDescent="0.3">
      <c r="C363" s="17" t="str">
        <f t="shared" si="7"/>
        <v>Деззасоби</v>
      </c>
      <c r="D363" s="73" t="str">
        <f t="shared" si="7"/>
        <v>г</v>
      </c>
      <c r="E363" s="73">
        <f t="shared" si="7"/>
        <v>0.5</v>
      </c>
      <c r="F363" s="73">
        <f t="shared" si="7"/>
        <v>0.5</v>
      </c>
      <c r="G363" s="73">
        <f t="shared" si="7"/>
        <v>0.25</v>
      </c>
    </row>
    <row r="364" spans="3:7" x14ac:dyDescent="0.3">
      <c r="C364" s="17" t="str">
        <f t="shared" si="7"/>
        <v>Маска одноразова тришарова на резинці</v>
      </c>
      <c r="D364" s="73" t="str">
        <f t="shared" si="7"/>
        <v>шт</v>
      </c>
      <c r="E364" s="73">
        <f t="shared" si="7"/>
        <v>1</v>
      </c>
      <c r="F364" s="73">
        <f t="shared" si="7"/>
        <v>2</v>
      </c>
      <c r="G364" s="73">
        <f t="shared" si="7"/>
        <v>2</v>
      </c>
    </row>
    <row r="365" spans="3:7" x14ac:dyDescent="0.3">
      <c r="C365" s="17" t="str">
        <f t="shared" si="7"/>
        <v>Мило рідке</v>
      </c>
      <c r="D365" s="73" t="str">
        <f t="shared" si="7"/>
        <v>мл</v>
      </c>
      <c r="E365" s="73">
        <f t="shared" si="7"/>
        <v>1</v>
      </c>
      <c r="F365" s="73">
        <f t="shared" si="7"/>
        <v>0.19600000000000001</v>
      </c>
      <c r="G365" s="73">
        <f t="shared" si="7"/>
        <v>0.2</v>
      </c>
    </row>
    <row r="366" spans="3:7" x14ac:dyDescent="0.3">
      <c r="C366" s="17" t="str">
        <f t="shared" si="7"/>
        <v>Олія для масажу 100 мл</v>
      </c>
      <c r="D366" s="73" t="str">
        <f t="shared" si="7"/>
        <v>мл</v>
      </c>
      <c r="E366" s="73">
        <f t="shared" si="7"/>
        <v>10.6</v>
      </c>
      <c r="F366" s="73">
        <f t="shared" si="7"/>
        <v>0.2</v>
      </c>
      <c r="G366" s="73">
        <f t="shared" si="7"/>
        <v>2.12</v>
      </c>
    </row>
    <row r="367" spans="3:7" x14ac:dyDescent="0.3">
      <c r="C367" s="17" t="str">
        <f t="shared" si="7"/>
        <v>Пелюшка поглинаюча 60/60</v>
      </c>
      <c r="D367" s="73" t="str">
        <f t="shared" si="7"/>
        <v>шт</v>
      </c>
      <c r="E367" s="73">
        <f t="shared" si="7"/>
        <v>1</v>
      </c>
      <c r="F367" s="73">
        <f t="shared" si="7"/>
        <v>6</v>
      </c>
      <c r="G367" s="73">
        <f t="shared" si="7"/>
        <v>6</v>
      </c>
    </row>
    <row r="368" spans="3:7" x14ac:dyDescent="0.3">
      <c r="C368" s="17" t="str">
        <f t="shared" si="7"/>
        <v>Простирадло одноразове 100 м</v>
      </c>
      <c r="D368" s="73" t="str">
        <f t="shared" si="7"/>
        <v>м</v>
      </c>
      <c r="E368" s="73">
        <f t="shared" si="7"/>
        <v>2</v>
      </c>
      <c r="F368" s="73">
        <f t="shared" si="7"/>
        <v>2.36</v>
      </c>
      <c r="G368" s="73">
        <f t="shared" si="7"/>
        <v>4.72</v>
      </c>
    </row>
    <row r="369" spans="3:8" x14ac:dyDescent="0.3">
      <c r="C369" s="17" t="str">
        <f t="shared" si="7"/>
        <v>Рушник паперовий</v>
      </c>
      <c r="D369" s="73" t="str">
        <f t="shared" si="7"/>
        <v>шт</v>
      </c>
      <c r="E369" s="73">
        <f t="shared" si="7"/>
        <v>0.05</v>
      </c>
      <c r="F369" s="73">
        <f t="shared" si="7"/>
        <v>17.5</v>
      </c>
      <c r="G369" s="73">
        <f t="shared" si="7"/>
        <v>0.88</v>
      </c>
    </row>
    <row r="370" spans="3:8" x14ac:dyDescent="0.3">
      <c r="C370" s="1019" t="s">
        <v>945</v>
      </c>
      <c r="D370" s="1019"/>
      <c r="E370" s="1019"/>
      <c r="F370" s="1019"/>
      <c r="G370" s="572">
        <f>SUM(G361:G369)</f>
        <v>16.84</v>
      </c>
    </row>
    <row r="372" spans="3:8" x14ac:dyDescent="0.3">
      <c r="C372" s="12" t="s">
        <v>968</v>
      </c>
      <c r="D372" s="12"/>
      <c r="E372" s="12"/>
      <c r="F372" s="11">
        <f>H375</f>
        <v>0.2</v>
      </c>
      <c r="G372" s="12" t="s">
        <v>971</v>
      </c>
    </row>
    <row r="373" spans="3:8" ht="9" customHeight="1" x14ac:dyDescent="0.3">
      <c r="C373" s="22"/>
      <c r="D373" s="22"/>
      <c r="E373" s="22"/>
      <c r="F373" s="23"/>
      <c r="G373" s="22"/>
    </row>
    <row r="374" spans="3:8" ht="27.6" x14ac:dyDescent="0.3">
      <c r="C374" s="14" t="s">
        <v>513</v>
      </c>
      <c r="D374" s="14" t="s">
        <v>1108</v>
      </c>
      <c r="E374" s="14" t="s">
        <v>516</v>
      </c>
      <c r="F374" s="14" t="s">
        <v>970</v>
      </c>
      <c r="G374" s="14" t="s">
        <v>930</v>
      </c>
      <c r="H374" s="14" t="s">
        <v>961</v>
      </c>
    </row>
    <row r="375" spans="3:8" x14ac:dyDescent="0.3">
      <c r="C375" s="27" t="s">
        <v>1204</v>
      </c>
      <c r="D375" s="16">
        <f>АМОРТИЗАЦІЯ!C14</f>
        <v>193</v>
      </c>
      <c r="E375" s="17">
        <v>4831.75</v>
      </c>
      <c r="F375" s="17">
        <v>0.01</v>
      </c>
      <c r="G375" s="17">
        <f>E355</f>
        <v>20</v>
      </c>
      <c r="H375" s="16">
        <f>ROUND(F375*G375,2)</f>
        <v>0.2</v>
      </c>
    </row>
    <row r="377" spans="3:8" x14ac:dyDescent="0.3">
      <c r="C377" s="12" t="s">
        <v>948</v>
      </c>
      <c r="D377" s="12"/>
      <c r="E377" s="12"/>
      <c r="F377" s="11">
        <f>H385</f>
        <v>2.4000000000000004</v>
      </c>
      <c r="G377" s="12" t="s">
        <v>971</v>
      </c>
    </row>
    <row r="378" spans="3:8" ht="6.75" customHeight="1" x14ac:dyDescent="0.3">
      <c r="C378" s="22"/>
      <c r="D378" s="22"/>
      <c r="E378" s="22"/>
      <c r="F378" s="23"/>
    </row>
    <row r="379" spans="3:8" ht="41.4" x14ac:dyDescent="0.3">
      <c r="C379" s="14" t="s">
        <v>948</v>
      </c>
      <c r="D379" s="14" t="s">
        <v>955</v>
      </c>
      <c r="E379" s="14" t="s">
        <v>516</v>
      </c>
      <c r="F379" s="14" t="s">
        <v>954</v>
      </c>
      <c r="G379" s="14" t="s">
        <v>930</v>
      </c>
      <c r="H379" s="14" t="s">
        <v>956</v>
      </c>
    </row>
    <row r="380" spans="3:8" x14ac:dyDescent="0.3">
      <c r="C380" s="1009" t="str">
        <f>C355</f>
        <v>Сестра медична з масажу</v>
      </c>
      <c r="D380" s="1010"/>
      <c r="E380" s="1010"/>
      <c r="F380" s="1010"/>
      <c r="G380" s="1010"/>
      <c r="H380" s="1011"/>
    </row>
    <row r="381" spans="3:8" x14ac:dyDescent="0.3">
      <c r="C381" s="17" t="s">
        <v>951</v>
      </c>
      <c r="D381" s="112">
        <f>D332</f>
        <v>12188.608008565312</v>
      </c>
      <c r="E381" s="17">
        <f>I352</f>
        <v>1932.7</v>
      </c>
      <c r="F381" s="17">
        <f>ROUND((D381/E381)/60,2)</f>
        <v>0.11</v>
      </c>
      <c r="G381" s="17">
        <f>E355</f>
        <v>20</v>
      </c>
      <c r="H381" s="16">
        <f>ROUND(F381*G381,2)</f>
        <v>2.2000000000000002</v>
      </c>
    </row>
    <row r="382" spans="3:8" x14ac:dyDescent="0.3">
      <c r="C382" s="17" t="s">
        <v>952</v>
      </c>
      <c r="D382" s="112">
        <f>D333</f>
        <v>53.149721627408987</v>
      </c>
      <c r="E382" s="17">
        <f>I352</f>
        <v>1932.7</v>
      </c>
      <c r="F382" s="17">
        <f>ROUND((D382/E382)/60,2)</f>
        <v>0</v>
      </c>
      <c r="G382" s="17">
        <f>E355</f>
        <v>20</v>
      </c>
      <c r="H382" s="16">
        <f>ROUND(F382*G382,2)</f>
        <v>0</v>
      </c>
    </row>
    <row r="383" spans="3:8" x14ac:dyDescent="0.3">
      <c r="C383" s="17" t="s">
        <v>953</v>
      </c>
      <c r="D383" s="112">
        <f>D334</f>
        <v>374.98368308351178</v>
      </c>
      <c r="E383" s="17">
        <f>I352</f>
        <v>1932.7</v>
      </c>
      <c r="F383" s="17">
        <f>ROUND((D383/E383)/60,2)</f>
        <v>0</v>
      </c>
      <c r="G383" s="17">
        <f>E355</f>
        <v>20</v>
      </c>
      <c r="H383" s="16">
        <f>ROUND(F383*G383,2)</f>
        <v>0</v>
      </c>
    </row>
    <row r="384" spans="3:8" x14ac:dyDescent="0.3">
      <c r="C384" s="17" t="s">
        <v>1109</v>
      </c>
      <c r="D384" s="112">
        <f>D335</f>
        <v>1686.0389293361886</v>
      </c>
      <c r="E384" s="17">
        <f>I352</f>
        <v>1932.7</v>
      </c>
      <c r="F384" s="17">
        <f>ROUND((D384/E384)/60,2)</f>
        <v>0.01</v>
      </c>
      <c r="G384" s="17">
        <f>E355</f>
        <v>20</v>
      </c>
      <c r="H384" s="16">
        <f>ROUND(F384*G384,2)</f>
        <v>0.2</v>
      </c>
    </row>
    <row r="385" spans="2:10" x14ac:dyDescent="0.3">
      <c r="C385" s="1019" t="s">
        <v>957</v>
      </c>
      <c r="D385" s="1019"/>
      <c r="E385" s="1019"/>
      <c r="F385" s="1019"/>
      <c r="G385" s="1019"/>
      <c r="H385" s="18">
        <f>SUM(H381:H384)</f>
        <v>2.4000000000000004</v>
      </c>
    </row>
    <row r="387" spans="2:10" ht="8.25" customHeight="1" x14ac:dyDescent="0.3"/>
    <row r="388" spans="2:10" x14ac:dyDescent="0.3">
      <c r="C388" s="1015" t="s">
        <v>959</v>
      </c>
      <c r="D388" s="1015"/>
      <c r="E388" s="1015"/>
      <c r="F388" s="1015"/>
      <c r="G388" s="1015"/>
      <c r="H388" s="32">
        <f>F349+F360+F377+F372</f>
        <v>37.500000000000007</v>
      </c>
    </row>
    <row r="389" spans="2:10" x14ac:dyDescent="0.3">
      <c r="B389" s="65"/>
      <c r="C389" s="33"/>
      <c r="D389" s="33"/>
      <c r="E389" s="33"/>
      <c r="F389" s="33"/>
      <c r="G389" s="33"/>
      <c r="H389" s="34"/>
      <c r="I389" s="65"/>
      <c r="J389" s="65"/>
    </row>
    <row r="390" spans="2:10" x14ac:dyDescent="0.3">
      <c r="C390" s="1049" t="s">
        <v>1178</v>
      </c>
      <c r="D390" s="1049"/>
      <c r="E390" s="1049"/>
      <c r="F390" s="1049"/>
      <c r="G390" s="1049"/>
      <c r="H390" s="49">
        <f>ROUND(H388*0.2,2)</f>
        <v>7.5</v>
      </c>
    </row>
    <row r="391" spans="2:10" x14ac:dyDescent="0.3">
      <c r="C391" s="1015" t="s">
        <v>1179</v>
      </c>
      <c r="D391" s="1015"/>
      <c r="E391" s="1015"/>
      <c r="F391" s="1015"/>
      <c r="G391" s="1015"/>
      <c r="H391" s="32">
        <f>H388+H390</f>
        <v>45.000000000000007</v>
      </c>
    </row>
    <row r="394" spans="2:10" ht="18.600000000000001" x14ac:dyDescent="0.3">
      <c r="B394" s="1016" t="s">
        <v>958</v>
      </c>
      <c r="C394" s="1016"/>
      <c r="D394" s="1016"/>
      <c r="E394" s="1016"/>
      <c r="F394" s="1016"/>
      <c r="G394" s="1016"/>
      <c r="H394" s="1016"/>
      <c r="I394" s="1016"/>
    </row>
    <row r="396" spans="2:10" x14ac:dyDescent="0.3">
      <c r="B396" s="25" t="s">
        <v>805</v>
      </c>
      <c r="C396" s="1050" t="s">
        <v>806</v>
      </c>
      <c r="D396" s="1050"/>
      <c r="E396" s="10"/>
      <c r="F396" s="26">
        <f>H440</f>
        <v>45.000000000000007</v>
      </c>
      <c r="G396" s="26" t="s">
        <v>971</v>
      </c>
    </row>
    <row r="398" spans="2:10" x14ac:dyDescent="0.3">
      <c r="C398" s="1018" t="s">
        <v>932</v>
      </c>
      <c r="D398" s="1018"/>
      <c r="E398" s="10"/>
      <c r="F398" s="11">
        <f>F404+F407</f>
        <v>18.060000000000002</v>
      </c>
      <c r="G398" s="12" t="s">
        <v>971</v>
      </c>
    </row>
    <row r="400" spans="2:10" ht="27.6" x14ac:dyDescent="0.3">
      <c r="C400" s="13" t="s">
        <v>929</v>
      </c>
      <c r="D400" s="14" t="s">
        <v>928</v>
      </c>
      <c r="E400" s="14" t="s">
        <v>514</v>
      </c>
      <c r="F400" s="14" t="s">
        <v>515</v>
      </c>
      <c r="G400" s="14" t="s">
        <v>962</v>
      </c>
      <c r="H400" s="14" t="s">
        <v>926</v>
      </c>
      <c r="I400" s="14" t="s">
        <v>516</v>
      </c>
      <c r="J400" s="14" t="s">
        <v>927</v>
      </c>
    </row>
    <row r="401" spans="3:10" x14ac:dyDescent="0.3">
      <c r="C401" s="17" t="s">
        <v>963</v>
      </c>
      <c r="D401" s="16">
        <f>D352</f>
        <v>6506.55</v>
      </c>
      <c r="E401" s="16">
        <f>D401*12</f>
        <v>78078.600000000006</v>
      </c>
      <c r="F401" s="16">
        <f>F352</f>
        <v>5005</v>
      </c>
      <c r="G401" s="16">
        <f>F401*0.5</f>
        <v>2502.5</v>
      </c>
      <c r="H401" s="16">
        <f>E401+F401+G401</f>
        <v>85586.1</v>
      </c>
      <c r="I401" s="17">
        <v>1932.7</v>
      </c>
      <c r="J401" s="16">
        <f>ROUND((H401/I401)/60,2)</f>
        <v>0.74</v>
      </c>
    </row>
    <row r="403" spans="3:10" ht="27.6" x14ac:dyDescent="0.3">
      <c r="C403" s="13" t="s">
        <v>929</v>
      </c>
      <c r="D403" s="14" t="s">
        <v>961</v>
      </c>
      <c r="E403" s="14" t="s">
        <v>930</v>
      </c>
      <c r="F403" s="14" t="s">
        <v>931</v>
      </c>
    </row>
    <row r="404" spans="3:10" x14ac:dyDescent="0.3">
      <c r="C404" s="17" t="str">
        <f>C401</f>
        <v>Сестра медична з масажу</v>
      </c>
      <c r="D404" s="16">
        <f>J401</f>
        <v>0.74</v>
      </c>
      <c r="E404" s="17">
        <v>20</v>
      </c>
      <c r="F404" s="18">
        <f>ROUND(D404*E404,2)</f>
        <v>14.8</v>
      </c>
    </row>
    <row r="406" spans="3:10" x14ac:dyDescent="0.3">
      <c r="D406" s="19"/>
    </row>
    <row r="407" spans="3:10" x14ac:dyDescent="0.3">
      <c r="C407" s="17" t="s">
        <v>933</v>
      </c>
      <c r="D407" s="16">
        <f>F404</f>
        <v>14.8</v>
      </c>
      <c r="E407" s="20">
        <v>0.22</v>
      </c>
      <c r="F407" s="21">
        <f>ROUND(D407*E407,2)</f>
        <v>3.26</v>
      </c>
    </row>
    <row r="409" spans="3:10" x14ac:dyDescent="0.3">
      <c r="C409" s="12" t="s">
        <v>946</v>
      </c>
      <c r="D409" s="12"/>
      <c r="E409" s="12"/>
      <c r="F409" s="12">
        <f>G419</f>
        <v>16.84</v>
      </c>
      <c r="G409" s="12" t="s">
        <v>971</v>
      </c>
    </row>
    <row r="410" spans="3:10" x14ac:dyDescent="0.3">
      <c r="C410" s="17" t="str">
        <f t="shared" ref="C410:G418" si="8">C361</f>
        <v>Антисептик для обробки рук</v>
      </c>
      <c r="D410" s="73" t="str">
        <f t="shared" si="8"/>
        <v>мл</v>
      </c>
      <c r="E410" s="73">
        <f t="shared" si="8"/>
        <v>1</v>
      </c>
      <c r="F410" s="73">
        <f t="shared" si="8"/>
        <v>0.375</v>
      </c>
      <c r="G410" s="73">
        <f t="shared" si="8"/>
        <v>0.38</v>
      </c>
    </row>
    <row r="411" spans="3:10" x14ac:dyDescent="0.3">
      <c r="C411" s="17" t="str">
        <f t="shared" si="8"/>
        <v>Антисептик швидкої дії</v>
      </c>
      <c r="D411" s="73" t="str">
        <f t="shared" si="8"/>
        <v>мл</v>
      </c>
      <c r="E411" s="73">
        <f t="shared" si="8"/>
        <v>1</v>
      </c>
      <c r="F411" s="73">
        <f t="shared" si="8"/>
        <v>0.28799999999999998</v>
      </c>
      <c r="G411" s="73">
        <f t="shared" si="8"/>
        <v>0.28999999999999998</v>
      </c>
    </row>
    <row r="412" spans="3:10" x14ac:dyDescent="0.3">
      <c r="C412" s="17" t="str">
        <f t="shared" si="8"/>
        <v>Деззасоби</v>
      </c>
      <c r="D412" s="73" t="str">
        <f t="shared" si="8"/>
        <v>г</v>
      </c>
      <c r="E412" s="73">
        <f t="shared" si="8"/>
        <v>0.5</v>
      </c>
      <c r="F412" s="73">
        <f t="shared" si="8"/>
        <v>0.5</v>
      </c>
      <c r="G412" s="73">
        <f t="shared" si="8"/>
        <v>0.25</v>
      </c>
    </row>
    <row r="413" spans="3:10" x14ac:dyDescent="0.3">
      <c r="C413" s="17" t="str">
        <f t="shared" si="8"/>
        <v>Маска одноразова тришарова на резинці</v>
      </c>
      <c r="D413" s="73" t="str">
        <f t="shared" si="8"/>
        <v>шт</v>
      </c>
      <c r="E413" s="73">
        <f t="shared" si="8"/>
        <v>1</v>
      </c>
      <c r="F413" s="73">
        <f t="shared" si="8"/>
        <v>2</v>
      </c>
      <c r="G413" s="73">
        <f t="shared" si="8"/>
        <v>2</v>
      </c>
    </row>
    <row r="414" spans="3:10" x14ac:dyDescent="0.3">
      <c r="C414" s="17" t="str">
        <f t="shared" si="8"/>
        <v>Мило рідке</v>
      </c>
      <c r="D414" s="73" t="str">
        <f t="shared" si="8"/>
        <v>мл</v>
      </c>
      <c r="E414" s="73">
        <f t="shared" si="8"/>
        <v>1</v>
      </c>
      <c r="F414" s="73">
        <f t="shared" si="8"/>
        <v>0.19600000000000001</v>
      </c>
      <c r="G414" s="73">
        <f t="shared" si="8"/>
        <v>0.2</v>
      </c>
    </row>
    <row r="415" spans="3:10" x14ac:dyDescent="0.3">
      <c r="C415" s="17" t="str">
        <f t="shared" si="8"/>
        <v>Олія для масажу 100 мл</v>
      </c>
      <c r="D415" s="73" t="str">
        <f t="shared" si="8"/>
        <v>мл</v>
      </c>
      <c r="E415" s="73">
        <f t="shared" si="8"/>
        <v>10.6</v>
      </c>
      <c r="F415" s="73">
        <f t="shared" si="8"/>
        <v>0.2</v>
      </c>
      <c r="G415" s="73">
        <f t="shared" si="8"/>
        <v>2.12</v>
      </c>
    </row>
    <row r="416" spans="3:10" x14ac:dyDescent="0.3">
      <c r="C416" s="17" t="str">
        <f t="shared" si="8"/>
        <v>Пелюшка поглинаюча 60/60</v>
      </c>
      <c r="D416" s="73" t="str">
        <f t="shared" si="8"/>
        <v>шт</v>
      </c>
      <c r="E416" s="73">
        <f t="shared" si="8"/>
        <v>1</v>
      </c>
      <c r="F416" s="73">
        <f t="shared" si="8"/>
        <v>6</v>
      </c>
      <c r="G416" s="73">
        <f t="shared" si="8"/>
        <v>6</v>
      </c>
    </row>
    <row r="417" spans="3:8" x14ac:dyDescent="0.3">
      <c r="C417" s="17" t="str">
        <f t="shared" si="8"/>
        <v>Простирадло одноразове 100 м</v>
      </c>
      <c r="D417" s="73" t="str">
        <f t="shared" si="8"/>
        <v>м</v>
      </c>
      <c r="E417" s="73">
        <f t="shared" si="8"/>
        <v>2</v>
      </c>
      <c r="F417" s="73">
        <f t="shared" si="8"/>
        <v>2.36</v>
      </c>
      <c r="G417" s="73">
        <f t="shared" si="8"/>
        <v>4.72</v>
      </c>
    </row>
    <row r="418" spans="3:8" x14ac:dyDescent="0.3">
      <c r="C418" s="17" t="str">
        <f t="shared" si="8"/>
        <v>Рушник паперовий</v>
      </c>
      <c r="D418" s="73" t="str">
        <f t="shared" si="8"/>
        <v>шт</v>
      </c>
      <c r="E418" s="73">
        <f t="shared" si="8"/>
        <v>0.05</v>
      </c>
      <c r="F418" s="73">
        <f t="shared" si="8"/>
        <v>17.5</v>
      </c>
      <c r="G418" s="73">
        <f t="shared" si="8"/>
        <v>0.88</v>
      </c>
    </row>
    <row r="419" spans="3:8" x14ac:dyDescent="0.3">
      <c r="C419" s="1019" t="s">
        <v>945</v>
      </c>
      <c r="D419" s="1019"/>
      <c r="E419" s="1019"/>
      <c r="F419" s="1019"/>
      <c r="G419" s="572">
        <f>SUM(G410:G418)</f>
        <v>16.84</v>
      </c>
    </row>
    <row r="421" spans="3:8" x14ac:dyDescent="0.3">
      <c r="C421" s="12" t="s">
        <v>968</v>
      </c>
      <c r="D421" s="12"/>
      <c r="E421" s="12"/>
      <c r="F421" s="11">
        <f>H424</f>
        <v>0.2</v>
      </c>
      <c r="G421" s="12" t="s">
        <v>971</v>
      </c>
    </row>
    <row r="422" spans="3:8" x14ac:dyDescent="0.3">
      <c r="C422" s="22"/>
      <c r="D422" s="22"/>
      <c r="E422" s="22"/>
      <c r="F422" s="23"/>
      <c r="G422" s="22"/>
    </row>
    <row r="423" spans="3:8" ht="27.6" x14ac:dyDescent="0.3">
      <c r="C423" s="14" t="s">
        <v>513</v>
      </c>
      <c r="D423" s="14" t="s">
        <v>1180</v>
      </c>
      <c r="E423" s="14" t="s">
        <v>516</v>
      </c>
      <c r="F423" s="14" t="s">
        <v>970</v>
      </c>
      <c r="G423" s="14" t="s">
        <v>930</v>
      </c>
      <c r="H423" s="14" t="s">
        <v>961</v>
      </c>
    </row>
    <row r="424" spans="3:8" x14ac:dyDescent="0.3">
      <c r="C424" s="27" t="s">
        <v>1204</v>
      </c>
      <c r="D424" s="16">
        <f>АМОРТИЗАЦІЯ!C14</f>
        <v>193</v>
      </c>
      <c r="E424" s="17">
        <v>4831.75</v>
      </c>
      <c r="F424" s="17">
        <v>0.01</v>
      </c>
      <c r="G424" s="17">
        <f>E404</f>
        <v>20</v>
      </c>
      <c r="H424" s="16">
        <f>ROUND(F424*G424,2)</f>
        <v>0.2</v>
      </c>
    </row>
    <row r="426" spans="3:8" x14ac:dyDescent="0.3">
      <c r="C426" s="12" t="s">
        <v>948</v>
      </c>
      <c r="D426" s="12"/>
      <c r="E426" s="12"/>
      <c r="F426" s="11">
        <f>H434</f>
        <v>2.4000000000000004</v>
      </c>
      <c r="G426" s="12" t="s">
        <v>971</v>
      </c>
    </row>
    <row r="427" spans="3:8" x14ac:dyDescent="0.3">
      <c r="C427" s="22"/>
      <c r="D427" s="22"/>
      <c r="E427" s="22"/>
      <c r="F427" s="23"/>
    </row>
    <row r="428" spans="3:8" ht="41.4" x14ac:dyDescent="0.3">
      <c r="C428" s="14" t="s">
        <v>948</v>
      </c>
      <c r="D428" s="14" t="s">
        <v>955</v>
      </c>
      <c r="E428" s="14" t="s">
        <v>516</v>
      </c>
      <c r="F428" s="14" t="s">
        <v>954</v>
      </c>
      <c r="G428" s="14" t="s">
        <v>930</v>
      </c>
      <c r="H428" s="14" t="s">
        <v>956</v>
      </c>
    </row>
    <row r="429" spans="3:8" x14ac:dyDescent="0.3">
      <c r="C429" s="1009" t="str">
        <f>C404</f>
        <v>Сестра медична з масажу</v>
      </c>
      <c r="D429" s="1010"/>
      <c r="E429" s="1010"/>
      <c r="F429" s="1010"/>
      <c r="G429" s="1010"/>
      <c r="H429" s="1011"/>
    </row>
    <row r="430" spans="3:8" x14ac:dyDescent="0.3">
      <c r="C430" s="17" t="s">
        <v>951</v>
      </c>
      <c r="D430" s="112">
        <f>D381</f>
        <v>12188.608008565312</v>
      </c>
      <c r="E430" s="17">
        <f>I401</f>
        <v>1932.7</v>
      </c>
      <c r="F430" s="17">
        <f>ROUND((D430/E430)/60,2)</f>
        <v>0.11</v>
      </c>
      <c r="G430" s="17">
        <f>E404</f>
        <v>20</v>
      </c>
      <c r="H430" s="16">
        <f>ROUND(F430*G430,2)</f>
        <v>2.2000000000000002</v>
      </c>
    </row>
    <row r="431" spans="3:8" x14ac:dyDescent="0.3">
      <c r="C431" s="17" t="s">
        <v>952</v>
      </c>
      <c r="D431" s="112">
        <f>D382</f>
        <v>53.149721627408987</v>
      </c>
      <c r="E431" s="17">
        <f>I401</f>
        <v>1932.7</v>
      </c>
      <c r="F431" s="17">
        <f>ROUND((D431/E431)/60,2)</f>
        <v>0</v>
      </c>
      <c r="G431" s="17">
        <f>E404</f>
        <v>20</v>
      </c>
      <c r="H431" s="16">
        <f>ROUND(F431*G431,2)</f>
        <v>0</v>
      </c>
    </row>
    <row r="432" spans="3:8" x14ac:dyDescent="0.3">
      <c r="C432" s="17" t="s">
        <v>953</v>
      </c>
      <c r="D432" s="112">
        <f>D383</f>
        <v>374.98368308351178</v>
      </c>
      <c r="E432" s="17">
        <f>I401</f>
        <v>1932.7</v>
      </c>
      <c r="F432" s="17">
        <f>ROUND((D432/E432)/60,2)</f>
        <v>0</v>
      </c>
      <c r="G432" s="17">
        <f>E404</f>
        <v>20</v>
      </c>
      <c r="H432" s="16">
        <f>ROUND(F432*G432,2)</f>
        <v>0</v>
      </c>
    </row>
    <row r="433" spans="2:10" x14ac:dyDescent="0.3">
      <c r="C433" s="17" t="s">
        <v>1109</v>
      </c>
      <c r="D433" s="112">
        <f>D384</f>
        <v>1686.0389293361886</v>
      </c>
      <c r="E433" s="17">
        <f>I401</f>
        <v>1932.7</v>
      </c>
      <c r="F433" s="17">
        <f>ROUND((D433/E433)/60,2)</f>
        <v>0.01</v>
      </c>
      <c r="G433" s="17">
        <f>E404</f>
        <v>20</v>
      </c>
      <c r="H433" s="16">
        <f>ROUND(F433*G433,2)</f>
        <v>0.2</v>
      </c>
    </row>
    <row r="434" spans="2:10" x14ac:dyDescent="0.3">
      <c r="C434" s="1019" t="s">
        <v>957</v>
      </c>
      <c r="D434" s="1019"/>
      <c r="E434" s="1019"/>
      <c r="F434" s="1019"/>
      <c r="G434" s="1019"/>
      <c r="H434" s="18">
        <f>SUM(H430:H433)</f>
        <v>2.4000000000000004</v>
      </c>
    </row>
    <row r="436" spans="2:10" ht="0.75" customHeight="1" x14ac:dyDescent="0.3"/>
    <row r="437" spans="2:10" x14ac:dyDescent="0.3">
      <c r="C437" s="1015" t="s">
        <v>959</v>
      </c>
      <c r="D437" s="1015"/>
      <c r="E437" s="1015"/>
      <c r="F437" s="1015"/>
      <c r="G437" s="1015"/>
      <c r="H437" s="32">
        <f>F398+F409+F426+F421</f>
        <v>37.500000000000007</v>
      </c>
    </row>
    <row r="438" spans="2:10" x14ac:dyDescent="0.3">
      <c r="B438" s="65"/>
      <c r="C438" s="33"/>
      <c r="D438" s="33"/>
      <c r="E438" s="33"/>
      <c r="F438" s="33"/>
      <c r="G438" s="33"/>
      <c r="H438" s="34"/>
      <c r="I438" s="65"/>
      <c r="J438" s="65"/>
    </row>
    <row r="439" spans="2:10" x14ac:dyDescent="0.3">
      <c r="C439" s="1049" t="s">
        <v>1178</v>
      </c>
      <c r="D439" s="1049"/>
      <c r="E439" s="1049"/>
      <c r="F439" s="1049"/>
      <c r="G439" s="1049"/>
      <c r="H439" s="49">
        <f>ROUND(H437*0.2,2)</f>
        <v>7.5</v>
      </c>
    </row>
    <row r="440" spans="2:10" x14ac:dyDescent="0.3">
      <c r="C440" s="1015" t="s">
        <v>1179</v>
      </c>
      <c r="D440" s="1015"/>
      <c r="E440" s="1015"/>
      <c r="F440" s="1015"/>
      <c r="G440" s="1015"/>
      <c r="H440" s="32">
        <f>H437+H439</f>
        <v>45.000000000000007</v>
      </c>
    </row>
    <row r="443" spans="2:10" ht="18.600000000000001" x14ac:dyDescent="0.3">
      <c r="B443" s="1016" t="s">
        <v>958</v>
      </c>
      <c r="C443" s="1016"/>
      <c r="D443" s="1016"/>
      <c r="E443" s="1016"/>
      <c r="F443" s="1016"/>
      <c r="G443" s="1016"/>
      <c r="H443" s="1016"/>
      <c r="I443" s="1016"/>
    </row>
    <row r="445" spans="2:10" ht="35.25" customHeight="1" x14ac:dyDescent="0.3">
      <c r="B445" s="25" t="s">
        <v>807</v>
      </c>
      <c r="C445" s="1050" t="s">
        <v>808</v>
      </c>
      <c r="D445" s="1050"/>
      <c r="E445" s="10"/>
      <c r="F445" s="26">
        <f>H489</f>
        <v>45.000000000000007</v>
      </c>
      <c r="G445" s="26" t="s">
        <v>971</v>
      </c>
    </row>
    <row r="447" spans="2:10" x14ac:dyDescent="0.3">
      <c r="C447" s="1018" t="s">
        <v>932</v>
      </c>
      <c r="D447" s="1018"/>
      <c r="E447" s="10"/>
      <c r="F447" s="11">
        <f>F453+F456</f>
        <v>18.060000000000002</v>
      </c>
      <c r="G447" s="12" t="s">
        <v>971</v>
      </c>
    </row>
    <row r="449" spans="3:10" ht="27.6" x14ac:dyDescent="0.3">
      <c r="C449" s="13" t="s">
        <v>929</v>
      </c>
      <c r="D449" s="14" t="s">
        <v>928</v>
      </c>
      <c r="E449" s="14" t="s">
        <v>514</v>
      </c>
      <c r="F449" s="14" t="s">
        <v>515</v>
      </c>
      <c r="G449" s="14" t="s">
        <v>962</v>
      </c>
      <c r="H449" s="14" t="s">
        <v>926</v>
      </c>
      <c r="I449" s="14" t="s">
        <v>516</v>
      </c>
      <c r="J449" s="14" t="s">
        <v>927</v>
      </c>
    </row>
    <row r="450" spans="3:10" x14ac:dyDescent="0.3">
      <c r="C450" s="17" t="s">
        <v>963</v>
      </c>
      <c r="D450" s="16">
        <f>D401</f>
        <v>6506.55</v>
      </c>
      <c r="E450" s="16">
        <f>D450*12</f>
        <v>78078.600000000006</v>
      </c>
      <c r="F450" s="16">
        <f>F401</f>
        <v>5005</v>
      </c>
      <c r="G450" s="16">
        <f>G401</f>
        <v>2502.5</v>
      </c>
      <c r="H450" s="16">
        <f>E450+F450+G450</f>
        <v>85586.1</v>
      </c>
      <c r="I450" s="17">
        <v>1932.7</v>
      </c>
      <c r="J450" s="16">
        <f>ROUND((H450/I450)/60,2)</f>
        <v>0.74</v>
      </c>
    </row>
    <row r="452" spans="3:10" ht="27.6" x14ac:dyDescent="0.3">
      <c r="C452" s="13" t="s">
        <v>929</v>
      </c>
      <c r="D452" s="14" t="s">
        <v>961</v>
      </c>
      <c r="E452" s="14" t="s">
        <v>930</v>
      </c>
      <c r="F452" s="14" t="s">
        <v>931</v>
      </c>
    </row>
    <row r="453" spans="3:10" x14ac:dyDescent="0.3">
      <c r="C453" s="17" t="str">
        <f>C450</f>
        <v>Сестра медична з масажу</v>
      </c>
      <c r="D453" s="16">
        <f>J450</f>
        <v>0.74</v>
      </c>
      <c r="E453" s="17">
        <v>20</v>
      </c>
      <c r="F453" s="18">
        <f>ROUND(D453*E453,2)</f>
        <v>14.8</v>
      </c>
    </row>
    <row r="455" spans="3:10" x14ac:dyDescent="0.3">
      <c r="D455" s="19"/>
    </row>
    <row r="456" spans="3:10" x14ac:dyDescent="0.3">
      <c r="C456" s="17" t="s">
        <v>933</v>
      </c>
      <c r="D456" s="16">
        <f>F453</f>
        <v>14.8</v>
      </c>
      <c r="E456" s="20">
        <v>0.22</v>
      </c>
      <c r="F456" s="21">
        <f>ROUND(D456*E456,2)</f>
        <v>3.26</v>
      </c>
    </row>
    <row r="458" spans="3:10" x14ac:dyDescent="0.3">
      <c r="C458" s="12" t="s">
        <v>946</v>
      </c>
      <c r="D458" s="12"/>
      <c r="E458" s="12"/>
      <c r="F458" s="12">
        <f>G468</f>
        <v>16.84</v>
      </c>
      <c r="G458" s="12" t="s">
        <v>971</v>
      </c>
    </row>
    <row r="459" spans="3:10" x14ac:dyDescent="0.3">
      <c r="C459" s="17" t="str">
        <f t="shared" ref="C459:G467" si="9">C410</f>
        <v>Антисептик для обробки рук</v>
      </c>
      <c r="D459" s="73" t="str">
        <f t="shared" si="9"/>
        <v>мл</v>
      </c>
      <c r="E459" s="73">
        <f t="shared" si="9"/>
        <v>1</v>
      </c>
      <c r="F459" s="73">
        <f t="shared" si="9"/>
        <v>0.375</v>
      </c>
      <c r="G459" s="73">
        <f t="shared" si="9"/>
        <v>0.38</v>
      </c>
    </row>
    <row r="460" spans="3:10" x14ac:dyDescent="0.3">
      <c r="C460" s="17" t="str">
        <f t="shared" si="9"/>
        <v>Антисептик швидкої дії</v>
      </c>
      <c r="D460" s="73" t="str">
        <f t="shared" si="9"/>
        <v>мл</v>
      </c>
      <c r="E460" s="73">
        <f t="shared" si="9"/>
        <v>1</v>
      </c>
      <c r="F460" s="73">
        <f t="shared" si="9"/>
        <v>0.28799999999999998</v>
      </c>
      <c r="G460" s="73">
        <f t="shared" si="9"/>
        <v>0.28999999999999998</v>
      </c>
    </row>
    <row r="461" spans="3:10" x14ac:dyDescent="0.3">
      <c r="C461" s="17" t="str">
        <f t="shared" si="9"/>
        <v>Деззасоби</v>
      </c>
      <c r="D461" s="73" t="str">
        <f t="shared" si="9"/>
        <v>г</v>
      </c>
      <c r="E461" s="73">
        <f t="shared" si="9"/>
        <v>0.5</v>
      </c>
      <c r="F461" s="73">
        <f t="shared" si="9"/>
        <v>0.5</v>
      </c>
      <c r="G461" s="73">
        <f t="shared" si="9"/>
        <v>0.25</v>
      </c>
    </row>
    <row r="462" spans="3:10" x14ac:dyDescent="0.3">
      <c r="C462" s="17" t="str">
        <f t="shared" si="9"/>
        <v>Маска одноразова тришарова на резинці</v>
      </c>
      <c r="D462" s="73" t="str">
        <f t="shared" si="9"/>
        <v>шт</v>
      </c>
      <c r="E462" s="73">
        <f t="shared" si="9"/>
        <v>1</v>
      </c>
      <c r="F462" s="73">
        <f t="shared" si="9"/>
        <v>2</v>
      </c>
      <c r="G462" s="73">
        <f t="shared" si="9"/>
        <v>2</v>
      </c>
    </row>
    <row r="463" spans="3:10" x14ac:dyDescent="0.3">
      <c r="C463" s="17" t="str">
        <f t="shared" si="9"/>
        <v>Мило рідке</v>
      </c>
      <c r="D463" s="73" t="str">
        <f t="shared" si="9"/>
        <v>мл</v>
      </c>
      <c r="E463" s="73">
        <f t="shared" si="9"/>
        <v>1</v>
      </c>
      <c r="F463" s="73">
        <f t="shared" si="9"/>
        <v>0.19600000000000001</v>
      </c>
      <c r="G463" s="73">
        <f t="shared" si="9"/>
        <v>0.2</v>
      </c>
    </row>
    <row r="464" spans="3:10" x14ac:dyDescent="0.3">
      <c r="C464" s="17" t="str">
        <f t="shared" si="9"/>
        <v>Олія для масажу 100 мл</v>
      </c>
      <c r="D464" s="73" t="str">
        <f t="shared" si="9"/>
        <v>мл</v>
      </c>
      <c r="E464" s="73">
        <f t="shared" si="9"/>
        <v>10.6</v>
      </c>
      <c r="F464" s="73">
        <f t="shared" si="9"/>
        <v>0.2</v>
      </c>
      <c r="G464" s="73">
        <f t="shared" si="9"/>
        <v>2.12</v>
      </c>
    </row>
    <row r="465" spans="3:8" x14ac:dyDescent="0.3">
      <c r="C465" s="17" t="str">
        <f t="shared" si="9"/>
        <v>Пелюшка поглинаюча 60/60</v>
      </c>
      <c r="D465" s="73" t="str">
        <f t="shared" si="9"/>
        <v>шт</v>
      </c>
      <c r="E465" s="73">
        <f t="shared" si="9"/>
        <v>1</v>
      </c>
      <c r="F465" s="73">
        <f t="shared" si="9"/>
        <v>6</v>
      </c>
      <c r="G465" s="73">
        <f t="shared" si="9"/>
        <v>6</v>
      </c>
    </row>
    <row r="466" spans="3:8" x14ac:dyDescent="0.3">
      <c r="C466" s="17" t="str">
        <f t="shared" si="9"/>
        <v>Простирадло одноразове 100 м</v>
      </c>
      <c r="D466" s="73" t="str">
        <f t="shared" si="9"/>
        <v>м</v>
      </c>
      <c r="E466" s="73">
        <f t="shared" si="9"/>
        <v>2</v>
      </c>
      <c r="F466" s="73">
        <f t="shared" si="9"/>
        <v>2.36</v>
      </c>
      <c r="G466" s="73">
        <f t="shared" si="9"/>
        <v>4.72</v>
      </c>
    </row>
    <row r="467" spans="3:8" x14ac:dyDescent="0.3">
      <c r="C467" s="17" t="str">
        <f t="shared" si="9"/>
        <v>Рушник паперовий</v>
      </c>
      <c r="D467" s="73" t="str">
        <f t="shared" si="9"/>
        <v>шт</v>
      </c>
      <c r="E467" s="73">
        <f t="shared" si="9"/>
        <v>0.05</v>
      </c>
      <c r="F467" s="73">
        <f t="shared" si="9"/>
        <v>17.5</v>
      </c>
      <c r="G467" s="73">
        <f t="shared" si="9"/>
        <v>0.88</v>
      </c>
    </row>
    <row r="468" spans="3:8" x14ac:dyDescent="0.3">
      <c r="C468" s="1019" t="s">
        <v>945</v>
      </c>
      <c r="D468" s="1019"/>
      <c r="E468" s="1019"/>
      <c r="F468" s="1019"/>
      <c r="G468" s="572">
        <f>SUM(G459:G467)</f>
        <v>16.84</v>
      </c>
    </row>
    <row r="470" spans="3:8" x14ac:dyDescent="0.3">
      <c r="C470" s="12" t="s">
        <v>968</v>
      </c>
      <c r="D470" s="12"/>
      <c r="E470" s="12"/>
      <c r="F470" s="11">
        <f>H473</f>
        <v>0.2</v>
      </c>
      <c r="G470" s="12" t="s">
        <v>971</v>
      </c>
    </row>
    <row r="471" spans="3:8" x14ac:dyDescent="0.3">
      <c r="C471" s="22"/>
      <c r="D471" s="22"/>
      <c r="E471" s="22"/>
      <c r="F471" s="23"/>
      <c r="G471" s="22"/>
    </row>
    <row r="472" spans="3:8" ht="27.6" x14ac:dyDescent="0.3">
      <c r="C472" s="14" t="s">
        <v>513</v>
      </c>
      <c r="D472" s="14" t="s">
        <v>1180</v>
      </c>
      <c r="E472" s="14" t="s">
        <v>516</v>
      </c>
      <c r="F472" s="14" t="s">
        <v>970</v>
      </c>
      <c r="G472" s="14" t="s">
        <v>930</v>
      </c>
      <c r="H472" s="14" t="s">
        <v>961</v>
      </c>
    </row>
    <row r="473" spans="3:8" x14ac:dyDescent="0.3">
      <c r="C473" s="27" t="s">
        <v>1204</v>
      </c>
      <c r="D473" s="16">
        <f>АМОРТИЗАЦІЯ!C14</f>
        <v>193</v>
      </c>
      <c r="E473" s="17">
        <v>4831.75</v>
      </c>
      <c r="F473" s="17">
        <v>0.01</v>
      </c>
      <c r="G473" s="17">
        <f>E453</f>
        <v>20</v>
      </c>
      <c r="H473" s="16">
        <f>ROUND(F473*G473,2)</f>
        <v>0.2</v>
      </c>
    </row>
    <row r="474" spans="3:8" ht="9" customHeight="1" x14ac:dyDescent="0.3"/>
    <row r="475" spans="3:8" x14ac:dyDescent="0.3">
      <c r="C475" s="12" t="s">
        <v>948</v>
      </c>
      <c r="D475" s="12"/>
      <c r="E475" s="12"/>
      <c r="F475" s="11">
        <f>H483</f>
        <v>2.4000000000000004</v>
      </c>
      <c r="G475" s="12" t="s">
        <v>971</v>
      </c>
    </row>
    <row r="476" spans="3:8" ht="4.5" customHeight="1" x14ac:dyDescent="0.3">
      <c r="C476" s="22"/>
      <c r="D476" s="22"/>
      <c r="E476" s="22"/>
      <c r="F476" s="23"/>
    </row>
    <row r="477" spans="3:8" ht="41.4" x14ac:dyDescent="0.3">
      <c r="C477" s="14" t="s">
        <v>948</v>
      </c>
      <c r="D477" s="14" t="s">
        <v>955</v>
      </c>
      <c r="E477" s="14" t="s">
        <v>516</v>
      </c>
      <c r="F477" s="14" t="s">
        <v>954</v>
      </c>
      <c r="G477" s="14" t="s">
        <v>930</v>
      </c>
      <c r="H477" s="14" t="s">
        <v>956</v>
      </c>
    </row>
    <row r="478" spans="3:8" x14ac:dyDescent="0.3">
      <c r="C478" s="1009" t="str">
        <f>C453</f>
        <v>Сестра медична з масажу</v>
      </c>
      <c r="D478" s="1010"/>
      <c r="E478" s="1010"/>
      <c r="F478" s="1010"/>
      <c r="G478" s="1010"/>
      <c r="H478" s="1011"/>
    </row>
    <row r="479" spans="3:8" x14ac:dyDescent="0.3">
      <c r="C479" s="17" t="s">
        <v>951</v>
      </c>
      <c r="D479" s="112">
        <f>D430</f>
        <v>12188.608008565312</v>
      </c>
      <c r="E479" s="17">
        <f>I450</f>
        <v>1932.7</v>
      </c>
      <c r="F479" s="17">
        <f>ROUND((D479/E479)/60,2)</f>
        <v>0.11</v>
      </c>
      <c r="G479" s="17">
        <f>E453</f>
        <v>20</v>
      </c>
      <c r="H479" s="16">
        <f>ROUND(F479*G479,2)</f>
        <v>2.2000000000000002</v>
      </c>
    </row>
    <row r="480" spans="3:8" x14ac:dyDescent="0.3">
      <c r="C480" s="17" t="s">
        <v>952</v>
      </c>
      <c r="D480" s="112">
        <f>D431</f>
        <v>53.149721627408987</v>
      </c>
      <c r="E480" s="17">
        <f>I450</f>
        <v>1932.7</v>
      </c>
      <c r="F480" s="17">
        <f>ROUND((D480/E480)/60,2)</f>
        <v>0</v>
      </c>
      <c r="G480" s="17">
        <f>E453</f>
        <v>20</v>
      </c>
      <c r="H480" s="16">
        <f>ROUND(F480*G480,2)</f>
        <v>0</v>
      </c>
    </row>
    <row r="481" spans="2:10" x14ac:dyDescent="0.3">
      <c r="C481" s="17" t="s">
        <v>953</v>
      </c>
      <c r="D481" s="112">
        <f>D432</f>
        <v>374.98368308351178</v>
      </c>
      <c r="E481" s="17">
        <f>I450</f>
        <v>1932.7</v>
      </c>
      <c r="F481" s="17">
        <f>ROUND((D481/E481)/60,2)</f>
        <v>0</v>
      </c>
      <c r="G481" s="17">
        <f>E453</f>
        <v>20</v>
      </c>
      <c r="H481" s="16">
        <f>ROUND(F481*G481,2)</f>
        <v>0</v>
      </c>
    </row>
    <row r="482" spans="2:10" x14ac:dyDescent="0.3">
      <c r="C482" s="17" t="s">
        <v>1109</v>
      </c>
      <c r="D482" s="112">
        <f>D433</f>
        <v>1686.0389293361886</v>
      </c>
      <c r="E482" s="17">
        <f>I450</f>
        <v>1932.7</v>
      </c>
      <c r="F482" s="17">
        <f>ROUND((D482/E482)/60,2)</f>
        <v>0.01</v>
      </c>
      <c r="G482" s="17">
        <f>E453</f>
        <v>20</v>
      </c>
      <c r="H482" s="16">
        <f>ROUND(F482*G482,2)</f>
        <v>0.2</v>
      </c>
    </row>
    <row r="483" spans="2:10" x14ac:dyDescent="0.3">
      <c r="C483" s="1019" t="s">
        <v>957</v>
      </c>
      <c r="D483" s="1019"/>
      <c r="E483" s="1019"/>
      <c r="F483" s="1019"/>
      <c r="G483" s="1019"/>
      <c r="H483" s="18">
        <f>SUM(H479:H482)</f>
        <v>2.4000000000000004</v>
      </c>
    </row>
    <row r="485" spans="2:10" ht="2.25" customHeight="1" x14ac:dyDescent="0.3"/>
    <row r="486" spans="2:10" x14ac:dyDescent="0.3">
      <c r="C486" s="1015" t="s">
        <v>959</v>
      </c>
      <c r="D486" s="1015"/>
      <c r="E486" s="1015"/>
      <c r="F486" s="1015"/>
      <c r="G486" s="1015"/>
      <c r="H486" s="32">
        <f>F447+F458+F475+F470</f>
        <v>37.500000000000007</v>
      </c>
    </row>
    <row r="487" spans="2:10" x14ac:dyDescent="0.3">
      <c r="B487" s="65"/>
      <c r="C487" s="33"/>
      <c r="D487" s="33"/>
      <c r="E487" s="33"/>
      <c r="F487" s="33"/>
      <c r="G487" s="33"/>
      <c r="H487" s="34"/>
      <c r="I487" s="65"/>
      <c r="J487" s="65"/>
    </row>
    <row r="488" spans="2:10" x14ac:dyDescent="0.3">
      <c r="C488" s="1049" t="s">
        <v>1178</v>
      </c>
      <c r="D488" s="1049"/>
      <c r="E488" s="1049"/>
      <c r="F488" s="1049"/>
      <c r="G488" s="1049"/>
      <c r="H488" s="49">
        <f>ROUND(H486*0.2,2)</f>
        <v>7.5</v>
      </c>
    </row>
    <row r="489" spans="2:10" x14ac:dyDescent="0.3">
      <c r="C489" s="1015" t="s">
        <v>1179</v>
      </c>
      <c r="D489" s="1015"/>
      <c r="E489" s="1015"/>
      <c r="F489" s="1015"/>
      <c r="G489" s="1015"/>
      <c r="H489" s="32">
        <f>H486+H488</f>
        <v>45.000000000000007</v>
      </c>
    </row>
    <row r="492" spans="2:10" ht="18.600000000000001" x14ac:dyDescent="0.3">
      <c r="B492" s="1016" t="s">
        <v>958</v>
      </c>
      <c r="C492" s="1016"/>
      <c r="D492" s="1016"/>
      <c r="E492" s="1016"/>
      <c r="F492" s="1016"/>
      <c r="G492" s="1016"/>
      <c r="H492" s="1016"/>
      <c r="I492" s="1016"/>
    </row>
    <row r="494" spans="2:10" x14ac:dyDescent="0.3">
      <c r="B494" s="25" t="s">
        <v>809</v>
      </c>
      <c r="C494" s="1050" t="s">
        <v>810</v>
      </c>
      <c r="D494" s="1050"/>
      <c r="E494" s="10"/>
      <c r="F494" s="26">
        <f>H538</f>
        <v>45.000000000000007</v>
      </c>
      <c r="G494" s="26" t="s">
        <v>971</v>
      </c>
    </row>
    <row r="496" spans="2:10" x14ac:dyDescent="0.3">
      <c r="C496" s="1018" t="s">
        <v>932</v>
      </c>
      <c r="D496" s="1018"/>
      <c r="E496" s="10"/>
      <c r="F496" s="11">
        <f>F502+F505</f>
        <v>18.060000000000002</v>
      </c>
      <c r="G496" s="12" t="s">
        <v>971</v>
      </c>
    </row>
    <row r="498" spans="3:10" ht="27.6" x14ac:dyDescent="0.3">
      <c r="C498" s="13" t="s">
        <v>929</v>
      </c>
      <c r="D498" s="14" t="s">
        <v>928</v>
      </c>
      <c r="E498" s="14" t="s">
        <v>514</v>
      </c>
      <c r="F498" s="14" t="s">
        <v>515</v>
      </c>
      <c r="G498" s="14" t="s">
        <v>962</v>
      </c>
      <c r="H498" s="14" t="s">
        <v>926</v>
      </c>
      <c r="I498" s="14" t="s">
        <v>516</v>
      </c>
      <c r="J498" s="14" t="s">
        <v>927</v>
      </c>
    </row>
    <row r="499" spans="3:10" x14ac:dyDescent="0.3">
      <c r="C499" s="17" t="s">
        <v>963</v>
      </c>
      <c r="D499" s="16">
        <f>D450</f>
        <v>6506.55</v>
      </c>
      <c r="E499" s="16">
        <f>D499*12</f>
        <v>78078.600000000006</v>
      </c>
      <c r="F499" s="16">
        <f>F450</f>
        <v>5005</v>
      </c>
      <c r="G499" s="16">
        <f>G450</f>
        <v>2502.5</v>
      </c>
      <c r="H499" s="16">
        <f>E499+F499+G499</f>
        <v>85586.1</v>
      </c>
      <c r="I499" s="17">
        <v>1932.7</v>
      </c>
      <c r="J499" s="16">
        <f>ROUND((H499/I499)/60,2)</f>
        <v>0.74</v>
      </c>
    </row>
    <row r="501" spans="3:10" ht="27.6" x14ac:dyDescent="0.3">
      <c r="C501" s="13" t="s">
        <v>929</v>
      </c>
      <c r="D501" s="14" t="s">
        <v>961</v>
      </c>
      <c r="E501" s="14" t="s">
        <v>930</v>
      </c>
      <c r="F501" s="14" t="s">
        <v>931</v>
      </c>
    </row>
    <row r="502" spans="3:10" x14ac:dyDescent="0.3">
      <c r="C502" s="17" t="str">
        <f>C499</f>
        <v>Сестра медична з масажу</v>
      </c>
      <c r="D502" s="16">
        <f>J499</f>
        <v>0.74</v>
      </c>
      <c r="E502" s="17">
        <v>20</v>
      </c>
      <c r="F502" s="18">
        <f>ROUND(D502*E502,2)</f>
        <v>14.8</v>
      </c>
    </row>
    <row r="504" spans="3:10" x14ac:dyDescent="0.3">
      <c r="D504" s="19"/>
    </row>
    <row r="505" spans="3:10" x14ac:dyDescent="0.3">
      <c r="C505" s="17" t="s">
        <v>933</v>
      </c>
      <c r="D505" s="16">
        <f>F502</f>
        <v>14.8</v>
      </c>
      <c r="E505" s="20">
        <v>0.22</v>
      </c>
      <c r="F505" s="21">
        <f>ROUND(D505*E505,2)</f>
        <v>3.26</v>
      </c>
    </row>
    <row r="507" spans="3:10" x14ac:dyDescent="0.3">
      <c r="C507" s="12" t="s">
        <v>946</v>
      </c>
      <c r="D507" s="12"/>
      <c r="E507" s="12"/>
      <c r="F507" s="12">
        <f>G517</f>
        <v>16.84</v>
      </c>
      <c r="G507" s="12" t="s">
        <v>971</v>
      </c>
    </row>
    <row r="508" spans="3:10" x14ac:dyDescent="0.3">
      <c r="C508" s="17" t="str">
        <f t="shared" ref="C508:G516" si="10">C459</f>
        <v>Антисептик для обробки рук</v>
      </c>
      <c r="D508" s="73" t="str">
        <f t="shared" si="10"/>
        <v>мл</v>
      </c>
      <c r="E508" s="73">
        <f t="shared" si="10"/>
        <v>1</v>
      </c>
      <c r="F508" s="73">
        <f t="shared" si="10"/>
        <v>0.375</v>
      </c>
      <c r="G508" s="73">
        <f t="shared" si="10"/>
        <v>0.38</v>
      </c>
    </row>
    <row r="509" spans="3:10" x14ac:dyDescent="0.3">
      <c r="C509" s="17" t="str">
        <f t="shared" si="10"/>
        <v>Антисептик швидкої дії</v>
      </c>
      <c r="D509" s="73" t="str">
        <f t="shared" si="10"/>
        <v>мл</v>
      </c>
      <c r="E509" s="73">
        <f t="shared" si="10"/>
        <v>1</v>
      </c>
      <c r="F509" s="73">
        <f t="shared" si="10"/>
        <v>0.28799999999999998</v>
      </c>
      <c r="G509" s="73">
        <f t="shared" si="10"/>
        <v>0.28999999999999998</v>
      </c>
    </row>
    <row r="510" spans="3:10" x14ac:dyDescent="0.3">
      <c r="C510" s="17" t="str">
        <f t="shared" si="10"/>
        <v>Деззасоби</v>
      </c>
      <c r="D510" s="73" t="str">
        <f t="shared" si="10"/>
        <v>г</v>
      </c>
      <c r="E510" s="73">
        <f t="shared" si="10"/>
        <v>0.5</v>
      </c>
      <c r="F510" s="73">
        <f t="shared" si="10"/>
        <v>0.5</v>
      </c>
      <c r="G510" s="73">
        <f t="shared" si="10"/>
        <v>0.25</v>
      </c>
    </row>
    <row r="511" spans="3:10" x14ac:dyDescent="0.3">
      <c r="C511" s="17" t="str">
        <f t="shared" si="10"/>
        <v>Маска одноразова тришарова на резинці</v>
      </c>
      <c r="D511" s="73" t="str">
        <f t="shared" si="10"/>
        <v>шт</v>
      </c>
      <c r="E511" s="73">
        <f t="shared" si="10"/>
        <v>1</v>
      </c>
      <c r="F511" s="73">
        <f t="shared" si="10"/>
        <v>2</v>
      </c>
      <c r="G511" s="73">
        <f t="shared" si="10"/>
        <v>2</v>
      </c>
    </row>
    <row r="512" spans="3:10" x14ac:dyDescent="0.3">
      <c r="C512" s="17" t="str">
        <f t="shared" si="10"/>
        <v>Мило рідке</v>
      </c>
      <c r="D512" s="73" t="str">
        <f t="shared" si="10"/>
        <v>мл</v>
      </c>
      <c r="E512" s="73">
        <f t="shared" si="10"/>
        <v>1</v>
      </c>
      <c r="F512" s="73">
        <f t="shared" si="10"/>
        <v>0.19600000000000001</v>
      </c>
      <c r="G512" s="73">
        <f t="shared" si="10"/>
        <v>0.2</v>
      </c>
    </row>
    <row r="513" spans="3:8" x14ac:dyDescent="0.3">
      <c r="C513" s="17" t="str">
        <f t="shared" si="10"/>
        <v>Олія для масажу 100 мл</v>
      </c>
      <c r="D513" s="73" t="str">
        <f t="shared" si="10"/>
        <v>мл</v>
      </c>
      <c r="E513" s="73">
        <f t="shared" si="10"/>
        <v>10.6</v>
      </c>
      <c r="F513" s="73">
        <f t="shared" si="10"/>
        <v>0.2</v>
      </c>
      <c r="G513" s="73">
        <f t="shared" si="10"/>
        <v>2.12</v>
      </c>
    </row>
    <row r="514" spans="3:8" x14ac:dyDescent="0.3">
      <c r="C514" s="17" t="str">
        <f t="shared" si="10"/>
        <v>Пелюшка поглинаюча 60/60</v>
      </c>
      <c r="D514" s="73" t="str">
        <f t="shared" si="10"/>
        <v>шт</v>
      </c>
      <c r="E514" s="73">
        <f t="shared" si="10"/>
        <v>1</v>
      </c>
      <c r="F514" s="73">
        <f t="shared" si="10"/>
        <v>6</v>
      </c>
      <c r="G514" s="73">
        <f t="shared" si="10"/>
        <v>6</v>
      </c>
    </row>
    <row r="515" spans="3:8" x14ac:dyDescent="0.3">
      <c r="C515" s="17" t="str">
        <f t="shared" si="10"/>
        <v>Простирадло одноразове 100 м</v>
      </c>
      <c r="D515" s="73" t="str">
        <f t="shared" si="10"/>
        <v>м</v>
      </c>
      <c r="E515" s="73">
        <f t="shared" si="10"/>
        <v>2</v>
      </c>
      <c r="F515" s="73">
        <f t="shared" si="10"/>
        <v>2.36</v>
      </c>
      <c r="G515" s="73">
        <f t="shared" si="10"/>
        <v>4.72</v>
      </c>
    </row>
    <row r="516" spans="3:8" x14ac:dyDescent="0.3">
      <c r="C516" s="17" t="str">
        <f t="shared" si="10"/>
        <v>Рушник паперовий</v>
      </c>
      <c r="D516" s="73" t="str">
        <f t="shared" si="10"/>
        <v>шт</v>
      </c>
      <c r="E516" s="73">
        <f t="shared" si="10"/>
        <v>0.05</v>
      </c>
      <c r="F516" s="73">
        <f t="shared" si="10"/>
        <v>17.5</v>
      </c>
      <c r="G516" s="73">
        <f t="shared" si="10"/>
        <v>0.88</v>
      </c>
    </row>
    <row r="517" spans="3:8" x14ac:dyDescent="0.3">
      <c r="C517" s="1019" t="s">
        <v>945</v>
      </c>
      <c r="D517" s="1019"/>
      <c r="E517" s="1019"/>
      <c r="F517" s="1019"/>
      <c r="G517" s="572">
        <f>SUM(G508:G516)</f>
        <v>16.84</v>
      </c>
    </row>
    <row r="519" spans="3:8" x14ac:dyDescent="0.3">
      <c r="C519" s="12" t="s">
        <v>968</v>
      </c>
      <c r="D519" s="12"/>
      <c r="E519" s="12"/>
      <c r="F519" s="11">
        <f>H522</f>
        <v>0.2</v>
      </c>
      <c r="G519" s="12" t="s">
        <v>971</v>
      </c>
    </row>
    <row r="520" spans="3:8" x14ac:dyDescent="0.3">
      <c r="C520" s="22"/>
      <c r="D520" s="22"/>
      <c r="E520" s="22"/>
      <c r="F520" s="23"/>
      <c r="G520" s="22"/>
    </row>
    <row r="521" spans="3:8" ht="27.6" x14ac:dyDescent="0.3">
      <c r="C521" s="14" t="s">
        <v>513</v>
      </c>
      <c r="D521" s="14" t="s">
        <v>1180</v>
      </c>
      <c r="E521" s="14" t="s">
        <v>516</v>
      </c>
      <c r="F521" s="14" t="s">
        <v>970</v>
      </c>
      <c r="G521" s="14" t="s">
        <v>930</v>
      </c>
      <c r="H521" s="14" t="s">
        <v>961</v>
      </c>
    </row>
    <row r="522" spans="3:8" x14ac:dyDescent="0.3">
      <c r="C522" s="27" t="s">
        <v>1204</v>
      </c>
      <c r="D522" s="16">
        <f>АМОРТИЗАЦІЯ!C14</f>
        <v>193</v>
      </c>
      <c r="E522" s="17">
        <v>4831.75</v>
      </c>
      <c r="F522" s="17">
        <v>0.01</v>
      </c>
      <c r="G522" s="17">
        <f>E502</f>
        <v>20</v>
      </c>
      <c r="H522" s="16">
        <f>ROUND(F522*G522,2)</f>
        <v>0.2</v>
      </c>
    </row>
    <row r="524" spans="3:8" x14ac:dyDescent="0.3">
      <c r="C524" s="12" t="s">
        <v>948</v>
      </c>
      <c r="D524" s="12"/>
      <c r="E524" s="12"/>
      <c r="F524" s="11">
        <f>H532</f>
        <v>2.4000000000000004</v>
      </c>
      <c r="G524" s="12" t="s">
        <v>971</v>
      </c>
    </row>
    <row r="525" spans="3:8" x14ac:dyDescent="0.3">
      <c r="C525" s="22"/>
      <c r="D525" s="22"/>
      <c r="E525" s="22"/>
      <c r="F525" s="23"/>
    </row>
    <row r="526" spans="3:8" ht="41.4" x14ac:dyDescent="0.3">
      <c r="C526" s="14" t="s">
        <v>948</v>
      </c>
      <c r="D526" s="14" t="s">
        <v>955</v>
      </c>
      <c r="E526" s="14" t="s">
        <v>516</v>
      </c>
      <c r="F526" s="14" t="s">
        <v>954</v>
      </c>
      <c r="G526" s="14" t="s">
        <v>930</v>
      </c>
      <c r="H526" s="14" t="s">
        <v>956</v>
      </c>
    </row>
    <row r="527" spans="3:8" x14ac:dyDescent="0.3">
      <c r="C527" s="1009" t="str">
        <f>C502</f>
        <v>Сестра медична з масажу</v>
      </c>
      <c r="D527" s="1010"/>
      <c r="E527" s="1010"/>
      <c r="F527" s="1010"/>
      <c r="G527" s="1010"/>
      <c r="H527" s="1011"/>
    </row>
    <row r="528" spans="3:8" x14ac:dyDescent="0.3">
      <c r="C528" s="17" t="s">
        <v>951</v>
      </c>
      <c r="D528" s="112">
        <f>D479</f>
        <v>12188.608008565312</v>
      </c>
      <c r="E528" s="17">
        <f>I499</f>
        <v>1932.7</v>
      </c>
      <c r="F528" s="17">
        <f>ROUND((D528/E528)/60,2)</f>
        <v>0.11</v>
      </c>
      <c r="G528" s="17">
        <f>E502</f>
        <v>20</v>
      </c>
      <c r="H528" s="16">
        <f>ROUND(F528*G528,2)</f>
        <v>2.2000000000000002</v>
      </c>
    </row>
    <row r="529" spans="2:10" x14ac:dyDescent="0.3">
      <c r="C529" s="17" t="s">
        <v>952</v>
      </c>
      <c r="D529" s="112">
        <f>D480</f>
        <v>53.149721627408987</v>
      </c>
      <c r="E529" s="17">
        <f>I499</f>
        <v>1932.7</v>
      </c>
      <c r="F529" s="17">
        <f>ROUND((D529/E529)/60,2)</f>
        <v>0</v>
      </c>
      <c r="G529" s="17">
        <f>E502</f>
        <v>20</v>
      </c>
      <c r="H529" s="16">
        <f>ROUND(F529*G529,2)</f>
        <v>0</v>
      </c>
    </row>
    <row r="530" spans="2:10" x14ac:dyDescent="0.3">
      <c r="C530" s="17" t="s">
        <v>953</v>
      </c>
      <c r="D530" s="112">
        <f>D481</f>
        <v>374.98368308351178</v>
      </c>
      <c r="E530" s="17">
        <f>I499</f>
        <v>1932.7</v>
      </c>
      <c r="F530" s="17">
        <f>ROUND((D530/E530)/60,2)</f>
        <v>0</v>
      </c>
      <c r="G530" s="17">
        <f>E502</f>
        <v>20</v>
      </c>
      <c r="H530" s="16">
        <f>ROUND(F530*G530,2)</f>
        <v>0</v>
      </c>
    </row>
    <row r="531" spans="2:10" x14ac:dyDescent="0.3">
      <c r="C531" s="17" t="s">
        <v>1109</v>
      </c>
      <c r="D531" s="112">
        <f>D482</f>
        <v>1686.0389293361886</v>
      </c>
      <c r="E531" s="17">
        <f>I499</f>
        <v>1932.7</v>
      </c>
      <c r="F531" s="17">
        <f>ROUND((D531/E531)/60,2)</f>
        <v>0.01</v>
      </c>
      <c r="G531" s="17">
        <f>E502</f>
        <v>20</v>
      </c>
      <c r="H531" s="16">
        <f>ROUND(F531*G531,2)</f>
        <v>0.2</v>
      </c>
    </row>
    <row r="532" spans="2:10" x14ac:dyDescent="0.3">
      <c r="C532" s="1019" t="s">
        <v>957</v>
      </c>
      <c r="D532" s="1019"/>
      <c r="E532" s="1019"/>
      <c r="F532" s="1019"/>
      <c r="G532" s="1019"/>
      <c r="H532" s="18">
        <f>SUM(H528:H531)</f>
        <v>2.4000000000000004</v>
      </c>
    </row>
    <row r="535" spans="2:10" x14ac:dyDescent="0.3">
      <c r="C535" s="1015" t="s">
        <v>959</v>
      </c>
      <c r="D535" s="1015"/>
      <c r="E535" s="1015"/>
      <c r="F535" s="1015"/>
      <c r="G535" s="1015"/>
      <c r="H535" s="32">
        <f>F496+F507+F524+F519</f>
        <v>37.500000000000007</v>
      </c>
    </row>
    <row r="536" spans="2:10" x14ac:dyDescent="0.3">
      <c r="B536" s="65"/>
      <c r="C536" s="33"/>
      <c r="D536" s="33"/>
      <c r="E536" s="33"/>
      <c r="F536" s="33"/>
      <c r="G536" s="33"/>
      <c r="H536" s="34"/>
      <c r="I536" s="65"/>
      <c r="J536" s="65"/>
    </row>
    <row r="537" spans="2:10" x14ac:dyDescent="0.3">
      <c r="C537" s="1049" t="s">
        <v>1178</v>
      </c>
      <c r="D537" s="1049"/>
      <c r="E537" s="1049"/>
      <c r="F537" s="1049"/>
      <c r="G537" s="1049"/>
      <c r="H537" s="49">
        <f>ROUND(H535*0.2,2)</f>
        <v>7.5</v>
      </c>
    </row>
    <row r="538" spans="2:10" x14ac:dyDescent="0.3">
      <c r="C538" s="1015" t="s">
        <v>1179</v>
      </c>
      <c r="D538" s="1015"/>
      <c r="E538" s="1015"/>
      <c r="F538" s="1015"/>
      <c r="G538" s="1015"/>
      <c r="H538" s="32">
        <f>H535+H537</f>
        <v>45.000000000000007</v>
      </c>
    </row>
    <row r="541" spans="2:10" ht="18.600000000000001" x14ac:dyDescent="0.3">
      <c r="B541" s="1016" t="s">
        <v>958</v>
      </c>
      <c r="C541" s="1016"/>
      <c r="D541" s="1016"/>
      <c r="E541" s="1016"/>
      <c r="F541" s="1016"/>
      <c r="G541" s="1016"/>
      <c r="H541" s="1016"/>
      <c r="I541" s="1016"/>
    </row>
    <row r="543" spans="2:10" ht="35.25" customHeight="1" x14ac:dyDescent="0.3">
      <c r="B543" s="25" t="s">
        <v>811</v>
      </c>
      <c r="C543" s="1050" t="s">
        <v>812</v>
      </c>
      <c r="D543" s="1050"/>
      <c r="E543" s="1050"/>
      <c r="F543" s="26">
        <f>H587</f>
        <v>60</v>
      </c>
      <c r="G543" s="26" t="s">
        <v>971</v>
      </c>
    </row>
    <row r="545" spans="3:10" x14ac:dyDescent="0.3">
      <c r="C545" s="1018" t="s">
        <v>932</v>
      </c>
      <c r="D545" s="1018"/>
      <c r="E545" s="10"/>
      <c r="F545" s="11">
        <f>F551+F554</f>
        <v>27.08</v>
      </c>
      <c r="G545" s="12" t="s">
        <v>971</v>
      </c>
    </row>
    <row r="547" spans="3:10" ht="27.6" x14ac:dyDescent="0.3">
      <c r="C547" s="13" t="s">
        <v>929</v>
      </c>
      <c r="D547" s="14" t="s">
        <v>928</v>
      </c>
      <c r="E547" s="14" t="s">
        <v>514</v>
      </c>
      <c r="F547" s="14" t="s">
        <v>515</v>
      </c>
      <c r="G547" s="14" t="s">
        <v>962</v>
      </c>
      <c r="H547" s="14" t="s">
        <v>926</v>
      </c>
      <c r="I547" s="14" t="s">
        <v>516</v>
      </c>
      <c r="J547" s="14" t="s">
        <v>927</v>
      </c>
    </row>
    <row r="548" spans="3:10" x14ac:dyDescent="0.3">
      <c r="C548" s="17" t="s">
        <v>963</v>
      </c>
      <c r="D548" s="16">
        <f>D499</f>
        <v>6506.55</v>
      </c>
      <c r="E548" s="16">
        <f>D548*12</f>
        <v>78078.600000000006</v>
      </c>
      <c r="F548" s="16">
        <f>F499</f>
        <v>5005</v>
      </c>
      <c r="G548" s="16">
        <f>G499</f>
        <v>2502.5</v>
      </c>
      <c r="H548" s="16">
        <f>E548+F548+G548</f>
        <v>85586.1</v>
      </c>
      <c r="I548" s="17">
        <v>1932.7</v>
      </c>
      <c r="J548" s="16">
        <f>ROUND((H548/I548)/60,2)</f>
        <v>0.74</v>
      </c>
    </row>
    <row r="549" spans="3:10" ht="12" customHeight="1" x14ac:dyDescent="0.3"/>
    <row r="550" spans="3:10" ht="27.6" x14ac:dyDescent="0.3">
      <c r="C550" s="13" t="s">
        <v>929</v>
      </c>
      <c r="D550" s="14" t="s">
        <v>961</v>
      </c>
      <c r="E550" s="14" t="s">
        <v>930</v>
      </c>
      <c r="F550" s="14" t="s">
        <v>931</v>
      </c>
    </row>
    <row r="551" spans="3:10" x14ac:dyDescent="0.3">
      <c r="C551" s="17" t="str">
        <f>C548</f>
        <v>Сестра медична з масажу</v>
      </c>
      <c r="D551" s="16">
        <f>J548</f>
        <v>0.74</v>
      </c>
      <c r="E551" s="17">
        <v>30</v>
      </c>
      <c r="F551" s="18">
        <f>ROUND(D551*E551,2)</f>
        <v>22.2</v>
      </c>
    </row>
    <row r="553" spans="3:10" x14ac:dyDescent="0.3">
      <c r="D553" s="19"/>
    </row>
    <row r="554" spans="3:10" ht="16.5" customHeight="1" x14ac:dyDescent="0.3">
      <c r="C554" s="17" t="s">
        <v>933</v>
      </c>
      <c r="D554" s="16">
        <f>F551</f>
        <v>22.2</v>
      </c>
      <c r="E554" s="20">
        <v>0.22</v>
      </c>
      <c r="F554" s="21">
        <f>ROUND(D554*E554,2)</f>
        <v>4.88</v>
      </c>
    </row>
    <row r="556" spans="3:10" x14ac:dyDescent="0.3">
      <c r="C556" s="12" t="s">
        <v>946</v>
      </c>
      <c r="D556" s="12"/>
      <c r="E556" s="12"/>
      <c r="F556" s="12">
        <f>G566</f>
        <v>18.72</v>
      </c>
      <c r="G556" s="12" t="s">
        <v>971</v>
      </c>
    </row>
    <row r="557" spans="3:10" x14ac:dyDescent="0.3">
      <c r="C557" s="17" t="str">
        <f t="shared" ref="C557:G565" si="11">C508</f>
        <v>Антисептик для обробки рук</v>
      </c>
      <c r="D557" s="73" t="str">
        <f t="shared" si="11"/>
        <v>мл</v>
      </c>
      <c r="E557" s="73">
        <f t="shared" si="11"/>
        <v>1</v>
      </c>
      <c r="F557" s="73">
        <f t="shared" si="11"/>
        <v>0.375</v>
      </c>
      <c r="G557" s="73">
        <f t="shared" si="11"/>
        <v>0.38</v>
      </c>
    </row>
    <row r="558" spans="3:10" x14ac:dyDescent="0.3">
      <c r="C558" s="17" t="str">
        <f t="shared" si="11"/>
        <v>Антисептик швидкої дії</v>
      </c>
      <c r="D558" s="73" t="str">
        <f t="shared" si="11"/>
        <v>мл</v>
      </c>
      <c r="E558" s="73">
        <f t="shared" si="11"/>
        <v>1</v>
      </c>
      <c r="F558" s="73">
        <f t="shared" si="11"/>
        <v>0.28799999999999998</v>
      </c>
      <c r="G558" s="73">
        <f t="shared" si="11"/>
        <v>0.28999999999999998</v>
      </c>
    </row>
    <row r="559" spans="3:10" x14ac:dyDescent="0.3">
      <c r="C559" s="17" t="str">
        <f t="shared" si="11"/>
        <v>Деззасоби</v>
      </c>
      <c r="D559" s="73" t="str">
        <f t="shared" si="11"/>
        <v>г</v>
      </c>
      <c r="E559" s="73">
        <f t="shared" si="11"/>
        <v>0.5</v>
      </c>
      <c r="F559" s="73">
        <f t="shared" si="11"/>
        <v>0.5</v>
      </c>
      <c r="G559" s="73">
        <f t="shared" si="11"/>
        <v>0.25</v>
      </c>
    </row>
    <row r="560" spans="3:10" x14ac:dyDescent="0.3">
      <c r="C560" s="17" t="str">
        <f t="shared" si="11"/>
        <v>Маска одноразова тришарова на резинці</v>
      </c>
      <c r="D560" s="73" t="str">
        <f t="shared" si="11"/>
        <v>шт</v>
      </c>
      <c r="E560" s="73">
        <f t="shared" si="11"/>
        <v>1</v>
      </c>
      <c r="F560" s="73">
        <f t="shared" si="11"/>
        <v>2</v>
      </c>
      <c r="G560" s="73">
        <f t="shared" si="11"/>
        <v>2</v>
      </c>
    </row>
    <row r="561" spans="3:8" x14ac:dyDescent="0.3">
      <c r="C561" s="17" t="str">
        <f t="shared" si="11"/>
        <v>Мило рідке</v>
      </c>
      <c r="D561" s="73" t="str">
        <f t="shared" si="11"/>
        <v>мл</v>
      </c>
      <c r="E561" s="73">
        <f t="shared" si="11"/>
        <v>1</v>
      </c>
      <c r="F561" s="73">
        <f t="shared" si="11"/>
        <v>0.19600000000000001</v>
      </c>
      <c r="G561" s="73">
        <f t="shared" si="11"/>
        <v>0.2</v>
      </c>
    </row>
    <row r="562" spans="3:8" x14ac:dyDescent="0.3">
      <c r="C562" s="17" t="str">
        <f t="shared" si="11"/>
        <v>Олія для масажу 100 мл</v>
      </c>
      <c r="D562" s="73" t="str">
        <f t="shared" si="11"/>
        <v>мл</v>
      </c>
      <c r="E562" s="73">
        <v>20</v>
      </c>
      <c r="F562" s="73">
        <f t="shared" si="11"/>
        <v>0.2</v>
      </c>
      <c r="G562" s="73">
        <f>E562*F562</f>
        <v>4</v>
      </c>
    </row>
    <row r="563" spans="3:8" x14ac:dyDescent="0.3">
      <c r="C563" s="17" t="str">
        <f t="shared" si="11"/>
        <v>Пелюшка поглинаюча 60/60</v>
      </c>
      <c r="D563" s="73" t="str">
        <f t="shared" si="11"/>
        <v>шт</v>
      </c>
      <c r="E563" s="73">
        <f t="shared" si="11"/>
        <v>1</v>
      </c>
      <c r="F563" s="73">
        <f t="shared" si="11"/>
        <v>6</v>
      </c>
      <c r="G563" s="73">
        <f t="shared" si="11"/>
        <v>6</v>
      </c>
    </row>
    <row r="564" spans="3:8" x14ac:dyDescent="0.3">
      <c r="C564" s="17" t="str">
        <f t="shared" si="11"/>
        <v>Простирадло одноразове 100 м</v>
      </c>
      <c r="D564" s="73" t="str">
        <f t="shared" si="11"/>
        <v>м</v>
      </c>
      <c r="E564" s="73">
        <f t="shared" si="11"/>
        <v>2</v>
      </c>
      <c r="F564" s="73">
        <f t="shared" si="11"/>
        <v>2.36</v>
      </c>
      <c r="G564" s="73">
        <f t="shared" si="11"/>
        <v>4.72</v>
      </c>
    </row>
    <row r="565" spans="3:8" x14ac:dyDescent="0.3">
      <c r="C565" s="17" t="str">
        <f t="shared" si="11"/>
        <v>Рушник паперовий</v>
      </c>
      <c r="D565" s="73" t="str">
        <f t="shared" si="11"/>
        <v>шт</v>
      </c>
      <c r="E565" s="73">
        <f t="shared" si="11"/>
        <v>0.05</v>
      </c>
      <c r="F565" s="73">
        <f t="shared" si="11"/>
        <v>17.5</v>
      </c>
      <c r="G565" s="73">
        <f t="shared" si="11"/>
        <v>0.88</v>
      </c>
    </row>
    <row r="566" spans="3:8" x14ac:dyDescent="0.3">
      <c r="C566" s="1019" t="s">
        <v>945</v>
      </c>
      <c r="D566" s="1019"/>
      <c r="E566" s="1019"/>
      <c r="F566" s="1019"/>
      <c r="G566" s="572">
        <f>SUM(G557:G565)</f>
        <v>18.72</v>
      </c>
    </row>
    <row r="568" spans="3:8" x14ac:dyDescent="0.3">
      <c r="C568" s="12" t="s">
        <v>968</v>
      </c>
      <c r="D568" s="12"/>
      <c r="E568" s="12"/>
      <c r="F568" s="11">
        <f>H571</f>
        <v>0.6</v>
      </c>
      <c r="G568" s="12" t="s">
        <v>971</v>
      </c>
    </row>
    <row r="569" spans="3:8" x14ac:dyDescent="0.3">
      <c r="C569" s="22"/>
      <c r="D569" s="22"/>
      <c r="E569" s="22"/>
      <c r="F569" s="23"/>
      <c r="G569" s="22"/>
    </row>
    <row r="570" spans="3:8" ht="27.6" x14ac:dyDescent="0.3">
      <c r="C570" s="14" t="s">
        <v>513</v>
      </c>
      <c r="D570" s="14" t="s">
        <v>1180</v>
      </c>
      <c r="E570" s="14" t="s">
        <v>516</v>
      </c>
      <c r="F570" s="14" t="s">
        <v>970</v>
      </c>
      <c r="G570" s="14" t="s">
        <v>930</v>
      </c>
      <c r="H570" s="14" t="s">
        <v>961</v>
      </c>
    </row>
    <row r="571" spans="3:8" x14ac:dyDescent="0.3">
      <c r="C571" s="27" t="s">
        <v>1204</v>
      </c>
      <c r="D571" s="16">
        <f>АМОРТИЗАЦІЯ!C14</f>
        <v>193</v>
      </c>
      <c r="E571" s="17">
        <v>4831.75</v>
      </c>
      <c r="F571" s="17">
        <v>0.02</v>
      </c>
      <c r="G571" s="17">
        <f>E551</f>
        <v>30</v>
      </c>
      <c r="H571" s="16">
        <f>ROUND(F571*G571,2)</f>
        <v>0.6</v>
      </c>
    </row>
    <row r="573" spans="3:8" x14ac:dyDescent="0.3">
      <c r="C573" s="12" t="s">
        <v>948</v>
      </c>
      <c r="D573" s="12"/>
      <c r="E573" s="12"/>
      <c r="F573" s="11">
        <f>H581</f>
        <v>3.5999999999999996</v>
      </c>
      <c r="G573" s="12" t="s">
        <v>971</v>
      </c>
    </row>
    <row r="574" spans="3:8" ht="9.75" customHeight="1" x14ac:dyDescent="0.3">
      <c r="C574" s="22"/>
      <c r="D574" s="22"/>
      <c r="E574" s="22"/>
      <c r="F574" s="23"/>
    </row>
    <row r="575" spans="3:8" ht="41.4" x14ac:dyDescent="0.3">
      <c r="C575" s="14" t="s">
        <v>948</v>
      </c>
      <c r="D575" s="14" t="s">
        <v>955</v>
      </c>
      <c r="E575" s="14" t="s">
        <v>516</v>
      </c>
      <c r="F575" s="14" t="s">
        <v>954</v>
      </c>
      <c r="G575" s="14" t="s">
        <v>930</v>
      </c>
      <c r="H575" s="14" t="s">
        <v>956</v>
      </c>
    </row>
    <row r="576" spans="3:8" x14ac:dyDescent="0.3">
      <c r="C576" s="1009" t="str">
        <f>C551</f>
        <v>Сестра медична з масажу</v>
      </c>
      <c r="D576" s="1010"/>
      <c r="E576" s="1010"/>
      <c r="F576" s="1010"/>
      <c r="G576" s="1010"/>
      <c r="H576" s="1011"/>
    </row>
    <row r="577" spans="2:12" x14ac:dyDescent="0.3">
      <c r="C577" s="17" t="s">
        <v>951</v>
      </c>
      <c r="D577" s="112">
        <f>D528</f>
        <v>12188.608008565312</v>
      </c>
      <c r="E577" s="17">
        <f>I548</f>
        <v>1932.7</v>
      </c>
      <c r="F577" s="17">
        <f>ROUND((D577/E577)/60,2)</f>
        <v>0.11</v>
      </c>
      <c r="G577" s="17">
        <f>E551</f>
        <v>30</v>
      </c>
      <c r="H577" s="16">
        <f>ROUND(F577*G577,2)</f>
        <v>3.3</v>
      </c>
    </row>
    <row r="578" spans="2:12" x14ac:dyDescent="0.3">
      <c r="C578" s="17" t="s">
        <v>952</v>
      </c>
      <c r="D578" s="112">
        <f>D529</f>
        <v>53.149721627408987</v>
      </c>
      <c r="E578" s="17">
        <f>I548</f>
        <v>1932.7</v>
      </c>
      <c r="F578" s="17">
        <f>ROUND((D578/E578)/60,2)</f>
        <v>0</v>
      </c>
      <c r="G578" s="17">
        <f>E551</f>
        <v>30</v>
      </c>
      <c r="H578" s="16">
        <f>ROUND(F578*G578,2)</f>
        <v>0</v>
      </c>
    </row>
    <row r="579" spans="2:12" x14ac:dyDescent="0.3">
      <c r="C579" s="17" t="s">
        <v>953</v>
      </c>
      <c r="D579" s="112">
        <f>D530</f>
        <v>374.98368308351178</v>
      </c>
      <c r="E579" s="17">
        <f>I548</f>
        <v>1932.7</v>
      </c>
      <c r="F579" s="17">
        <f>ROUND((D579/E579)/60,2)</f>
        <v>0</v>
      </c>
      <c r="G579" s="17">
        <f>E551</f>
        <v>30</v>
      </c>
      <c r="H579" s="16">
        <f>ROUND(F579*G579,2)</f>
        <v>0</v>
      </c>
    </row>
    <row r="580" spans="2:12" x14ac:dyDescent="0.3">
      <c r="C580" s="17" t="s">
        <v>1109</v>
      </c>
      <c r="D580" s="112">
        <f>D531</f>
        <v>1686.0389293361886</v>
      </c>
      <c r="E580" s="17">
        <f>I548</f>
        <v>1932.7</v>
      </c>
      <c r="F580" s="17">
        <f>ROUND((D580/E580)/60,2)</f>
        <v>0.01</v>
      </c>
      <c r="G580" s="17">
        <f>E551</f>
        <v>30</v>
      </c>
      <c r="H580" s="16">
        <f>ROUND(F580*G580,2)</f>
        <v>0.3</v>
      </c>
    </row>
    <row r="581" spans="2:12" x14ac:dyDescent="0.3">
      <c r="C581" s="1019" t="s">
        <v>957</v>
      </c>
      <c r="D581" s="1019"/>
      <c r="E581" s="1019"/>
      <c r="F581" s="1019"/>
      <c r="G581" s="1019"/>
      <c r="H581" s="18">
        <f>SUM(H577:H580)</f>
        <v>3.5999999999999996</v>
      </c>
    </row>
    <row r="583" spans="2:12" ht="3.75" customHeight="1" x14ac:dyDescent="0.3"/>
    <row r="584" spans="2:12" x14ac:dyDescent="0.3">
      <c r="C584" s="1015" t="s">
        <v>959</v>
      </c>
      <c r="D584" s="1015"/>
      <c r="E584" s="1015"/>
      <c r="F584" s="1015"/>
      <c r="G584" s="1015"/>
      <c r="H584" s="32">
        <f>F545+F556+F573+F568</f>
        <v>50</v>
      </c>
      <c r="L584" s="663"/>
    </row>
    <row r="585" spans="2:12" x14ac:dyDescent="0.3">
      <c r="B585" s="65"/>
      <c r="C585" s="33"/>
      <c r="D585" s="33"/>
      <c r="E585" s="33"/>
      <c r="F585" s="33"/>
      <c r="G585" s="33"/>
      <c r="H585" s="34"/>
      <c r="I585" s="65"/>
      <c r="J585" s="65"/>
      <c r="L585" s="663"/>
    </row>
    <row r="586" spans="2:12" x14ac:dyDescent="0.3">
      <c r="C586" s="1049" t="s">
        <v>1178</v>
      </c>
      <c r="D586" s="1049"/>
      <c r="E586" s="1049"/>
      <c r="F586" s="1049"/>
      <c r="G586" s="1049"/>
      <c r="H586" s="290">
        <f>ROUND(H584*0.2,2)</f>
        <v>10</v>
      </c>
      <c r="L586" s="663"/>
    </row>
    <row r="587" spans="2:12" x14ac:dyDescent="0.3">
      <c r="C587" s="1015" t="s">
        <v>1179</v>
      </c>
      <c r="D587" s="1015"/>
      <c r="E587" s="1015"/>
      <c r="F587" s="1015"/>
      <c r="G587" s="1015"/>
      <c r="H587" s="32">
        <f>H584+H586</f>
        <v>60</v>
      </c>
    </row>
    <row r="590" spans="2:12" ht="18.600000000000001" x14ac:dyDescent="0.3">
      <c r="B590" s="1016" t="s">
        <v>958</v>
      </c>
      <c r="C590" s="1016"/>
      <c r="D590" s="1016"/>
      <c r="E590" s="1016"/>
      <c r="F590" s="1016"/>
      <c r="G590" s="1016"/>
      <c r="H590" s="1016"/>
      <c r="I590" s="1016"/>
    </row>
    <row r="592" spans="2:12" ht="33.75" customHeight="1" x14ac:dyDescent="0.3">
      <c r="B592" s="25" t="s">
        <v>813</v>
      </c>
      <c r="C592" s="1050" t="s">
        <v>814</v>
      </c>
      <c r="D592" s="1050"/>
      <c r="E592" s="1050"/>
      <c r="F592" s="26">
        <f>H636</f>
        <v>60</v>
      </c>
      <c r="G592" s="26" t="s">
        <v>971</v>
      </c>
    </row>
    <row r="594" spans="3:10" x14ac:dyDescent="0.3">
      <c r="C594" s="1018" t="s">
        <v>932</v>
      </c>
      <c r="D594" s="1018"/>
      <c r="E594" s="10"/>
      <c r="F594" s="11">
        <f>F600+F603</f>
        <v>27.08</v>
      </c>
      <c r="G594" s="12" t="s">
        <v>971</v>
      </c>
    </row>
    <row r="596" spans="3:10" ht="27.6" x14ac:dyDescent="0.3">
      <c r="C596" s="13" t="s">
        <v>929</v>
      </c>
      <c r="D596" s="14" t="s">
        <v>928</v>
      </c>
      <c r="E596" s="14" t="s">
        <v>514</v>
      </c>
      <c r="F596" s="14" t="s">
        <v>515</v>
      </c>
      <c r="G596" s="14" t="s">
        <v>962</v>
      </c>
      <c r="H596" s="14" t="s">
        <v>926</v>
      </c>
      <c r="I596" s="14" t="s">
        <v>516</v>
      </c>
      <c r="J596" s="14" t="s">
        <v>927</v>
      </c>
    </row>
    <row r="597" spans="3:10" x14ac:dyDescent="0.3">
      <c r="C597" s="17" t="s">
        <v>963</v>
      </c>
      <c r="D597" s="16">
        <f>D548</f>
        <v>6506.55</v>
      </c>
      <c r="E597" s="16">
        <f>D597*12</f>
        <v>78078.600000000006</v>
      </c>
      <c r="F597" s="16">
        <f>F548</f>
        <v>5005</v>
      </c>
      <c r="G597" s="16">
        <f>G548</f>
        <v>2502.5</v>
      </c>
      <c r="H597" s="16">
        <f>E597+F597+G597</f>
        <v>85586.1</v>
      </c>
      <c r="I597" s="17">
        <v>1932.7</v>
      </c>
      <c r="J597" s="16">
        <f>ROUND((H597/I597)/60,2)</f>
        <v>0.74</v>
      </c>
    </row>
    <row r="599" spans="3:10" ht="27.6" x14ac:dyDescent="0.3">
      <c r="C599" s="13" t="s">
        <v>929</v>
      </c>
      <c r="D599" s="14" t="s">
        <v>961</v>
      </c>
      <c r="E599" s="14" t="s">
        <v>930</v>
      </c>
      <c r="F599" s="14" t="s">
        <v>931</v>
      </c>
    </row>
    <row r="600" spans="3:10" x14ac:dyDescent="0.3">
      <c r="C600" s="17" t="str">
        <f>C597</f>
        <v>Сестра медична з масажу</v>
      </c>
      <c r="D600" s="16">
        <f>J597</f>
        <v>0.74</v>
      </c>
      <c r="E600" s="17">
        <v>30</v>
      </c>
      <c r="F600" s="18">
        <f>ROUND(D600*E600,2)</f>
        <v>22.2</v>
      </c>
    </row>
    <row r="602" spans="3:10" x14ac:dyDescent="0.3">
      <c r="D602" s="19"/>
    </row>
    <row r="603" spans="3:10" x14ac:dyDescent="0.3">
      <c r="C603" s="17" t="s">
        <v>933</v>
      </c>
      <c r="D603" s="16">
        <f>F600</f>
        <v>22.2</v>
      </c>
      <c r="E603" s="20">
        <v>0.22</v>
      </c>
      <c r="F603" s="21">
        <f>ROUND(D603*E603,2)</f>
        <v>4.88</v>
      </c>
    </row>
    <row r="605" spans="3:10" x14ac:dyDescent="0.3">
      <c r="C605" s="12" t="s">
        <v>946</v>
      </c>
      <c r="D605" s="12"/>
      <c r="E605" s="12"/>
      <c r="F605" s="12">
        <f>G615</f>
        <v>18.72</v>
      </c>
      <c r="G605" s="12" t="s">
        <v>971</v>
      </c>
    </row>
    <row r="606" spans="3:10" x14ac:dyDescent="0.3">
      <c r="C606" s="17" t="str">
        <f t="shared" ref="C606:G614" si="12">C557</f>
        <v>Антисептик для обробки рук</v>
      </c>
      <c r="D606" s="73" t="str">
        <f t="shared" si="12"/>
        <v>мл</v>
      </c>
      <c r="E606" s="73">
        <f t="shared" si="12"/>
        <v>1</v>
      </c>
      <c r="F606" s="73">
        <f t="shared" si="12"/>
        <v>0.375</v>
      </c>
      <c r="G606" s="73">
        <f t="shared" si="12"/>
        <v>0.38</v>
      </c>
    </row>
    <row r="607" spans="3:10" x14ac:dyDescent="0.3">
      <c r="C607" s="17" t="str">
        <f t="shared" si="12"/>
        <v>Антисептик швидкої дії</v>
      </c>
      <c r="D607" s="73" t="str">
        <f t="shared" si="12"/>
        <v>мл</v>
      </c>
      <c r="E607" s="73">
        <f t="shared" si="12"/>
        <v>1</v>
      </c>
      <c r="F607" s="73">
        <f t="shared" si="12"/>
        <v>0.28799999999999998</v>
      </c>
      <c r="G607" s="73">
        <f t="shared" si="12"/>
        <v>0.28999999999999998</v>
      </c>
    </row>
    <row r="608" spans="3:10" x14ac:dyDescent="0.3">
      <c r="C608" s="17" t="str">
        <f t="shared" si="12"/>
        <v>Деззасоби</v>
      </c>
      <c r="D608" s="73" t="str">
        <f t="shared" si="12"/>
        <v>г</v>
      </c>
      <c r="E608" s="73">
        <f t="shared" si="12"/>
        <v>0.5</v>
      </c>
      <c r="F608" s="73">
        <f t="shared" si="12"/>
        <v>0.5</v>
      </c>
      <c r="G608" s="73">
        <f t="shared" si="12"/>
        <v>0.25</v>
      </c>
    </row>
    <row r="609" spans="3:8" x14ac:dyDescent="0.3">
      <c r="C609" s="17" t="str">
        <f t="shared" si="12"/>
        <v>Маска одноразова тришарова на резинці</v>
      </c>
      <c r="D609" s="73" t="str">
        <f t="shared" si="12"/>
        <v>шт</v>
      </c>
      <c r="E609" s="73">
        <f t="shared" si="12"/>
        <v>1</v>
      </c>
      <c r="F609" s="73">
        <f t="shared" si="12"/>
        <v>2</v>
      </c>
      <c r="G609" s="73">
        <f t="shared" si="12"/>
        <v>2</v>
      </c>
    </row>
    <row r="610" spans="3:8" x14ac:dyDescent="0.3">
      <c r="C610" s="17" t="str">
        <f t="shared" si="12"/>
        <v>Мило рідке</v>
      </c>
      <c r="D610" s="73" t="str">
        <f t="shared" si="12"/>
        <v>мл</v>
      </c>
      <c r="E610" s="73">
        <f t="shared" si="12"/>
        <v>1</v>
      </c>
      <c r="F610" s="73">
        <f t="shared" si="12"/>
        <v>0.19600000000000001</v>
      </c>
      <c r="G610" s="73">
        <f t="shared" si="12"/>
        <v>0.2</v>
      </c>
    </row>
    <row r="611" spans="3:8" x14ac:dyDescent="0.3">
      <c r="C611" s="17" t="str">
        <f t="shared" si="12"/>
        <v>Олія для масажу 100 мл</v>
      </c>
      <c r="D611" s="73" t="str">
        <f t="shared" si="12"/>
        <v>мл</v>
      </c>
      <c r="E611" s="73">
        <f t="shared" si="12"/>
        <v>20</v>
      </c>
      <c r="F611" s="73">
        <f t="shared" si="12"/>
        <v>0.2</v>
      </c>
      <c r="G611" s="73">
        <f t="shared" si="12"/>
        <v>4</v>
      </c>
    </row>
    <row r="612" spans="3:8" x14ac:dyDescent="0.3">
      <c r="C612" s="17" t="str">
        <f t="shared" si="12"/>
        <v>Пелюшка поглинаюча 60/60</v>
      </c>
      <c r="D612" s="73" t="str">
        <f t="shared" si="12"/>
        <v>шт</v>
      </c>
      <c r="E612" s="73">
        <f t="shared" si="12"/>
        <v>1</v>
      </c>
      <c r="F612" s="73">
        <f t="shared" si="12"/>
        <v>6</v>
      </c>
      <c r="G612" s="73">
        <f t="shared" si="12"/>
        <v>6</v>
      </c>
    </row>
    <row r="613" spans="3:8" x14ac:dyDescent="0.3">
      <c r="C613" s="17" t="str">
        <f t="shared" si="12"/>
        <v>Простирадло одноразове 100 м</v>
      </c>
      <c r="D613" s="73" t="str">
        <f t="shared" si="12"/>
        <v>м</v>
      </c>
      <c r="E613" s="73">
        <f t="shared" si="12"/>
        <v>2</v>
      </c>
      <c r="F613" s="73">
        <f t="shared" si="12"/>
        <v>2.36</v>
      </c>
      <c r="G613" s="73">
        <f t="shared" si="12"/>
        <v>4.72</v>
      </c>
    </row>
    <row r="614" spans="3:8" x14ac:dyDescent="0.3">
      <c r="C614" s="17" t="str">
        <f t="shared" si="12"/>
        <v>Рушник паперовий</v>
      </c>
      <c r="D614" s="73" t="str">
        <f t="shared" si="12"/>
        <v>шт</v>
      </c>
      <c r="E614" s="73">
        <f t="shared" si="12"/>
        <v>0.05</v>
      </c>
      <c r="F614" s="73">
        <f t="shared" si="12"/>
        <v>17.5</v>
      </c>
      <c r="G614" s="73">
        <f t="shared" si="12"/>
        <v>0.88</v>
      </c>
    </row>
    <row r="615" spans="3:8" x14ac:dyDescent="0.3">
      <c r="C615" s="1019" t="s">
        <v>945</v>
      </c>
      <c r="D615" s="1019"/>
      <c r="E615" s="1019"/>
      <c r="F615" s="1019"/>
      <c r="G615" s="572">
        <f>SUM(G606:G614)</f>
        <v>18.72</v>
      </c>
    </row>
    <row r="617" spans="3:8" x14ac:dyDescent="0.3">
      <c r="C617" s="12" t="s">
        <v>968</v>
      </c>
      <c r="D617" s="12"/>
      <c r="E617" s="12"/>
      <c r="F617" s="11">
        <f>H620</f>
        <v>0.6</v>
      </c>
      <c r="G617" s="12" t="s">
        <v>971</v>
      </c>
    </row>
    <row r="618" spans="3:8" x14ac:dyDescent="0.3">
      <c r="C618" s="22"/>
      <c r="D618" s="22"/>
      <c r="E618" s="22"/>
      <c r="F618" s="23"/>
      <c r="G618" s="22"/>
    </row>
    <row r="619" spans="3:8" ht="27.6" x14ac:dyDescent="0.3">
      <c r="C619" s="14" t="s">
        <v>513</v>
      </c>
      <c r="D619" s="14" t="s">
        <v>1180</v>
      </c>
      <c r="E619" s="14" t="s">
        <v>516</v>
      </c>
      <c r="F619" s="14" t="s">
        <v>970</v>
      </c>
      <c r="G619" s="14" t="s">
        <v>930</v>
      </c>
      <c r="H619" s="14" t="s">
        <v>961</v>
      </c>
    </row>
    <row r="620" spans="3:8" x14ac:dyDescent="0.3">
      <c r="C620" s="27" t="s">
        <v>1204</v>
      </c>
      <c r="D620" s="16">
        <f>АМОРТИЗАЦІЯ!C14</f>
        <v>193</v>
      </c>
      <c r="E620" s="17">
        <v>4831.75</v>
      </c>
      <c r="F620" s="17">
        <v>0.02</v>
      </c>
      <c r="G620" s="17">
        <f>E600</f>
        <v>30</v>
      </c>
      <c r="H620" s="16">
        <f>ROUND(F620*G620,2)</f>
        <v>0.6</v>
      </c>
    </row>
    <row r="622" spans="3:8" x14ac:dyDescent="0.3">
      <c r="C622" s="12" t="s">
        <v>948</v>
      </c>
      <c r="D622" s="12"/>
      <c r="E622" s="12"/>
      <c r="F622" s="11">
        <f>H630</f>
        <v>3.5999999999999996</v>
      </c>
      <c r="G622" s="12" t="s">
        <v>971</v>
      </c>
    </row>
    <row r="623" spans="3:8" x14ac:dyDescent="0.3">
      <c r="C623" s="22"/>
      <c r="D623" s="22"/>
      <c r="E623" s="22"/>
      <c r="F623" s="23"/>
    </row>
    <row r="624" spans="3:8" ht="41.4" x14ac:dyDescent="0.3">
      <c r="C624" s="14" t="s">
        <v>948</v>
      </c>
      <c r="D624" s="14" t="s">
        <v>955</v>
      </c>
      <c r="E624" s="14" t="s">
        <v>516</v>
      </c>
      <c r="F624" s="14" t="s">
        <v>954</v>
      </c>
      <c r="G624" s="14" t="s">
        <v>930</v>
      </c>
      <c r="H624" s="14" t="s">
        <v>956</v>
      </c>
    </row>
    <row r="625" spans="2:10" x14ac:dyDescent="0.3">
      <c r="C625" s="1009" t="str">
        <f>C600</f>
        <v>Сестра медична з масажу</v>
      </c>
      <c r="D625" s="1010"/>
      <c r="E625" s="1010"/>
      <c r="F625" s="1010"/>
      <c r="G625" s="1010"/>
      <c r="H625" s="1011"/>
    </row>
    <row r="626" spans="2:10" x14ac:dyDescent="0.3">
      <c r="C626" s="17" t="s">
        <v>951</v>
      </c>
      <c r="D626" s="224">
        <f>D577</f>
        <v>12188.608008565312</v>
      </c>
      <c r="E626" s="17">
        <f>I597</f>
        <v>1932.7</v>
      </c>
      <c r="F626" s="17">
        <f>ROUND((D626/E626)/60,2)</f>
        <v>0.11</v>
      </c>
      <c r="G626" s="17">
        <f>E600</f>
        <v>30</v>
      </c>
      <c r="H626" s="16">
        <f>ROUND(F626*G626,2)</f>
        <v>3.3</v>
      </c>
    </row>
    <row r="627" spans="2:10" x14ac:dyDescent="0.3">
      <c r="C627" s="17" t="s">
        <v>952</v>
      </c>
      <c r="D627" s="224">
        <f>D578</f>
        <v>53.149721627408987</v>
      </c>
      <c r="E627" s="17">
        <f>I597</f>
        <v>1932.7</v>
      </c>
      <c r="F627" s="17">
        <f>ROUND((D627/E627)/60,2)</f>
        <v>0</v>
      </c>
      <c r="G627" s="17">
        <f>E600</f>
        <v>30</v>
      </c>
      <c r="H627" s="16">
        <f>ROUND(F627*G627,2)</f>
        <v>0</v>
      </c>
    </row>
    <row r="628" spans="2:10" x14ac:dyDescent="0.3">
      <c r="C628" s="17" t="s">
        <v>953</v>
      </c>
      <c r="D628" s="224">
        <f>D579</f>
        <v>374.98368308351178</v>
      </c>
      <c r="E628" s="17">
        <f>I597</f>
        <v>1932.7</v>
      </c>
      <c r="F628" s="17">
        <f>ROUND((D628/E628)/60,2)</f>
        <v>0</v>
      </c>
      <c r="G628" s="17">
        <f>E600</f>
        <v>30</v>
      </c>
      <c r="H628" s="16">
        <f>ROUND(F628*G628,2)</f>
        <v>0</v>
      </c>
    </row>
    <row r="629" spans="2:10" x14ac:dyDescent="0.3">
      <c r="C629" s="17" t="s">
        <v>1109</v>
      </c>
      <c r="D629" s="224">
        <f>D580</f>
        <v>1686.0389293361886</v>
      </c>
      <c r="E629" s="17">
        <f>I597</f>
        <v>1932.7</v>
      </c>
      <c r="F629" s="17">
        <f>ROUND((D629/E629)/60,2)</f>
        <v>0.01</v>
      </c>
      <c r="G629" s="17">
        <f>E600</f>
        <v>30</v>
      </c>
      <c r="H629" s="16">
        <f>ROUND(F629*G629,2)</f>
        <v>0.3</v>
      </c>
    </row>
    <row r="630" spans="2:10" x14ac:dyDescent="0.3">
      <c r="C630" s="1019" t="s">
        <v>957</v>
      </c>
      <c r="D630" s="1019"/>
      <c r="E630" s="1019"/>
      <c r="F630" s="1019"/>
      <c r="G630" s="1019"/>
      <c r="H630" s="18">
        <f>SUM(H626:H629)</f>
        <v>3.5999999999999996</v>
      </c>
    </row>
    <row r="632" spans="2:10" ht="1.5" customHeight="1" x14ac:dyDescent="0.3"/>
    <row r="633" spans="2:10" x14ac:dyDescent="0.3">
      <c r="C633" s="1015" t="s">
        <v>959</v>
      </c>
      <c r="D633" s="1015"/>
      <c r="E633" s="1015"/>
      <c r="F633" s="1015"/>
      <c r="G633" s="1015"/>
      <c r="H633" s="32">
        <f>F594+F605+F622+F617</f>
        <v>50</v>
      </c>
    </row>
    <row r="634" spans="2:10" x14ac:dyDescent="0.3">
      <c r="B634" s="65"/>
      <c r="C634" s="33"/>
      <c r="D634" s="33"/>
      <c r="E634" s="33"/>
      <c r="F634" s="33"/>
      <c r="G634" s="33"/>
      <c r="H634" s="34"/>
      <c r="I634" s="65"/>
      <c r="J634" s="65"/>
    </row>
    <row r="635" spans="2:10" x14ac:dyDescent="0.3">
      <c r="C635" s="1049" t="s">
        <v>1178</v>
      </c>
      <c r="D635" s="1049"/>
      <c r="E635" s="1049"/>
      <c r="F635" s="1049"/>
      <c r="G635" s="1049"/>
      <c r="H635" s="49">
        <f>ROUND(H633*0.2,2)</f>
        <v>10</v>
      </c>
    </row>
    <row r="636" spans="2:10" x14ac:dyDescent="0.3">
      <c r="C636" s="1015" t="s">
        <v>1179</v>
      </c>
      <c r="D636" s="1015"/>
      <c r="E636" s="1015"/>
      <c r="F636" s="1015"/>
      <c r="G636" s="1015"/>
      <c r="H636" s="32">
        <f>H633+H635</f>
        <v>60</v>
      </c>
    </row>
    <row r="639" spans="2:10" ht="18.600000000000001" x14ac:dyDescent="0.3">
      <c r="B639" s="1016" t="s">
        <v>958</v>
      </c>
      <c r="C639" s="1016"/>
      <c r="D639" s="1016"/>
      <c r="E639" s="1016"/>
      <c r="F639" s="1016"/>
      <c r="G639" s="1016"/>
      <c r="H639" s="1016"/>
      <c r="I639" s="1016"/>
    </row>
    <row r="641" spans="2:10" ht="33" customHeight="1" x14ac:dyDescent="0.3">
      <c r="B641" s="25" t="s">
        <v>815</v>
      </c>
      <c r="C641" s="1050" t="s">
        <v>816</v>
      </c>
      <c r="D641" s="1050"/>
      <c r="E641" s="66"/>
      <c r="F641" s="26">
        <f>H685</f>
        <v>60</v>
      </c>
      <c r="G641" s="26" t="s">
        <v>971</v>
      </c>
    </row>
    <row r="643" spans="2:10" x14ac:dyDescent="0.3">
      <c r="C643" s="1018" t="s">
        <v>932</v>
      </c>
      <c r="D643" s="1018"/>
      <c r="E643" s="10"/>
      <c r="F643" s="11">
        <f>F649+F652</f>
        <v>27.08</v>
      </c>
      <c r="G643" s="12" t="s">
        <v>971</v>
      </c>
    </row>
    <row r="645" spans="2:10" ht="27.6" x14ac:dyDescent="0.3">
      <c r="C645" s="13" t="s">
        <v>929</v>
      </c>
      <c r="D645" s="14" t="s">
        <v>928</v>
      </c>
      <c r="E645" s="14" t="s">
        <v>514</v>
      </c>
      <c r="F645" s="14" t="s">
        <v>515</v>
      </c>
      <c r="G645" s="14" t="s">
        <v>962</v>
      </c>
      <c r="H645" s="14" t="s">
        <v>926</v>
      </c>
      <c r="I645" s="14" t="s">
        <v>516</v>
      </c>
      <c r="J645" s="14" t="s">
        <v>927</v>
      </c>
    </row>
    <row r="646" spans="2:10" x14ac:dyDescent="0.3">
      <c r="C646" s="17" t="s">
        <v>963</v>
      </c>
      <c r="D646" s="16">
        <f>D597</f>
        <v>6506.55</v>
      </c>
      <c r="E646" s="16">
        <f>D646*12</f>
        <v>78078.600000000006</v>
      </c>
      <c r="F646" s="16">
        <f>F597</f>
        <v>5005</v>
      </c>
      <c r="G646" s="16">
        <f>G597</f>
        <v>2502.5</v>
      </c>
      <c r="H646" s="16">
        <f>E646+F646+G646</f>
        <v>85586.1</v>
      </c>
      <c r="I646" s="17">
        <v>1932.7</v>
      </c>
      <c r="J646" s="16">
        <f>ROUND((H646/I646)/60,2)</f>
        <v>0.74</v>
      </c>
    </row>
    <row r="648" spans="2:10" ht="27.6" x14ac:dyDescent="0.3">
      <c r="C648" s="13" t="s">
        <v>929</v>
      </c>
      <c r="D648" s="14" t="s">
        <v>961</v>
      </c>
      <c r="E648" s="14" t="s">
        <v>930</v>
      </c>
      <c r="F648" s="14" t="s">
        <v>931</v>
      </c>
    </row>
    <row r="649" spans="2:10" x14ac:dyDescent="0.3">
      <c r="C649" s="17" t="str">
        <f>C646</f>
        <v>Сестра медична з масажу</v>
      </c>
      <c r="D649" s="16">
        <f>J646</f>
        <v>0.74</v>
      </c>
      <c r="E649" s="17">
        <v>30</v>
      </c>
      <c r="F649" s="18">
        <f>ROUND(D649*E649,2)</f>
        <v>22.2</v>
      </c>
    </row>
    <row r="651" spans="2:10" ht="1.5" customHeight="1" x14ac:dyDescent="0.3">
      <c r="D651" s="19"/>
    </row>
    <row r="652" spans="2:10" x14ac:dyDescent="0.3">
      <c r="C652" s="17" t="s">
        <v>933</v>
      </c>
      <c r="D652" s="16">
        <f>F649</f>
        <v>22.2</v>
      </c>
      <c r="E652" s="20">
        <v>0.22</v>
      </c>
      <c r="F652" s="21">
        <f>ROUND(D652*E652,2)</f>
        <v>4.88</v>
      </c>
    </row>
    <row r="654" spans="2:10" x14ac:dyDescent="0.3">
      <c r="C654" s="12" t="s">
        <v>946</v>
      </c>
      <c r="D654" s="12"/>
      <c r="E654" s="12"/>
      <c r="F654" s="12">
        <f>G664</f>
        <v>18.72</v>
      </c>
      <c r="G654" s="12" t="s">
        <v>971</v>
      </c>
    </row>
    <row r="655" spans="2:10" x14ac:dyDescent="0.3">
      <c r="C655" s="17" t="str">
        <f t="shared" ref="C655:G663" si="13">C606</f>
        <v>Антисептик для обробки рук</v>
      </c>
      <c r="D655" s="73" t="str">
        <f t="shared" si="13"/>
        <v>мл</v>
      </c>
      <c r="E655" s="73">
        <f t="shared" si="13"/>
        <v>1</v>
      </c>
      <c r="F655" s="73">
        <f t="shared" si="13"/>
        <v>0.375</v>
      </c>
      <c r="G655" s="73">
        <f t="shared" si="13"/>
        <v>0.38</v>
      </c>
    </row>
    <row r="656" spans="2:10" x14ac:dyDescent="0.3">
      <c r="C656" s="17" t="str">
        <f t="shared" si="13"/>
        <v>Антисептик швидкої дії</v>
      </c>
      <c r="D656" s="73" t="str">
        <f t="shared" si="13"/>
        <v>мл</v>
      </c>
      <c r="E656" s="73">
        <f t="shared" si="13"/>
        <v>1</v>
      </c>
      <c r="F656" s="73">
        <f t="shared" si="13"/>
        <v>0.28799999999999998</v>
      </c>
      <c r="G656" s="73">
        <f t="shared" si="13"/>
        <v>0.28999999999999998</v>
      </c>
    </row>
    <row r="657" spans="3:8" x14ac:dyDescent="0.3">
      <c r="C657" s="17" t="str">
        <f t="shared" si="13"/>
        <v>Деззасоби</v>
      </c>
      <c r="D657" s="73" t="str">
        <f t="shared" si="13"/>
        <v>г</v>
      </c>
      <c r="E657" s="73">
        <f t="shared" si="13"/>
        <v>0.5</v>
      </c>
      <c r="F657" s="73">
        <f t="shared" si="13"/>
        <v>0.5</v>
      </c>
      <c r="G657" s="73">
        <f t="shared" si="13"/>
        <v>0.25</v>
      </c>
    </row>
    <row r="658" spans="3:8" x14ac:dyDescent="0.3">
      <c r="C658" s="17" t="str">
        <f t="shared" si="13"/>
        <v>Маска одноразова тришарова на резинці</v>
      </c>
      <c r="D658" s="73" t="str">
        <f t="shared" si="13"/>
        <v>шт</v>
      </c>
      <c r="E658" s="73">
        <f t="shared" si="13"/>
        <v>1</v>
      </c>
      <c r="F658" s="73">
        <f t="shared" si="13"/>
        <v>2</v>
      </c>
      <c r="G658" s="73">
        <f t="shared" si="13"/>
        <v>2</v>
      </c>
    </row>
    <row r="659" spans="3:8" x14ac:dyDescent="0.3">
      <c r="C659" s="17" t="str">
        <f t="shared" si="13"/>
        <v>Мило рідке</v>
      </c>
      <c r="D659" s="73" t="str">
        <f t="shared" si="13"/>
        <v>мл</v>
      </c>
      <c r="E659" s="73">
        <f t="shared" si="13"/>
        <v>1</v>
      </c>
      <c r="F659" s="73">
        <f t="shared" si="13"/>
        <v>0.19600000000000001</v>
      </c>
      <c r="G659" s="73">
        <f t="shared" si="13"/>
        <v>0.2</v>
      </c>
    </row>
    <row r="660" spans="3:8" x14ac:dyDescent="0.3">
      <c r="C660" s="17" t="str">
        <f t="shared" si="13"/>
        <v>Олія для масажу 100 мл</v>
      </c>
      <c r="D660" s="73" t="str">
        <f t="shared" si="13"/>
        <v>мл</v>
      </c>
      <c r="E660" s="73">
        <f t="shared" si="13"/>
        <v>20</v>
      </c>
      <c r="F660" s="73">
        <f t="shared" si="13"/>
        <v>0.2</v>
      </c>
      <c r="G660" s="73">
        <f t="shared" si="13"/>
        <v>4</v>
      </c>
    </row>
    <row r="661" spans="3:8" x14ac:dyDescent="0.3">
      <c r="C661" s="17" t="str">
        <f t="shared" si="13"/>
        <v>Пелюшка поглинаюча 60/60</v>
      </c>
      <c r="D661" s="73" t="str">
        <f t="shared" si="13"/>
        <v>шт</v>
      </c>
      <c r="E661" s="73">
        <f t="shared" si="13"/>
        <v>1</v>
      </c>
      <c r="F661" s="73">
        <f t="shared" si="13"/>
        <v>6</v>
      </c>
      <c r="G661" s="73">
        <f t="shared" si="13"/>
        <v>6</v>
      </c>
    </row>
    <row r="662" spans="3:8" x14ac:dyDescent="0.3">
      <c r="C662" s="17" t="str">
        <f t="shared" si="13"/>
        <v>Простирадло одноразове 100 м</v>
      </c>
      <c r="D662" s="73" t="str">
        <f t="shared" si="13"/>
        <v>м</v>
      </c>
      <c r="E662" s="73">
        <f t="shared" si="13"/>
        <v>2</v>
      </c>
      <c r="F662" s="73">
        <f t="shared" si="13"/>
        <v>2.36</v>
      </c>
      <c r="G662" s="73">
        <f t="shared" si="13"/>
        <v>4.72</v>
      </c>
    </row>
    <row r="663" spans="3:8" x14ac:dyDescent="0.3">
      <c r="C663" s="17" t="str">
        <f t="shared" si="13"/>
        <v>Рушник паперовий</v>
      </c>
      <c r="D663" s="73" t="str">
        <f t="shared" si="13"/>
        <v>шт</v>
      </c>
      <c r="E663" s="73">
        <f t="shared" si="13"/>
        <v>0.05</v>
      </c>
      <c r="F663" s="73">
        <f t="shared" si="13"/>
        <v>17.5</v>
      </c>
      <c r="G663" s="73">
        <f t="shared" si="13"/>
        <v>0.88</v>
      </c>
    </row>
    <row r="664" spans="3:8" x14ac:dyDescent="0.3">
      <c r="C664" s="1019" t="s">
        <v>945</v>
      </c>
      <c r="D664" s="1019"/>
      <c r="E664" s="1019"/>
      <c r="F664" s="1019"/>
      <c r="G664" s="572">
        <f>SUM(G655:G663)</f>
        <v>18.72</v>
      </c>
    </row>
    <row r="666" spans="3:8" x14ac:dyDescent="0.3">
      <c r="C666" s="12" t="s">
        <v>968</v>
      </c>
      <c r="D666" s="12"/>
      <c r="E666" s="12"/>
      <c r="F666" s="11">
        <f>H669</f>
        <v>0.6</v>
      </c>
      <c r="G666" s="12" t="s">
        <v>971</v>
      </c>
    </row>
    <row r="667" spans="3:8" x14ac:dyDescent="0.3">
      <c r="C667" s="22"/>
      <c r="D667" s="22"/>
      <c r="E667" s="22"/>
      <c r="F667" s="23"/>
      <c r="G667" s="22"/>
    </row>
    <row r="668" spans="3:8" ht="27.6" x14ac:dyDescent="0.3">
      <c r="C668" s="14" t="s">
        <v>513</v>
      </c>
      <c r="D668" s="14" t="s">
        <v>1180</v>
      </c>
      <c r="E668" s="14" t="s">
        <v>516</v>
      </c>
      <c r="F668" s="14" t="s">
        <v>970</v>
      </c>
      <c r="G668" s="14" t="s">
        <v>930</v>
      </c>
      <c r="H668" s="14" t="s">
        <v>961</v>
      </c>
    </row>
    <row r="669" spans="3:8" x14ac:dyDescent="0.3">
      <c r="C669" s="27" t="s">
        <v>1204</v>
      </c>
      <c r="D669" s="16">
        <f>АМОРТИЗАЦІЯ!C14</f>
        <v>193</v>
      </c>
      <c r="E669" s="17">
        <v>4831.75</v>
      </c>
      <c r="F669" s="17">
        <v>0.02</v>
      </c>
      <c r="G669" s="17">
        <f>E649</f>
        <v>30</v>
      </c>
      <c r="H669" s="16">
        <f>ROUND(F669*G669,2)</f>
        <v>0.6</v>
      </c>
    </row>
    <row r="671" spans="3:8" x14ac:dyDescent="0.3">
      <c r="C671" s="12" t="s">
        <v>948</v>
      </c>
      <c r="D671" s="12"/>
      <c r="E671" s="12"/>
      <c r="F671" s="11">
        <f>H679</f>
        <v>3.5999999999999996</v>
      </c>
      <c r="G671" s="12" t="s">
        <v>971</v>
      </c>
    </row>
    <row r="672" spans="3:8" x14ac:dyDescent="0.3">
      <c r="C672" s="22"/>
      <c r="D672" s="22"/>
      <c r="E672" s="22"/>
      <c r="F672" s="23"/>
    </row>
    <row r="673" spans="2:10" ht="41.4" x14ac:dyDescent="0.3">
      <c r="C673" s="14" t="s">
        <v>948</v>
      </c>
      <c r="D673" s="14" t="s">
        <v>955</v>
      </c>
      <c r="E673" s="14" t="s">
        <v>516</v>
      </c>
      <c r="F673" s="14" t="s">
        <v>954</v>
      </c>
      <c r="G673" s="14" t="s">
        <v>930</v>
      </c>
      <c r="H673" s="14" t="s">
        <v>956</v>
      </c>
    </row>
    <row r="674" spans="2:10" x14ac:dyDescent="0.3">
      <c r="C674" s="1009" t="str">
        <f>C649</f>
        <v>Сестра медична з масажу</v>
      </c>
      <c r="D674" s="1010"/>
      <c r="E674" s="1010"/>
      <c r="F674" s="1010"/>
      <c r="G674" s="1010"/>
      <c r="H674" s="1011"/>
    </row>
    <row r="675" spans="2:10" x14ac:dyDescent="0.3">
      <c r="C675" s="17" t="s">
        <v>951</v>
      </c>
      <c r="D675" s="112">
        <f>D626</f>
        <v>12188.608008565312</v>
      </c>
      <c r="E675" s="17">
        <f>I646</f>
        <v>1932.7</v>
      </c>
      <c r="F675" s="17">
        <f>ROUND((D675/E675)/60,2)</f>
        <v>0.11</v>
      </c>
      <c r="G675" s="17">
        <f>E649</f>
        <v>30</v>
      </c>
      <c r="H675" s="16">
        <f>ROUND(F675*G675,2)</f>
        <v>3.3</v>
      </c>
    </row>
    <row r="676" spans="2:10" x14ac:dyDescent="0.3">
      <c r="C676" s="17" t="s">
        <v>952</v>
      </c>
      <c r="D676" s="112">
        <f>D627</f>
        <v>53.149721627408987</v>
      </c>
      <c r="E676" s="17">
        <f>I646</f>
        <v>1932.7</v>
      </c>
      <c r="F676" s="17">
        <f>ROUND((D676/E676)/60,2)</f>
        <v>0</v>
      </c>
      <c r="G676" s="17">
        <f>E649</f>
        <v>30</v>
      </c>
      <c r="H676" s="16">
        <f>ROUND(F676*G676,2)</f>
        <v>0</v>
      </c>
    </row>
    <row r="677" spans="2:10" x14ac:dyDescent="0.3">
      <c r="C677" s="17" t="s">
        <v>953</v>
      </c>
      <c r="D677" s="112">
        <f>D628</f>
        <v>374.98368308351178</v>
      </c>
      <c r="E677" s="17">
        <f>I646</f>
        <v>1932.7</v>
      </c>
      <c r="F677" s="17">
        <f>ROUND((D677/E677)/60,2)</f>
        <v>0</v>
      </c>
      <c r="G677" s="17">
        <f>E649</f>
        <v>30</v>
      </c>
      <c r="H677" s="16">
        <f>ROUND(F677*G677,2)</f>
        <v>0</v>
      </c>
    </row>
    <row r="678" spans="2:10" x14ac:dyDescent="0.3">
      <c r="C678" s="17" t="s">
        <v>1109</v>
      </c>
      <c r="D678" s="112">
        <f>D629</f>
        <v>1686.0389293361886</v>
      </c>
      <c r="E678" s="17">
        <f>I646</f>
        <v>1932.7</v>
      </c>
      <c r="F678" s="17">
        <f>ROUND((D678/E678)/60,2)</f>
        <v>0.01</v>
      </c>
      <c r="G678" s="17">
        <f>E649</f>
        <v>30</v>
      </c>
      <c r="H678" s="16">
        <f>ROUND(F678*G678,2)</f>
        <v>0.3</v>
      </c>
    </row>
    <row r="679" spans="2:10" x14ac:dyDescent="0.3">
      <c r="C679" s="1019" t="s">
        <v>957</v>
      </c>
      <c r="D679" s="1019"/>
      <c r="E679" s="1019"/>
      <c r="F679" s="1019"/>
      <c r="G679" s="1019"/>
      <c r="H679" s="18">
        <f>SUM(H675:H678)</f>
        <v>3.5999999999999996</v>
      </c>
    </row>
    <row r="681" spans="2:10" ht="0.75" customHeight="1" x14ac:dyDescent="0.3"/>
    <row r="682" spans="2:10" x14ac:dyDescent="0.3">
      <c r="C682" s="1015" t="s">
        <v>959</v>
      </c>
      <c r="D682" s="1015"/>
      <c r="E682" s="1015"/>
      <c r="F682" s="1015"/>
      <c r="G682" s="1015"/>
      <c r="H682" s="32">
        <f>F643+F654+F671+F666</f>
        <v>50</v>
      </c>
    </row>
    <row r="683" spans="2:10" x14ac:dyDescent="0.3">
      <c r="B683" s="65"/>
      <c r="C683" s="33"/>
      <c r="D683" s="33"/>
      <c r="E683" s="33"/>
      <c r="F683" s="33"/>
      <c r="G683" s="33"/>
      <c r="H683" s="34"/>
      <c r="I683" s="65"/>
      <c r="J683" s="65"/>
    </row>
    <row r="684" spans="2:10" x14ac:dyDescent="0.3">
      <c r="C684" s="1049" t="s">
        <v>1178</v>
      </c>
      <c r="D684" s="1049"/>
      <c r="E684" s="1049"/>
      <c r="F684" s="1049"/>
      <c r="G684" s="1049"/>
      <c r="H684" s="49">
        <f>ROUND(H682*0.2,2)</f>
        <v>10</v>
      </c>
    </row>
    <row r="685" spans="2:10" x14ac:dyDescent="0.3">
      <c r="C685" s="1015" t="s">
        <v>1179</v>
      </c>
      <c r="D685" s="1015"/>
      <c r="E685" s="1015"/>
      <c r="F685" s="1015"/>
      <c r="G685" s="1015"/>
      <c r="H685" s="32">
        <f>H682+H684</f>
        <v>60</v>
      </c>
    </row>
    <row r="688" spans="2:10" ht="18.600000000000001" x14ac:dyDescent="0.3">
      <c r="B688" s="1016" t="s">
        <v>958</v>
      </c>
      <c r="C688" s="1016"/>
      <c r="D688" s="1016"/>
      <c r="E688" s="1016"/>
      <c r="F688" s="1016"/>
      <c r="G688" s="1016"/>
      <c r="H688" s="1016"/>
      <c r="I688" s="1016"/>
    </row>
    <row r="690" spans="2:10" ht="35.25" customHeight="1" x14ac:dyDescent="0.3">
      <c r="B690" s="25" t="s">
        <v>817</v>
      </c>
      <c r="C690" s="1050" t="s">
        <v>818</v>
      </c>
      <c r="D690" s="1050"/>
      <c r="E690" s="10"/>
      <c r="F690" s="26">
        <f>H734</f>
        <v>45.000000000000007</v>
      </c>
      <c r="G690" s="26" t="s">
        <v>971</v>
      </c>
    </row>
    <row r="692" spans="2:10" x14ac:dyDescent="0.3">
      <c r="C692" s="1018" t="s">
        <v>932</v>
      </c>
      <c r="D692" s="1018"/>
      <c r="E692" s="10"/>
      <c r="F692" s="11">
        <f>F698+F701</f>
        <v>18.060000000000002</v>
      </c>
      <c r="G692" s="12" t="s">
        <v>971</v>
      </c>
    </row>
    <row r="694" spans="2:10" ht="27.6" x14ac:dyDescent="0.3">
      <c r="C694" s="13" t="s">
        <v>929</v>
      </c>
      <c r="D694" s="14" t="s">
        <v>928</v>
      </c>
      <c r="E694" s="14" t="s">
        <v>514</v>
      </c>
      <c r="F694" s="14" t="s">
        <v>515</v>
      </c>
      <c r="G694" s="14" t="s">
        <v>962</v>
      </c>
      <c r="H694" s="14" t="s">
        <v>926</v>
      </c>
      <c r="I694" s="14" t="s">
        <v>516</v>
      </c>
      <c r="J694" s="14" t="s">
        <v>927</v>
      </c>
    </row>
    <row r="695" spans="2:10" x14ac:dyDescent="0.3">
      <c r="C695" s="17" t="s">
        <v>963</v>
      </c>
      <c r="D695" s="16">
        <f>D646</f>
        <v>6506.55</v>
      </c>
      <c r="E695" s="16">
        <f>D695*12</f>
        <v>78078.600000000006</v>
      </c>
      <c r="F695" s="16">
        <f>F646</f>
        <v>5005</v>
      </c>
      <c r="G695" s="16">
        <f>G646</f>
        <v>2502.5</v>
      </c>
      <c r="H695" s="16">
        <f>E695+F695+G695</f>
        <v>85586.1</v>
      </c>
      <c r="I695" s="17">
        <v>1932.7</v>
      </c>
      <c r="J695" s="16">
        <f>ROUND((H695/I695)/60,2)</f>
        <v>0.74</v>
      </c>
    </row>
    <row r="697" spans="2:10" ht="27.6" x14ac:dyDescent="0.3">
      <c r="C697" s="13" t="s">
        <v>929</v>
      </c>
      <c r="D697" s="14" t="s">
        <v>961</v>
      </c>
      <c r="E697" s="14" t="s">
        <v>930</v>
      </c>
      <c r="F697" s="14" t="s">
        <v>931</v>
      </c>
    </row>
    <row r="698" spans="2:10" x14ac:dyDescent="0.3">
      <c r="C698" s="17" t="str">
        <f>C695</f>
        <v>Сестра медична з масажу</v>
      </c>
      <c r="D698" s="16">
        <f>J695</f>
        <v>0.74</v>
      </c>
      <c r="E698" s="17">
        <v>20</v>
      </c>
      <c r="F698" s="18">
        <f>ROUND(D698*E698,2)</f>
        <v>14.8</v>
      </c>
    </row>
    <row r="700" spans="2:10" ht="1.5" customHeight="1" x14ac:dyDescent="0.3">
      <c r="D700" s="19"/>
    </row>
    <row r="701" spans="2:10" x14ac:dyDescent="0.3">
      <c r="C701" s="17" t="s">
        <v>933</v>
      </c>
      <c r="D701" s="16">
        <f>F698</f>
        <v>14.8</v>
      </c>
      <c r="E701" s="20">
        <v>0.22</v>
      </c>
      <c r="F701" s="21">
        <f>ROUND(D701*E701,2)</f>
        <v>3.26</v>
      </c>
    </row>
    <row r="703" spans="2:10" x14ac:dyDescent="0.3">
      <c r="C703" s="12" t="s">
        <v>946</v>
      </c>
      <c r="D703" s="12"/>
      <c r="E703" s="12"/>
      <c r="F703" s="12">
        <f>G713</f>
        <v>16.84</v>
      </c>
      <c r="G703" s="12" t="s">
        <v>971</v>
      </c>
    </row>
    <row r="704" spans="2:10" x14ac:dyDescent="0.3">
      <c r="C704" s="17" t="str">
        <f t="shared" ref="C704:G712" si="14">C655</f>
        <v>Антисептик для обробки рук</v>
      </c>
      <c r="D704" s="73" t="str">
        <f t="shared" si="14"/>
        <v>мл</v>
      </c>
      <c r="E704" s="73">
        <f t="shared" si="14"/>
        <v>1</v>
      </c>
      <c r="F704" s="73">
        <f t="shared" si="14"/>
        <v>0.375</v>
      </c>
      <c r="G704" s="73">
        <f t="shared" si="14"/>
        <v>0.38</v>
      </c>
    </row>
    <row r="705" spans="3:8" x14ac:dyDescent="0.3">
      <c r="C705" s="17" t="str">
        <f t="shared" si="14"/>
        <v>Антисептик швидкої дії</v>
      </c>
      <c r="D705" s="73" t="str">
        <f t="shared" si="14"/>
        <v>мл</v>
      </c>
      <c r="E705" s="73">
        <f t="shared" si="14"/>
        <v>1</v>
      </c>
      <c r="F705" s="73">
        <f t="shared" si="14"/>
        <v>0.28799999999999998</v>
      </c>
      <c r="G705" s="73">
        <f t="shared" si="14"/>
        <v>0.28999999999999998</v>
      </c>
    </row>
    <row r="706" spans="3:8" x14ac:dyDescent="0.3">
      <c r="C706" s="17" t="str">
        <f t="shared" si="14"/>
        <v>Деззасоби</v>
      </c>
      <c r="D706" s="73" t="str">
        <f t="shared" si="14"/>
        <v>г</v>
      </c>
      <c r="E706" s="73">
        <f t="shared" si="14"/>
        <v>0.5</v>
      </c>
      <c r="F706" s="73">
        <f t="shared" si="14"/>
        <v>0.5</v>
      </c>
      <c r="G706" s="73">
        <f t="shared" si="14"/>
        <v>0.25</v>
      </c>
    </row>
    <row r="707" spans="3:8" x14ac:dyDescent="0.3">
      <c r="C707" s="17" t="str">
        <f t="shared" si="14"/>
        <v>Маска одноразова тришарова на резинці</v>
      </c>
      <c r="D707" s="73" t="str">
        <f t="shared" si="14"/>
        <v>шт</v>
      </c>
      <c r="E707" s="73">
        <f t="shared" si="14"/>
        <v>1</v>
      </c>
      <c r="F707" s="73">
        <f t="shared" si="14"/>
        <v>2</v>
      </c>
      <c r="G707" s="73">
        <f t="shared" si="14"/>
        <v>2</v>
      </c>
    </row>
    <row r="708" spans="3:8" x14ac:dyDescent="0.3">
      <c r="C708" s="17" t="str">
        <f t="shared" si="14"/>
        <v>Мило рідке</v>
      </c>
      <c r="D708" s="73" t="str">
        <f t="shared" si="14"/>
        <v>мл</v>
      </c>
      <c r="E708" s="73">
        <f t="shared" si="14"/>
        <v>1</v>
      </c>
      <c r="F708" s="73">
        <f t="shared" si="14"/>
        <v>0.19600000000000001</v>
      </c>
      <c r="G708" s="73">
        <f t="shared" si="14"/>
        <v>0.2</v>
      </c>
    </row>
    <row r="709" spans="3:8" x14ac:dyDescent="0.3">
      <c r="C709" s="17" t="str">
        <f t="shared" si="14"/>
        <v>Олія для масажу 100 мл</v>
      </c>
      <c r="D709" s="73" t="str">
        <f t="shared" si="14"/>
        <v>мл</v>
      </c>
      <c r="E709" s="73">
        <v>10.6</v>
      </c>
      <c r="F709" s="73">
        <f t="shared" si="14"/>
        <v>0.2</v>
      </c>
      <c r="G709" s="73">
        <f>E709*F709</f>
        <v>2.12</v>
      </c>
    </row>
    <row r="710" spans="3:8" x14ac:dyDescent="0.3">
      <c r="C710" s="17" t="str">
        <f t="shared" si="14"/>
        <v>Пелюшка поглинаюча 60/60</v>
      </c>
      <c r="D710" s="73" t="str">
        <f t="shared" si="14"/>
        <v>шт</v>
      </c>
      <c r="E710" s="73">
        <f t="shared" si="14"/>
        <v>1</v>
      </c>
      <c r="F710" s="73">
        <f t="shared" si="14"/>
        <v>6</v>
      </c>
      <c r="G710" s="73">
        <f t="shared" si="14"/>
        <v>6</v>
      </c>
    </row>
    <row r="711" spans="3:8" x14ac:dyDescent="0.3">
      <c r="C711" s="17" t="str">
        <f t="shared" si="14"/>
        <v>Простирадло одноразове 100 м</v>
      </c>
      <c r="D711" s="73" t="str">
        <f t="shared" si="14"/>
        <v>м</v>
      </c>
      <c r="E711" s="73">
        <f t="shared" si="14"/>
        <v>2</v>
      </c>
      <c r="F711" s="73">
        <f t="shared" si="14"/>
        <v>2.36</v>
      </c>
      <c r="G711" s="73">
        <f t="shared" si="14"/>
        <v>4.72</v>
      </c>
    </row>
    <row r="712" spans="3:8" x14ac:dyDescent="0.3">
      <c r="C712" s="17" t="str">
        <f t="shared" si="14"/>
        <v>Рушник паперовий</v>
      </c>
      <c r="D712" s="73" t="str">
        <f t="shared" si="14"/>
        <v>шт</v>
      </c>
      <c r="E712" s="73">
        <f t="shared" si="14"/>
        <v>0.05</v>
      </c>
      <c r="F712" s="73">
        <f t="shared" si="14"/>
        <v>17.5</v>
      </c>
      <c r="G712" s="73">
        <f t="shared" si="14"/>
        <v>0.88</v>
      </c>
    </row>
    <row r="713" spans="3:8" x14ac:dyDescent="0.3">
      <c r="C713" s="1019" t="s">
        <v>945</v>
      </c>
      <c r="D713" s="1019"/>
      <c r="E713" s="1019"/>
      <c r="F713" s="1019"/>
      <c r="G713" s="572">
        <f>SUM(G704:G712)</f>
        <v>16.84</v>
      </c>
    </row>
    <row r="715" spans="3:8" x14ac:dyDescent="0.3">
      <c r="C715" s="12" t="s">
        <v>968</v>
      </c>
      <c r="D715" s="12"/>
      <c r="E715" s="12"/>
      <c r="F715" s="11">
        <f>H718</f>
        <v>0.2</v>
      </c>
      <c r="G715" s="12" t="s">
        <v>971</v>
      </c>
    </row>
    <row r="716" spans="3:8" x14ac:dyDescent="0.3">
      <c r="C716" s="22"/>
      <c r="D716" s="22"/>
      <c r="E716" s="22"/>
      <c r="F716" s="23"/>
      <c r="G716" s="22"/>
    </row>
    <row r="717" spans="3:8" ht="27.6" x14ac:dyDescent="0.3">
      <c r="C717" s="14" t="s">
        <v>513</v>
      </c>
      <c r="D717" s="14" t="s">
        <v>1180</v>
      </c>
      <c r="E717" s="14" t="s">
        <v>516</v>
      </c>
      <c r="F717" s="14" t="s">
        <v>970</v>
      </c>
      <c r="G717" s="14" t="s">
        <v>930</v>
      </c>
      <c r="H717" s="14" t="s">
        <v>961</v>
      </c>
    </row>
    <row r="718" spans="3:8" x14ac:dyDescent="0.3">
      <c r="C718" s="27" t="s">
        <v>1204</v>
      </c>
      <c r="D718" s="16">
        <f>АМОРТИЗАЦІЯ!C14</f>
        <v>193</v>
      </c>
      <c r="E718" s="17">
        <v>4831.75</v>
      </c>
      <c r="F718" s="17">
        <v>0.01</v>
      </c>
      <c r="G718" s="17">
        <f>E698</f>
        <v>20</v>
      </c>
      <c r="H718" s="16">
        <f>ROUND(F718*G718,2)</f>
        <v>0.2</v>
      </c>
    </row>
    <row r="719" spans="3:8" ht="7.5" customHeight="1" x14ac:dyDescent="0.3"/>
    <row r="720" spans="3:8" x14ac:dyDescent="0.3">
      <c r="C720" s="12" t="s">
        <v>948</v>
      </c>
      <c r="D720" s="12"/>
      <c r="E720" s="12"/>
      <c r="F720" s="11">
        <f>H728</f>
        <v>2.4000000000000004</v>
      </c>
      <c r="G720" s="12" t="s">
        <v>971</v>
      </c>
    </row>
    <row r="721" spans="2:10" x14ac:dyDescent="0.3">
      <c r="C721" s="22"/>
      <c r="D721" s="22"/>
      <c r="E721" s="22"/>
      <c r="F721" s="23"/>
    </row>
    <row r="722" spans="2:10" ht="41.4" x14ac:dyDescent="0.3">
      <c r="C722" s="14" t="s">
        <v>948</v>
      </c>
      <c r="D722" s="14" t="s">
        <v>955</v>
      </c>
      <c r="E722" s="14" t="s">
        <v>516</v>
      </c>
      <c r="F722" s="14" t="s">
        <v>954</v>
      </c>
      <c r="G722" s="14" t="s">
        <v>930</v>
      </c>
      <c r="H722" s="14" t="s">
        <v>956</v>
      </c>
    </row>
    <row r="723" spans="2:10" x14ac:dyDescent="0.3">
      <c r="C723" s="1009" t="str">
        <f>C698</f>
        <v>Сестра медична з масажу</v>
      </c>
      <c r="D723" s="1010"/>
      <c r="E723" s="1010"/>
      <c r="F723" s="1010"/>
      <c r="G723" s="1010"/>
      <c r="H723" s="1011"/>
    </row>
    <row r="724" spans="2:10" x14ac:dyDescent="0.3">
      <c r="C724" s="17" t="s">
        <v>951</v>
      </c>
      <c r="D724" s="112">
        <f>D675</f>
        <v>12188.608008565312</v>
      </c>
      <c r="E724" s="17">
        <f>I695</f>
        <v>1932.7</v>
      </c>
      <c r="F724" s="17">
        <f>ROUND((D724/E724)/60,2)</f>
        <v>0.11</v>
      </c>
      <c r="G724" s="17">
        <f>E698</f>
        <v>20</v>
      </c>
      <c r="H724" s="16">
        <f>ROUND(F724*G724,2)</f>
        <v>2.2000000000000002</v>
      </c>
    </row>
    <row r="725" spans="2:10" x14ac:dyDescent="0.3">
      <c r="C725" s="17" t="s">
        <v>952</v>
      </c>
      <c r="D725" s="112">
        <f>D676</f>
        <v>53.149721627408987</v>
      </c>
      <c r="E725" s="17">
        <f>I695</f>
        <v>1932.7</v>
      </c>
      <c r="F725" s="17">
        <f>ROUND((D725/E725)/60,2)</f>
        <v>0</v>
      </c>
      <c r="G725" s="17">
        <f>E698</f>
        <v>20</v>
      </c>
      <c r="H725" s="16">
        <f>ROUND(F725*G725,2)</f>
        <v>0</v>
      </c>
    </row>
    <row r="726" spans="2:10" x14ac:dyDescent="0.3">
      <c r="C726" s="17" t="s">
        <v>953</v>
      </c>
      <c r="D726" s="112">
        <f>D677</f>
        <v>374.98368308351178</v>
      </c>
      <c r="E726" s="17">
        <f>I695</f>
        <v>1932.7</v>
      </c>
      <c r="F726" s="17">
        <f>ROUND((D726/E726)/60,2)</f>
        <v>0</v>
      </c>
      <c r="G726" s="17">
        <f>E698</f>
        <v>20</v>
      </c>
      <c r="H726" s="16">
        <f>ROUND(F726*G726,2)</f>
        <v>0</v>
      </c>
    </row>
    <row r="727" spans="2:10" x14ac:dyDescent="0.3">
      <c r="C727" s="17" t="s">
        <v>1109</v>
      </c>
      <c r="D727" s="112">
        <f>D678</f>
        <v>1686.0389293361886</v>
      </c>
      <c r="E727" s="17">
        <f>I695</f>
        <v>1932.7</v>
      </c>
      <c r="F727" s="17">
        <f>ROUND((D727/E727)/60,2)</f>
        <v>0.01</v>
      </c>
      <c r="G727" s="17">
        <f>E698</f>
        <v>20</v>
      </c>
      <c r="H727" s="16">
        <f>ROUND(F727*G727,2)</f>
        <v>0.2</v>
      </c>
    </row>
    <row r="728" spans="2:10" x14ac:dyDescent="0.3">
      <c r="C728" s="1019" t="s">
        <v>957</v>
      </c>
      <c r="D728" s="1019"/>
      <c r="E728" s="1019"/>
      <c r="F728" s="1019"/>
      <c r="G728" s="1019"/>
      <c r="H728" s="18">
        <f>SUM(H724:H727)</f>
        <v>2.4000000000000004</v>
      </c>
    </row>
    <row r="730" spans="2:10" ht="0.75" customHeight="1" x14ac:dyDescent="0.3"/>
    <row r="731" spans="2:10" x14ac:dyDescent="0.3">
      <c r="C731" s="1015" t="s">
        <v>959</v>
      </c>
      <c r="D731" s="1015"/>
      <c r="E731" s="1015"/>
      <c r="F731" s="1015"/>
      <c r="G731" s="1015"/>
      <c r="H731" s="32">
        <f>F692+F703+F720+F715</f>
        <v>37.500000000000007</v>
      </c>
    </row>
    <row r="732" spans="2:10" x14ac:dyDescent="0.3">
      <c r="B732" s="65"/>
      <c r="C732" s="33"/>
      <c r="D732" s="33"/>
      <c r="E732" s="33"/>
      <c r="F732" s="33"/>
      <c r="G732" s="33"/>
      <c r="H732" s="34"/>
      <c r="I732" s="65"/>
      <c r="J732" s="65"/>
    </row>
    <row r="733" spans="2:10" x14ac:dyDescent="0.3">
      <c r="C733" s="1049" t="s">
        <v>1178</v>
      </c>
      <c r="D733" s="1049"/>
      <c r="E733" s="1049"/>
      <c r="F733" s="1049"/>
      <c r="G733" s="1049"/>
      <c r="H733" s="49">
        <f>ROUND(H731*0.2,2)</f>
        <v>7.5</v>
      </c>
    </row>
    <row r="734" spans="2:10" x14ac:dyDescent="0.3">
      <c r="C734" s="1015" t="s">
        <v>1179</v>
      </c>
      <c r="D734" s="1015"/>
      <c r="E734" s="1015"/>
      <c r="F734" s="1015"/>
      <c r="G734" s="1015"/>
      <c r="H734" s="32">
        <f>H731+H733</f>
        <v>45.000000000000007</v>
      </c>
    </row>
    <row r="737" spans="2:10" ht="18.600000000000001" x14ac:dyDescent="0.3">
      <c r="B737" s="1016" t="s">
        <v>958</v>
      </c>
      <c r="C737" s="1016"/>
      <c r="D737" s="1016"/>
      <c r="E737" s="1016"/>
      <c r="F737" s="1016"/>
      <c r="G737" s="1016"/>
      <c r="H737" s="1016"/>
      <c r="I737" s="1016"/>
    </row>
    <row r="739" spans="2:10" ht="33.75" customHeight="1" x14ac:dyDescent="0.3">
      <c r="B739" s="25" t="s">
        <v>819</v>
      </c>
      <c r="C739" s="1050" t="s">
        <v>820</v>
      </c>
      <c r="D739" s="1050"/>
      <c r="E739" s="10"/>
      <c r="F739" s="26">
        <f>H783</f>
        <v>45.000000000000007</v>
      </c>
      <c r="G739" s="26" t="s">
        <v>971</v>
      </c>
    </row>
    <row r="741" spans="2:10" x14ac:dyDescent="0.3">
      <c r="C741" s="1018" t="s">
        <v>932</v>
      </c>
      <c r="D741" s="1018"/>
      <c r="E741" s="10"/>
      <c r="F741" s="11">
        <f>F747+F750</f>
        <v>18.060000000000002</v>
      </c>
      <c r="G741" s="12" t="s">
        <v>971</v>
      </c>
    </row>
    <row r="743" spans="2:10" ht="27.6" x14ac:dyDescent="0.3">
      <c r="C743" s="13" t="s">
        <v>929</v>
      </c>
      <c r="D743" s="14" t="s">
        <v>928</v>
      </c>
      <c r="E743" s="14" t="s">
        <v>514</v>
      </c>
      <c r="F743" s="14" t="s">
        <v>515</v>
      </c>
      <c r="G743" s="14" t="s">
        <v>962</v>
      </c>
      <c r="H743" s="14" t="s">
        <v>926</v>
      </c>
      <c r="I743" s="14" t="s">
        <v>516</v>
      </c>
      <c r="J743" s="14" t="s">
        <v>927</v>
      </c>
    </row>
    <row r="744" spans="2:10" x14ac:dyDescent="0.3">
      <c r="C744" s="17" t="s">
        <v>963</v>
      </c>
      <c r="D744" s="16">
        <f>D695</f>
        <v>6506.55</v>
      </c>
      <c r="E744" s="16">
        <f>D744*12</f>
        <v>78078.600000000006</v>
      </c>
      <c r="F744" s="16">
        <f>F695</f>
        <v>5005</v>
      </c>
      <c r="G744" s="16">
        <f>G695</f>
        <v>2502.5</v>
      </c>
      <c r="H744" s="16">
        <f>E744+F744+G744</f>
        <v>85586.1</v>
      </c>
      <c r="I744" s="17">
        <v>1932.7</v>
      </c>
      <c r="J744" s="16">
        <f>ROUND((H744/I744)/60,2)</f>
        <v>0.74</v>
      </c>
    </row>
    <row r="746" spans="2:10" ht="27.6" x14ac:dyDescent="0.3">
      <c r="C746" s="13" t="s">
        <v>929</v>
      </c>
      <c r="D746" s="14" t="s">
        <v>961</v>
      </c>
      <c r="E746" s="14" t="s">
        <v>930</v>
      </c>
      <c r="F746" s="14" t="s">
        <v>931</v>
      </c>
    </row>
    <row r="747" spans="2:10" x14ac:dyDescent="0.3">
      <c r="C747" s="17" t="str">
        <f>C744</f>
        <v>Сестра медична з масажу</v>
      </c>
      <c r="D747" s="16">
        <f>J744</f>
        <v>0.74</v>
      </c>
      <c r="E747" s="17">
        <v>20</v>
      </c>
      <c r="F747" s="18">
        <f>ROUND(D747*E747,2)</f>
        <v>14.8</v>
      </c>
    </row>
    <row r="748" spans="2:10" ht="12.75" customHeight="1" x14ac:dyDescent="0.3"/>
    <row r="749" spans="2:10" x14ac:dyDescent="0.3">
      <c r="D749" s="19"/>
    </row>
    <row r="750" spans="2:10" x14ac:dyDescent="0.3">
      <c r="C750" s="17" t="s">
        <v>933</v>
      </c>
      <c r="D750" s="16">
        <f>F747</f>
        <v>14.8</v>
      </c>
      <c r="E750" s="20">
        <v>0.22</v>
      </c>
      <c r="F750" s="21">
        <f>ROUND(D750*E750,2)</f>
        <v>3.26</v>
      </c>
    </row>
    <row r="752" spans="2:10" x14ac:dyDescent="0.3">
      <c r="C752" s="12" t="s">
        <v>946</v>
      </c>
      <c r="D752" s="12"/>
      <c r="E752" s="12"/>
      <c r="F752" s="12">
        <f>G762</f>
        <v>16.84</v>
      </c>
      <c r="G752" s="12" t="s">
        <v>971</v>
      </c>
    </row>
    <row r="753" spans="3:8" x14ac:dyDescent="0.3">
      <c r="C753" s="17" t="str">
        <f t="shared" ref="C753:G761" si="15">C704</f>
        <v>Антисептик для обробки рук</v>
      </c>
      <c r="D753" s="73" t="str">
        <f t="shared" si="15"/>
        <v>мл</v>
      </c>
      <c r="E753" s="73">
        <f t="shared" si="15"/>
        <v>1</v>
      </c>
      <c r="F753" s="73">
        <f t="shared" si="15"/>
        <v>0.375</v>
      </c>
      <c r="G753" s="73">
        <f t="shared" si="15"/>
        <v>0.38</v>
      </c>
    </row>
    <row r="754" spans="3:8" x14ac:dyDescent="0.3">
      <c r="C754" s="17" t="str">
        <f t="shared" si="15"/>
        <v>Антисептик швидкої дії</v>
      </c>
      <c r="D754" s="73" t="str">
        <f t="shared" si="15"/>
        <v>мл</v>
      </c>
      <c r="E754" s="73">
        <f t="shared" si="15"/>
        <v>1</v>
      </c>
      <c r="F754" s="73">
        <f t="shared" si="15"/>
        <v>0.28799999999999998</v>
      </c>
      <c r="G754" s="73">
        <f t="shared" si="15"/>
        <v>0.28999999999999998</v>
      </c>
    </row>
    <row r="755" spans="3:8" x14ac:dyDescent="0.3">
      <c r="C755" s="17" t="str">
        <f t="shared" si="15"/>
        <v>Деззасоби</v>
      </c>
      <c r="D755" s="73" t="str">
        <f t="shared" si="15"/>
        <v>г</v>
      </c>
      <c r="E755" s="73">
        <f t="shared" si="15"/>
        <v>0.5</v>
      </c>
      <c r="F755" s="73">
        <f t="shared" si="15"/>
        <v>0.5</v>
      </c>
      <c r="G755" s="73">
        <f t="shared" si="15"/>
        <v>0.25</v>
      </c>
    </row>
    <row r="756" spans="3:8" x14ac:dyDescent="0.3">
      <c r="C756" s="17" t="str">
        <f t="shared" si="15"/>
        <v>Маска одноразова тришарова на резинці</v>
      </c>
      <c r="D756" s="73" t="str">
        <f t="shared" si="15"/>
        <v>шт</v>
      </c>
      <c r="E756" s="73">
        <f t="shared" si="15"/>
        <v>1</v>
      </c>
      <c r="F756" s="73">
        <f t="shared" si="15"/>
        <v>2</v>
      </c>
      <c r="G756" s="73">
        <f t="shared" si="15"/>
        <v>2</v>
      </c>
    </row>
    <row r="757" spans="3:8" x14ac:dyDescent="0.3">
      <c r="C757" s="17" t="str">
        <f t="shared" si="15"/>
        <v>Мило рідке</v>
      </c>
      <c r="D757" s="73" t="str">
        <f t="shared" si="15"/>
        <v>мл</v>
      </c>
      <c r="E757" s="73">
        <f t="shared" si="15"/>
        <v>1</v>
      </c>
      <c r="F757" s="73">
        <f t="shared" si="15"/>
        <v>0.19600000000000001</v>
      </c>
      <c r="G757" s="73">
        <f t="shared" si="15"/>
        <v>0.2</v>
      </c>
    </row>
    <row r="758" spans="3:8" x14ac:dyDescent="0.3">
      <c r="C758" s="17" t="str">
        <f t="shared" si="15"/>
        <v>Олія для масажу 100 мл</v>
      </c>
      <c r="D758" s="73" t="str">
        <f t="shared" si="15"/>
        <v>мл</v>
      </c>
      <c r="E758" s="73">
        <f t="shared" si="15"/>
        <v>10.6</v>
      </c>
      <c r="F758" s="73">
        <f t="shared" si="15"/>
        <v>0.2</v>
      </c>
      <c r="G758" s="73">
        <f t="shared" si="15"/>
        <v>2.12</v>
      </c>
    </row>
    <row r="759" spans="3:8" x14ac:dyDescent="0.3">
      <c r="C759" s="17" t="str">
        <f t="shared" si="15"/>
        <v>Пелюшка поглинаюча 60/60</v>
      </c>
      <c r="D759" s="73" t="str">
        <f t="shared" si="15"/>
        <v>шт</v>
      </c>
      <c r="E759" s="73">
        <f t="shared" si="15"/>
        <v>1</v>
      </c>
      <c r="F759" s="73">
        <f t="shared" si="15"/>
        <v>6</v>
      </c>
      <c r="G759" s="73">
        <f t="shared" si="15"/>
        <v>6</v>
      </c>
    </row>
    <row r="760" spans="3:8" x14ac:dyDescent="0.3">
      <c r="C760" s="17" t="str">
        <f t="shared" si="15"/>
        <v>Простирадло одноразове 100 м</v>
      </c>
      <c r="D760" s="73" t="str">
        <f t="shared" si="15"/>
        <v>м</v>
      </c>
      <c r="E760" s="73">
        <f t="shared" si="15"/>
        <v>2</v>
      </c>
      <c r="F760" s="73">
        <f t="shared" si="15"/>
        <v>2.36</v>
      </c>
      <c r="G760" s="73">
        <f t="shared" si="15"/>
        <v>4.72</v>
      </c>
    </row>
    <row r="761" spans="3:8" x14ac:dyDescent="0.3">
      <c r="C761" s="17" t="str">
        <f t="shared" si="15"/>
        <v>Рушник паперовий</v>
      </c>
      <c r="D761" s="73" t="str">
        <f t="shared" si="15"/>
        <v>шт</v>
      </c>
      <c r="E761" s="73">
        <f t="shared" si="15"/>
        <v>0.05</v>
      </c>
      <c r="F761" s="73">
        <f t="shared" si="15"/>
        <v>17.5</v>
      </c>
      <c r="G761" s="73">
        <f t="shared" si="15"/>
        <v>0.88</v>
      </c>
    </row>
    <row r="762" spans="3:8" x14ac:dyDescent="0.3">
      <c r="C762" s="1019" t="s">
        <v>945</v>
      </c>
      <c r="D762" s="1019"/>
      <c r="E762" s="1019"/>
      <c r="F762" s="1019"/>
      <c r="G762" s="572">
        <f>SUM(G753:G761)</f>
        <v>16.84</v>
      </c>
    </row>
    <row r="764" spans="3:8" x14ac:dyDescent="0.3">
      <c r="C764" s="12" t="s">
        <v>968</v>
      </c>
      <c r="D764" s="12"/>
      <c r="E764" s="12"/>
      <c r="F764" s="11">
        <f>H767</f>
        <v>0.2</v>
      </c>
      <c r="G764" s="12" t="s">
        <v>971</v>
      </c>
    </row>
    <row r="765" spans="3:8" x14ac:dyDescent="0.3">
      <c r="C765" s="22"/>
      <c r="D765" s="22"/>
      <c r="E765" s="22"/>
      <c r="F765" s="23"/>
      <c r="G765" s="22"/>
    </row>
    <row r="766" spans="3:8" ht="27.6" x14ac:dyDescent="0.3">
      <c r="C766" s="14" t="s">
        <v>513</v>
      </c>
      <c r="D766" s="14" t="s">
        <v>1180</v>
      </c>
      <c r="E766" s="14" t="s">
        <v>516</v>
      </c>
      <c r="F766" s="14" t="s">
        <v>970</v>
      </c>
      <c r="G766" s="14" t="s">
        <v>930</v>
      </c>
      <c r="H766" s="14" t="s">
        <v>961</v>
      </c>
    </row>
    <row r="767" spans="3:8" x14ac:dyDescent="0.3">
      <c r="C767" s="27" t="s">
        <v>1204</v>
      </c>
      <c r="D767" s="16">
        <f>АМОРТИЗАЦІЯ!C14</f>
        <v>193</v>
      </c>
      <c r="E767" s="17">
        <v>4831.75</v>
      </c>
      <c r="F767" s="17">
        <v>0.01</v>
      </c>
      <c r="G767" s="17">
        <f>E747</f>
        <v>20</v>
      </c>
      <c r="H767" s="16">
        <f>ROUND(F767*G767,2)</f>
        <v>0.2</v>
      </c>
    </row>
    <row r="768" spans="3:8" ht="14.25" customHeight="1" x14ac:dyDescent="0.3"/>
    <row r="769" spans="2:10" x14ac:dyDescent="0.3">
      <c r="C769" s="12" t="s">
        <v>948</v>
      </c>
      <c r="D769" s="12"/>
      <c r="E769" s="12"/>
      <c r="F769" s="11">
        <f>H777</f>
        <v>2.4000000000000004</v>
      </c>
      <c r="G769" s="12" t="s">
        <v>971</v>
      </c>
    </row>
    <row r="770" spans="2:10" x14ac:dyDescent="0.3">
      <c r="C770" s="22"/>
      <c r="D770" s="22"/>
      <c r="E770" s="22"/>
      <c r="F770" s="23"/>
    </row>
    <row r="771" spans="2:10" ht="41.4" x14ac:dyDescent="0.3">
      <c r="C771" s="14" t="s">
        <v>948</v>
      </c>
      <c r="D771" s="14" t="s">
        <v>955</v>
      </c>
      <c r="E771" s="14" t="s">
        <v>516</v>
      </c>
      <c r="F771" s="14" t="s">
        <v>954</v>
      </c>
      <c r="G771" s="14" t="s">
        <v>930</v>
      </c>
      <c r="H771" s="14" t="s">
        <v>956</v>
      </c>
    </row>
    <row r="772" spans="2:10" x14ac:dyDescent="0.3">
      <c r="C772" s="1009" t="str">
        <f>C747</f>
        <v>Сестра медична з масажу</v>
      </c>
      <c r="D772" s="1010"/>
      <c r="E772" s="1010"/>
      <c r="F772" s="1010"/>
      <c r="G772" s="1010"/>
      <c r="H772" s="1011"/>
    </row>
    <row r="773" spans="2:10" x14ac:dyDescent="0.3">
      <c r="C773" s="17" t="s">
        <v>951</v>
      </c>
      <c r="D773" s="112">
        <f>D724</f>
        <v>12188.608008565312</v>
      </c>
      <c r="E773" s="17">
        <f>I744</f>
        <v>1932.7</v>
      </c>
      <c r="F773" s="17">
        <f>ROUND((D773/E773)/60,2)</f>
        <v>0.11</v>
      </c>
      <c r="G773" s="17">
        <f>E747</f>
        <v>20</v>
      </c>
      <c r="H773" s="16">
        <f>ROUND(F773*G773,2)</f>
        <v>2.2000000000000002</v>
      </c>
    </row>
    <row r="774" spans="2:10" x14ac:dyDescent="0.3">
      <c r="C774" s="17" t="s">
        <v>952</v>
      </c>
      <c r="D774" s="112">
        <f>D725</f>
        <v>53.149721627408987</v>
      </c>
      <c r="E774" s="17">
        <f>I744</f>
        <v>1932.7</v>
      </c>
      <c r="F774" s="17">
        <f>ROUND((D774/E774)/60,2)</f>
        <v>0</v>
      </c>
      <c r="G774" s="17">
        <f>E747</f>
        <v>20</v>
      </c>
      <c r="H774" s="16">
        <f>ROUND(F774*G774,2)</f>
        <v>0</v>
      </c>
    </row>
    <row r="775" spans="2:10" x14ac:dyDescent="0.3">
      <c r="C775" s="17" t="s">
        <v>953</v>
      </c>
      <c r="D775" s="112">
        <f>D726</f>
        <v>374.98368308351178</v>
      </c>
      <c r="E775" s="17">
        <f>I744</f>
        <v>1932.7</v>
      </c>
      <c r="F775" s="17">
        <f>ROUND((D775/E775)/60,2)</f>
        <v>0</v>
      </c>
      <c r="G775" s="17">
        <f>E747</f>
        <v>20</v>
      </c>
      <c r="H775" s="16">
        <f>ROUND(F775*G775,2)</f>
        <v>0</v>
      </c>
    </row>
    <row r="776" spans="2:10" x14ac:dyDescent="0.3">
      <c r="C776" s="17" t="s">
        <v>1109</v>
      </c>
      <c r="D776" s="112">
        <f>D727</f>
        <v>1686.0389293361886</v>
      </c>
      <c r="E776" s="17">
        <f>I744</f>
        <v>1932.7</v>
      </c>
      <c r="F776" s="17">
        <f>ROUND((D776/E776)/60,2)</f>
        <v>0.01</v>
      </c>
      <c r="G776" s="17">
        <f>E747</f>
        <v>20</v>
      </c>
      <c r="H776" s="16">
        <f>ROUND(F776*G776,2)</f>
        <v>0.2</v>
      </c>
    </row>
    <row r="777" spans="2:10" x14ac:dyDescent="0.3">
      <c r="C777" s="1019" t="s">
        <v>957</v>
      </c>
      <c r="D777" s="1019"/>
      <c r="E777" s="1019"/>
      <c r="F777" s="1019"/>
      <c r="G777" s="1019"/>
      <c r="H777" s="18">
        <f>SUM(H773:H776)</f>
        <v>2.4000000000000004</v>
      </c>
    </row>
    <row r="779" spans="2:10" ht="5.25" customHeight="1" x14ac:dyDescent="0.3"/>
    <row r="780" spans="2:10" x14ac:dyDescent="0.3">
      <c r="C780" s="1015" t="s">
        <v>959</v>
      </c>
      <c r="D780" s="1015"/>
      <c r="E780" s="1015"/>
      <c r="F780" s="1015"/>
      <c r="G780" s="1015"/>
      <c r="H780" s="32">
        <f>F741+F752+F769+F764</f>
        <v>37.500000000000007</v>
      </c>
    </row>
    <row r="781" spans="2:10" x14ac:dyDescent="0.3">
      <c r="B781" s="65"/>
      <c r="C781" s="33"/>
      <c r="D781" s="33"/>
      <c r="E781" s="33"/>
      <c r="F781" s="33"/>
      <c r="G781" s="33"/>
      <c r="H781" s="34"/>
      <c r="I781" s="65"/>
      <c r="J781" s="65"/>
    </row>
    <row r="782" spans="2:10" x14ac:dyDescent="0.3">
      <c r="C782" s="1049" t="s">
        <v>1178</v>
      </c>
      <c r="D782" s="1049"/>
      <c r="E782" s="1049"/>
      <c r="F782" s="1049"/>
      <c r="G782" s="1049"/>
      <c r="H782" s="49">
        <f>ROUND(H780*0.2,2)</f>
        <v>7.5</v>
      </c>
    </row>
    <row r="783" spans="2:10" x14ac:dyDescent="0.3">
      <c r="C783" s="1015" t="s">
        <v>1179</v>
      </c>
      <c r="D783" s="1015"/>
      <c r="E783" s="1015"/>
      <c r="F783" s="1015"/>
      <c r="G783" s="1015"/>
      <c r="H783" s="32">
        <f>H780+H782</f>
        <v>45.000000000000007</v>
      </c>
    </row>
    <row r="786" spans="2:10" ht="18.600000000000001" x14ac:dyDescent="0.3">
      <c r="B786" s="1016" t="s">
        <v>958</v>
      </c>
      <c r="C786" s="1016"/>
      <c r="D786" s="1016"/>
      <c r="E786" s="1016"/>
      <c r="F786" s="1016"/>
      <c r="G786" s="1016"/>
      <c r="H786" s="1016"/>
      <c r="I786" s="1016"/>
    </row>
    <row r="788" spans="2:10" ht="35.25" customHeight="1" x14ac:dyDescent="0.3">
      <c r="B788" s="25" t="s">
        <v>821</v>
      </c>
      <c r="C788" s="1050" t="s">
        <v>822</v>
      </c>
      <c r="D788" s="1050"/>
      <c r="E788" s="1050"/>
      <c r="F788" s="26">
        <f>H832</f>
        <v>45.000000000000007</v>
      </c>
      <c r="G788" s="26" t="s">
        <v>971</v>
      </c>
    </row>
    <row r="790" spans="2:10" x14ac:dyDescent="0.3">
      <c r="C790" s="1018" t="s">
        <v>932</v>
      </c>
      <c r="D790" s="1018"/>
      <c r="E790" s="10"/>
      <c r="F790" s="11">
        <f>F796+F799</f>
        <v>18.060000000000002</v>
      </c>
      <c r="G790" s="12" t="s">
        <v>971</v>
      </c>
    </row>
    <row r="792" spans="2:10" ht="27.6" x14ac:dyDescent="0.3">
      <c r="C792" s="13" t="s">
        <v>929</v>
      </c>
      <c r="D792" s="14" t="s">
        <v>928</v>
      </c>
      <c r="E792" s="14" t="s">
        <v>514</v>
      </c>
      <c r="F792" s="14" t="s">
        <v>515</v>
      </c>
      <c r="G792" s="14" t="s">
        <v>962</v>
      </c>
      <c r="H792" s="14" t="s">
        <v>926</v>
      </c>
      <c r="I792" s="14" t="s">
        <v>516</v>
      </c>
      <c r="J792" s="14" t="s">
        <v>927</v>
      </c>
    </row>
    <row r="793" spans="2:10" x14ac:dyDescent="0.3">
      <c r="C793" s="17" t="s">
        <v>963</v>
      </c>
      <c r="D793" s="16">
        <f>D744</f>
        <v>6506.55</v>
      </c>
      <c r="E793" s="16">
        <f>D793*12</f>
        <v>78078.600000000006</v>
      </c>
      <c r="F793" s="16">
        <f>F744</f>
        <v>5005</v>
      </c>
      <c r="G793" s="16">
        <f>G744</f>
        <v>2502.5</v>
      </c>
      <c r="H793" s="16">
        <f>E793+F793+G793</f>
        <v>85586.1</v>
      </c>
      <c r="I793" s="17">
        <v>1932.7</v>
      </c>
      <c r="J793" s="16">
        <f>ROUND((H793/I793)/60,2)</f>
        <v>0.74</v>
      </c>
    </row>
    <row r="795" spans="2:10" ht="27.6" x14ac:dyDescent="0.3">
      <c r="C795" s="13" t="s">
        <v>929</v>
      </c>
      <c r="D795" s="14" t="s">
        <v>961</v>
      </c>
      <c r="E795" s="14" t="s">
        <v>930</v>
      </c>
      <c r="F795" s="14" t="s">
        <v>931</v>
      </c>
    </row>
    <row r="796" spans="2:10" x14ac:dyDescent="0.3">
      <c r="C796" s="17" t="str">
        <f>C793</f>
        <v>Сестра медична з масажу</v>
      </c>
      <c r="D796" s="16">
        <f>J793</f>
        <v>0.74</v>
      </c>
      <c r="E796" s="17">
        <v>20</v>
      </c>
      <c r="F796" s="18">
        <f>ROUND(D796*E796,2)</f>
        <v>14.8</v>
      </c>
    </row>
    <row r="798" spans="2:10" ht="0.75" customHeight="1" x14ac:dyDescent="0.3">
      <c r="D798" s="19"/>
    </row>
    <row r="799" spans="2:10" x14ac:dyDescent="0.3">
      <c r="C799" s="17" t="s">
        <v>933</v>
      </c>
      <c r="D799" s="16">
        <f>F796</f>
        <v>14.8</v>
      </c>
      <c r="E799" s="20">
        <v>0.22</v>
      </c>
      <c r="F799" s="21">
        <f>ROUND(D799*E799,2)</f>
        <v>3.26</v>
      </c>
    </row>
    <row r="801" spans="3:8" x14ac:dyDescent="0.3">
      <c r="C801" s="12" t="s">
        <v>946</v>
      </c>
      <c r="D801" s="12"/>
      <c r="E801" s="12"/>
      <c r="F801" s="12">
        <f>G811</f>
        <v>16.84</v>
      </c>
      <c r="G801" s="12" t="s">
        <v>971</v>
      </c>
    </row>
    <row r="802" spans="3:8" x14ac:dyDescent="0.3">
      <c r="C802" s="17" t="str">
        <f t="shared" ref="C802:G810" si="16">C753</f>
        <v>Антисептик для обробки рук</v>
      </c>
      <c r="D802" s="73" t="str">
        <f t="shared" si="16"/>
        <v>мл</v>
      </c>
      <c r="E802" s="73">
        <f t="shared" si="16"/>
        <v>1</v>
      </c>
      <c r="F802" s="73">
        <f t="shared" si="16"/>
        <v>0.375</v>
      </c>
      <c r="G802" s="73">
        <f t="shared" si="16"/>
        <v>0.38</v>
      </c>
    </row>
    <row r="803" spans="3:8" x14ac:dyDescent="0.3">
      <c r="C803" s="17" t="str">
        <f t="shared" si="16"/>
        <v>Антисептик швидкої дії</v>
      </c>
      <c r="D803" s="73" t="str">
        <f t="shared" si="16"/>
        <v>мл</v>
      </c>
      <c r="E803" s="73">
        <f t="shared" si="16"/>
        <v>1</v>
      </c>
      <c r="F803" s="73">
        <f t="shared" si="16"/>
        <v>0.28799999999999998</v>
      </c>
      <c r="G803" s="73">
        <f t="shared" si="16"/>
        <v>0.28999999999999998</v>
      </c>
    </row>
    <row r="804" spans="3:8" x14ac:dyDescent="0.3">
      <c r="C804" s="17" t="str">
        <f t="shared" si="16"/>
        <v>Деззасоби</v>
      </c>
      <c r="D804" s="73" t="str">
        <f t="shared" si="16"/>
        <v>г</v>
      </c>
      <c r="E804" s="73">
        <f t="shared" si="16"/>
        <v>0.5</v>
      </c>
      <c r="F804" s="73">
        <f t="shared" si="16"/>
        <v>0.5</v>
      </c>
      <c r="G804" s="73">
        <f t="shared" si="16"/>
        <v>0.25</v>
      </c>
    </row>
    <row r="805" spans="3:8" x14ac:dyDescent="0.3">
      <c r="C805" s="17" t="str">
        <f t="shared" si="16"/>
        <v>Маска одноразова тришарова на резинці</v>
      </c>
      <c r="D805" s="73" t="str">
        <f t="shared" si="16"/>
        <v>шт</v>
      </c>
      <c r="E805" s="73">
        <f t="shared" si="16"/>
        <v>1</v>
      </c>
      <c r="F805" s="73">
        <f t="shared" si="16"/>
        <v>2</v>
      </c>
      <c r="G805" s="73">
        <f t="shared" si="16"/>
        <v>2</v>
      </c>
    </row>
    <row r="806" spans="3:8" x14ac:dyDescent="0.3">
      <c r="C806" s="17" t="str">
        <f t="shared" si="16"/>
        <v>Мило рідке</v>
      </c>
      <c r="D806" s="73" t="str">
        <f t="shared" si="16"/>
        <v>мл</v>
      </c>
      <c r="E806" s="73">
        <f t="shared" si="16"/>
        <v>1</v>
      </c>
      <c r="F806" s="73">
        <f t="shared" si="16"/>
        <v>0.19600000000000001</v>
      </c>
      <c r="G806" s="73">
        <f t="shared" si="16"/>
        <v>0.2</v>
      </c>
    </row>
    <row r="807" spans="3:8" x14ac:dyDescent="0.3">
      <c r="C807" s="17" t="str">
        <f t="shared" si="16"/>
        <v>Олія для масажу 100 мл</v>
      </c>
      <c r="D807" s="73" t="str">
        <f t="shared" si="16"/>
        <v>мл</v>
      </c>
      <c r="E807" s="73">
        <f t="shared" si="16"/>
        <v>10.6</v>
      </c>
      <c r="F807" s="73">
        <f t="shared" si="16"/>
        <v>0.2</v>
      </c>
      <c r="G807" s="73">
        <f t="shared" si="16"/>
        <v>2.12</v>
      </c>
    </row>
    <row r="808" spans="3:8" x14ac:dyDescent="0.3">
      <c r="C808" s="17" t="str">
        <f t="shared" si="16"/>
        <v>Пелюшка поглинаюча 60/60</v>
      </c>
      <c r="D808" s="73" t="str">
        <f t="shared" si="16"/>
        <v>шт</v>
      </c>
      <c r="E808" s="73">
        <f t="shared" si="16"/>
        <v>1</v>
      </c>
      <c r="F808" s="73">
        <f t="shared" si="16"/>
        <v>6</v>
      </c>
      <c r="G808" s="73">
        <f t="shared" si="16"/>
        <v>6</v>
      </c>
    </row>
    <row r="809" spans="3:8" x14ac:dyDescent="0.3">
      <c r="C809" s="17" t="str">
        <f t="shared" si="16"/>
        <v>Простирадло одноразове 100 м</v>
      </c>
      <c r="D809" s="73" t="str">
        <f t="shared" si="16"/>
        <v>м</v>
      </c>
      <c r="E809" s="73">
        <f t="shared" si="16"/>
        <v>2</v>
      </c>
      <c r="F809" s="73">
        <f t="shared" si="16"/>
        <v>2.36</v>
      </c>
      <c r="G809" s="73">
        <f t="shared" si="16"/>
        <v>4.72</v>
      </c>
    </row>
    <row r="810" spans="3:8" x14ac:dyDescent="0.3">
      <c r="C810" s="17" t="str">
        <f t="shared" si="16"/>
        <v>Рушник паперовий</v>
      </c>
      <c r="D810" s="73" t="str">
        <f t="shared" si="16"/>
        <v>шт</v>
      </c>
      <c r="E810" s="73">
        <f t="shared" si="16"/>
        <v>0.05</v>
      </c>
      <c r="F810" s="73">
        <f t="shared" si="16"/>
        <v>17.5</v>
      </c>
      <c r="G810" s="73">
        <f t="shared" si="16"/>
        <v>0.88</v>
      </c>
    </row>
    <row r="811" spans="3:8" x14ac:dyDescent="0.3">
      <c r="C811" s="1019" t="s">
        <v>945</v>
      </c>
      <c r="D811" s="1019"/>
      <c r="E811" s="1019"/>
      <c r="F811" s="1019"/>
      <c r="G811" s="572">
        <f>SUM(G802:G810)</f>
        <v>16.84</v>
      </c>
    </row>
    <row r="813" spans="3:8" x14ac:dyDescent="0.3">
      <c r="C813" s="12" t="s">
        <v>968</v>
      </c>
      <c r="D813" s="12"/>
      <c r="E813" s="12"/>
      <c r="F813" s="11">
        <f>H816</f>
        <v>0.2</v>
      </c>
      <c r="G813" s="12" t="s">
        <v>971</v>
      </c>
    </row>
    <row r="814" spans="3:8" x14ac:dyDescent="0.3">
      <c r="C814" s="22"/>
      <c r="D814" s="22"/>
      <c r="E814" s="22"/>
      <c r="F814" s="23"/>
      <c r="G814" s="22"/>
    </row>
    <row r="815" spans="3:8" ht="27.6" x14ac:dyDescent="0.3">
      <c r="C815" s="14" t="s">
        <v>513</v>
      </c>
      <c r="D815" s="14" t="s">
        <v>1180</v>
      </c>
      <c r="E815" s="14" t="s">
        <v>516</v>
      </c>
      <c r="F815" s="14" t="s">
        <v>970</v>
      </c>
      <c r="G815" s="14" t="s">
        <v>930</v>
      </c>
      <c r="H815" s="14" t="s">
        <v>961</v>
      </c>
    </row>
    <row r="816" spans="3:8" x14ac:dyDescent="0.3">
      <c r="C816" s="27" t="s">
        <v>1204</v>
      </c>
      <c r="D816" s="16">
        <f>АМОРТИЗАЦІЯ!C14</f>
        <v>193</v>
      </c>
      <c r="E816" s="17">
        <v>4831.75</v>
      </c>
      <c r="F816" s="17">
        <v>0.01</v>
      </c>
      <c r="G816" s="17">
        <f>E796</f>
        <v>20</v>
      </c>
      <c r="H816" s="16">
        <f>ROUND(F816*G816,2)</f>
        <v>0.2</v>
      </c>
    </row>
    <row r="818" spans="2:10" x14ac:dyDescent="0.3">
      <c r="C818" s="12" t="s">
        <v>948</v>
      </c>
      <c r="D818" s="12"/>
      <c r="E818" s="12"/>
      <c r="F818" s="11">
        <f>H826</f>
        <v>2.4000000000000004</v>
      </c>
      <c r="G818" s="12" t="s">
        <v>971</v>
      </c>
    </row>
    <row r="819" spans="2:10" x14ac:dyDescent="0.3">
      <c r="C819" s="22"/>
      <c r="D819" s="22"/>
      <c r="E819" s="22"/>
      <c r="F819" s="23"/>
    </row>
    <row r="820" spans="2:10" ht="41.4" x14ac:dyDescent="0.3">
      <c r="C820" s="14" t="s">
        <v>948</v>
      </c>
      <c r="D820" s="14" t="s">
        <v>955</v>
      </c>
      <c r="E820" s="14" t="s">
        <v>516</v>
      </c>
      <c r="F820" s="14" t="s">
        <v>954</v>
      </c>
      <c r="G820" s="14" t="s">
        <v>930</v>
      </c>
      <c r="H820" s="14" t="s">
        <v>956</v>
      </c>
    </row>
    <row r="821" spans="2:10" x14ac:dyDescent="0.3">
      <c r="C821" s="1009" t="str">
        <f>C796</f>
        <v>Сестра медична з масажу</v>
      </c>
      <c r="D821" s="1010"/>
      <c r="E821" s="1010"/>
      <c r="F821" s="1010"/>
      <c r="G821" s="1010"/>
      <c r="H821" s="1011"/>
    </row>
    <row r="822" spans="2:10" x14ac:dyDescent="0.3">
      <c r="C822" s="17" t="s">
        <v>951</v>
      </c>
      <c r="D822" s="112">
        <f>D773</f>
        <v>12188.608008565312</v>
      </c>
      <c r="E822" s="17">
        <f>I793</f>
        <v>1932.7</v>
      </c>
      <c r="F822" s="17">
        <f>ROUND((D822/E822)/60,2)</f>
        <v>0.11</v>
      </c>
      <c r="G822" s="17">
        <f>E796</f>
        <v>20</v>
      </c>
      <c r="H822" s="16">
        <f>ROUND(F822*G822,2)</f>
        <v>2.2000000000000002</v>
      </c>
    </row>
    <row r="823" spans="2:10" x14ac:dyDescent="0.3">
      <c r="C823" s="17" t="s">
        <v>952</v>
      </c>
      <c r="D823" s="112">
        <f>D774</f>
        <v>53.149721627408987</v>
      </c>
      <c r="E823" s="17">
        <f>I793</f>
        <v>1932.7</v>
      </c>
      <c r="F823" s="17">
        <f>ROUND((D823/E823)/60,2)</f>
        <v>0</v>
      </c>
      <c r="G823" s="17">
        <f>E796</f>
        <v>20</v>
      </c>
      <c r="H823" s="16">
        <f>ROUND(F823*G823,2)</f>
        <v>0</v>
      </c>
    </row>
    <row r="824" spans="2:10" x14ac:dyDescent="0.3">
      <c r="C824" s="17" t="s">
        <v>953</v>
      </c>
      <c r="D824" s="112">
        <f>D775</f>
        <v>374.98368308351178</v>
      </c>
      <c r="E824" s="17">
        <f>I793</f>
        <v>1932.7</v>
      </c>
      <c r="F824" s="17">
        <f>ROUND((D824/E824)/60,2)</f>
        <v>0</v>
      </c>
      <c r="G824" s="17">
        <f>E796</f>
        <v>20</v>
      </c>
      <c r="H824" s="16">
        <f>ROUND(F824*G824,2)</f>
        <v>0</v>
      </c>
    </row>
    <row r="825" spans="2:10" x14ac:dyDescent="0.3">
      <c r="C825" s="17" t="s">
        <v>1109</v>
      </c>
      <c r="D825" s="112">
        <f>D776</f>
        <v>1686.0389293361886</v>
      </c>
      <c r="E825" s="17">
        <f>I793</f>
        <v>1932.7</v>
      </c>
      <c r="F825" s="17">
        <f>ROUND((D825/E825)/60,2)</f>
        <v>0.01</v>
      </c>
      <c r="G825" s="17">
        <f>E796</f>
        <v>20</v>
      </c>
      <c r="H825" s="16">
        <f>ROUND(F825*G825,2)</f>
        <v>0.2</v>
      </c>
    </row>
    <row r="826" spans="2:10" x14ac:dyDescent="0.3">
      <c r="C826" s="1019" t="s">
        <v>957</v>
      </c>
      <c r="D826" s="1019"/>
      <c r="E826" s="1019"/>
      <c r="F826" s="1019"/>
      <c r="G826" s="1019"/>
      <c r="H826" s="18">
        <f>SUM(H822:H825)</f>
        <v>2.4000000000000004</v>
      </c>
    </row>
    <row r="827" spans="2:10" ht="14.25" customHeight="1" x14ac:dyDescent="0.3"/>
    <row r="829" spans="2:10" x14ac:dyDescent="0.3">
      <c r="C829" s="1015" t="s">
        <v>959</v>
      </c>
      <c r="D829" s="1015"/>
      <c r="E829" s="1015"/>
      <c r="F829" s="1015"/>
      <c r="G829" s="1015"/>
      <c r="H829" s="32">
        <f>F790+F801+F818+F813</f>
        <v>37.500000000000007</v>
      </c>
    </row>
    <row r="830" spans="2:10" x14ac:dyDescent="0.3">
      <c r="B830" s="65"/>
      <c r="C830" s="33"/>
      <c r="D830" s="33"/>
      <c r="E830" s="33"/>
      <c r="F830" s="33"/>
      <c r="G830" s="33"/>
      <c r="H830" s="34"/>
      <c r="I830" s="65"/>
      <c r="J830" s="65"/>
    </row>
    <row r="831" spans="2:10" x14ac:dyDescent="0.3">
      <c r="C831" s="1049" t="s">
        <v>1178</v>
      </c>
      <c r="D831" s="1049"/>
      <c r="E831" s="1049"/>
      <c r="F831" s="1049"/>
      <c r="G831" s="1049"/>
      <c r="H831" s="49">
        <f>ROUND(H829*0.2,2)</f>
        <v>7.5</v>
      </c>
    </row>
    <row r="832" spans="2:10" x14ac:dyDescent="0.3">
      <c r="C832" s="1015" t="s">
        <v>1179</v>
      </c>
      <c r="D832" s="1015"/>
      <c r="E832" s="1015"/>
      <c r="F832" s="1015"/>
      <c r="G832" s="1015"/>
      <c r="H832" s="32">
        <f>H829+H831</f>
        <v>45.000000000000007</v>
      </c>
    </row>
    <row r="835" spans="2:10" ht="18.600000000000001" x14ac:dyDescent="0.3">
      <c r="B835" s="1016" t="s">
        <v>958</v>
      </c>
      <c r="C835" s="1016"/>
      <c r="D835" s="1016"/>
      <c r="E835" s="1016"/>
      <c r="F835" s="1016"/>
      <c r="G835" s="1016"/>
      <c r="H835" s="1016"/>
      <c r="I835" s="1016"/>
    </row>
    <row r="837" spans="2:10" x14ac:dyDescent="0.3">
      <c r="B837" s="25" t="s">
        <v>823</v>
      </c>
      <c r="C837" s="1050" t="s">
        <v>824</v>
      </c>
      <c r="D837" s="1050"/>
      <c r="E837" s="66"/>
      <c r="F837" s="26">
        <f>H881</f>
        <v>60</v>
      </c>
      <c r="G837" s="26" t="s">
        <v>971</v>
      </c>
    </row>
    <row r="839" spans="2:10" x14ac:dyDescent="0.3">
      <c r="C839" s="1018" t="s">
        <v>932</v>
      </c>
      <c r="D839" s="1018"/>
      <c r="E839" s="10"/>
      <c r="F839" s="11">
        <f>F845+F848</f>
        <v>27.08</v>
      </c>
      <c r="G839" s="12" t="s">
        <v>971</v>
      </c>
    </row>
    <row r="841" spans="2:10" ht="27.6" x14ac:dyDescent="0.3">
      <c r="C841" s="13" t="s">
        <v>929</v>
      </c>
      <c r="D841" s="14" t="s">
        <v>928</v>
      </c>
      <c r="E841" s="14" t="s">
        <v>514</v>
      </c>
      <c r="F841" s="14" t="s">
        <v>515</v>
      </c>
      <c r="G841" s="14" t="s">
        <v>962</v>
      </c>
      <c r="H841" s="14" t="s">
        <v>926</v>
      </c>
      <c r="I841" s="14" t="s">
        <v>516</v>
      </c>
      <c r="J841" s="14" t="s">
        <v>927</v>
      </c>
    </row>
    <row r="842" spans="2:10" x14ac:dyDescent="0.3">
      <c r="C842" s="17" t="s">
        <v>963</v>
      </c>
      <c r="D842" s="16">
        <f>D793</f>
        <v>6506.55</v>
      </c>
      <c r="E842" s="16">
        <f>D842*12</f>
        <v>78078.600000000006</v>
      </c>
      <c r="F842" s="16">
        <f>F793</f>
        <v>5005</v>
      </c>
      <c r="G842" s="16">
        <f>G793</f>
        <v>2502.5</v>
      </c>
      <c r="H842" s="16">
        <f>E842+F842+G842</f>
        <v>85586.1</v>
      </c>
      <c r="I842" s="17">
        <v>1932.7</v>
      </c>
      <c r="J842" s="16">
        <f>ROUND((H842/I842)/60,2)</f>
        <v>0.74</v>
      </c>
    </row>
    <row r="844" spans="2:10" ht="27.6" x14ac:dyDescent="0.3">
      <c r="C844" s="13" t="s">
        <v>929</v>
      </c>
      <c r="D844" s="14" t="s">
        <v>961</v>
      </c>
      <c r="E844" s="14" t="s">
        <v>930</v>
      </c>
      <c r="F844" s="14" t="s">
        <v>931</v>
      </c>
    </row>
    <row r="845" spans="2:10" x14ac:dyDescent="0.3">
      <c r="C845" s="17" t="str">
        <f>C842</f>
        <v>Сестра медична з масажу</v>
      </c>
      <c r="D845" s="16">
        <f>J842</f>
        <v>0.74</v>
      </c>
      <c r="E845" s="17">
        <v>30</v>
      </c>
      <c r="F845" s="18">
        <f>ROUND(D845*E845,2)</f>
        <v>22.2</v>
      </c>
    </row>
    <row r="847" spans="2:10" x14ac:dyDescent="0.3">
      <c r="D847" s="19"/>
    </row>
    <row r="848" spans="2:10" x14ac:dyDescent="0.3">
      <c r="C848" s="17" t="s">
        <v>933</v>
      </c>
      <c r="D848" s="16">
        <f>F845</f>
        <v>22.2</v>
      </c>
      <c r="E848" s="20">
        <v>0.22</v>
      </c>
      <c r="F848" s="21">
        <f>ROUND(D848*E848,2)</f>
        <v>4.88</v>
      </c>
    </row>
    <row r="850" spans="3:8" x14ac:dyDescent="0.3">
      <c r="C850" s="12" t="s">
        <v>946</v>
      </c>
      <c r="D850" s="12"/>
      <c r="E850" s="12"/>
      <c r="F850" s="12">
        <f>G860</f>
        <v>18.72</v>
      </c>
      <c r="G850" s="12" t="s">
        <v>971</v>
      </c>
    </row>
    <row r="851" spans="3:8" x14ac:dyDescent="0.3">
      <c r="C851" s="17" t="str">
        <f t="shared" ref="C851:G859" si="17">C802</f>
        <v>Антисептик для обробки рук</v>
      </c>
      <c r="D851" s="73" t="str">
        <f t="shared" si="17"/>
        <v>мл</v>
      </c>
      <c r="E851" s="73">
        <f t="shared" si="17"/>
        <v>1</v>
      </c>
      <c r="F851" s="73">
        <f t="shared" si="17"/>
        <v>0.375</v>
      </c>
      <c r="G851" s="73">
        <f t="shared" si="17"/>
        <v>0.38</v>
      </c>
    </row>
    <row r="852" spans="3:8" x14ac:dyDescent="0.3">
      <c r="C852" s="17" t="str">
        <f t="shared" si="17"/>
        <v>Антисептик швидкої дії</v>
      </c>
      <c r="D852" s="73" t="str">
        <f t="shared" si="17"/>
        <v>мл</v>
      </c>
      <c r="E852" s="73">
        <f t="shared" si="17"/>
        <v>1</v>
      </c>
      <c r="F852" s="73">
        <f t="shared" si="17"/>
        <v>0.28799999999999998</v>
      </c>
      <c r="G852" s="73">
        <f t="shared" si="17"/>
        <v>0.28999999999999998</v>
      </c>
    </row>
    <row r="853" spans="3:8" x14ac:dyDescent="0.3">
      <c r="C853" s="17" t="str">
        <f t="shared" si="17"/>
        <v>Деззасоби</v>
      </c>
      <c r="D853" s="73" t="str">
        <f t="shared" si="17"/>
        <v>г</v>
      </c>
      <c r="E853" s="73">
        <f t="shared" si="17"/>
        <v>0.5</v>
      </c>
      <c r="F853" s="73">
        <f t="shared" si="17"/>
        <v>0.5</v>
      </c>
      <c r="G853" s="73">
        <f t="shared" si="17"/>
        <v>0.25</v>
      </c>
    </row>
    <row r="854" spans="3:8" x14ac:dyDescent="0.3">
      <c r="C854" s="17" t="str">
        <f t="shared" si="17"/>
        <v>Маска одноразова тришарова на резинці</v>
      </c>
      <c r="D854" s="73" t="str">
        <f t="shared" si="17"/>
        <v>шт</v>
      </c>
      <c r="E854" s="73">
        <f t="shared" si="17"/>
        <v>1</v>
      </c>
      <c r="F854" s="73">
        <f t="shared" si="17"/>
        <v>2</v>
      </c>
      <c r="G854" s="73">
        <f t="shared" si="17"/>
        <v>2</v>
      </c>
    </row>
    <row r="855" spans="3:8" x14ac:dyDescent="0.3">
      <c r="C855" s="17" t="str">
        <f t="shared" si="17"/>
        <v>Мило рідке</v>
      </c>
      <c r="D855" s="73" t="str">
        <f t="shared" si="17"/>
        <v>мл</v>
      </c>
      <c r="E855" s="73">
        <f t="shared" si="17"/>
        <v>1</v>
      </c>
      <c r="F855" s="73">
        <f t="shared" si="17"/>
        <v>0.19600000000000001</v>
      </c>
      <c r="G855" s="73">
        <f t="shared" si="17"/>
        <v>0.2</v>
      </c>
    </row>
    <row r="856" spans="3:8" x14ac:dyDescent="0.3">
      <c r="C856" s="17" t="str">
        <f t="shared" si="17"/>
        <v>Олія для масажу 100 мл</v>
      </c>
      <c r="D856" s="73" t="str">
        <f t="shared" si="17"/>
        <v>мл</v>
      </c>
      <c r="E856" s="73">
        <v>20</v>
      </c>
      <c r="F856" s="73">
        <f t="shared" si="17"/>
        <v>0.2</v>
      </c>
      <c r="G856" s="73">
        <f>E856*F856</f>
        <v>4</v>
      </c>
    </row>
    <row r="857" spans="3:8" x14ac:dyDescent="0.3">
      <c r="C857" s="17" t="str">
        <f t="shared" si="17"/>
        <v>Пелюшка поглинаюча 60/60</v>
      </c>
      <c r="D857" s="73" t="str">
        <f t="shared" si="17"/>
        <v>шт</v>
      </c>
      <c r="E857" s="73">
        <f t="shared" si="17"/>
        <v>1</v>
      </c>
      <c r="F857" s="73">
        <f t="shared" si="17"/>
        <v>6</v>
      </c>
      <c r="G857" s="73">
        <f t="shared" si="17"/>
        <v>6</v>
      </c>
    </row>
    <row r="858" spans="3:8" x14ac:dyDescent="0.3">
      <c r="C858" s="17" t="str">
        <f t="shared" si="17"/>
        <v>Простирадло одноразове 100 м</v>
      </c>
      <c r="D858" s="73" t="str">
        <f t="shared" si="17"/>
        <v>м</v>
      </c>
      <c r="E858" s="73">
        <f t="shared" si="17"/>
        <v>2</v>
      </c>
      <c r="F858" s="73">
        <f t="shared" si="17"/>
        <v>2.36</v>
      </c>
      <c r="G858" s="73">
        <f t="shared" si="17"/>
        <v>4.72</v>
      </c>
    </row>
    <row r="859" spans="3:8" x14ac:dyDescent="0.3">
      <c r="C859" s="17" t="str">
        <f t="shared" si="17"/>
        <v>Рушник паперовий</v>
      </c>
      <c r="D859" s="73" t="str">
        <f t="shared" si="17"/>
        <v>шт</v>
      </c>
      <c r="E859" s="73">
        <f t="shared" si="17"/>
        <v>0.05</v>
      </c>
      <c r="F859" s="73">
        <f t="shared" si="17"/>
        <v>17.5</v>
      </c>
      <c r="G859" s="73">
        <f t="shared" si="17"/>
        <v>0.88</v>
      </c>
    </row>
    <row r="860" spans="3:8" x14ac:dyDescent="0.3">
      <c r="C860" s="1019" t="s">
        <v>945</v>
      </c>
      <c r="D860" s="1019"/>
      <c r="E860" s="1019"/>
      <c r="F860" s="1019"/>
      <c r="G860" s="572">
        <f>SUM(G851:G859)</f>
        <v>18.72</v>
      </c>
    </row>
    <row r="862" spans="3:8" x14ac:dyDescent="0.3">
      <c r="C862" s="12" t="s">
        <v>968</v>
      </c>
      <c r="D862" s="12"/>
      <c r="E862" s="12"/>
      <c r="F862" s="11">
        <f>H865</f>
        <v>0.6</v>
      </c>
      <c r="G862" s="12" t="s">
        <v>971</v>
      </c>
    </row>
    <row r="863" spans="3:8" x14ac:dyDescent="0.3">
      <c r="C863" s="22"/>
      <c r="D863" s="22"/>
      <c r="E863" s="22"/>
      <c r="F863" s="23"/>
      <c r="G863" s="22"/>
    </row>
    <row r="864" spans="3:8" ht="27.6" x14ac:dyDescent="0.3">
      <c r="C864" s="14" t="s">
        <v>513</v>
      </c>
      <c r="D864" s="14" t="s">
        <v>1180</v>
      </c>
      <c r="E864" s="14" t="s">
        <v>516</v>
      </c>
      <c r="F864" s="14" t="s">
        <v>970</v>
      </c>
      <c r="G864" s="14" t="s">
        <v>930</v>
      </c>
      <c r="H864" s="14" t="s">
        <v>961</v>
      </c>
    </row>
    <row r="865" spans="2:10" x14ac:dyDescent="0.3">
      <c r="C865" s="27" t="s">
        <v>1204</v>
      </c>
      <c r="D865" s="16">
        <f>АМОРТИЗАЦІЯ!C14</f>
        <v>193</v>
      </c>
      <c r="E865" s="17">
        <v>4831.75</v>
      </c>
      <c r="F865" s="17">
        <v>0.02</v>
      </c>
      <c r="G865" s="17">
        <f>E845</f>
        <v>30</v>
      </c>
      <c r="H865" s="16">
        <f>ROUND(F865*G865,2)</f>
        <v>0.6</v>
      </c>
    </row>
    <row r="867" spans="2:10" x14ac:dyDescent="0.3">
      <c r="C867" s="12" t="s">
        <v>948</v>
      </c>
      <c r="D867" s="12"/>
      <c r="E867" s="12"/>
      <c r="F867" s="11">
        <f>H875</f>
        <v>3.5999999999999996</v>
      </c>
      <c r="G867" s="12" t="s">
        <v>971</v>
      </c>
    </row>
    <row r="868" spans="2:10" x14ac:dyDescent="0.3">
      <c r="C868" s="22"/>
      <c r="D868" s="22"/>
      <c r="E868" s="22"/>
      <c r="F868" s="23"/>
    </row>
    <row r="869" spans="2:10" ht="41.4" x14ac:dyDescent="0.3">
      <c r="C869" s="14" t="s">
        <v>948</v>
      </c>
      <c r="D869" s="14" t="s">
        <v>955</v>
      </c>
      <c r="E869" s="14" t="s">
        <v>516</v>
      </c>
      <c r="F869" s="14" t="s">
        <v>954</v>
      </c>
      <c r="G869" s="14" t="s">
        <v>930</v>
      </c>
      <c r="H869" s="14" t="s">
        <v>956</v>
      </c>
    </row>
    <row r="870" spans="2:10" x14ac:dyDescent="0.3">
      <c r="C870" s="1009" t="str">
        <f>C845</f>
        <v>Сестра медична з масажу</v>
      </c>
      <c r="D870" s="1010"/>
      <c r="E870" s="1010"/>
      <c r="F870" s="1010"/>
      <c r="G870" s="1010"/>
      <c r="H870" s="1011"/>
    </row>
    <row r="871" spans="2:10" x14ac:dyDescent="0.3">
      <c r="C871" s="17" t="s">
        <v>951</v>
      </c>
      <c r="D871" s="112">
        <f>D822</f>
        <v>12188.608008565312</v>
      </c>
      <c r="E871" s="17">
        <f>I842</f>
        <v>1932.7</v>
      </c>
      <c r="F871" s="17">
        <f>ROUND((D871/E871)/60,2)</f>
        <v>0.11</v>
      </c>
      <c r="G871" s="17">
        <f>E845</f>
        <v>30</v>
      </c>
      <c r="H871" s="16">
        <f>ROUND(F871*G871,2)</f>
        <v>3.3</v>
      </c>
    </row>
    <row r="872" spans="2:10" x14ac:dyDescent="0.3">
      <c r="C872" s="17" t="s">
        <v>952</v>
      </c>
      <c r="D872" s="112">
        <f>D823</f>
        <v>53.149721627408987</v>
      </c>
      <c r="E872" s="17">
        <f>I842</f>
        <v>1932.7</v>
      </c>
      <c r="F872" s="17">
        <f>ROUND((D872/E872)/60,2)</f>
        <v>0</v>
      </c>
      <c r="G872" s="17">
        <f>E845</f>
        <v>30</v>
      </c>
      <c r="H872" s="16">
        <f>ROUND(F872*G872,2)</f>
        <v>0</v>
      </c>
    </row>
    <row r="873" spans="2:10" x14ac:dyDescent="0.3">
      <c r="C873" s="17" t="s">
        <v>953</v>
      </c>
      <c r="D873" s="112">
        <f>D824</f>
        <v>374.98368308351178</v>
      </c>
      <c r="E873" s="17">
        <f>I842</f>
        <v>1932.7</v>
      </c>
      <c r="F873" s="17">
        <f>ROUND((D873/E873)/60,2)</f>
        <v>0</v>
      </c>
      <c r="G873" s="17">
        <f>E845</f>
        <v>30</v>
      </c>
      <c r="H873" s="16">
        <f>ROUND(F873*G873,2)</f>
        <v>0</v>
      </c>
    </row>
    <row r="874" spans="2:10" x14ac:dyDescent="0.3">
      <c r="C874" s="17" t="s">
        <v>1109</v>
      </c>
      <c r="D874" s="112">
        <f>D825</f>
        <v>1686.0389293361886</v>
      </c>
      <c r="E874" s="17">
        <f>I842</f>
        <v>1932.7</v>
      </c>
      <c r="F874" s="17">
        <f>ROUND((D874/E874)/60,2)</f>
        <v>0.01</v>
      </c>
      <c r="G874" s="17">
        <f>E845</f>
        <v>30</v>
      </c>
      <c r="H874" s="16">
        <f>ROUND(F874*G874,2)</f>
        <v>0.3</v>
      </c>
    </row>
    <row r="875" spans="2:10" x14ac:dyDescent="0.3">
      <c r="C875" s="1019" t="s">
        <v>957</v>
      </c>
      <c r="D875" s="1019"/>
      <c r="E875" s="1019"/>
      <c r="F875" s="1019"/>
      <c r="G875" s="1019"/>
      <c r="H875" s="18">
        <f>SUM(H871:H874)</f>
        <v>3.5999999999999996</v>
      </c>
    </row>
    <row r="878" spans="2:10" x14ac:dyDescent="0.3">
      <c r="C878" s="1015" t="s">
        <v>959</v>
      </c>
      <c r="D878" s="1015"/>
      <c r="E878" s="1015"/>
      <c r="F878" s="1015"/>
      <c r="G878" s="1015"/>
      <c r="H878" s="32">
        <f>F839+F850+F867+F862</f>
        <v>50</v>
      </c>
    </row>
    <row r="879" spans="2:10" x14ac:dyDescent="0.3">
      <c r="B879" s="65"/>
      <c r="C879" s="33"/>
      <c r="D879" s="33"/>
      <c r="E879" s="33"/>
      <c r="F879" s="33"/>
      <c r="G879" s="33"/>
      <c r="H879" s="34"/>
      <c r="I879" s="65"/>
      <c r="J879" s="65"/>
    </row>
    <row r="880" spans="2:10" x14ac:dyDescent="0.3">
      <c r="C880" s="1049" t="s">
        <v>1178</v>
      </c>
      <c r="D880" s="1049"/>
      <c r="E880" s="1049"/>
      <c r="F880" s="1049"/>
      <c r="G880" s="1049"/>
      <c r="H880" s="49">
        <f>ROUND(H878*0.2,2)</f>
        <v>10</v>
      </c>
    </row>
    <row r="881" spans="2:10" x14ac:dyDescent="0.3">
      <c r="C881" s="1015" t="s">
        <v>1179</v>
      </c>
      <c r="D881" s="1015"/>
      <c r="E881" s="1015"/>
      <c r="F881" s="1015"/>
      <c r="G881" s="1015"/>
      <c r="H881" s="32">
        <f>H878+H880</f>
        <v>60</v>
      </c>
    </row>
    <row r="884" spans="2:10" ht="18.600000000000001" x14ac:dyDescent="0.3">
      <c r="B884" s="1016" t="s">
        <v>958</v>
      </c>
      <c r="C884" s="1016"/>
      <c r="D884" s="1016"/>
      <c r="E884" s="1016"/>
      <c r="F884" s="1016"/>
      <c r="G884" s="1016"/>
      <c r="H884" s="1016"/>
      <c r="I884" s="1016"/>
    </row>
    <row r="886" spans="2:10" ht="32.25" customHeight="1" x14ac:dyDescent="0.3">
      <c r="B886" s="25" t="s">
        <v>825</v>
      </c>
      <c r="C886" s="1050" t="s">
        <v>826</v>
      </c>
      <c r="D886" s="1050"/>
      <c r="E886" s="66"/>
      <c r="F886" s="26">
        <f>H930</f>
        <v>60</v>
      </c>
      <c r="G886" s="26" t="s">
        <v>971</v>
      </c>
    </row>
    <row r="888" spans="2:10" x14ac:dyDescent="0.3">
      <c r="C888" s="1018" t="s">
        <v>932</v>
      </c>
      <c r="D888" s="1018"/>
      <c r="E888" s="10"/>
      <c r="F888" s="11">
        <f>F894+F897</f>
        <v>27.08</v>
      </c>
      <c r="G888" s="12" t="s">
        <v>971</v>
      </c>
    </row>
    <row r="890" spans="2:10" ht="27.6" x14ac:dyDescent="0.3">
      <c r="C890" s="13" t="s">
        <v>929</v>
      </c>
      <c r="D890" s="14" t="s">
        <v>928</v>
      </c>
      <c r="E890" s="14" t="s">
        <v>514</v>
      </c>
      <c r="F890" s="14" t="s">
        <v>515</v>
      </c>
      <c r="G890" s="14" t="s">
        <v>962</v>
      </c>
      <c r="H890" s="14" t="s">
        <v>926</v>
      </c>
      <c r="I890" s="14" t="s">
        <v>516</v>
      </c>
      <c r="J890" s="14" t="s">
        <v>927</v>
      </c>
    </row>
    <row r="891" spans="2:10" x14ac:dyDescent="0.3">
      <c r="C891" s="17" t="s">
        <v>963</v>
      </c>
      <c r="D891" s="16">
        <f>D842</f>
        <v>6506.55</v>
      </c>
      <c r="E891" s="16">
        <f>D891*12</f>
        <v>78078.600000000006</v>
      </c>
      <c r="F891" s="16">
        <f>F842</f>
        <v>5005</v>
      </c>
      <c r="G891" s="16">
        <f>G842</f>
        <v>2502.5</v>
      </c>
      <c r="H891" s="16">
        <f>E891+F891+G891</f>
        <v>85586.1</v>
      </c>
      <c r="I891" s="17">
        <v>1932.7</v>
      </c>
      <c r="J891" s="16">
        <f>ROUND((H891/I891)/60,2)</f>
        <v>0.74</v>
      </c>
    </row>
    <row r="893" spans="2:10" ht="27.6" x14ac:dyDescent="0.3">
      <c r="C893" s="13" t="s">
        <v>929</v>
      </c>
      <c r="D893" s="14" t="s">
        <v>961</v>
      </c>
      <c r="E893" s="14" t="s">
        <v>930</v>
      </c>
      <c r="F893" s="14" t="s">
        <v>931</v>
      </c>
    </row>
    <row r="894" spans="2:10" x14ac:dyDescent="0.3">
      <c r="C894" s="17" t="str">
        <f>C891</f>
        <v>Сестра медична з масажу</v>
      </c>
      <c r="D894" s="16">
        <f>J891</f>
        <v>0.74</v>
      </c>
      <c r="E894" s="17">
        <v>30</v>
      </c>
      <c r="F894" s="18">
        <f>ROUND(D894*E894,2)</f>
        <v>22.2</v>
      </c>
    </row>
    <row r="896" spans="2:10" x14ac:dyDescent="0.3">
      <c r="D896" s="19"/>
    </row>
    <row r="897" spans="3:7" x14ac:dyDescent="0.3">
      <c r="C897" s="17" t="s">
        <v>933</v>
      </c>
      <c r="D897" s="16">
        <f>F894</f>
        <v>22.2</v>
      </c>
      <c r="E897" s="20">
        <v>0.22</v>
      </c>
      <c r="F897" s="21">
        <f>ROUND(D897*E897,2)</f>
        <v>4.88</v>
      </c>
    </row>
    <row r="899" spans="3:7" x14ac:dyDescent="0.3">
      <c r="C899" s="12" t="s">
        <v>946</v>
      </c>
      <c r="D899" s="12"/>
      <c r="E899" s="12"/>
      <c r="F899" s="12">
        <f>G909</f>
        <v>18.72</v>
      </c>
      <c r="G899" s="12" t="s">
        <v>971</v>
      </c>
    </row>
    <row r="900" spans="3:7" x14ac:dyDescent="0.3">
      <c r="C900" s="17" t="str">
        <f t="shared" ref="C900:G908" si="18">C851</f>
        <v>Антисептик для обробки рук</v>
      </c>
      <c r="D900" s="73" t="str">
        <f t="shared" si="18"/>
        <v>мл</v>
      </c>
      <c r="E900" s="73">
        <f t="shared" si="18"/>
        <v>1</v>
      </c>
      <c r="F900" s="73">
        <f t="shared" si="18"/>
        <v>0.375</v>
      </c>
      <c r="G900" s="73">
        <f t="shared" si="18"/>
        <v>0.38</v>
      </c>
    </row>
    <row r="901" spans="3:7" x14ac:dyDescent="0.3">
      <c r="C901" s="17" t="str">
        <f t="shared" si="18"/>
        <v>Антисептик швидкої дії</v>
      </c>
      <c r="D901" s="73" t="str">
        <f t="shared" si="18"/>
        <v>мл</v>
      </c>
      <c r="E901" s="73">
        <f t="shared" si="18"/>
        <v>1</v>
      </c>
      <c r="F901" s="73">
        <f t="shared" si="18"/>
        <v>0.28799999999999998</v>
      </c>
      <c r="G901" s="73">
        <f t="shared" si="18"/>
        <v>0.28999999999999998</v>
      </c>
    </row>
    <row r="902" spans="3:7" x14ac:dyDescent="0.3">
      <c r="C902" s="17" t="str">
        <f t="shared" si="18"/>
        <v>Деззасоби</v>
      </c>
      <c r="D902" s="73" t="str">
        <f t="shared" si="18"/>
        <v>г</v>
      </c>
      <c r="E902" s="73">
        <f t="shared" si="18"/>
        <v>0.5</v>
      </c>
      <c r="F902" s="73">
        <f t="shared" si="18"/>
        <v>0.5</v>
      </c>
      <c r="G902" s="73">
        <f t="shared" si="18"/>
        <v>0.25</v>
      </c>
    </row>
    <row r="903" spans="3:7" x14ac:dyDescent="0.3">
      <c r="C903" s="17" t="str">
        <f t="shared" si="18"/>
        <v>Маска одноразова тришарова на резинці</v>
      </c>
      <c r="D903" s="73" t="str">
        <f t="shared" si="18"/>
        <v>шт</v>
      </c>
      <c r="E903" s="73">
        <f t="shared" si="18"/>
        <v>1</v>
      </c>
      <c r="F903" s="73">
        <f t="shared" si="18"/>
        <v>2</v>
      </c>
      <c r="G903" s="73">
        <f t="shared" si="18"/>
        <v>2</v>
      </c>
    </row>
    <row r="904" spans="3:7" x14ac:dyDescent="0.3">
      <c r="C904" s="17" t="str">
        <f t="shared" si="18"/>
        <v>Мило рідке</v>
      </c>
      <c r="D904" s="73" t="str">
        <f t="shared" si="18"/>
        <v>мл</v>
      </c>
      <c r="E904" s="73">
        <f t="shared" si="18"/>
        <v>1</v>
      </c>
      <c r="F904" s="73">
        <f t="shared" si="18"/>
        <v>0.19600000000000001</v>
      </c>
      <c r="G904" s="73">
        <f t="shared" si="18"/>
        <v>0.2</v>
      </c>
    </row>
    <row r="905" spans="3:7" x14ac:dyDescent="0.3">
      <c r="C905" s="17" t="str">
        <f t="shared" si="18"/>
        <v>Олія для масажу 100 мл</v>
      </c>
      <c r="D905" s="73" t="str">
        <f t="shared" si="18"/>
        <v>мл</v>
      </c>
      <c r="E905" s="73">
        <f t="shared" si="18"/>
        <v>20</v>
      </c>
      <c r="F905" s="73">
        <f t="shared" si="18"/>
        <v>0.2</v>
      </c>
      <c r="G905" s="73">
        <f t="shared" si="18"/>
        <v>4</v>
      </c>
    </row>
    <row r="906" spans="3:7" x14ac:dyDescent="0.3">
      <c r="C906" s="17" t="str">
        <f t="shared" si="18"/>
        <v>Пелюшка поглинаюча 60/60</v>
      </c>
      <c r="D906" s="73" t="str">
        <f t="shared" si="18"/>
        <v>шт</v>
      </c>
      <c r="E906" s="73">
        <f t="shared" si="18"/>
        <v>1</v>
      </c>
      <c r="F906" s="73">
        <f t="shared" si="18"/>
        <v>6</v>
      </c>
      <c r="G906" s="73">
        <f t="shared" si="18"/>
        <v>6</v>
      </c>
    </row>
    <row r="907" spans="3:7" x14ac:dyDescent="0.3">
      <c r="C907" s="17" t="str">
        <f t="shared" si="18"/>
        <v>Простирадло одноразове 100 м</v>
      </c>
      <c r="D907" s="73" t="str">
        <f t="shared" si="18"/>
        <v>м</v>
      </c>
      <c r="E907" s="73">
        <f t="shared" si="18"/>
        <v>2</v>
      </c>
      <c r="F907" s="73">
        <f t="shared" si="18"/>
        <v>2.36</v>
      </c>
      <c r="G907" s="73">
        <f t="shared" si="18"/>
        <v>4.72</v>
      </c>
    </row>
    <row r="908" spans="3:7" x14ac:dyDescent="0.3">
      <c r="C908" s="17" t="str">
        <f t="shared" si="18"/>
        <v>Рушник паперовий</v>
      </c>
      <c r="D908" s="73" t="str">
        <f t="shared" si="18"/>
        <v>шт</v>
      </c>
      <c r="E908" s="73">
        <f t="shared" si="18"/>
        <v>0.05</v>
      </c>
      <c r="F908" s="73">
        <f t="shared" si="18"/>
        <v>17.5</v>
      </c>
      <c r="G908" s="73">
        <f t="shared" si="18"/>
        <v>0.88</v>
      </c>
    </row>
    <row r="909" spans="3:7" x14ac:dyDescent="0.3">
      <c r="C909" s="1019" t="s">
        <v>945</v>
      </c>
      <c r="D909" s="1019"/>
      <c r="E909" s="1019"/>
      <c r="F909" s="1019"/>
      <c r="G909" s="572">
        <f>SUM(G900:G908)</f>
        <v>18.72</v>
      </c>
    </row>
    <row r="911" spans="3:7" x14ac:dyDescent="0.3">
      <c r="C911" s="12" t="s">
        <v>968</v>
      </c>
      <c r="D911" s="12"/>
      <c r="E911" s="12"/>
      <c r="F911" s="11">
        <f>H914</f>
        <v>0.6</v>
      </c>
      <c r="G911" s="12" t="s">
        <v>971</v>
      </c>
    </row>
    <row r="912" spans="3:7" x14ac:dyDescent="0.3">
      <c r="C912" s="22"/>
      <c r="D912" s="22"/>
      <c r="E912" s="22"/>
      <c r="F912" s="23"/>
      <c r="G912" s="22"/>
    </row>
    <row r="913" spans="2:10" ht="27.6" x14ac:dyDescent="0.3">
      <c r="C913" s="14" t="s">
        <v>513</v>
      </c>
      <c r="D913" s="14" t="s">
        <v>1180</v>
      </c>
      <c r="E913" s="14" t="s">
        <v>516</v>
      </c>
      <c r="F913" s="14" t="s">
        <v>970</v>
      </c>
      <c r="G913" s="14" t="s">
        <v>930</v>
      </c>
      <c r="H913" s="14" t="s">
        <v>961</v>
      </c>
    </row>
    <row r="914" spans="2:10" x14ac:dyDescent="0.3">
      <c r="C914" s="27" t="s">
        <v>1204</v>
      </c>
      <c r="D914" s="16">
        <f>АМОРТИЗАЦІЯ!C14</f>
        <v>193</v>
      </c>
      <c r="E914" s="17">
        <v>4831.75</v>
      </c>
      <c r="F914" s="17">
        <v>0.02</v>
      </c>
      <c r="G914" s="17">
        <f>E894</f>
        <v>30</v>
      </c>
      <c r="H914" s="16">
        <f>ROUND(F914*G914,2)</f>
        <v>0.6</v>
      </c>
    </row>
    <row r="916" spans="2:10" x14ac:dyDescent="0.3">
      <c r="C916" s="12" t="s">
        <v>948</v>
      </c>
      <c r="D916" s="12"/>
      <c r="E916" s="12"/>
      <c r="F916" s="11">
        <f>H924</f>
        <v>3.5999999999999996</v>
      </c>
      <c r="G916" s="12" t="s">
        <v>971</v>
      </c>
    </row>
    <row r="917" spans="2:10" x14ac:dyDescent="0.3">
      <c r="C917" s="22"/>
      <c r="D917" s="22"/>
      <c r="E917" s="22"/>
      <c r="F917" s="23"/>
    </row>
    <row r="918" spans="2:10" ht="41.4" x14ac:dyDescent="0.3">
      <c r="C918" s="14" t="s">
        <v>948</v>
      </c>
      <c r="D918" s="14" t="s">
        <v>955</v>
      </c>
      <c r="E918" s="14" t="s">
        <v>516</v>
      </c>
      <c r="F918" s="14" t="s">
        <v>954</v>
      </c>
      <c r="G918" s="14" t="s">
        <v>930</v>
      </c>
      <c r="H918" s="14" t="s">
        <v>956</v>
      </c>
    </row>
    <row r="919" spans="2:10" x14ac:dyDescent="0.3">
      <c r="C919" s="1009" t="str">
        <f>C894</f>
        <v>Сестра медична з масажу</v>
      </c>
      <c r="D919" s="1010"/>
      <c r="E919" s="1010"/>
      <c r="F919" s="1010"/>
      <c r="G919" s="1010"/>
      <c r="H919" s="1011"/>
    </row>
    <row r="920" spans="2:10" x14ac:dyDescent="0.3">
      <c r="C920" s="17" t="s">
        <v>951</v>
      </c>
      <c r="D920" s="112">
        <f>D871</f>
        <v>12188.608008565312</v>
      </c>
      <c r="E920" s="17">
        <f>I891</f>
        <v>1932.7</v>
      </c>
      <c r="F920" s="17">
        <f>ROUND((D920/E920)/60,2)</f>
        <v>0.11</v>
      </c>
      <c r="G920" s="17">
        <f>E894</f>
        <v>30</v>
      </c>
      <c r="H920" s="16">
        <f>ROUND(F920*G920,2)</f>
        <v>3.3</v>
      </c>
    </row>
    <row r="921" spans="2:10" x14ac:dyDescent="0.3">
      <c r="C921" s="17" t="s">
        <v>952</v>
      </c>
      <c r="D921" s="112">
        <f>D872</f>
        <v>53.149721627408987</v>
      </c>
      <c r="E921" s="17">
        <f>I891</f>
        <v>1932.7</v>
      </c>
      <c r="F921" s="17">
        <f>ROUND((D921/E921)/60,2)</f>
        <v>0</v>
      </c>
      <c r="G921" s="17">
        <f>E894</f>
        <v>30</v>
      </c>
      <c r="H921" s="16">
        <f>ROUND(F921*G921,2)</f>
        <v>0</v>
      </c>
    </row>
    <row r="922" spans="2:10" x14ac:dyDescent="0.3">
      <c r="C922" s="17" t="s">
        <v>953</v>
      </c>
      <c r="D922" s="112">
        <f>D873</f>
        <v>374.98368308351178</v>
      </c>
      <c r="E922" s="17">
        <f>I891</f>
        <v>1932.7</v>
      </c>
      <c r="F922" s="17">
        <f>ROUND((D922/E922)/60,2)</f>
        <v>0</v>
      </c>
      <c r="G922" s="17">
        <f>E894</f>
        <v>30</v>
      </c>
      <c r="H922" s="16">
        <f>ROUND(F922*G922,2)</f>
        <v>0</v>
      </c>
    </row>
    <row r="923" spans="2:10" x14ac:dyDescent="0.3">
      <c r="C923" s="17" t="s">
        <v>1109</v>
      </c>
      <c r="D923" s="112">
        <f>D874</f>
        <v>1686.0389293361886</v>
      </c>
      <c r="E923" s="17">
        <f>I891</f>
        <v>1932.7</v>
      </c>
      <c r="F923" s="17">
        <f>ROUND((D923/E923)/60,2)</f>
        <v>0.01</v>
      </c>
      <c r="G923" s="17">
        <f>E894</f>
        <v>30</v>
      </c>
      <c r="H923" s="16">
        <f>ROUND(F923*G923,2)</f>
        <v>0.3</v>
      </c>
    </row>
    <row r="924" spans="2:10" x14ac:dyDescent="0.3">
      <c r="C924" s="1019" t="s">
        <v>957</v>
      </c>
      <c r="D924" s="1019"/>
      <c r="E924" s="1019"/>
      <c r="F924" s="1019"/>
      <c r="G924" s="1019"/>
      <c r="H924" s="18">
        <f>SUM(H920:H923)</f>
        <v>3.5999999999999996</v>
      </c>
    </row>
    <row r="926" spans="2:10" ht="1.5" customHeight="1" x14ac:dyDescent="0.3"/>
    <row r="927" spans="2:10" x14ac:dyDescent="0.3">
      <c r="C927" s="1015" t="s">
        <v>959</v>
      </c>
      <c r="D927" s="1015"/>
      <c r="E927" s="1015"/>
      <c r="F927" s="1015"/>
      <c r="G927" s="1015"/>
      <c r="H927" s="32">
        <f>F888+F899+F916+F911</f>
        <v>50</v>
      </c>
    </row>
    <row r="928" spans="2:10" x14ac:dyDescent="0.3">
      <c r="B928" s="65"/>
      <c r="C928" s="33"/>
      <c r="D928" s="33"/>
      <c r="E928" s="33"/>
      <c r="F928" s="33"/>
      <c r="G928" s="33"/>
      <c r="H928" s="34"/>
      <c r="I928" s="65"/>
      <c r="J928" s="65"/>
    </row>
    <row r="929" spans="2:10" x14ac:dyDescent="0.3">
      <c r="C929" s="1049" t="s">
        <v>1178</v>
      </c>
      <c r="D929" s="1049"/>
      <c r="E929" s="1049"/>
      <c r="F929" s="1049"/>
      <c r="G929" s="1049"/>
      <c r="H929" s="49">
        <f>ROUND(H927*0.2,2)</f>
        <v>10</v>
      </c>
    </row>
    <row r="930" spans="2:10" x14ac:dyDescent="0.3">
      <c r="C930" s="1015" t="s">
        <v>1179</v>
      </c>
      <c r="D930" s="1015"/>
      <c r="E930" s="1015"/>
      <c r="F930" s="1015"/>
      <c r="G930" s="1015"/>
      <c r="H930" s="32">
        <f>H927+H929</f>
        <v>60</v>
      </c>
    </row>
    <row r="933" spans="2:10" ht="18.600000000000001" x14ac:dyDescent="0.3">
      <c r="B933" s="1016" t="s">
        <v>958</v>
      </c>
      <c r="C933" s="1016"/>
      <c r="D933" s="1016"/>
      <c r="E933" s="1016"/>
      <c r="F933" s="1016"/>
      <c r="G933" s="1016"/>
      <c r="H933" s="1016"/>
      <c r="I933" s="1016"/>
    </row>
    <row r="935" spans="2:10" x14ac:dyDescent="0.3">
      <c r="B935" s="25" t="s">
        <v>827</v>
      </c>
      <c r="C935" s="1050" t="s">
        <v>828</v>
      </c>
      <c r="D935" s="1050"/>
      <c r="E935" s="1050"/>
      <c r="F935" s="26">
        <f>H979</f>
        <v>45.000000000000007</v>
      </c>
      <c r="G935" s="26" t="s">
        <v>971</v>
      </c>
    </row>
    <row r="937" spans="2:10" x14ac:dyDescent="0.3">
      <c r="C937" s="1018" t="s">
        <v>932</v>
      </c>
      <c r="D937" s="1018"/>
      <c r="E937" s="10"/>
      <c r="F937" s="11">
        <f>F943+F946</f>
        <v>18.060000000000002</v>
      </c>
      <c r="G937" s="12" t="s">
        <v>971</v>
      </c>
    </row>
    <row r="939" spans="2:10" ht="27.6" x14ac:dyDescent="0.3">
      <c r="C939" s="13" t="s">
        <v>929</v>
      </c>
      <c r="D939" s="14" t="s">
        <v>928</v>
      </c>
      <c r="E939" s="14" t="s">
        <v>514</v>
      </c>
      <c r="F939" s="14" t="s">
        <v>515</v>
      </c>
      <c r="G939" s="14" t="s">
        <v>962</v>
      </c>
      <c r="H939" s="14" t="s">
        <v>926</v>
      </c>
      <c r="I939" s="14" t="s">
        <v>516</v>
      </c>
      <c r="J939" s="14" t="s">
        <v>927</v>
      </c>
    </row>
    <row r="940" spans="2:10" x14ac:dyDescent="0.3">
      <c r="C940" s="17" t="s">
        <v>963</v>
      </c>
      <c r="D940" s="16">
        <f>D891</f>
        <v>6506.55</v>
      </c>
      <c r="E940" s="16">
        <f>D940*12</f>
        <v>78078.600000000006</v>
      </c>
      <c r="F940" s="16">
        <f>F891</f>
        <v>5005</v>
      </c>
      <c r="G940" s="16">
        <f>G891</f>
        <v>2502.5</v>
      </c>
      <c r="H940" s="16">
        <f>E940+F940+G940</f>
        <v>85586.1</v>
      </c>
      <c r="I940" s="17">
        <v>1932.7</v>
      </c>
      <c r="J940" s="16">
        <f>ROUND((H940/I940)/60,2)</f>
        <v>0.74</v>
      </c>
    </row>
    <row r="942" spans="2:10" ht="27.6" x14ac:dyDescent="0.3">
      <c r="C942" s="13" t="s">
        <v>929</v>
      </c>
      <c r="D942" s="14" t="s">
        <v>961</v>
      </c>
      <c r="E942" s="14" t="s">
        <v>930</v>
      </c>
      <c r="F942" s="14" t="s">
        <v>931</v>
      </c>
    </row>
    <row r="943" spans="2:10" x14ac:dyDescent="0.3">
      <c r="C943" s="17" t="str">
        <f>C940</f>
        <v>Сестра медична з масажу</v>
      </c>
      <c r="D943" s="16">
        <f>J940</f>
        <v>0.74</v>
      </c>
      <c r="E943" s="17">
        <v>20</v>
      </c>
      <c r="F943" s="18">
        <f>ROUND(D943*E943,2)</f>
        <v>14.8</v>
      </c>
    </row>
    <row r="945" spans="3:7" x14ac:dyDescent="0.3">
      <c r="D945" s="19"/>
    </row>
    <row r="946" spans="3:7" x14ac:dyDescent="0.3">
      <c r="C946" s="17" t="s">
        <v>933</v>
      </c>
      <c r="D946" s="16">
        <f>F943</f>
        <v>14.8</v>
      </c>
      <c r="E946" s="20">
        <v>0.22</v>
      </c>
      <c r="F946" s="21">
        <f>ROUND(D946*E946,2)</f>
        <v>3.26</v>
      </c>
    </row>
    <row r="948" spans="3:7" x14ac:dyDescent="0.3">
      <c r="C948" s="12" t="s">
        <v>946</v>
      </c>
      <c r="D948" s="12"/>
      <c r="E948" s="12"/>
      <c r="F948" s="12">
        <f>G958</f>
        <v>16.84</v>
      </c>
      <c r="G948" s="12" t="s">
        <v>971</v>
      </c>
    </row>
    <row r="949" spans="3:7" x14ac:dyDescent="0.3">
      <c r="C949" s="17" t="str">
        <f t="shared" ref="C949:G957" si="19">C900</f>
        <v>Антисептик для обробки рук</v>
      </c>
      <c r="D949" s="73" t="str">
        <f t="shared" si="19"/>
        <v>мл</v>
      </c>
      <c r="E949" s="73">
        <f t="shared" si="19"/>
        <v>1</v>
      </c>
      <c r="F949" s="73">
        <f t="shared" si="19"/>
        <v>0.375</v>
      </c>
      <c r="G949" s="73">
        <f t="shared" si="19"/>
        <v>0.38</v>
      </c>
    </row>
    <row r="950" spans="3:7" x14ac:dyDescent="0.3">
      <c r="C950" s="17" t="str">
        <f t="shared" si="19"/>
        <v>Антисептик швидкої дії</v>
      </c>
      <c r="D950" s="73" t="str">
        <f t="shared" si="19"/>
        <v>мл</v>
      </c>
      <c r="E950" s="73">
        <f t="shared" si="19"/>
        <v>1</v>
      </c>
      <c r="F950" s="73">
        <f t="shared" si="19"/>
        <v>0.28799999999999998</v>
      </c>
      <c r="G950" s="73">
        <f t="shared" si="19"/>
        <v>0.28999999999999998</v>
      </c>
    </row>
    <row r="951" spans="3:7" x14ac:dyDescent="0.3">
      <c r="C951" s="17" t="str">
        <f t="shared" si="19"/>
        <v>Деззасоби</v>
      </c>
      <c r="D951" s="73" t="str">
        <f t="shared" si="19"/>
        <v>г</v>
      </c>
      <c r="E951" s="73">
        <f t="shared" si="19"/>
        <v>0.5</v>
      </c>
      <c r="F951" s="73">
        <f t="shared" si="19"/>
        <v>0.5</v>
      </c>
      <c r="G951" s="73">
        <f t="shared" si="19"/>
        <v>0.25</v>
      </c>
    </row>
    <row r="952" spans="3:7" x14ac:dyDescent="0.3">
      <c r="C952" s="17" t="str">
        <f t="shared" si="19"/>
        <v>Маска одноразова тришарова на резинці</v>
      </c>
      <c r="D952" s="73" t="str">
        <f t="shared" si="19"/>
        <v>шт</v>
      </c>
      <c r="E952" s="73">
        <f t="shared" si="19"/>
        <v>1</v>
      </c>
      <c r="F952" s="73">
        <f t="shared" si="19"/>
        <v>2</v>
      </c>
      <c r="G952" s="73">
        <f t="shared" si="19"/>
        <v>2</v>
      </c>
    </row>
    <row r="953" spans="3:7" x14ac:dyDescent="0.3">
      <c r="C953" s="17" t="str">
        <f t="shared" si="19"/>
        <v>Мило рідке</v>
      </c>
      <c r="D953" s="73" t="str">
        <f t="shared" si="19"/>
        <v>мл</v>
      </c>
      <c r="E953" s="73">
        <f t="shared" si="19"/>
        <v>1</v>
      </c>
      <c r="F953" s="73">
        <f t="shared" si="19"/>
        <v>0.19600000000000001</v>
      </c>
      <c r="G953" s="73">
        <f t="shared" si="19"/>
        <v>0.2</v>
      </c>
    </row>
    <row r="954" spans="3:7" x14ac:dyDescent="0.3">
      <c r="C954" s="17" t="str">
        <f t="shared" si="19"/>
        <v>Олія для масажу 100 мл</v>
      </c>
      <c r="D954" s="73" t="str">
        <f t="shared" si="19"/>
        <v>мл</v>
      </c>
      <c r="E954" s="73">
        <v>10.6</v>
      </c>
      <c r="F954" s="73">
        <f t="shared" si="19"/>
        <v>0.2</v>
      </c>
      <c r="G954" s="73">
        <f>E954*F954</f>
        <v>2.12</v>
      </c>
    </row>
    <row r="955" spans="3:7" x14ac:dyDescent="0.3">
      <c r="C955" s="17" t="str">
        <f t="shared" si="19"/>
        <v>Пелюшка поглинаюча 60/60</v>
      </c>
      <c r="D955" s="73" t="str">
        <f t="shared" si="19"/>
        <v>шт</v>
      </c>
      <c r="E955" s="73">
        <f t="shared" si="19"/>
        <v>1</v>
      </c>
      <c r="F955" s="73">
        <f t="shared" si="19"/>
        <v>6</v>
      </c>
      <c r="G955" s="73">
        <f t="shared" si="19"/>
        <v>6</v>
      </c>
    </row>
    <row r="956" spans="3:7" x14ac:dyDescent="0.3">
      <c r="C956" s="17" t="str">
        <f t="shared" si="19"/>
        <v>Простирадло одноразове 100 м</v>
      </c>
      <c r="D956" s="73" t="str">
        <f t="shared" si="19"/>
        <v>м</v>
      </c>
      <c r="E956" s="73">
        <f t="shared" si="19"/>
        <v>2</v>
      </c>
      <c r="F956" s="73">
        <f t="shared" si="19"/>
        <v>2.36</v>
      </c>
      <c r="G956" s="73">
        <f t="shared" si="19"/>
        <v>4.72</v>
      </c>
    </row>
    <row r="957" spans="3:7" x14ac:dyDescent="0.3">
      <c r="C957" s="17" t="str">
        <f t="shared" si="19"/>
        <v>Рушник паперовий</v>
      </c>
      <c r="D957" s="73" t="str">
        <f t="shared" si="19"/>
        <v>шт</v>
      </c>
      <c r="E957" s="73">
        <f t="shared" si="19"/>
        <v>0.05</v>
      </c>
      <c r="F957" s="73">
        <f t="shared" si="19"/>
        <v>17.5</v>
      </c>
      <c r="G957" s="73">
        <f t="shared" si="19"/>
        <v>0.88</v>
      </c>
    </row>
    <row r="958" spans="3:7" x14ac:dyDescent="0.3">
      <c r="C958" s="1019" t="s">
        <v>945</v>
      </c>
      <c r="D958" s="1019"/>
      <c r="E958" s="1019"/>
      <c r="F958" s="1019"/>
      <c r="G958" s="572">
        <f>SUM(G949:G957)</f>
        <v>16.84</v>
      </c>
    </row>
    <row r="959" spans="3:7" ht="9.75" customHeight="1" x14ac:dyDescent="0.3"/>
    <row r="960" spans="3:7" x14ac:dyDescent="0.3">
      <c r="C960" s="12" t="s">
        <v>968</v>
      </c>
      <c r="D960" s="12"/>
      <c r="E960" s="12"/>
      <c r="F960" s="11">
        <f>H963</f>
        <v>0.2</v>
      </c>
      <c r="G960" s="12" t="s">
        <v>971</v>
      </c>
    </row>
    <row r="961" spans="3:8" x14ac:dyDescent="0.3">
      <c r="C961" s="22"/>
      <c r="D961" s="22"/>
      <c r="E961" s="22"/>
      <c r="F961" s="23"/>
      <c r="G961" s="22"/>
    </row>
    <row r="962" spans="3:8" ht="27.6" x14ac:dyDescent="0.3">
      <c r="C962" s="14" t="s">
        <v>513</v>
      </c>
      <c r="D962" s="14" t="s">
        <v>1180</v>
      </c>
      <c r="E962" s="14" t="s">
        <v>516</v>
      </c>
      <c r="F962" s="14" t="s">
        <v>970</v>
      </c>
      <c r="G962" s="14" t="s">
        <v>930</v>
      </c>
      <c r="H962" s="14" t="s">
        <v>961</v>
      </c>
    </row>
    <row r="963" spans="3:8" x14ac:dyDescent="0.3">
      <c r="C963" s="27" t="s">
        <v>1204</v>
      </c>
      <c r="D963" s="16">
        <f>АМОРТИЗАЦІЯ!C14</f>
        <v>193</v>
      </c>
      <c r="E963" s="17">
        <v>4831.75</v>
      </c>
      <c r="F963" s="17">
        <v>0.01</v>
      </c>
      <c r="G963" s="17">
        <f>E943</f>
        <v>20</v>
      </c>
      <c r="H963" s="16">
        <f>ROUND(F963*G963,2)</f>
        <v>0.2</v>
      </c>
    </row>
    <row r="965" spans="3:8" x14ac:dyDescent="0.3">
      <c r="C965" s="12" t="s">
        <v>948</v>
      </c>
      <c r="D965" s="12"/>
      <c r="E965" s="12"/>
      <c r="F965" s="11">
        <f>H973</f>
        <v>2.4000000000000004</v>
      </c>
      <c r="G965" s="12" t="s">
        <v>971</v>
      </c>
    </row>
    <row r="966" spans="3:8" ht="6" customHeight="1" x14ac:dyDescent="0.3">
      <c r="C966" s="22"/>
      <c r="D966" s="22"/>
      <c r="E966" s="22"/>
      <c r="F966" s="23"/>
    </row>
    <row r="967" spans="3:8" ht="41.4" x14ac:dyDescent="0.3">
      <c r="C967" s="14" t="s">
        <v>948</v>
      </c>
      <c r="D967" s="14" t="s">
        <v>955</v>
      </c>
      <c r="E967" s="14" t="s">
        <v>516</v>
      </c>
      <c r="F967" s="14" t="s">
        <v>954</v>
      </c>
      <c r="G967" s="14" t="s">
        <v>930</v>
      </c>
      <c r="H967" s="14" t="s">
        <v>956</v>
      </c>
    </row>
    <row r="968" spans="3:8" x14ac:dyDescent="0.3">
      <c r="C968" s="1009" t="str">
        <f>C943</f>
        <v>Сестра медична з масажу</v>
      </c>
      <c r="D968" s="1010"/>
      <c r="E968" s="1010"/>
      <c r="F968" s="1010"/>
      <c r="G968" s="1010"/>
      <c r="H968" s="1011"/>
    </row>
    <row r="969" spans="3:8" x14ac:dyDescent="0.3">
      <c r="C969" s="17" t="s">
        <v>951</v>
      </c>
      <c r="D969" s="112">
        <f>D920</f>
        <v>12188.608008565312</v>
      </c>
      <c r="E969" s="17">
        <f>I940</f>
        <v>1932.7</v>
      </c>
      <c r="F969" s="17">
        <f>ROUND((D969/E969)/60,2)</f>
        <v>0.11</v>
      </c>
      <c r="G969" s="17">
        <f>E943</f>
        <v>20</v>
      </c>
      <c r="H969" s="16">
        <f>ROUND(F969*G969,2)</f>
        <v>2.2000000000000002</v>
      </c>
    </row>
    <row r="970" spans="3:8" x14ac:dyDescent="0.3">
      <c r="C970" s="17" t="s">
        <v>952</v>
      </c>
      <c r="D970" s="112">
        <f>D921</f>
        <v>53.149721627408987</v>
      </c>
      <c r="E970" s="17">
        <f>I940</f>
        <v>1932.7</v>
      </c>
      <c r="F970" s="17">
        <f>ROUND((D970/E970)/60,2)</f>
        <v>0</v>
      </c>
      <c r="G970" s="17">
        <f>E943</f>
        <v>20</v>
      </c>
      <c r="H970" s="16">
        <f>ROUND(F970*G970,2)</f>
        <v>0</v>
      </c>
    </row>
    <row r="971" spans="3:8" x14ac:dyDescent="0.3">
      <c r="C971" s="17" t="s">
        <v>953</v>
      </c>
      <c r="D971" s="112">
        <f>D922</f>
        <v>374.98368308351178</v>
      </c>
      <c r="E971" s="17">
        <f>I940</f>
        <v>1932.7</v>
      </c>
      <c r="F971" s="17">
        <f>ROUND((D971/E971)/60,2)</f>
        <v>0</v>
      </c>
      <c r="G971" s="17">
        <f>E943</f>
        <v>20</v>
      </c>
      <c r="H971" s="16">
        <f>ROUND(F971*G971,2)</f>
        <v>0</v>
      </c>
    </row>
    <row r="972" spans="3:8" x14ac:dyDescent="0.3">
      <c r="C972" s="17" t="s">
        <v>1109</v>
      </c>
      <c r="D972" s="112">
        <f>D923</f>
        <v>1686.0389293361886</v>
      </c>
      <c r="E972" s="17">
        <f>I940</f>
        <v>1932.7</v>
      </c>
      <c r="F972" s="17">
        <f>ROUND((D972/E972)/60,2)</f>
        <v>0.01</v>
      </c>
      <c r="G972" s="17">
        <f>E943</f>
        <v>20</v>
      </c>
      <c r="H972" s="16">
        <f>ROUND(F972*G972,2)</f>
        <v>0.2</v>
      </c>
    </row>
    <row r="973" spans="3:8" x14ac:dyDescent="0.3">
      <c r="C973" s="1019" t="s">
        <v>957</v>
      </c>
      <c r="D973" s="1019"/>
      <c r="E973" s="1019"/>
      <c r="F973" s="1019"/>
      <c r="G973" s="1019"/>
      <c r="H973" s="18">
        <f>SUM(H969:H972)</f>
        <v>2.4000000000000004</v>
      </c>
    </row>
    <row r="975" spans="3:8" ht="0.75" customHeight="1" x14ac:dyDescent="0.3"/>
    <row r="976" spans="3:8" x14ac:dyDescent="0.3">
      <c r="C976" s="1015" t="s">
        <v>959</v>
      </c>
      <c r="D976" s="1015"/>
      <c r="E976" s="1015"/>
      <c r="F976" s="1015"/>
      <c r="G976" s="1015"/>
      <c r="H976" s="32">
        <f>F937+F948+F965+F960</f>
        <v>37.500000000000007</v>
      </c>
    </row>
    <row r="977" spans="2:10" x14ac:dyDescent="0.3">
      <c r="B977" s="65"/>
      <c r="C977" s="33"/>
      <c r="D977" s="33"/>
      <c r="E977" s="33"/>
      <c r="F977" s="33"/>
      <c r="G977" s="33"/>
      <c r="H977" s="34"/>
      <c r="I977" s="65"/>
      <c r="J977" s="65"/>
    </row>
    <row r="978" spans="2:10" x14ac:dyDescent="0.3">
      <c r="C978" s="1049" t="s">
        <v>1178</v>
      </c>
      <c r="D978" s="1049"/>
      <c r="E978" s="1049"/>
      <c r="F978" s="1049"/>
      <c r="G978" s="1049"/>
      <c r="H978" s="49">
        <f>ROUND(H976*0.2,2)</f>
        <v>7.5</v>
      </c>
    </row>
    <row r="979" spans="2:10" x14ac:dyDescent="0.3">
      <c r="C979" s="1015" t="s">
        <v>1179</v>
      </c>
      <c r="D979" s="1015"/>
      <c r="E979" s="1015"/>
      <c r="F979" s="1015"/>
      <c r="G979" s="1015"/>
      <c r="H979" s="32">
        <f>H976+H978</f>
        <v>45.000000000000007</v>
      </c>
    </row>
    <row r="980" spans="2:10" x14ac:dyDescent="0.3">
      <c r="C980" s="33"/>
      <c r="D980" s="33"/>
      <c r="E980" s="33"/>
      <c r="F980" s="33"/>
      <c r="G980" s="33"/>
      <c r="H980" s="34"/>
    </row>
    <row r="981" spans="2:10" x14ac:dyDescent="0.3">
      <c r="C981" s="33"/>
      <c r="D981" s="33"/>
      <c r="E981" s="33"/>
      <c r="F981" s="33"/>
      <c r="G981" s="33"/>
      <c r="H981" s="34"/>
    </row>
    <row r="982" spans="2:10" ht="18.600000000000001" x14ac:dyDescent="0.3">
      <c r="B982" s="1016" t="s">
        <v>958</v>
      </c>
      <c r="C982" s="1016"/>
      <c r="D982" s="1016"/>
      <c r="E982" s="1016"/>
      <c r="F982" s="1016"/>
      <c r="G982" s="1016"/>
      <c r="H982" s="1016"/>
      <c r="I982" s="1016"/>
    </row>
    <row r="984" spans="2:10" x14ac:dyDescent="0.3">
      <c r="B984" s="25" t="s">
        <v>829</v>
      </c>
      <c r="C984" s="1050" t="s">
        <v>830</v>
      </c>
      <c r="D984" s="1050"/>
      <c r="E984" s="1050"/>
      <c r="F984" s="26">
        <f>H1028</f>
        <v>45.000000000000007</v>
      </c>
      <c r="G984" s="26" t="s">
        <v>971</v>
      </c>
    </row>
    <row r="986" spans="2:10" x14ac:dyDescent="0.3">
      <c r="C986" s="1018" t="s">
        <v>932</v>
      </c>
      <c r="D986" s="1018"/>
      <c r="E986" s="10"/>
      <c r="F986" s="11">
        <f>F992+F995</f>
        <v>18.060000000000002</v>
      </c>
      <c r="G986" s="12" t="s">
        <v>971</v>
      </c>
    </row>
    <row r="988" spans="2:10" ht="27.6" x14ac:dyDescent="0.3">
      <c r="C988" s="13" t="s">
        <v>929</v>
      </c>
      <c r="D988" s="14" t="s">
        <v>928</v>
      </c>
      <c r="E988" s="14" t="s">
        <v>514</v>
      </c>
      <c r="F988" s="14" t="s">
        <v>515</v>
      </c>
      <c r="G988" s="14" t="s">
        <v>962</v>
      </c>
      <c r="H988" s="14" t="s">
        <v>926</v>
      </c>
      <c r="I988" s="14" t="s">
        <v>516</v>
      </c>
      <c r="J988" s="14" t="s">
        <v>927</v>
      </c>
    </row>
    <row r="989" spans="2:10" x14ac:dyDescent="0.3">
      <c r="C989" s="17" t="s">
        <v>963</v>
      </c>
      <c r="D989" s="16">
        <f>D940</f>
        <v>6506.55</v>
      </c>
      <c r="E989" s="16">
        <f>D989*12</f>
        <v>78078.600000000006</v>
      </c>
      <c r="F989" s="16">
        <f>F940</f>
        <v>5005</v>
      </c>
      <c r="G989" s="16">
        <f>G940</f>
        <v>2502.5</v>
      </c>
      <c r="H989" s="16">
        <f>E989+F989+G989</f>
        <v>85586.1</v>
      </c>
      <c r="I989" s="17">
        <v>1932.7</v>
      </c>
      <c r="J989" s="16">
        <f>ROUND((H989/I989)/60,2)</f>
        <v>0.74</v>
      </c>
    </row>
    <row r="991" spans="2:10" ht="27.6" x14ac:dyDescent="0.3">
      <c r="C991" s="13" t="s">
        <v>929</v>
      </c>
      <c r="D991" s="14" t="s">
        <v>961</v>
      </c>
      <c r="E991" s="14" t="s">
        <v>930</v>
      </c>
      <c r="F991" s="14" t="s">
        <v>931</v>
      </c>
    </row>
    <row r="992" spans="2:10" x14ac:dyDescent="0.3">
      <c r="C992" s="17" t="str">
        <f>C989</f>
        <v>Сестра медична з масажу</v>
      </c>
      <c r="D992" s="16">
        <f>J989</f>
        <v>0.74</v>
      </c>
      <c r="E992" s="17">
        <v>20</v>
      </c>
      <c r="F992" s="18">
        <f>ROUND(D992*E992,2)</f>
        <v>14.8</v>
      </c>
    </row>
    <row r="994" spans="3:7" x14ac:dyDescent="0.3">
      <c r="D994" s="19"/>
    </row>
    <row r="995" spans="3:7" x14ac:dyDescent="0.3">
      <c r="C995" s="17" t="s">
        <v>933</v>
      </c>
      <c r="D995" s="16">
        <f>F992</f>
        <v>14.8</v>
      </c>
      <c r="E995" s="20">
        <v>0.22</v>
      </c>
      <c r="F995" s="21">
        <f>ROUND(D995*E995,2)</f>
        <v>3.26</v>
      </c>
    </row>
    <row r="997" spans="3:7" x14ac:dyDescent="0.3">
      <c r="C997" s="12" t="s">
        <v>946</v>
      </c>
      <c r="D997" s="12"/>
      <c r="E997" s="12"/>
      <c r="F997" s="12">
        <f>G1007</f>
        <v>16.84</v>
      </c>
      <c r="G997" s="12" t="s">
        <v>971</v>
      </c>
    </row>
    <row r="998" spans="3:7" x14ac:dyDescent="0.3">
      <c r="C998" s="17" t="str">
        <f t="shared" ref="C998:G1006" si="20">C949</f>
        <v>Антисептик для обробки рук</v>
      </c>
      <c r="D998" s="73" t="str">
        <f t="shared" si="20"/>
        <v>мл</v>
      </c>
      <c r="E998" s="73">
        <f t="shared" si="20"/>
        <v>1</v>
      </c>
      <c r="F998" s="73">
        <f t="shared" si="20"/>
        <v>0.375</v>
      </c>
      <c r="G998" s="73">
        <f t="shared" si="20"/>
        <v>0.38</v>
      </c>
    </row>
    <row r="999" spans="3:7" x14ac:dyDescent="0.3">
      <c r="C999" s="17" t="str">
        <f t="shared" si="20"/>
        <v>Антисептик швидкої дії</v>
      </c>
      <c r="D999" s="73" t="str">
        <f t="shared" si="20"/>
        <v>мл</v>
      </c>
      <c r="E999" s="73">
        <f t="shared" si="20"/>
        <v>1</v>
      </c>
      <c r="F999" s="73">
        <f t="shared" si="20"/>
        <v>0.28799999999999998</v>
      </c>
      <c r="G999" s="73">
        <f t="shared" si="20"/>
        <v>0.28999999999999998</v>
      </c>
    </row>
    <row r="1000" spans="3:7" x14ac:dyDescent="0.3">
      <c r="C1000" s="17" t="str">
        <f t="shared" si="20"/>
        <v>Деззасоби</v>
      </c>
      <c r="D1000" s="73" t="str">
        <f t="shared" si="20"/>
        <v>г</v>
      </c>
      <c r="E1000" s="73">
        <f t="shared" si="20"/>
        <v>0.5</v>
      </c>
      <c r="F1000" s="73">
        <f t="shared" si="20"/>
        <v>0.5</v>
      </c>
      <c r="G1000" s="73">
        <f t="shared" si="20"/>
        <v>0.25</v>
      </c>
    </row>
    <row r="1001" spans="3:7" x14ac:dyDescent="0.3">
      <c r="C1001" s="17" t="str">
        <f t="shared" si="20"/>
        <v>Маска одноразова тришарова на резинці</v>
      </c>
      <c r="D1001" s="73" t="str">
        <f t="shared" si="20"/>
        <v>шт</v>
      </c>
      <c r="E1001" s="73">
        <f t="shared" si="20"/>
        <v>1</v>
      </c>
      <c r="F1001" s="73">
        <f t="shared" si="20"/>
        <v>2</v>
      </c>
      <c r="G1001" s="73">
        <f t="shared" si="20"/>
        <v>2</v>
      </c>
    </row>
    <row r="1002" spans="3:7" x14ac:dyDescent="0.3">
      <c r="C1002" s="17" t="str">
        <f t="shared" si="20"/>
        <v>Мило рідке</v>
      </c>
      <c r="D1002" s="73" t="str">
        <f t="shared" si="20"/>
        <v>мл</v>
      </c>
      <c r="E1002" s="73">
        <f t="shared" si="20"/>
        <v>1</v>
      </c>
      <c r="F1002" s="73">
        <f t="shared" si="20"/>
        <v>0.19600000000000001</v>
      </c>
      <c r="G1002" s="73">
        <f t="shared" si="20"/>
        <v>0.2</v>
      </c>
    </row>
    <row r="1003" spans="3:7" x14ac:dyDescent="0.3">
      <c r="C1003" s="17" t="str">
        <f t="shared" si="20"/>
        <v>Олія для масажу 100 мл</v>
      </c>
      <c r="D1003" s="73" t="str">
        <f t="shared" si="20"/>
        <v>мл</v>
      </c>
      <c r="E1003" s="73">
        <f t="shared" si="20"/>
        <v>10.6</v>
      </c>
      <c r="F1003" s="73">
        <f t="shared" si="20"/>
        <v>0.2</v>
      </c>
      <c r="G1003" s="73">
        <f t="shared" si="20"/>
        <v>2.12</v>
      </c>
    </row>
    <row r="1004" spans="3:7" x14ac:dyDescent="0.3">
      <c r="C1004" s="17" t="str">
        <f t="shared" si="20"/>
        <v>Пелюшка поглинаюча 60/60</v>
      </c>
      <c r="D1004" s="73" t="str">
        <f t="shared" si="20"/>
        <v>шт</v>
      </c>
      <c r="E1004" s="73">
        <f t="shared" si="20"/>
        <v>1</v>
      </c>
      <c r="F1004" s="73">
        <f t="shared" si="20"/>
        <v>6</v>
      </c>
      <c r="G1004" s="73">
        <f t="shared" si="20"/>
        <v>6</v>
      </c>
    </row>
    <row r="1005" spans="3:7" x14ac:dyDescent="0.3">
      <c r="C1005" s="17" t="str">
        <f t="shared" si="20"/>
        <v>Простирадло одноразове 100 м</v>
      </c>
      <c r="D1005" s="73" t="str">
        <f t="shared" si="20"/>
        <v>м</v>
      </c>
      <c r="E1005" s="73">
        <f t="shared" si="20"/>
        <v>2</v>
      </c>
      <c r="F1005" s="73">
        <f t="shared" si="20"/>
        <v>2.36</v>
      </c>
      <c r="G1005" s="73">
        <f t="shared" si="20"/>
        <v>4.72</v>
      </c>
    </row>
    <row r="1006" spans="3:7" x14ac:dyDescent="0.3">
      <c r="C1006" s="17" t="str">
        <f t="shared" si="20"/>
        <v>Рушник паперовий</v>
      </c>
      <c r="D1006" s="73" t="str">
        <f t="shared" si="20"/>
        <v>шт</v>
      </c>
      <c r="E1006" s="73">
        <f t="shared" si="20"/>
        <v>0.05</v>
      </c>
      <c r="F1006" s="73">
        <f t="shared" si="20"/>
        <v>17.5</v>
      </c>
      <c r="G1006" s="73">
        <f t="shared" si="20"/>
        <v>0.88</v>
      </c>
    </row>
    <row r="1007" spans="3:7" x14ac:dyDescent="0.3">
      <c r="C1007" s="1019" t="s">
        <v>945</v>
      </c>
      <c r="D1007" s="1019"/>
      <c r="E1007" s="1019"/>
      <c r="F1007" s="1019"/>
      <c r="G1007" s="572">
        <f>SUM(G998:G1006)</f>
        <v>16.84</v>
      </c>
    </row>
    <row r="1009" spans="3:8" x14ac:dyDescent="0.3">
      <c r="C1009" s="12" t="s">
        <v>968</v>
      </c>
      <c r="D1009" s="12"/>
      <c r="E1009" s="12"/>
      <c r="F1009" s="11">
        <f>H1012</f>
        <v>0.2</v>
      </c>
      <c r="G1009" s="12" t="s">
        <v>971</v>
      </c>
    </row>
    <row r="1010" spans="3:8" x14ac:dyDescent="0.3">
      <c r="C1010" s="22"/>
      <c r="D1010" s="22"/>
      <c r="E1010" s="22"/>
      <c r="F1010" s="23"/>
      <c r="G1010" s="22"/>
    </row>
    <row r="1011" spans="3:8" ht="27.6" x14ac:dyDescent="0.3">
      <c r="C1011" s="14" t="s">
        <v>513</v>
      </c>
      <c r="D1011" s="14" t="s">
        <v>1180</v>
      </c>
      <c r="E1011" s="14" t="s">
        <v>516</v>
      </c>
      <c r="F1011" s="14" t="s">
        <v>970</v>
      </c>
      <c r="G1011" s="14" t="s">
        <v>930</v>
      </c>
      <c r="H1011" s="14" t="s">
        <v>961</v>
      </c>
    </row>
    <row r="1012" spans="3:8" x14ac:dyDescent="0.3">
      <c r="C1012" s="27" t="s">
        <v>1204</v>
      </c>
      <c r="D1012" s="16">
        <f>АМОРТИЗАЦІЯ!C14</f>
        <v>193</v>
      </c>
      <c r="E1012" s="17">
        <v>4831.75</v>
      </c>
      <c r="F1012" s="17">
        <v>0.01</v>
      </c>
      <c r="G1012" s="17">
        <f>E992</f>
        <v>20</v>
      </c>
      <c r="H1012" s="16">
        <f>ROUND(F1012*G1012,2)</f>
        <v>0.2</v>
      </c>
    </row>
    <row r="1013" spans="3:8" ht="6.75" customHeight="1" x14ac:dyDescent="0.3"/>
    <row r="1014" spans="3:8" x14ac:dyDescent="0.3">
      <c r="C1014" s="12" t="s">
        <v>948</v>
      </c>
      <c r="D1014" s="12"/>
      <c r="E1014" s="12"/>
      <c r="F1014" s="11">
        <f>H1022</f>
        <v>2.4000000000000004</v>
      </c>
      <c r="G1014" s="12" t="s">
        <v>971</v>
      </c>
    </row>
    <row r="1015" spans="3:8" ht="9" customHeight="1" x14ac:dyDescent="0.3">
      <c r="C1015" s="22"/>
      <c r="D1015" s="22"/>
      <c r="E1015" s="22"/>
      <c r="F1015" s="23"/>
    </row>
    <row r="1016" spans="3:8" ht="41.4" x14ac:dyDescent="0.3">
      <c r="C1016" s="14" t="s">
        <v>948</v>
      </c>
      <c r="D1016" s="14" t="s">
        <v>955</v>
      </c>
      <c r="E1016" s="14" t="s">
        <v>516</v>
      </c>
      <c r="F1016" s="14" t="s">
        <v>954</v>
      </c>
      <c r="G1016" s="14" t="s">
        <v>930</v>
      </c>
      <c r="H1016" s="14" t="s">
        <v>956</v>
      </c>
    </row>
    <row r="1017" spans="3:8" x14ac:dyDescent="0.3">
      <c r="C1017" s="1009" t="str">
        <f>C992</f>
        <v>Сестра медична з масажу</v>
      </c>
      <c r="D1017" s="1010"/>
      <c r="E1017" s="1010"/>
      <c r="F1017" s="1010"/>
      <c r="G1017" s="1010"/>
      <c r="H1017" s="1011"/>
    </row>
    <row r="1018" spans="3:8" x14ac:dyDescent="0.3">
      <c r="C1018" s="17" t="s">
        <v>951</v>
      </c>
      <c r="D1018" s="112">
        <f>D969</f>
        <v>12188.608008565312</v>
      </c>
      <c r="E1018" s="17">
        <f>I989</f>
        <v>1932.7</v>
      </c>
      <c r="F1018" s="17">
        <f>ROUND((D1018/E1018)/60,2)</f>
        <v>0.11</v>
      </c>
      <c r="G1018" s="17">
        <f>E992</f>
        <v>20</v>
      </c>
      <c r="H1018" s="16">
        <f>ROUND(F1018*G1018,2)</f>
        <v>2.2000000000000002</v>
      </c>
    </row>
    <row r="1019" spans="3:8" x14ac:dyDescent="0.3">
      <c r="C1019" s="17" t="s">
        <v>952</v>
      </c>
      <c r="D1019" s="112">
        <f>D970</f>
        <v>53.149721627408987</v>
      </c>
      <c r="E1019" s="17">
        <f>I989</f>
        <v>1932.7</v>
      </c>
      <c r="F1019" s="17">
        <f>ROUND((D1019/E1019)/60,2)</f>
        <v>0</v>
      </c>
      <c r="G1019" s="17">
        <f>E992</f>
        <v>20</v>
      </c>
      <c r="H1019" s="16">
        <f>ROUND(F1019*G1019,2)</f>
        <v>0</v>
      </c>
    </row>
    <row r="1020" spans="3:8" ht="14.25" customHeight="1" x14ac:dyDescent="0.3">
      <c r="C1020" s="17" t="s">
        <v>953</v>
      </c>
      <c r="D1020" s="112">
        <f>D971</f>
        <v>374.98368308351178</v>
      </c>
      <c r="E1020" s="17">
        <f>I989</f>
        <v>1932.7</v>
      </c>
      <c r="F1020" s="17">
        <f>ROUND((D1020/E1020)/60,2)</f>
        <v>0</v>
      </c>
      <c r="G1020" s="17">
        <f>E992</f>
        <v>20</v>
      </c>
      <c r="H1020" s="16">
        <f>ROUND(F1020*G1020,2)</f>
        <v>0</v>
      </c>
    </row>
    <row r="1021" spans="3:8" ht="14.25" customHeight="1" x14ac:dyDescent="0.3">
      <c r="C1021" s="17" t="s">
        <v>1109</v>
      </c>
      <c r="D1021" s="112">
        <f>D972</f>
        <v>1686.0389293361886</v>
      </c>
      <c r="E1021" s="17">
        <f>I989</f>
        <v>1932.7</v>
      </c>
      <c r="F1021" s="17">
        <f>ROUND((D1021/E1021)/60,2)</f>
        <v>0.01</v>
      </c>
      <c r="G1021" s="17">
        <f>E992</f>
        <v>20</v>
      </c>
      <c r="H1021" s="16">
        <f>ROUND(F1021*G1021,2)</f>
        <v>0.2</v>
      </c>
    </row>
    <row r="1022" spans="3:8" x14ac:dyDescent="0.3">
      <c r="C1022" s="1019" t="s">
        <v>957</v>
      </c>
      <c r="D1022" s="1019"/>
      <c r="E1022" s="1019"/>
      <c r="F1022" s="1019"/>
      <c r="G1022" s="1019"/>
      <c r="H1022" s="18">
        <f>SUM(H1018:H1021)</f>
        <v>2.4000000000000004</v>
      </c>
    </row>
    <row r="1025" spans="2:10" x14ac:dyDescent="0.3">
      <c r="C1025" s="1015" t="s">
        <v>959</v>
      </c>
      <c r="D1025" s="1015"/>
      <c r="E1025" s="1015"/>
      <c r="F1025" s="1015"/>
      <c r="G1025" s="1015"/>
      <c r="H1025" s="32">
        <f>F986+F997+F1014+F1009</f>
        <v>37.500000000000007</v>
      </c>
    </row>
    <row r="1026" spans="2:10" x14ac:dyDescent="0.3">
      <c r="B1026" s="65"/>
      <c r="C1026" s="33"/>
      <c r="D1026" s="33"/>
      <c r="E1026" s="33"/>
      <c r="F1026" s="33"/>
      <c r="G1026" s="33"/>
      <c r="H1026" s="34"/>
      <c r="I1026" s="65"/>
      <c r="J1026" s="65"/>
    </row>
    <row r="1027" spans="2:10" x14ac:dyDescent="0.3">
      <c r="C1027" s="1049" t="s">
        <v>1178</v>
      </c>
      <c r="D1027" s="1049"/>
      <c r="E1027" s="1049"/>
      <c r="F1027" s="1049"/>
      <c r="G1027" s="1049"/>
      <c r="H1027" s="49">
        <f>ROUND(H1025*0.2,2)</f>
        <v>7.5</v>
      </c>
    </row>
    <row r="1028" spans="2:10" x14ac:dyDescent="0.3">
      <c r="C1028" s="1015" t="s">
        <v>1179</v>
      </c>
      <c r="D1028" s="1015"/>
      <c r="E1028" s="1015"/>
      <c r="F1028" s="1015"/>
      <c r="G1028" s="1015"/>
      <c r="H1028" s="32">
        <f>H1025+H1027</f>
        <v>45.000000000000007</v>
      </c>
    </row>
    <row r="1031" spans="2:10" ht="18.600000000000001" x14ac:dyDescent="0.3">
      <c r="B1031" s="1016" t="s">
        <v>958</v>
      </c>
      <c r="C1031" s="1016"/>
      <c r="D1031" s="1016"/>
      <c r="E1031" s="1016"/>
      <c r="F1031" s="1016"/>
      <c r="G1031" s="1016"/>
      <c r="H1031" s="1016"/>
      <c r="I1031" s="1016"/>
    </row>
    <row r="1033" spans="2:10" x14ac:dyDescent="0.3">
      <c r="B1033" s="25" t="s">
        <v>831</v>
      </c>
      <c r="C1033" s="1050" t="s">
        <v>832</v>
      </c>
      <c r="D1033" s="1050"/>
      <c r="E1033" s="1050"/>
      <c r="F1033" s="26">
        <f>H1077</f>
        <v>45.000000000000007</v>
      </c>
      <c r="G1033" s="26" t="s">
        <v>971</v>
      </c>
    </row>
    <row r="1035" spans="2:10" x14ac:dyDescent="0.3">
      <c r="C1035" s="1018" t="s">
        <v>932</v>
      </c>
      <c r="D1035" s="1018"/>
      <c r="E1035" s="10"/>
      <c r="F1035" s="11">
        <f>F1041+F1044</f>
        <v>18.060000000000002</v>
      </c>
      <c r="G1035" s="12" t="s">
        <v>971</v>
      </c>
    </row>
    <row r="1037" spans="2:10" ht="27.6" x14ac:dyDescent="0.3">
      <c r="C1037" s="13" t="s">
        <v>929</v>
      </c>
      <c r="D1037" s="14" t="s">
        <v>928</v>
      </c>
      <c r="E1037" s="14" t="s">
        <v>514</v>
      </c>
      <c r="F1037" s="14" t="s">
        <v>515</v>
      </c>
      <c r="G1037" s="14" t="s">
        <v>962</v>
      </c>
      <c r="H1037" s="14" t="s">
        <v>926</v>
      </c>
      <c r="I1037" s="14" t="s">
        <v>516</v>
      </c>
      <c r="J1037" s="14" t="s">
        <v>927</v>
      </c>
    </row>
    <row r="1038" spans="2:10" x14ac:dyDescent="0.3">
      <c r="C1038" s="17" t="s">
        <v>963</v>
      </c>
      <c r="D1038" s="16">
        <f>D989</f>
        <v>6506.55</v>
      </c>
      <c r="E1038" s="16">
        <f>D1038*12</f>
        <v>78078.600000000006</v>
      </c>
      <c r="F1038" s="16">
        <f>F989</f>
        <v>5005</v>
      </c>
      <c r="G1038" s="16">
        <f>G989</f>
        <v>2502.5</v>
      </c>
      <c r="H1038" s="16">
        <f>E1038+F1038+G1038</f>
        <v>85586.1</v>
      </c>
      <c r="I1038" s="17">
        <v>1932.7</v>
      </c>
      <c r="J1038" s="16">
        <f>ROUND((H1038/I1038)/60,2)</f>
        <v>0.74</v>
      </c>
    </row>
    <row r="1040" spans="2:10" ht="27.6" x14ac:dyDescent="0.3">
      <c r="C1040" s="13" t="s">
        <v>929</v>
      </c>
      <c r="D1040" s="14" t="s">
        <v>961</v>
      </c>
      <c r="E1040" s="14" t="s">
        <v>930</v>
      </c>
      <c r="F1040" s="14" t="s">
        <v>931</v>
      </c>
    </row>
    <row r="1041" spans="3:7" x14ac:dyDescent="0.3">
      <c r="C1041" s="17" t="str">
        <f>C1038</f>
        <v>Сестра медична з масажу</v>
      </c>
      <c r="D1041" s="16">
        <f>J1038</f>
        <v>0.74</v>
      </c>
      <c r="E1041" s="17">
        <v>20</v>
      </c>
      <c r="F1041" s="18">
        <f>ROUND(D1041*E1041,2)</f>
        <v>14.8</v>
      </c>
    </row>
    <row r="1043" spans="3:7" x14ac:dyDescent="0.3">
      <c r="D1043" s="19"/>
    </row>
    <row r="1044" spans="3:7" x14ac:dyDescent="0.3">
      <c r="C1044" s="17" t="s">
        <v>933</v>
      </c>
      <c r="D1044" s="16">
        <f>F1041</f>
        <v>14.8</v>
      </c>
      <c r="E1044" s="20">
        <v>0.22</v>
      </c>
      <c r="F1044" s="21">
        <f>ROUND(D1044*E1044,2)</f>
        <v>3.26</v>
      </c>
    </row>
    <row r="1046" spans="3:7" x14ac:dyDescent="0.3">
      <c r="C1046" s="12" t="s">
        <v>946</v>
      </c>
      <c r="D1046" s="12"/>
      <c r="E1046" s="12"/>
      <c r="F1046" s="12">
        <f>G1056</f>
        <v>16.84</v>
      </c>
      <c r="G1046" s="12" t="s">
        <v>971</v>
      </c>
    </row>
    <row r="1047" spans="3:7" x14ac:dyDescent="0.3">
      <c r="C1047" s="17" t="str">
        <f t="shared" ref="C1047:G1055" si="21">C998</f>
        <v>Антисептик для обробки рук</v>
      </c>
      <c r="D1047" s="73" t="str">
        <f t="shared" si="21"/>
        <v>мл</v>
      </c>
      <c r="E1047" s="73">
        <f t="shared" si="21"/>
        <v>1</v>
      </c>
      <c r="F1047" s="73">
        <f t="shared" si="21"/>
        <v>0.375</v>
      </c>
      <c r="G1047" s="73">
        <f t="shared" si="21"/>
        <v>0.38</v>
      </c>
    </row>
    <row r="1048" spans="3:7" x14ac:dyDescent="0.3">
      <c r="C1048" s="17" t="str">
        <f t="shared" si="21"/>
        <v>Антисептик швидкої дії</v>
      </c>
      <c r="D1048" s="73" t="str">
        <f t="shared" si="21"/>
        <v>мл</v>
      </c>
      <c r="E1048" s="73">
        <f t="shared" si="21"/>
        <v>1</v>
      </c>
      <c r="F1048" s="73">
        <f t="shared" si="21"/>
        <v>0.28799999999999998</v>
      </c>
      <c r="G1048" s="73">
        <f t="shared" si="21"/>
        <v>0.28999999999999998</v>
      </c>
    </row>
    <row r="1049" spans="3:7" x14ac:dyDescent="0.3">
      <c r="C1049" s="17" t="str">
        <f t="shared" si="21"/>
        <v>Деззасоби</v>
      </c>
      <c r="D1049" s="73" t="str">
        <f t="shared" si="21"/>
        <v>г</v>
      </c>
      <c r="E1049" s="73">
        <f t="shared" si="21"/>
        <v>0.5</v>
      </c>
      <c r="F1049" s="73">
        <f t="shared" si="21"/>
        <v>0.5</v>
      </c>
      <c r="G1049" s="73">
        <f t="shared" si="21"/>
        <v>0.25</v>
      </c>
    </row>
    <row r="1050" spans="3:7" x14ac:dyDescent="0.3">
      <c r="C1050" s="17" t="str">
        <f t="shared" si="21"/>
        <v>Маска одноразова тришарова на резинці</v>
      </c>
      <c r="D1050" s="73" t="str">
        <f t="shared" si="21"/>
        <v>шт</v>
      </c>
      <c r="E1050" s="73">
        <f t="shared" si="21"/>
        <v>1</v>
      </c>
      <c r="F1050" s="73">
        <f t="shared" si="21"/>
        <v>2</v>
      </c>
      <c r="G1050" s="73">
        <f t="shared" si="21"/>
        <v>2</v>
      </c>
    </row>
    <row r="1051" spans="3:7" x14ac:dyDescent="0.3">
      <c r="C1051" s="17" t="str">
        <f t="shared" si="21"/>
        <v>Мило рідке</v>
      </c>
      <c r="D1051" s="73" t="str">
        <f t="shared" si="21"/>
        <v>мл</v>
      </c>
      <c r="E1051" s="73">
        <f t="shared" si="21"/>
        <v>1</v>
      </c>
      <c r="F1051" s="73">
        <f t="shared" si="21"/>
        <v>0.19600000000000001</v>
      </c>
      <c r="G1051" s="73">
        <f t="shared" si="21"/>
        <v>0.2</v>
      </c>
    </row>
    <row r="1052" spans="3:7" x14ac:dyDescent="0.3">
      <c r="C1052" s="17" t="str">
        <f t="shared" si="21"/>
        <v>Олія для масажу 100 мл</v>
      </c>
      <c r="D1052" s="73" t="str">
        <f t="shared" si="21"/>
        <v>мл</v>
      </c>
      <c r="E1052" s="73">
        <f t="shared" si="21"/>
        <v>10.6</v>
      </c>
      <c r="F1052" s="73">
        <f t="shared" si="21"/>
        <v>0.2</v>
      </c>
      <c r="G1052" s="73">
        <f t="shared" si="21"/>
        <v>2.12</v>
      </c>
    </row>
    <row r="1053" spans="3:7" x14ac:dyDescent="0.3">
      <c r="C1053" s="17" t="str">
        <f t="shared" si="21"/>
        <v>Пелюшка поглинаюча 60/60</v>
      </c>
      <c r="D1053" s="73" t="str">
        <f t="shared" si="21"/>
        <v>шт</v>
      </c>
      <c r="E1053" s="73">
        <f t="shared" si="21"/>
        <v>1</v>
      </c>
      <c r="F1053" s="73">
        <f t="shared" si="21"/>
        <v>6</v>
      </c>
      <c r="G1053" s="73">
        <f t="shared" si="21"/>
        <v>6</v>
      </c>
    </row>
    <row r="1054" spans="3:7" x14ac:dyDescent="0.3">
      <c r="C1054" s="17" t="str">
        <f t="shared" si="21"/>
        <v>Простирадло одноразове 100 м</v>
      </c>
      <c r="D1054" s="73" t="str">
        <f t="shared" si="21"/>
        <v>м</v>
      </c>
      <c r="E1054" s="73">
        <f t="shared" si="21"/>
        <v>2</v>
      </c>
      <c r="F1054" s="73">
        <f t="shared" si="21"/>
        <v>2.36</v>
      </c>
      <c r="G1054" s="73">
        <f t="shared" si="21"/>
        <v>4.72</v>
      </c>
    </row>
    <row r="1055" spans="3:7" x14ac:dyDescent="0.3">
      <c r="C1055" s="17" t="str">
        <f t="shared" si="21"/>
        <v>Рушник паперовий</v>
      </c>
      <c r="D1055" s="73" t="str">
        <f t="shared" si="21"/>
        <v>шт</v>
      </c>
      <c r="E1055" s="73">
        <f t="shared" si="21"/>
        <v>0.05</v>
      </c>
      <c r="F1055" s="73">
        <f t="shared" si="21"/>
        <v>17.5</v>
      </c>
      <c r="G1055" s="73">
        <f t="shared" si="21"/>
        <v>0.88</v>
      </c>
    </row>
    <row r="1056" spans="3:7" x14ac:dyDescent="0.3">
      <c r="C1056" s="1019" t="s">
        <v>945</v>
      </c>
      <c r="D1056" s="1019"/>
      <c r="E1056" s="1019"/>
      <c r="F1056" s="1019"/>
      <c r="G1056" s="572">
        <f>SUM(G1047:G1055)</f>
        <v>16.84</v>
      </c>
    </row>
    <row r="1058" spans="3:8" x14ac:dyDescent="0.3">
      <c r="C1058" s="12" t="s">
        <v>968</v>
      </c>
      <c r="D1058" s="12"/>
      <c r="E1058" s="12"/>
      <c r="F1058" s="11">
        <f>H1061</f>
        <v>0.2</v>
      </c>
      <c r="G1058" s="12" t="s">
        <v>971</v>
      </c>
    </row>
    <row r="1059" spans="3:8" x14ac:dyDescent="0.3">
      <c r="C1059" s="22"/>
      <c r="D1059" s="22"/>
      <c r="E1059" s="22"/>
      <c r="F1059" s="23"/>
      <c r="G1059" s="22"/>
    </row>
    <row r="1060" spans="3:8" ht="27.6" x14ac:dyDescent="0.3">
      <c r="C1060" s="14" t="s">
        <v>513</v>
      </c>
      <c r="D1060" s="14" t="s">
        <v>1180</v>
      </c>
      <c r="E1060" s="14" t="s">
        <v>516</v>
      </c>
      <c r="F1060" s="14" t="s">
        <v>970</v>
      </c>
      <c r="G1060" s="14" t="s">
        <v>930</v>
      </c>
      <c r="H1060" s="14" t="s">
        <v>961</v>
      </c>
    </row>
    <row r="1061" spans="3:8" x14ac:dyDescent="0.3">
      <c r="C1061" s="27" t="s">
        <v>1204</v>
      </c>
      <c r="D1061" s="16">
        <f>АМОРТИЗАЦІЯ!C14</f>
        <v>193</v>
      </c>
      <c r="E1061" s="17">
        <v>4831.75</v>
      </c>
      <c r="F1061" s="17">
        <v>0.01</v>
      </c>
      <c r="G1061" s="17">
        <f>E1041</f>
        <v>20</v>
      </c>
      <c r="H1061" s="16">
        <f>ROUND(F1061*G1061,2)</f>
        <v>0.2</v>
      </c>
    </row>
    <row r="1063" spans="3:8" x14ac:dyDescent="0.3">
      <c r="C1063" s="12" t="s">
        <v>948</v>
      </c>
      <c r="D1063" s="12"/>
      <c r="E1063" s="12"/>
      <c r="F1063" s="11">
        <f>H1071</f>
        <v>2.4000000000000004</v>
      </c>
      <c r="G1063" s="12" t="s">
        <v>971</v>
      </c>
    </row>
    <row r="1064" spans="3:8" x14ac:dyDescent="0.3">
      <c r="C1064" s="22"/>
      <c r="D1064" s="22"/>
      <c r="E1064" s="22"/>
      <c r="F1064" s="23"/>
    </row>
    <row r="1065" spans="3:8" ht="41.4" x14ac:dyDescent="0.3">
      <c r="C1065" s="14" t="s">
        <v>948</v>
      </c>
      <c r="D1065" s="14" t="s">
        <v>955</v>
      </c>
      <c r="E1065" s="14" t="s">
        <v>516</v>
      </c>
      <c r="F1065" s="14" t="s">
        <v>954</v>
      </c>
      <c r="G1065" s="14" t="s">
        <v>930</v>
      </c>
      <c r="H1065" s="14" t="s">
        <v>956</v>
      </c>
    </row>
    <row r="1066" spans="3:8" x14ac:dyDescent="0.3">
      <c r="C1066" s="1009" t="str">
        <f>C1041</f>
        <v>Сестра медична з масажу</v>
      </c>
      <c r="D1066" s="1010"/>
      <c r="E1066" s="1010"/>
      <c r="F1066" s="1010"/>
      <c r="G1066" s="1010"/>
      <c r="H1066" s="1011"/>
    </row>
    <row r="1067" spans="3:8" x14ac:dyDescent="0.3">
      <c r="C1067" s="17" t="s">
        <v>951</v>
      </c>
      <c r="D1067" s="112">
        <f>D1018</f>
        <v>12188.608008565312</v>
      </c>
      <c r="E1067" s="17">
        <f>I1038</f>
        <v>1932.7</v>
      </c>
      <c r="F1067" s="17">
        <f>ROUND((D1067/E1067)/60,2)</f>
        <v>0.11</v>
      </c>
      <c r="G1067" s="17">
        <f>E1041</f>
        <v>20</v>
      </c>
      <c r="H1067" s="16">
        <f>ROUND(F1067*G1067,2)</f>
        <v>2.2000000000000002</v>
      </c>
    </row>
    <row r="1068" spans="3:8" x14ac:dyDescent="0.3">
      <c r="C1068" s="17" t="s">
        <v>952</v>
      </c>
      <c r="D1068" s="112">
        <f>D1019</f>
        <v>53.149721627408987</v>
      </c>
      <c r="E1068" s="17">
        <f>I1038</f>
        <v>1932.7</v>
      </c>
      <c r="F1068" s="17">
        <f>ROUND((D1068/E1068)/60,2)</f>
        <v>0</v>
      </c>
      <c r="G1068" s="17">
        <f>E1041</f>
        <v>20</v>
      </c>
      <c r="H1068" s="16">
        <f>ROUND(F1068*G1068,2)</f>
        <v>0</v>
      </c>
    </row>
    <row r="1069" spans="3:8" x14ac:dyDescent="0.3">
      <c r="C1069" s="17" t="s">
        <v>953</v>
      </c>
      <c r="D1069" s="112">
        <f>D1020</f>
        <v>374.98368308351178</v>
      </c>
      <c r="E1069" s="17">
        <f>I1038</f>
        <v>1932.7</v>
      </c>
      <c r="F1069" s="17">
        <f>ROUND((D1069/E1069)/60,2)</f>
        <v>0</v>
      </c>
      <c r="G1069" s="17">
        <f>E1041</f>
        <v>20</v>
      </c>
      <c r="H1069" s="16">
        <f>ROUND(F1069*G1069,2)</f>
        <v>0</v>
      </c>
    </row>
    <row r="1070" spans="3:8" x14ac:dyDescent="0.3">
      <c r="C1070" s="17" t="s">
        <v>1109</v>
      </c>
      <c r="D1070" s="112">
        <f>D1021</f>
        <v>1686.0389293361886</v>
      </c>
      <c r="E1070" s="17">
        <f>I1038</f>
        <v>1932.7</v>
      </c>
      <c r="F1070" s="17">
        <f>ROUND((D1070/E1070)/60,2)</f>
        <v>0.01</v>
      </c>
      <c r="G1070" s="17">
        <f>E1041</f>
        <v>20</v>
      </c>
      <c r="H1070" s="16">
        <f>ROUND(F1070*G1070,2)</f>
        <v>0.2</v>
      </c>
    </row>
    <row r="1071" spans="3:8" x14ac:dyDescent="0.3">
      <c r="C1071" s="1019" t="s">
        <v>957</v>
      </c>
      <c r="D1071" s="1019"/>
      <c r="E1071" s="1019"/>
      <c r="F1071" s="1019"/>
      <c r="G1071" s="1019"/>
      <c r="H1071" s="18">
        <f>SUM(H1067:H1070)</f>
        <v>2.4000000000000004</v>
      </c>
    </row>
    <row r="1072" spans="3:8" ht="14.25" customHeight="1" x14ac:dyDescent="0.3"/>
    <row r="1074" spans="2:10" x14ac:dyDescent="0.3">
      <c r="C1074" s="1015" t="s">
        <v>959</v>
      </c>
      <c r="D1074" s="1015"/>
      <c r="E1074" s="1015"/>
      <c r="F1074" s="1015"/>
      <c r="G1074" s="1015"/>
      <c r="H1074" s="32">
        <f>F1035+F1046+F1063+F1058</f>
        <v>37.500000000000007</v>
      </c>
    </row>
    <row r="1075" spans="2:10" x14ac:dyDescent="0.3">
      <c r="B1075" s="65"/>
      <c r="C1075" s="33"/>
      <c r="D1075" s="33"/>
      <c r="E1075" s="33"/>
      <c r="F1075" s="33"/>
      <c r="G1075" s="33"/>
      <c r="H1075" s="34"/>
      <c r="I1075" s="65"/>
      <c r="J1075" s="65"/>
    </row>
    <row r="1076" spans="2:10" x14ac:dyDescent="0.3">
      <c r="C1076" s="1049" t="s">
        <v>1178</v>
      </c>
      <c r="D1076" s="1049"/>
      <c r="E1076" s="1049"/>
      <c r="F1076" s="1049"/>
      <c r="G1076" s="1049"/>
      <c r="H1076" s="49">
        <f>ROUND(H1074*0.2,2)</f>
        <v>7.5</v>
      </c>
    </row>
    <row r="1077" spans="2:10" x14ac:dyDescent="0.3">
      <c r="C1077" s="1015" t="s">
        <v>1179</v>
      </c>
      <c r="D1077" s="1015"/>
      <c r="E1077" s="1015"/>
      <c r="F1077" s="1015"/>
      <c r="G1077" s="1015"/>
      <c r="H1077" s="32">
        <f>H1074+H1076</f>
        <v>45.000000000000007</v>
      </c>
    </row>
    <row r="1080" spans="2:10" ht="18.600000000000001" x14ac:dyDescent="0.3">
      <c r="B1080" s="1016" t="s">
        <v>958</v>
      </c>
      <c r="C1080" s="1016"/>
      <c r="D1080" s="1016"/>
      <c r="E1080" s="1016"/>
      <c r="F1080" s="1016"/>
      <c r="G1080" s="1016"/>
      <c r="H1080" s="1016"/>
      <c r="I1080" s="1016"/>
    </row>
    <row r="1082" spans="2:10" x14ac:dyDescent="0.3">
      <c r="B1082" s="25" t="s">
        <v>833</v>
      </c>
      <c r="C1082" s="1050" t="s">
        <v>834</v>
      </c>
      <c r="D1082" s="1050"/>
      <c r="E1082" s="1050"/>
      <c r="F1082" s="26">
        <f>H1126</f>
        <v>45.000000000000007</v>
      </c>
      <c r="G1082" s="26" t="s">
        <v>971</v>
      </c>
    </row>
    <row r="1084" spans="2:10" x14ac:dyDescent="0.3">
      <c r="C1084" s="1018" t="s">
        <v>932</v>
      </c>
      <c r="D1084" s="1018"/>
      <c r="E1084" s="10"/>
      <c r="F1084" s="11">
        <f>F1090+F1093</f>
        <v>18.060000000000002</v>
      </c>
      <c r="G1084" s="12" t="s">
        <v>971</v>
      </c>
    </row>
    <row r="1086" spans="2:10" ht="27.6" x14ac:dyDescent="0.3">
      <c r="C1086" s="13" t="s">
        <v>929</v>
      </c>
      <c r="D1086" s="14" t="s">
        <v>928</v>
      </c>
      <c r="E1086" s="14" t="s">
        <v>514</v>
      </c>
      <c r="F1086" s="14" t="s">
        <v>515</v>
      </c>
      <c r="G1086" s="14" t="s">
        <v>962</v>
      </c>
      <c r="H1086" s="14" t="s">
        <v>926</v>
      </c>
      <c r="I1086" s="14" t="s">
        <v>516</v>
      </c>
      <c r="J1086" s="14" t="s">
        <v>927</v>
      </c>
    </row>
    <row r="1087" spans="2:10" x14ac:dyDescent="0.3">
      <c r="C1087" s="17" t="s">
        <v>963</v>
      </c>
      <c r="D1087" s="16">
        <f>D1038</f>
        <v>6506.55</v>
      </c>
      <c r="E1087" s="16">
        <f>D1087*12</f>
        <v>78078.600000000006</v>
      </c>
      <c r="F1087" s="16">
        <f>F1038</f>
        <v>5005</v>
      </c>
      <c r="G1087" s="16">
        <f>G1038</f>
        <v>2502.5</v>
      </c>
      <c r="H1087" s="16">
        <f>E1087+F1087+G1087</f>
        <v>85586.1</v>
      </c>
      <c r="I1087" s="17">
        <v>1932.7</v>
      </c>
      <c r="J1087" s="16">
        <f>ROUND((H1087/I1087)/60,2)</f>
        <v>0.74</v>
      </c>
    </row>
    <row r="1089" spans="3:7" ht="27.6" x14ac:dyDescent="0.3">
      <c r="C1089" s="13" t="s">
        <v>929</v>
      </c>
      <c r="D1089" s="14" t="s">
        <v>961</v>
      </c>
      <c r="E1089" s="14" t="s">
        <v>930</v>
      </c>
      <c r="F1089" s="14" t="s">
        <v>931</v>
      </c>
    </row>
    <row r="1090" spans="3:7" x14ac:dyDescent="0.3">
      <c r="C1090" s="17" t="str">
        <f>C1087</f>
        <v>Сестра медична з масажу</v>
      </c>
      <c r="D1090" s="16">
        <f>J1087</f>
        <v>0.74</v>
      </c>
      <c r="E1090" s="17">
        <v>20</v>
      </c>
      <c r="F1090" s="18">
        <f>ROUND(D1090*E1090,2)</f>
        <v>14.8</v>
      </c>
    </row>
    <row r="1092" spans="3:7" x14ac:dyDescent="0.3">
      <c r="D1092" s="19"/>
    </row>
    <row r="1093" spans="3:7" x14ac:dyDescent="0.3">
      <c r="C1093" s="17" t="s">
        <v>933</v>
      </c>
      <c r="D1093" s="16">
        <f>F1090</f>
        <v>14.8</v>
      </c>
      <c r="E1093" s="20">
        <v>0.22</v>
      </c>
      <c r="F1093" s="21">
        <f>ROUND(D1093*E1093,2)</f>
        <v>3.26</v>
      </c>
    </row>
    <row r="1095" spans="3:7" x14ac:dyDescent="0.3">
      <c r="C1095" s="12" t="s">
        <v>946</v>
      </c>
      <c r="D1095" s="12"/>
      <c r="E1095" s="12"/>
      <c r="F1095" s="12">
        <f>G1105</f>
        <v>16.84</v>
      </c>
      <c r="G1095" s="12" t="s">
        <v>971</v>
      </c>
    </row>
    <row r="1096" spans="3:7" x14ac:dyDescent="0.3">
      <c r="C1096" s="17" t="str">
        <f t="shared" ref="C1096:G1104" si="22">C1047</f>
        <v>Антисептик для обробки рук</v>
      </c>
      <c r="D1096" s="73" t="str">
        <f t="shared" si="22"/>
        <v>мл</v>
      </c>
      <c r="E1096" s="73">
        <f t="shared" si="22"/>
        <v>1</v>
      </c>
      <c r="F1096" s="73">
        <f t="shared" si="22"/>
        <v>0.375</v>
      </c>
      <c r="G1096" s="73">
        <f t="shared" si="22"/>
        <v>0.38</v>
      </c>
    </row>
    <row r="1097" spans="3:7" x14ac:dyDescent="0.3">
      <c r="C1097" s="17" t="str">
        <f t="shared" si="22"/>
        <v>Антисептик швидкої дії</v>
      </c>
      <c r="D1097" s="73" t="str">
        <f t="shared" si="22"/>
        <v>мл</v>
      </c>
      <c r="E1097" s="73">
        <f t="shared" si="22"/>
        <v>1</v>
      </c>
      <c r="F1097" s="73">
        <f t="shared" si="22"/>
        <v>0.28799999999999998</v>
      </c>
      <c r="G1097" s="73">
        <f t="shared" si="22"/>
        <v>0.28999999999999998</v>
      </c>
    </row>
    <row r="1098" spans="3:7" x14ac:dyDescent="0.3">
      <c r="C1098" s="17" t="str">
        <f t="shared" si="22"/>
        <v>Деззасоби</v>
      </c>
      <c r="D1098" s="73" t="str">
        <f t="shared" si="22"/>
        <v>г</v>
      </c>
      <c r="E1098" s="73">
        <f t="shared" si="22"/>
        <v>0.5</v>
      </c>
      <c r="F1098" s="73">
        <f t="shared" si="22"/>
        <v>0.5</v>
      </c>
      <c r="G1098" s="73">
        <f t="shared" si="22"/>
        <v>0.25</v>
      </c>
    </row>
    <row r="1099" spans="3:7" x14ac:dyDescent="0.3">
      <c r="C1099" s="17" t="str">
        <f t="shared" si="22"/>
        <v>Маска одноразова тришарова на резинці</v>
      </c>
      <c r="D1099" s="73" t="str">
        <f t="shared" si="22"/>
        <v>шт</v>
      </c>
      <c r="E1099" s="73">
        <f t="shared" si="22"/>
        <v>1</v>
      </c>
      <c r="F1099" s="73">
        <f t="shared" si="22"/>
        <v>2</v>
      </c>
      <c r="G1099" s="73">
        <f t="shared" si="22"/>
        <v>2</v>
      </c>
    </row>
    <row r="1100" spans="3:7" x14ac:dyDescent="0.3">
      <c r="C1100" s="17" t="str">
        <f t="shared" si="22"/>
        <v>Мило рідке</v>
      </c>
      <c r="D1100" s="73" t="str">
        <f t="shared" si="22"/>
        <v>мл</v>
      </c>
      <c r="E1100" s="73">
        <f t="shared" si="22"/>
        <v>1</v>
      </c>
      <c r="F1100" s="73">
        <f t="shared" si="22"/>
        <v>0.19600000000000001</v>
      </c>
      <c r="G1100" s="73">
        <f t="shared" si="22"/>
        <v>0.2</v>
      </c>
    </row>
    <row r="1101" spans="3:7" x14ac:dyDescent="0.3">
      <c r="C1101" s="17" t="str">
        <f t="shared" si="22"/>
        <v>Олія для масажу 100 мл</v>
      </c>
      <c r="D1101" s="73" t="str">
        <f t="shared" si="22"/>
        <v>мл</v>
      </c>
      <c r="E1101" s="73">
        <f t="shared" si="22"/>
        <v>10.6</v>
      </c>
      <c r="F1101" s="73">
        <f t="shared" si="22"/>
        <v>0.2</v>
      </c>
      <c r="G1101" s="73">
        <f t="shared" si="22"/>
        <v>2.12</v>
      </c>
    </row>
    <row r="1102" spans="3:7" x14ac:dyDescent="0.3">
      <c r="C1102" s="17" t="str">
        <f t="shared" si="22"/>
        <v>Пелюшка поглинаюча 60/60</v>
      </c>
      <c r="D1102" s="73" t="str">
        <f t="shared" si="22"/>
        <v>шт</v>
      </c>
      <c r="E1102" s="73">
        <f t="shared" si="22"/>
        <v>1</v>
      </c>
      <c r="F1102" s="73">
        <f t="shared" si="22"/>
        <v>6</v>
      </c>
      <c r="G1102" s="73">
        <f t="shared" si="22"/>
        <v>6</v>
      </c>
    </row>
    <row r="1103" spans="3:7" x14ac:dyDescent="0.3">
      <c r="C1103" s="17" t="str">
        <f t="shared" si="22"/>
        <v>Простирадло одноразове 100 м</v>
      </c>
      <c r="D1103" s="73" t="str">
        <f t="shared" si="22"/>
        <v>м</v>
      </c>
      <c r="E1103" s="73">
        <f t="shared" si="22"/>
        <v>2</v>
      </c>
      <c r="F1103" s="73">
        <f t="shared" si="22"/>
        <v>2.36</v>
      </c>
      <c r="G1103" s="73">
        <f t="shared" si="22"/>
        <v>4.72</v>
      </c>
    </row>
    <row r="1104" spans="3:7" x14ac:dyDescent="0.3">
      <c r="C1104" s="17" t="str">
        <f t="shared" si="22"/>
        <v>Рушник паперовий</v>
      </c>
      <c r="D1104" s="73" t="str">
        <f t="shared" si="22"/>
        <v>шт</v>
      </c>
      <c r="E1104" s="73">
        <f t="shared" si="22"/>
        <v>0.05</v>
      </c>
      <c r="F1104" s="73">
        <f t="shared" si="22"/>
        <v>17.5</v>
      </c>
      <c r="G1104" s="73">
        <f t="shared" si="22"/>
        <v>0.88</v>
      </c>
    </row>
    <row r="1105" spans="3:8" x14ac:dyDescent="0.3">
      <c r="C1105" s="1019" t="s">
        <v>945</v>
      </c>
      <c r="D1105" s="1019"/>
      <c r="E1105" s="1019"/>
      <c r="F1105" s="1019"/>
      <c r="G1105" s="572">
        <f>SUM(G1096:G1104)</f>
        <v>16.84</v>
      </c>
    </row>
    <row r="1107" spans="3:8" x14ac:dyDescent="0.3">
      <c r="C1107" s="12" t="s">
        <v>968</v>
      </c>
      <c r="D1107" s="12"/>
      <c r="E1107" s="12"/>
      <c r="F1107" s="11">
        <f>H1110</f>
        <v>0.2</v>
      </c>
      <c r="G1107" s="12" t="s">
        <v>971</v>
      </c>
    </row>
    <row r="1108" spans="3:8" x14ac:dyDescent="0.3">
      <c r="C1108" s="22"/>
      <c r="D1108" s="22"/>
      <c r="E1108" s="22"/>
      <c r="F1108" s="23"/>
      <c r="G1108" s="22"/>
    </row>
    <row r="1109" spans="3:8" ht="27.6" x14ac:dyDescent="0.3">
      <c r="C1109" s="14" t="s">
        <v>513</v>
      </c>
      <c r="D1109" s="14" t="s">
        <v>1180</v>
      </c>
      <c r="E1109" s="14" t="s">
        <v>516</v>
      </c>
      <c r="F1109" s="14" t="s">
        <v>970</v>
      </c>
      <c r="G1109" s="14" t="s">
        <v>930</v>
      </c>
      <c r="H1109" s="14" t="s">
        <v>961</v>
      </c>
    </row>
    <row r="1110" spans="3:8" x14ac:dyDescent="0.3">
      <c r="C1110" s="27" t="s">
        <v>1204</v>
      </c>
      <c r="D1110" s="16">
        <f>АМОРТИЗАЦІЯ!C14</f>
        <v>193</v>
      </c>
      <c r="E1110" s="17">
        <v>4831.75</v>
      </c>
      <c r="F1110" s="17">
        <v>0.01</v>
      </c>
      <c r="G1110" s="17">
        <f>E1090</f>
        <v>20</v>
      </c>
      <c r="H1110" s="16">
        <f>ROUND(F1110*G1110,2)</f>
        <v>0.2</v>
      </c>
    </row>
    <row r="1112" spans="3:8" x14ac:dyDescent="0.3">
      <c r="C1112" s="12" t="s">
        <v>948</v>
      </c>
      <c r="D1112" s="12"/>
      <c r="E1112" s="12"/>
      <c r="F1112" s="11">
        <f>H1120</f>
        <v>2.4000000000000004</v>
      </c>
      <c r="G1112" s="12" t="s">
        <v>971</v>
      </c>
    </row>
    <row r="1113" spans="3:8" x14ac:dyDescent="0.3">
      <c r="C1113" s="22"/>
      <c r="D1113" s="22"/>
      <c r="E1113" s="22"/>
      <c r="F1113" s="23"/>
    </row>
    <row r="1114" spans="3:8" ht="41.4" x14ac:dyDescent="0.3">
      <c r="C1114" s="14" t="s">
        <v>948</v>
      </c>
      <c r="D1114" s="14" t="s">
        <v>955</v>
      </c>
      <c r="E1114" s="14" t="s">
        <v>516</v>
      </c>
      <c r="F1114" s="14" t="s">
        <v>954</v>
      </c>
      <c r="G1114" s="14" t="s">
        <v>930</v>
      </c>
      <c r="H1114" s="14" t="s">
        <v>956</v>
      </c>
    </row>
    <row r="1115" spans="3:8" x14ac:dyDescent="0.3">
      <c r="C1115" s="1009" t="str">
        <f>C1090</f>
        <v>Сестра медична з масажу</v>
      </c>
      <c r="D1115" s="1010"/>
      <c r="E1115" s="1010"/>
      <c r="F1115" s="1010"/>
      <c r="G1115" s="1010"/>
      <c r="H1115" s="1011"/>
    </row>
    <row r="1116" spans="3:8" x14ac:dyDescent="0.3">
      <c r="C1116" s="17" t="s">
        <v>951</v>
      </c>
      <c r="D1116" s="112">
        <f>D1067</f>
        <v>12188.608008565312</v>
      </c>
      <c r="E1116" s="17">
        <f>I1087</f>
        <v>1932.7</v>
      </c>
      <c r="F1116" s="17">
        <f>ROUND((D1116/E1116)/60,2)</f>
        <v>0.11</v>
      </c>
      <c r="G1116" s="17">
        <f>E1090</f>
        <v>20</v>
      </c>
      <c r="H1116" s="16">
        <f>ROUND(F1116*G1116,2)</f>
        <v>2.2000000000000002</v>
      </c>
    </row>
    <row r="1117" spans="3:8" x14ac:dyDescent="0.3">
      <c r="C1117" s="17" t="s">
        <v>952</v>
      </c>
      <c r="D1117" s="112">
        <f>D1068</f>
        <v>53.149721627408987</v>
      </c>
      <c r="E1117" s="17">
        <f>I1087</f>
        <v>1932.7</v>
      </c>
      <c r="F1117" s="17">
        <f>ROUND((D1117/E1117)/60,2)</f>
        <v>0</v>
      </c>
      <c r="G1117" s="17">
        <f>E1090</f>
        <v>20</v>
      </c>
      <c r="H1117" s="16">
        <f>ROUND(F1117*G1117,2)</f>
        <v>0</v>
      </c>
    </row>
    <row r="1118" spans="3:8" x14ac:dyDescent="0.3">
      <c r="C1118" s="17" t="s">
        <v>953</v>
      </c>
      <c r="D1118" s="112">
        <f>D1069</f>
        <v>374.98368308351178</v>
      </c>
      <c r="E1118" s="17">
        <f>I1087</f>
        <v>1932.7</v>
      </c>
      <c r="F1118" s="17">
        <f>ROUND((D1118/E1118)/60,2)</f>
        <v>0</v>
      </c>
      <c r="G1118" s="17">
        <f>E1090</f>
        <v>20</v>
      </c>
      <c r="H1118" s="16">
        <f>ROUND(F1118*G1118,2)</f>
        <v>0</v>
      </c>
    </row>
    <row r="1119" spans="3:8" x14ac:dyDescent="0.3">
      <c r="C1119" s="17" t="s">
        <v>1109</v>
      </c>
      <c r="D1119" s="112">
        <f>D1070</f>
        <v>1686.0389293361886</v>
      </c>
      <c r="E1119" s="17">
        <f>I1087</f>
        <v>1932.7</v>
      </c>
      <c r="F1119" s="17">
        <f>ROUND((D1119/E1119)/60,2)</f>
        <v>0.01</v>
      </c>
      <c r="G1119" s="17">
        <f>E1090</f>
        <v>20</v>
      </c>
      <c r="H1119" s="16">
        <f>ROUND(F1119*G1119,2)</f>
        <v>0.2</v>
      </c>
    </row>
    <row r="1120" spans="3:8" x14ac:dyDescent="0.3">
      <c r="C1120" s="1019" t="s">
        <v>957</v>
      </c>
      <c r="D1120" s="1019"/>
      <c r="E1120" s="1019"/>
      <c r="F1120" s="1019"/>
      <c r="G1120" s="1019"/>
      <c r="H1120" s="18">
        <f>SUM(H1116:H1119)</f>
        <v>2.4000000000000004</v>
      </c>
    </row>
    <row r="1122" spans="2:10" ht="0.75" customHeight="1" x14ac:dyDescent="0.3"/>
    <row r="1123" spans="2:10" x14ac:dyDescent="0.3">
      <c r="C1123" s="1015" t="s">
        <v>959</v>
      </c>
      <c r="D1123" s="1015"/>
      <c r="E1123" s="1015"/>
      <c r="F1123" s="1015"/>
      <c r="G1123" s="1015"/>
      <c r="H1123" s="32">
        <f>F1084+F1095+F1112+F1107</f>
        <v>37.500000000000007</v>
      </c>
    </row>
    <row r="1124" spans="2:10" x14ac:dyDescent="0.3">
      <c r="B1124" s="65"/>
      <c r="C1124" s="33"/>
      <c r="D1124" s="33"/>
      <c r="E1124" s="33"/>
      <c r="F1124" s="33"/>
      <c r="G1124" s="33"/>
      <c r="H1124" s="34"/>
      <c r="I1124" s="65"/>
      <c r="J1124" s="65"/>
    </row>
    <row r="1125" spans="2:10" x14ac:dyDescent="0.3">
      <c r="C1125" s="1049" t="s">
        <v>1178</v>
      </c>
      <c r="D1125" s="1049"/>
      <c r="E1125" s="1049"/>
      <c r="F1125" s="1049"/>
      <c r="G1125" s="1049"/>
      <c r="H1125" s="49">
        <f>ROUND(H1123*0.2,2)</f>
        <v>7.5</v>
      </c>
    </row>
    <row r="1126" spans="2:10" x14ac:dyDescent="0.3">
      <c r="C1126" s="1015" t="s">
        <v>1179</v>
      </c>
      <c r="D1126" s="1015"/>
      <c r="E1126" s="1015"/>
      <c r="F1126" s="1015"/>
      <c r="G1126" s="1015"/>
      <c r="H1126" s="32">
        <f>H1123+H1125</f>
        <v>45.000000000000007</v>
      </c>
    </row>
    <row r="1129" spans="2:10" ht="18.600000000000001" x14ac:dyDescent="0.3">
      <c r="B1129" s="1016" t="s">
        <v>958</v>
      </c>
      <c r="C1129" s="1016"/>
      <c r="D1129" s="1016"/>
      <c r="E1129" s="1016"/>
      <c r="F1129" s="1016"/>
      <c r="G1129" s="1016"/>
      <c r="H1129" s="1016"/>
      <c r="I1129" s="1016"/>
    </row>
    <row r="1131" spans="2:10" ht="36" customHeight="1" x14ac:dyDescent="0.3">
      <c r="B1131" s="25" t="s">
        <v>835</v>
      </c>
      <c r="C1131" s="1050" t="s">
        <v>836</v>
      </c>
      <c r="D1131" s="1050"/>
      <c r="E1131" s="1050"/>
      <c r="F1131" s="26">
        <f>H1175</f>
        <v>69.999999999999986</v>
      </c>
      <c r="G1131" s="26" t="s">
        <v>971</v>
      </c>
    </row>
    <row r="1133" spans="2:10" x14ac:dyDescent="0.3">
      <c r="C1133" s="1018" t="s">
        <v>932</v>
      </c>
      <c r="D1133" s="1018"/>
      <c r="E1133" s="10"/>
      <c r="F1133" s="11">
        <f>F1139+F1142</f>
        <v>36.11</v>
      </c>
      <c r="G1133" s="12" t="s">
        <v>971</v>
      </c>
    </row>
    <row r="1135" spans="2:10" ht="27.6" x14ac:dyDescent="0.3">
      <c r="C1135" s="13" t="s">
        <v>929</v>
      </c>
      <c r="D1135" s="14" t="s">
        <v>928</v>
      </c>
      <c r="E1135" s="14" t="s">
        <v>514</v>
      </c>
      <c r="F1135" s="14" t="s">
        <v>515</v>
      </c>
      <c r="G1135" s="14" t="s">
        <v>962</v>
      </c>
      <c r="H1135" s="14" t="s">
        <v>926</v>
      </c>
      <c r="I1135" s="14" t="s">
        <v>516</v>
      </c>
      <c r="J1135" s="14" t="s">
        <v>927</v>
      </c>
    </row>
    <row r="1136" spans="2:10" x14ac:dyDescent="0.3">
      <c r="C1136" s="17" t="s">
        <v>963</v>
      </c>
      <c r="D1136" s="16">
        <f>D1087</f>
        <v>6506.55</v>
      </c>
      <c r="E1136" s="16">
        <f>D1136*12</f>
        <v>78078.600000000006</v>
      </c>
      <c r="F1136" s="16">
        <f>F1087</f>
        <v>5005</v>
      </c>
      <c r="G1136" s="16">
        <f>G1087</f>
        <v>2502.5</v>
      </c>
      <c r="H1136" s="16">
        <f>E1136+F1136+G1136</f>
        <v>85586.1</v>
      </c>
      <c r="I1136" s="17">
        <v>1932.7</v>
      </c>
      <c r="J1136" s="16">
        <f>ROUND((H1136/I1136)/60,2)</f>
        <v>0.74</v>
      </c>
    </row>
    <row r="1138" spans="3:7" ht="27.6" x14ac:dyDescent="0.3">
      <c r="C1138" s="13" t="s">
        <v>929</v>
      </c>
      <c r="D1138" s="14" t="s">
        <v>961</v>
      </c>
      <c r="E1138" s="14" t="s">
        <v>930</v>
      </c>
      <c r="F1138" s="14" t="s">
        <v>931</v>
      </c>
    </row>
    <row r="1139" spans="3:7" x14ac:dyDescent="0.3">
      <c r="C1139" s="17" t="str">
        <f>C1136</f>
        <v>Сестра медична з масажу</v>
      </c>
      <c r="D1139" s="16">
        <f>J1136</f>
        <v>0.74</v>
      </c>
      <c r="E1139" s="17">
        <v>40</v>
      </c>
      <c r="F1139" s="18">
        <f>ROUND(D1139*E1139,2)</f>
        <v>29.6</v>
      </c>
    </row>
    <row r="1141" spans="3:7" ht="1.5" customHeight="1" x14ac:dyDescent="0.3">
      <c r="D1141" s="19"/>
    </row>
    <row r="1142" spans="3:7" x14ac:dyDescent="0.3">
      <c r="C1142" s="17" t="s">
        <v>933</v>
      </c>
      <c r="D1142" s="16">
        <f>F1139</f>
        <v>29.6</v>
      </c>
      <c r="E1142" s="20">
        <v>0.22</v>
      </c>
      <c r="F1142" s="21">
        <f>ROUND(D1142*E1142,2)</f>
        <v>6.51</v>
      </c>
    </row>
    <row r="1144" spans="3:7" x14ac:dyDescent="0.3">
      <c r="C1144" s="12" t="s">
        <v>946</v>
      </c>
      <c r="D1144" s="12"/>
      <c r="E1144" s="12"/>
      <c r="F1144" s="12">
        <f>G1154</f>
        <v>17.239999999999998</v>
      </c>
      <c r="G1144" s="12" t="s">
        <v>971</v>
      </c>
    </row>
    <row r="1145" spans="3:7" x14ac:dyDescent="0.3">
      <c r="C1145" s="17" t="str">
        <f t="shared" ref="C1145:G1153" si="23">C1096</f>
        <v>Антисептик для обробки рук</v>
      </c>
      <c r="D1145" s="73" t="str">
        <f t="shared" si="23"/>
        <v>мл</v>
      </c>
      <c r="E1145" s="73">
        <f t="shared" si="23"/>
        <v>1</v>
      </c>
      <c r="F1145" s="73">
        <f t="shared" si="23"/>
        <v>0.375</v>
      </c>
      <c r="G1145" s="73">
        <f t="shared" si="23"/>
        <v>0.38</v>
      </c>
    </row>
    <row r="1146" spans="3:7" x14ac:dyDescent="0.3">
      <c r="C1146" s="17" t="str">
        <f t="shared" si="23"/>
        <v>Антисептик швидкої дії</v>
      </c>
      <c r="D1146" s="73" t="str">
        <f t="shared" si="23"/>
        <v>мл</v>
      </c>
      <c r="E1146" s="73">
        <f t="shared" si="23"/>
        <v>1</v>
      </c>
      <c r="F1146" s="73">
        <f t="shared" si="23"/>
        <v>0.28799999999999998</v>
      </c>
      <c r="G1146" s="73">
        <f t="shared" si="23"/>
        <v>0.28999999999999998</v>
      </c>
    </row>
    <row r="1147" spans="3:7" x14ac:dyDescent="0.3">
      <c r="C1147" s="17" t="str">
        <f t="shared" si="23"/>
        <v>Деззасоби</v>
      </c>
      <c r="D1147" s="73" t="str">
        <f t="shared" si="23"/>
        <v>г</v>
      </c>
      <c r="E1147" s="73">
        <f t="shared" si="23"/>
        <v>0.5</v>
      </c>
      <c r="F1147" s="73">
        <f t="shared" si="23"/>
        <v>0.5</v>
      </c>
      <c r="G1147" s="73">
        <f t="shared" si="23"/>
        <v>0.25</v>
      </c>
    </row>
    <row r="1148" spans="3:7" x14ac:dyDescent="0.3">
      <c r="C1148" s="17" t="str">
        <f t="shared" si="23"/>
        <v>Маска одноразова тришарова на резинці</v>
      </c>
      <c r="D1148" s="73" t="str">
        <f t="shared" si="23"/>
        <v>шт</v>
      </c>
      <c r="E1148" s="73">
        <f t="shared" si="23"/>
        <v>1</v>
      </c>
      <c r="F1148" s="73">
        <f t="shared" si="23"/>
        <v>2</v>
      </c>
      <c r="G1148" s="73">
        <f t="shared" si="23"/>
        <v>2</v>
      </c>
    </row>
    <row r="1149" spans="3:7" x14ac:dyDescent="0.3">
      <c r="C1149" s="17" t="str">
        <f t="shared" si="23"/>
        <v>Мило рідке</v>
      </c>
      <c r="D1149" s="73" t="str">
        <f t="shared" si="23"/>
        <v>мл</v>
      </c>
      <c r="E1149" s="73">
        <f t="shared" si="23"/>
        <v>1</v>
      </c>
      <c r="F1149" s="73">
        <f t="shared" si="23"/>
        <v>0.19600000000000001</v>
      </c>
      <c r="G1149" s="73">
        <f t="shared" si="23"/>
        <v>0.2</v>
      </c>
    </row>
    <row r="1150" spans="3:7" x14ac:dyDescent="0.3">
      <c r="C1150" s="17" t="str">
        <f t="shared" si="23"/>
        <v>Олія для масажу 100 мл</v>
      </c>
      <c r="D1150" s="73" t="str">
        <f t="shared" si="23"/>
        <v>мл</v>
      </c>
      <c r="E1150" s="221">
        <v>12.6</v>
      </c>
      <c r="F1150" s="73">
        <f t="shared" si="23"/>
        <v>0.2</v>
      </c>
      <c r="G1150" s="73">
        <f>E1150*F1150</f>
        <v>2.52</v>
      </c>
    </row>
    <row r="1151" spans="3:7" x14ac:dyDescent="0.3">
      <c r="C1151" s="17" t="str">
        <f t="shared" si="23"/>
        <v>Пелюшка поглинаюча 60/60</v>
      </c>
      <c r="D1151" s="73" t="str">
        <f t="shared" si="23"/>
        <v>шт</v>
      </c>
      <c r="E1151" s="73">
        <f t="shared" si="23"/>
        <v>1</v>
      </c>
      <c r="F1151" s="73">
        <f t="shared" si="23"/>
        <v>6</v>
      </c>
      <c r="G1151" s="73">
        <f t="shared" si="23"/>
        <v>6</v>
      </c>
    </row>
    <row r="1152" spans="3:7" x14ac:dyDescent="0.3">
      <c r="C1152" s="17" t="str">
        <f t="shared" si="23"/>
        <v>Простирадло одноразове 100 м</v>
      </c>
      <c r="D1152" s="73" t="str">
        <f t="shared" si="23"/>
        <v>м</v>
      </c>
      <c r="E1152" s="73">
        <f t="shared" si="23"/>
        <v>2</v>
      </c>
      <c r="F1152" s="73">
        <f t="shared" si="23"/>
        <v>2.36</v>
      </c>
      <c r="G1152" s="73">
        <f t="shared" si="23"/>
        <v>4.72</v>
      </c>
    </row>
    <row r="1153" spans="3:8" x14ac:dyDescent="0.3">
      <c r="C1153" s="17" t="str">
        <f t="shared" si="23"/>
        <v>Рушник паперовий</v>
      </c>
      <c r="D1153" s="73" t="str">
        <f t="shared" si="23"/>
        <v>шт</v>
      </c>
      <c r="E1153" s="73">
        <f t="shared" si="23"/>
        <v>0.05</v>
      </c>
      <c r="F1153" s="73">
        <f t="shared" si="23"/>
        <v>17.5</v>
      </c>
      <c r="G1153" s="73">
        <f t="shared" si="23"/>
        <v>0.88</v>
      </c>
    </row>
    <row r="1154" spans="3:8" x14ac:dyDescent="0.3">
      <c r="C1154" s="1019" t="s">
        <v>945</v>
      </c>
      <c r="D1154" s="1019"/>
      <c r="E1154" s="1019"/>
      <c r="F1154" s="1019"/>
      <c r="G1154" s="572">
        <f>SUM(G1145:G1153)</f>
        <v>17.239999999999998</v>
      </c>
    </row>
    <row r="1156" spans="3:8" x14ac:dyDescent="0.3">
      <c r="C1156" s="12" t="s">
        <v>968</v>
      </c>
      <c r="D1156" s="12"/>
      <c r="E1156" s="12"/>
      <c r="F1156" s="11">
        <f>H1159</f>
        <v>0.18</v>
      </c>
      <c r="G1156" s="12" t="s">
        <v>971</v>
      </c>
    </row>
    <row r="1157" spans="3:8" ht="6.75" customHeight="1" x14ac:dyDescent="0.3">
      <c r="C1157" s="22"/>
      <c r="D1157" s="22"/>
      <c r="E1157" s="22"/>
      <c r="F1157" s="23"/>
      <c r="G1157" s="22"/>
    </row>
    <row r="1158" spans="3:8" ht="27.6" x14ac:dyDescent="0.3">
      <c r="C1158" s="14" t="s">
        <v>513</v>
      </c>
      <c r="D1158" s="14" t="s">
        <v>1180</v>
      </c>
      <c r="E1158" s="14" t="s">
        <v>516</v>
      </c>
      <c r="F1158" s="14" t="s">
        <v>970</v>
      </c>
      <c r="G1158" s="14" t="s">
        <v>930</v>
      </c>
      <c r="H1158" s="14" t="s">
        <v>961</v>
      </c>
    </row>
    <row r="1159" spans="3:8" x14ac:dyDescent="0.3">
      <c r="C1159" s="27" t="s">
        <v>1204</v>
      </c>
      <c r="D1159" s="16">
        <f>АМОРТИЗАЦІЯ!C14</f>
        <v>193</v>
      </c>
      <c r="E1159" s="17">
        <v>4831.75</v>
      </c>
      <c r="F1159" s="16">
        <v>4.4000000000000003E-3</v>
      </c>
      <c r="G1159" s="17">
        <f>E1139</f>
        <v>40</v>
      </c>
      <c r="H1159" s="16">
        <f>ROUND(F1159*G1159,2)</f>
        <v>0.18</v>
      </c>
    </row>
    <row r="1161" spans="3:8" x14ac:dyDescent="0.3">
      <c r="C1161" s="12" t="s">
        <v>948</v>
      </c>
      <c r="D1161" s="12"/>
      <c r="E1161" s="12"/>
      <c r="F1161" s="11">
        <f>H1169</f>
        <v>4.8000000000000007</v>
      </c>
      <c r="G1161" s="12" t="s">
        <v>971</v>
      </c>
    </row>
    <row r="1162" spans="3:8" x14ac:dyDescent="0.3">
      <c r="C1162" s="22"/>
      <c r="D1162" s="22"/>
      <c r="E1162" s="22"/>
      <c r="F1162" s="23"/>
    </row>
    <row r="1163" spans="3:8" ht="41.4" x14ac:dyDescent="0.3">
      <c r="C1163" s="14" t="s">
        <v>948</v>
      </c>
      <c r="D1163" s="14" t="s">
        <v>955</v>
      </c>
      <c r="E1163" s="14" t="s">
        <v>516</v>
      </c>
      <c r="F1163" s="14" t="s">
        <v>954</v>
      </c>
      <c r="G1163" s="14" t="s">
        <v>930</v>
      </c>
      <c r="H1163" s="14" t="s">
        <v>956</v>
      </c>
    </row>
    <row r="1164" spans="3:8" x14ac:dyDescent="0.3">
      <c r="C1164" s="1009" t="str">
        <f>C1139</f>
        <v>Сестра медична з масажу</v>
      </c>
      <c r="D1164" s="1010"/>
      <c r="E1164" s="1010"/>
      <c r="F1164" s="1010"/>
      <c r="G1164" s="1010"/>
      <c r="H1164" s="1011"/>
    </row>
    <row r="1165" spans="3:8" x14ac:dyDescent="0.3">
      <c r="C1165" s="17" t="s">
        <v>951</v>
      </c>
      <c r="D1165" s="112">
        <f>D1116</f>
        <v>12188.608008565312</v>
      </c>
      <c r="E1165" s="17">
        <f>I1136</f>
        <v>1932.7</v>
      </c>
      <c r="F1165" s="17">
        <f>ROUND((D1165/E1165)/60,2)</f>
        <v>0.11</v>
      </c>
      <c r="G1165" s="17">
        <f>E1139</f>
        <v>40</v>
      </c>
      <c r="H1165" s="16">
        <f>ROUND(F1165*G1165,2)</f>
        <v>4.4000000000000004</v>
      </c>
    </row>
    <row r="1166" spans="3:8" x14ac:dyDescent="0.3">
      <c r="C1166" s="17" t="s">
        <v>952</v>
      </c>
      <c r="D1166" s="112">
        <f>D1117</f>
        <v>53.149721627408987</v>
      </c>
      <c r="E1166" s="17">
        <f>I1136</f>
        <v>1932.7</v>
      </c>
      <c r="F1166" s="17">
        <f>ROUND((D1166/E1166)/60,2)</f>
        <v>0</v>
      </c>
      <c r="G1166" s="17">
        <f>E1139</f>
        <v>40</v>
      </c>
      <c r="H1166" s="16">
        <f>ROUND(F1166*G1166,2)</f>
        <v>0</v>
      </c>
    </row>
    <row r="1167" spans="3:8" x14ac:dyDescent="0.3">
      <c r="C1167" s="17" t="s">
        <v>953</v>
      </c>
      <c r="D1167" s="112">
        <f>D1118</f>
        <v>374.98368308351178</v>
      </c>
      <c r="E1167" s="17">
        <f>I1136</f>
        <v>1932.7</v>
      </c>
      <c r="F1167" s="17">
        <f>ROUND((D1167/E1167)/60,2)</f>
        <v>0</v>
      </c>
      <c r="G1167" s="17">
        <f>E1139</f>
        <v>40</v>
      </c>
      <c r="H1167" s="16">
        <f>ROUND(F1167*G1167,2)</f>
        <v>0</v>
      </c>
    </row>
    <row r="1168" spans="3:8" x14ac:dyDescent="0.3">
      <c r="C1168" s="17" t="s">
        <v>1109</v>
      </c>
      <c r="D1168" s="112">
        <f>D1119</f>
        <v>1686.0389293361886</v>
      </c>
      <c r="E1168" s="17">
        <f>I1136</f>
        <v>1932.7</v>
      </c>
      <c r="F1168" s="17">
        <f>ROUND((D1168/E1168)/60,2)</f>
        <v>0.01</v>
      </c>
      <c r="G1168" s="17">
        <f>E1139</f>
        <v>40</v>
      </c>
      <c r="H1168" s="16">
        <f>ROUND(F1168*G1168,2)</f>
        <v>0.4</v>
      </c>
    </row>
    <row r="1169" spans="2:10" x14ac:dyDescent="0.3">
      <c r="C1169" s="1019" t="s">
        <v>957</v>
      </c>
      <c r="D1169" s="1019"/>
      <c r="E1169" s="1019"/>
      <c r="F1169" s="1019"/>
      <c r="G1169" s="1019"/>
      <c r="H1169" s="18">
        <f>SUM(H1165:H1168)</f>
        <v>4.8000000000000007</v>
      </c>
    </row>
    <row r="1171" spans="2:10" ht="0.75" customHeight="1" x14ac:dyDescent="0.3"/>
    <row r="1172" spans="2:10" x14ac:dyDescent="0.3">
      <c r="C1172" s="1015" t="s">
        <v>959</v>
      </c>
      <c r="D1172" s="1015"/>
      <c r="E1172" s="1015"/>
      <c r="F1172" s="1015"/>
      <c r="G1172" s="1015"/>
      <c r="H1172" s="32">
        <f>F1133+F1144+F1161+F1156</f>
        <v>58.329999999999991</v>
      </c>
    </row>
    <row r="1173" spans="2:10" x14ac:dyDescent="0.3">
      <c r="B1173" s="65"/>
      <c r="C1173" s="33"/>
      <c r="D1173" s="33"/>
      <c r="E1173" s="33"/>
      <c r="F1173" s="33"/>
      <c r="G1173" s="33"/>
      <c r="H1173" s="34"/>
      <c r="I1173" s="65"/>
      <c r="J1173" s="65"/>
    </row>
    <row r="1174" spans="2:10" x14ac:dyDescent="0.3">
      <c r="C1174" s="1049" t="s">
        <v>1178</v>
      </c>
      <c r="D1174" s="1049"/>
      <c r="E1174" s="1049"/>
      <c r="F1174" s="1049"/>
      <c r="G1174" s="1049"/>
      <c r="H1174" s="49">
        <f>ROUND(H1172*0.2,2)</f>
        <v>11.67</v>
      </c>
    </row>
    <row r="1175" spans="2:10" x14ac:dyDescent="0.3">
      <c r="C1175" s="1015" t="s">
        <v>1179</v>
      </c>
      <c r="D1175" s="1015"/>
      <c r="E1175" s="1015"/>
      <c r="F1175" s="1015"/>
      <c r="G1175" s="1015"/>
      <c r="H1175" s="32">
        <f>H1172+H1174</f>
        <v>69.999999999999986</v>
      </c>
    </row>
    <row r="1178" spans="2:10" ht="18.600000000000001" x14ac:dyDescent="0.3">
      <c r="B1178" s="1016" t="s">
        <v>958</v>
      </c>
      <c r="C1178" s="1016"/>
      <c r="D1178" s="1016"/>
      <c r="E1178" s="1016"/>
      <c r="F1178" s="1016"/>
      <c r="G1178" s="1016"/>
      <c r="H1178" s="1016"/>
      <c r="I1178" s="1016"/>
    </row>
    <row r="1180" spans="2:10" ht="33.75" customHeight="1" x14ac:dyDescent="0.3">
      <c r="B1180" s="25" t="s">
        <v>837</v>
      </c>
      <c r="C1180" s="1050" t="s">
        <v>838</v>
      </c>
      <c r="D1180" s="1050"/>
      <c r="E1180" s="1050"/>
      <c r="F1180" s="26">
        <f>H1224</f>
        <v>60</v>
      </c>
      <c r="G1180" s="26" t="s">
        <v>971</v>
      </c>
    </row>
    <row r="1182" spans="2:10" x14ac:dyDescent="0.3">
      <c r="C1182" s="1018" t="s">
        <v>932</v>
      </c>
      <c r="D1182" s="1018"/>
      <c r="E1182" s="10"/>
      <c r="F1182" s="11">
        <f>F1188+F1191</f>
        <v>27.08</v>
      </c>
      <c r="G1182" s="12" t="s">
        <v>971</v>
      </c>
    </row>
    <row r="1184" spans="2:10" ht="27.6" x14ac:dyDescent="0.3">
      <c r="C1184" s="13" t="s">
        <v>929</v>
      </c>
      <c r="D1184" s="14" t="s">
        <v>928</v>
      </c>
      <c r="E1184" s="14" t="s">
        <v>514</v>
      </c>
      <c r="F1184" s="14" t="s">
        <v>515</v>
      </c>
      <c r="G1184" s="14" t="s">
        <v>962</v>
      </c>
      <c r="H1184" s="14" t="s">
        <v>926</v>
      </c>
      <c r="I1184" s="14" t="s">
        <v>516</v>
      </c>
      <c r="J1184" s="14" t="s">
        <v>927</v>
      </c>
    </row>
    <row r="1185" spans="3:10" x14ac:dyDescent="0.3">
      <c r="C1185" s="17" t="s">
        <v>963</v>
      </c>
      <c r="D1185" s="16">
        <f>D1136</f>
        <v>6506.55</v>
      </c>
      <c r="E1185" s="16">
        <f>D1185*12</f>
        <v>78078.600000000006</v>
      </c>
      <c r="F1185" s="16">
        <f>F1136</f>
        <v>5005</v>
      </c>
      <c r="G1185" s="16">
        <f>G1136</f>
        <v>2502.5</v>
      </c>
      <c r="H1185" s="16">
        <f>E1185+F1185+G1185</f>
        <v>85586.1</v>
      </c>
      <c r="I1185" s="17">
        <v>1932.7</v>
      </c>
      <c r="J1185" s="16">
        <f>ROUND((H1185/I1185)/60,2)</f>
        <v>0.74</v>
      </c>
    </row>
    <row r="1187" spans="3:10" ht="27.6" x14ac:dyDescent="0.3">
      <c r="C1187" s="13" t="s">
        <v>929</v>
      </c>
      <c r="D1187" s="14" t="s">
        <v>961</v>
      </c>
      <c r="E1187" s="14" t="s">
        <v>930</v>
      </c>
      <c r="F1187" s="14" t="s">
        <v>931</v>
      </c>
    </row>
    <row r="1188" spans="3:10" x14ac:dyDescent="0.3">
      <c r="C1188" s="17" t="str">
        <f>C1185</f>
        <v>Сестра медична з масажу</v>
      </c>
      <c r="D1188" s="16">
        <f>J1185</f>
        <v>0.74</v>
      </c>
      <c r="E1188" s="17">
        <v>30</v>
      </c>
      <c r="F1188" s="18">
        <f>ROUND(D1188*E1188,2)</f>
        <v>22.2</v>
      </c>
    </row>
    <row r="1190" spans="3:10" ht="0.75" customHeight="1" x14ac:dyDescent="0.3">
      <c r="D1190" s="19"/>
    </row>
    <row r="1191" spans="3:10" x14ac:dyDescent="0.3">
      <c r="C1191" s="17" t="s">
        <v>933</v>
      </c>
      <c r="D1191" s="16">
        <f>F1188</f>
        <v>22.2</v>
      </c>
      <c r="E1191" s="20">
        <v>0.22</v>
      </c>
      <c r="F1191" s="21">
        <f>ROUND(D1191*E1191,2)</f>
        <v>4.88</v>
      </c>
    </row>
    <row r="1193" spans="3:10" x14ac:dyDescent="0.3">
      <c r="C1193" s="12" t="s">
        <v>946</v>
      </c>
      <c r="D1193" s="12"/>
      <c r="E1193" s="12"/>
      <c r="F1193" s="12">
        <f>G1203</f>
        <v>18.72</v>
      </c>
      <c r="G1193" s="12" t="s">
        <v>971</v>
      </c>
    </row>
    <row r="1194" spans="3:10" x14ac:dyDescent="0.3">
      <c r="C1194" s="17" t="str">
        <f t="shared" ref="C1194:G1202" si="24">C1145</f>
        <v>Антисептик для обробки рук</v>
      </c>
      <c r="D1194" s="73" t="str">
        <f t="shared" si="24"/>
        <v>мл</v>
      </c>
      <c r="E1194" s="73">
        <f t="shared" si="24"/>
        <v>1</v>
      </c>
      <c r="F1194" s="73">
        <f t="shared" si="24"/>
        <v>0.375</v>
      </c>
      <c r="G1194" s="73">
        <f t="shared" si="24"/>
        <v>0.38</v>
      </c>
    </row>
    <row r="1195" spans="3:10" x14ac:dyDescent="0.3">
      <c r="C1195" s="17" t="str">
        <f t="shared" si="24"/>
        <v>Антисептик швидкої дії</v>
      </c>
      <c r="D1195" s="73" t="str">
        <f t="shared" si="24"/>
        <v>мл</v>
      </c>
      <c r="E1195" s="73">
        <f t="shared" si="24"/>
        <v>1</v>
      </c>
      <c r="F1195" s="73">
        <f t="shared" si="24"/>
        <v>0.28799999999999998</v>
      </c>
      <c r="G1195" s="73">
        <f t="shared" si="24"/>
        <v>0.28999999999999998</v>
      </c>
    </row>
    <row r="1196" spans="3:10" x14ac:dyDescent="0.3">
      <c r="C1196" s="17" t="str">
        <f t="shared" si="24"/>
        <v>Деззасоби</v>
      </c>
      <c r="D1196" s="73" t="str">
        <f t="shared" si="24"/>
        <v>г</v>
      </c>
      <c r="E1196" s="73">
        <f t="shared" si="24"/>
        <v>0.5</v>
      </c>
      <c r="F1196" s="73">
        <f t="shared" si="24"/>
        <v>0.5</v>
      </c>
      <c r="G1196" s="73">
        <f t="shared" si="24"/>
        <v>0.25</v>
      </c>
    </row>
    <row r="1197" spans="3:10" x14ac:dyDescent="0.3">
      <c r="C1197" s="17" t="str">
        <f t="shared" si="24"/>
        <v>Маска одноразова тришарова на резинці</v>
      </c>
      <c r="D1197" s="73" t="str">
        <f t="shared" si="24"/>
        <v>шт</v>
      </c>
      <c r="E1197" s="73">
        <f t="shared" si="24"/>
        <v>1</v>
      </c>
      <c r="F1197" s="73">
        <f t="shared" si="24"/>
        <v>2</v>
      </c>
      <c r="G1197" s="73">
        <f t="shared" si="24"/>
        <v>2</v>
      </c>
    </row>
    <row r="1198" spans="3:10" x14ac:dyDescent="0.3">
      <c r="C1198" s="17" t="str">
        <f t="shared" si="24"/>
        <v>Мило рідке</v>
      </c>
      <c r="D1198" s="73" t="str">
        <f t="shared" si="24"/>
        <v>мл</v>
      </c>
      <c r="E1198" s="73">
        <f t="shared" si="24"/>
        <v>1</v>
      </c>
      <c r="F1198" s="73">
        <f t="shared" si="24"/>
        <v>0.19600000000000001</v>
      </c>
      <c r="G1198" s="73">
        <f t="shared" si="24"/>
        <v>0.2</v>
      </c>
    </row>
    <row r="1199" spans="3:10" x14ac:dyDescent="0.3">
      <c r="C1199" s="17" t="str">
        <f t="shared" si="24"/>
        <v>Олія для масажу 100 мл</v>
      </c>
      <c r="D1199" s="73" t="str">
        <f t="shared" si="24"/>
        <v>мл</v>
      </c>
      <c r="E1199" s="73">
        <v>20</v>
      </c>
      <c r="F1199" s="73">
        <f t="shared" si="24"/>
        <v>0.2</v>
      </c>
      <c r="G1199" s="73">
        <f>E1199*F1199</f>
        <v>4</v>
      </c>
    </row>
    <row r="1200" spans="3:10" x14ac:dyDescent="0.3">
      <c r="C1200" s="17" t="str">
        <f t="shared" si="24"/>
        <v>Пелюшка поглинаюча 60/60</v>
      </c>
      <c r="D1200" s="73" t="str">
        <f t="shared" si="24"/>
        <v>шт</v>
      </c>
      <c r="E1200" s="73">
        <f t="shared" si="24"/>
        <v>1</v>
      </c>
      <c r="F1200" s="73">
        <f t="shared" si="24"/>
        <v>6</v>
      </c>
      <c r="G1200" s="73">
        <f t="shared" si="24"/>
        <v>6</v>
      </c>
    </row>
    <row r="1201" spans="3:8" x14ac:dyDescent="0.3">
      <c r="C1201" s="17" t="str">
        <f t="shared" si="24"/>
        <v>Простирадло одноразове 100 м</v>
      </c>
      <c r="D1201" s="73" t="str">
        <f t="shared" si="24"/>
        <v>м</v>
      </c>
      <c r="E1201" s="73">
        <f t="shared" si="24"/>
        <v>2</v>
      </c>
      <c r="F1201" s="73">
        <f t="shared" si="24"/>
        <v>2.36</v>
      </c>
      <c r="G1201" s="73">
        <f t="shared" si="24"/>
        <v>4.72</v>
      </c>
    </row>
    <row r="1202" spans="3:8" x14ac:dyDescent="0.3">
      <c r="C1202" s="17" t="str">
        <f t="shared" si="24"/>
        <v>Рушник паперовий</v>
      </c>
      <c r="D1202" s="73" t="str">
        <f t="shared" si="24"/>
        <v>шт</v>
      </c>
      <c r="E1202" s="73">
        <f t="shared" si="24"/>
        <v>0.05</v>
      </c>
      <c r="F1202" s="73">
        <f t="shared" si="24"/>
        <v>17.5</v>
      </c>
      <c r="G1202" s="73">
        <f t="shared" si="24"/>
        <v>0.88</v>
      </c>
    </row>
    <row r="1203" spans="3:8" x14ac:dyDescent="0.3">
      <c r="C1203" s="1019" t="s">
        <v>945</v>
      </c>
      <c r="D1203" s="1019"/>
      <c r="E1203" s="1019"/>
      <c r="F1203" s="1019"/>
      <c r="G1203" s="572">
        <f>SUM(G1194:G1202)</f>
        <v>18.72</v>
      </c>
    </row>
    <row r="1205" spans="3:8" x14ac:dyDescent="0.3">
      <c r="C1205" s="12" t="s">
        <v>968</v>
      </c>
      <c r="D1205" s="12"/>
      <c r="E1205" s="12"/>
      <c r="F1205" s="11">
        <f>H1208</f>
        <v>0.6</v>
      </c>
      <c r="G1205" s="12" t="s">
        <v>971</v>
      </c>
    </row>
    <row r="1206" spans="3:8" x14ac:dyDescent="0.3">
      <c r="C1206" s="22"/>
      <c r="D1206" s="22"/>
      <c r="E1206" s="22"/>
      <c r="F1206" s="23"/>
      <c r="G1206" s="22"/>
    </row>
    <row r="1207" spans="3:8" ht="27.6" x14ac:dyDescent="0.3">
      <c r="C1207" s="14" t="s">
        <v>513</v>
      </c>
      <c r="D1207" s="14" t="s">
        <v>1180</v>
      </c>
      <c r="E1207" s="14" t="s">
        <v>516</v>
      </c>
      <c r="F1207" s="14" t="s">
        <v>970</v>
      </c>
      <c r="G1207" s="14" t="s">
        <v>930</v>
      </c>
      <c r="H1207" s="14" t="s">
        <v>961</v>
      </c>
    </row>
    <row r="1208" spans="3:8" x14ac:dyDescent="0.3">
      <c r="C1208" s="27" t="s">
        <v>1204</v>
      </c>
      <c r="D1208" s="16">
        <f>АМОРТИЗАЦІЯ!C14</f>
        <v>193</v>
      </c>
      <c r="E1208" s="17">
        <v>4831.75</v>
      </c>
      <c r="F1208" s="17">
        <v>0.02</v>
      </c>
      <c r="G1208" s="17">
        <f>E1188</f>
        <v>30</v>
      </c>
      <c r="H1208" s="16">
        <f>ROUND(F1208*G1208,2)</f>
        <v>0.6</v>
      </c>
    </row>
    <row r="1210" spans="3:8" x14ac:dyDescent="0.3">
      <c r="C1210" s="12" t="s">
        <v>948</v>
      </c>
      <c r="D1210" s="12"/>
      <c r="E1210" s="12"/>
      <c r="F1210" s="11">
        <f>H1218</f>
        <v>3.5999999999999996</v>
      </c>
      <c r="G1210" s="12" t="s">
        <v>971</v>
      </c>
    </row>
    <row r="1211" spans="3:8" x14ac:dyDescent="0.3">
      <c r="C1211" s="22"/>
      <c r="D1211" s="22"/>
      <c r="E1211" s="22"/>
      <c r="F1211" s="23"/>
    </row>
    <row r="1212" spans="3:8" ht="41.4" x14ac:dyDescent="0.3">
      <c r="C1212" s="14" t="s">
        <v>948</v>
      </c>
      <c r="D1212" s="14" t="s">
        <v>955</v>
      </c>
      <c r="E1212" s="14" t="s">
        <v>516</v>
      </c>
      <c r="F1212" s="14" t="s">
        <v>954</v>
      </c>
      <c r="G1212" s="14" t="s">
        <v>930</v>
      </c>
      <c r="H1212" s="14" t="s">
        <v>956</v>
      </c>
    </row>
    <row r="1213" spans="3:8" x14ac:dyDescent="0.3">
      <c r="C1213" s="1009" t="str">
        <f>C1188</f>
        <v>Сестра медична з масажу</v>
      </c>
      <c r="D1213" s="1010"/>
      <c r="E1213" s="1010"/>
      <c r="F1213" s="1010"/>
      <c r="G1213" s="1010"/>
      <c r="H1213" s="1011"/>
    </row>
    <row r="1214" spans="3:8" x14ac:dyDescent="0.3">
      <c r="C1214" s="17" t="s">
        <v>951</v>
      </c>
      <c r="D1214" s="112">
        <f>D1165</f>
        <v>12188.608008565312</v>
      </c>
      <c r="E1214" s="17">
        <f>I1185</f>
        <v>1932.7</v>
      </c>
      <c r="F1214" s="17">
        <f>ROUND((D1214/E1214)/60,2)</f>
        <v>0.11</v>
      </c>
      <c r="G1214" s="17">
        <f>E1188</f>
        <v>30</v>
      </c>
      <c r="H1214" s="16">
        <f>ROUND(F1214*G1214,2)</f>
        <v>3.3</v>
      </c>
    </row>
    <row r="1215" spans="3:8" x14ac:dyDescent="0.3">
      <c r="C1215" s="17" t="s">
        <v>952</v>
      </c>
      <c r="D1215" s="112">
        <f>D1166</f>
        <v>53.149721627408987</v>
      </c>
      <c r="E1215" s="17">
        <f>I1185</f>
        <v>1932.7</v>
      </c>
      <c r="F1215" s="17">
        <f>ROUND((D1215/E1215)/60,2)</f>
        <v>0</v>
      </c>
      <c r="G1215" s="17">
        <f>E1188</f>
        <v>30</v>
      </c>
      <c r="H1215" s="16">
        <f>ROUND(F1215*G1215,2)</f>
        <v>0</v>
      </c>
    </row>
    <row r="1216" spans="3:8" x14ac:dyDescent="0.3">
      <c r="C1216" s="17" t="s">
        <v>953</v>
      </c>
      <c r="D1216" s="112">
        <f>D1167</f>
        <v>374.98368308351178</v>
      </c>
      <c r="E1216" s="17">
        <f>I1185</f>
        <v>1932.7</v>
      </c>
      <c r="F1216" s="17">
        <f>ROUND((D1216/E1216)/60,2)</f>
        <v>0</v>
      </c>
      <c r="G1216" s="17">
        <f>E1188</f>
        <v>30</v>
      </c>
      <c r="H1216" s="16">
        <f>ROUND(F1216*G1216,2)</f>
        <v>0</v>
      </c>
    </row>
    <row r="1217" spans="2:10" x14ac:dyDescent="0.3">
      <c r="C1217" s="17" t="s">
        <v>1109</v>
      </c>
      <c r="D1217" s="112">
        <f>D1168</f>
        <v>1686.0389293361886</v>
      </c>
      <c r="E1217" s="17">
        <f>I1185</f>
        <v>1932.7</v>
      </c>
      <c r="F1217" s="17">
        <f>ROUND((D1217/E1217)/60,2)</f>
        <v>0.01</v>
      </c>
      <c r="G1217" s="17">
        <f>E1188</f>
        <v>30</v>
      </c>
      <c r="H1217" s="16">
        <f>ROUND(F1217*G1217,2)</f>
        <v>0.3</v>
      </c>
    </row>
    <row r="1218" spans="2:10" x14ac:dyDescent="0.3">
      <c r="C1218" s="1019" t="s">
        <v>957</v>
      </c>
      <c r="D1218" s="1019"/>
      <c r="E1218" s="1019"/>
      <c r="F1218" s="1019"/>
      <c r="G1218" s="1019"/>
      <c r="H1218" s="18">
        <f>SUM(H1214:H1217)</f>
        <v>3.5999999999999996</v>
      </c>
    </row>
    <row r="1220" spans="2:10" ht="0.75" customHeight="1" x14ac:dyDescent="0.3"/>
    <row r="1221" spans="2:10" x14ac:dyDescent="0.3">
      <c r="C1221" s="1015" t="s">
        <v>959</v>
      </c>
      <c r="D1221" s="1015"/>
      <c r="E1221" s="1015"/>
      <c r="F1221" s="1015"/>
      <c r="G1221" s="1015"/>
      <c r="H1221" s="32">
        <f>F1182+F1193+F1210+F1205</f>
        <v>50</v>
      </c>
    </row>
    <row r="1222" spans="2:10" x14ac:dyDescent="0.3">
      <c r="B1222" s="65"/>
      <c r="C1222" s="33"/>
      <c r="D1222" s="33"/>
      <c r="E1222" s="33"/>
      <c r="F1222" s="33"/>
      <c r="G1222" s="33"/>
      <c r="H1222" s="34"/>
      <c r="I1222" s="65"/>
      <c r="J1222" s="65"/>
    </row>
    <row r="1223" spans="2:10" x14ac:dyDescent="0.3">
      <c r="C1223" s="1049" t="s">
        <v>1178</v>
      </c>
      <c r="D1223" s="1049"/>
      <c r="E1223" s="1049"/>
      <c r="F1223" s="1049"/>
      <c r="G1223" s="1049"/>
      <c r="H1223" s="49">
        <f>ROUND(H1221*0.2,2)</f>
        <v>10</v>
      </c>
    </row>
    <row r="1224" spans="2:10" x14ac:dyDescent="0.3">
      <c r="C1224" s="1015" t="s">
        <v>1179</v>
      </c>
      <c r="D1224" s="1015"/>
      <c r="E1224" s="1015"/>
      <c r="F1224" s="1015"/>
      <c r="G1224" s="1015"/>
      <c r="H1224" s="32">
        <f>H1221+H1223</f>
        <v>60</v>
      </c>
    </row>
    <row r="1227" spans="2:10" ht="18.600000000000001" x14ac:dyDescent="0.3">
      <c r="B1227" s="1016" t="s">
        <v>958</v>
      </c>
      <c r="C1227" s="1016"/>
      <c r="D1227" s="1016"/>
      <c r="E1227" s="1016"/>
      <c r="F1227" s="1016"/>
      <c r="G1227" s="1016"/>
      <c r="H1227" s="1016"/>
      <c r="I1227" s="1016"/>
    </row>
    <row r="1229" spans="2:10" x14ac:dyDescent="0.3">
      <c r="B1229" s="25" t="s">
        <v>839</v>
      </c>
      <c r="C1229" s="1050" t="s">
        <v>840</v>
      </c>
      <c r="D1229" s="1050"/>
      <c r="E1229" s="1050"/>
      <c r="F1229" s="26">
        <f>H1273</f>
        <v>45.000000000000007</v>
      </c>
      <c r="G1229" s="26" t="s">
        <v>971</v>
      </c>
    </row>
    <row r="1231" spans="2:10" x14ac:dyDescent="0.3">
      <c r="C1231" s="1018" t="s">
        <v>932</v>
      </c>
      <c r="D1231" s="1018"/>
      <c r="E1231" s="10"/>
      <c r="F1231" s="11">
        <f>F1237+F1240</f>
        <v>18.060000000000002</v>
      </c>
      <c r="G1231" s="12" t="s">
        <v>971</v>
      </c>
    </row>
    <row r="1233" spans="3:10" ht="27.6" x14ac:dyDescent="0.3">
      <c r="C1233" s="13" t="s">
        <v>929</v>
      </c>
      <c r="D1233" s="14" t="s">
        <v>928</v>
      </c>
      <c r="E1233" s="14" t="s">
        <v>514</v>
      </c>
      <c r="F1233" s="14" t="s">
        <v>515</v>
      </c>
      <c r="G1233" s="14" t="s">
        <v>962</v>
      </c>
      <c r="H1233" s="14" t="s">
        <v>926</v>
      </c>
      <c r="I1233" s="14" t="s">
        <v>516</v>
      </c>
      <c r="J1233" s="14" t="s">
        <v>927</v>
      </c>
    </row>
    <row r="1234" spans="3:10" x14ac:dyDescent="0.3">
      <c r="C1234" s="17" t="s">
        <v>963</v>
      </c>
      <c r="D1234" s="16">
        <f>D1185</f>
        <v>6506.55</v>
      </c>
      <c r="E1234" s="16">
        <f>D1234*12</f>
        <v>78078.600000000006</v>
      </c>
      <c r="F1234" s="16">
        <f>F1185</f>
        <v>5005</v>
      </c>
      <c r="G1234" s="16">
        <f>G1185</f>
        <v>2502.5</v>
      </c>
      <c r="H1234" s="16">
        <f>E1234+F1234+G1234</f>
        <v>85586.1</v>
      </c>
      <c r="I1234" s="17">
        <v>1932.7</v>
      </c>
      <c r="J1234" s="16">
        <f>ROUND((H1234/I1234)/60,2)</f>
        <v>0.74</v>
      </c>
    </row>
    <row r="1236" spans="3:10" ht="27.6" x14ac:dyDescent="0.3">
      <c r="C1236" s="13" t="s">
        <v>929</v>
      </c>
      <c r="D1236" s="14" t="s">
        <v>961</v>
      </c>
      <c r="E1236" s="14" t="s">
        <v>930</v>
      </c>
      <c r="F1236" s="14" t="s">
        <v>931</v>
      </c>
    </row>
    <row r="1237" spans="3:10" x14ac:dyDescent="0.3">
      <c r="C1237" s="17" t="str">
        <f>C1234</f>
        <v>Сестра медична з масажу</v>
      </c>
      <c r="D1237" s="16">
        <f>J1234</f>
        <v>0.74</v>
      </c>
      <c r="E1237" s="17">
        <v>20</v>
      </c>
      <c r="F1237" s="18">
        <f>ROUND(D1237*E1237,2)</f>
        <v>14.8</v>
      </c>
    </row>
    <row r="1239" spans="3:10" x14ac:dyDescent="0.3">
      <c r="D1239" s="19"/>
    </row>
    <row r="1240" spans="3:10" x14ac:dyDescent="0.3">
      <c r="C1240" s="17" t="s">
        <v>933</v>
      </c>
      <c r="D1240" s="16">
        <f>F1237</f>
        <v>14.8</v>
      </c>
      <c r="E1240" s="20">
        <v>0.22</v>
      </c>
      <c r="F1240" s="21">
        <f>ROUND(D1240*E1240,2)</f>
        <v>3.26</v>
      </c>
    </row>
    <row r="1242" spans="3:10" x14ac:dyDescent="0.3">
      <c r="C1242" s="12" t="s">
        <v>946</v>
      </c>
      <c r="D1242" s="12"/>
      <c r="E1242" s="12"/>
      <c r="F1242" s="12">
        <f>G1252</f>
        <v>16.84</v>
      </c>
      <c r="G1242" s="12" t="s">
        <v>971</v>
      </c>
    </row>
    <row r="1243" spans="3:10" x14ac:dyDescent="0.3">
      <c r="C1243" s="17" t="str">
        <f t="shared" ref="C1243:G1251" si="25">C1194</f>
        <v>Антисептик для обробки рук</v>
      </c>
      <c r="D1243" s="73" t="str">
        <f t="shared" si="25"/>
        <v>мл</v>
      </c>
      <c r="E1243" s="73">
        <f t="shared" si="25"/>
        <v>1</v>
      </c>
      <c r="F1243" s="73">
        <f t="shared" si="25"/>
        <v>0.375</v>
      </c>
      <c r="G1243" s="73">
        <f t="shared" si="25"/>
        <v>0.38</v>
      </c>
    </row>
    <row r="1244" spans="3:10" x14ac:dyDescent="0.3">
      <c r="C1244" s="17" t="str">
        <f t="shared" si="25"/>
        <v>Антисептик швидкої дії</v>
      </c>
      <c r="D1244" s="73" t="str">
        <f t="shared" si="25"/>
        <v>мл</v>
      </c>
      <c r="E1244" s="73">
        <f t="shared" si="25"/>
        <v>1</v>
      </c>
      <c r="F1244" s="73">
        <f t="shared" si="25"/>
        <v>0.28799999999999998</v>
      </c>
      <c r="G1244" s="73">
        <f t="shared" si="25"/>
        <v>0.28999999999999998</v>
      </c>
    </row>
    <row r="1245" spans="3:10" x14ac:dyDescent="0.3">
      <c r="C1245" s="17" t="str">
        <f t="shared" si="25"/>
        <v>Деззасоби</v>
      </c>
      <c r="D1245" s="73" t="str">
        <f t="shared" si="25"/>
        <v>г</v>
      </c>
      <c r="E1245" s="73">
        <f t="shared" si="25"/>
        <v>0.5</v>
      </c>
      <c r="F1245" s="73">
        <f t="shared" si="25"/>
        <v>0.5</v>
      </c>
      <c r="G1245" s="73">
        <f t="shared" si="25"/>
        <v>0.25</v>
      </c>
    </row>
    <row r="1246" spans="3:10" x14ac:dyDescent="0.3">
      <c r="C1246" s="17" t="str">
        <f t="shared" si="25"/>
        <v>Маска одноразова тришарова на резинці</v>
      </c>
      <c r="D1246" s="73" t="str">
        <f t="shared" si="25"/>
        <v>шт</v>
      </c>
      <c r="E1246" s="73">
        <f t="shared" si="25"/>
        <v>1</v>
      </c>
      <c r="F1246" s="73">
        <f t="shared" si="25"/>
        <v>2</v>
      </c>
      <c r="G1246" s="73">
        <f t="shared" si="25"/>
        <v>2</v>
      </c>
    </row>
    <row r="1247" spans="3:10" x14ac:dyDescent="0.3">
      <c r="C1247" s="17" t="str">
        <f t="shared" si="25"/>
        <v>Мило рідке</v>
      </c>
      <c r="D1247" s="73" t="str">
        <f t="shared" si="25"/>
        <v>мл</v>
      </c>
      <c r="E1247" s="73">
        <f t="shared" si="25"/>
        <v>1</v>
      </c>
      <c r="F1247" s="73">
        <f t="shared" si="25"/>
        <v>0.19600000000000001</v>
      </c>
      <c r="G1247" s="73">
        <f t="shared" si="25"/>
        <v>0.2</v>
      </c>
    </row>
    <row r="1248" spans="3:10" x14ac:dyDescent="0.3">
      <c r="C1248" s="17" t="str">
        <f t="shared" si="25"/>
        <v>Олія для масажу 100 мл</v>
      </c>
      <c r="D1248" s="73" t="str">
        <f t="shared" si="25"/>
        <v>мл</v>
      </c>
      <c r="E1248" s="73">
        <v>10.6</v>
      </c>
      <c r="F1248" s="73">
        <f t="shared" si="25"/>
        <v>0.2</v>
      </c>
      <c r="G1248" s="73">
        <f>E1248*F1248</f>
        <v>2.12</v>
      </c>
    </row>
    <row r="1249" spans="3:8" x14ac:dyDescent="0.3">
      <c r="C1249" s="17" t="str">
        <f t="shared" si="25"/>
        <v>Пелюшка поглинаюча 60/60</v>
      </c>
      <c r="D1249" s="73" t="str">
        <f t="shared" si="25"/>
        <v>шт</v>
      </c>
      <c r="E1249" s="73">
        <f t="shared" si="25"/>
        <v>1</v>
      </c>
      <c r="F1249" s="73">
        <f t="shared" si="25"/>
        <v>6</v>
      </c>
      <c r="G1249" s="73">
        <f t="shared" si="25"/>
        <v>6</v>
      </c>
    </row>
    <row r="1250" spans="3:8" x14ac:dyDescent="0.3">
      <c r="C1250" s="17" t="str">
        <f t="shared" si="25"/>
        <v>Простирадло одноразове 100 м</v>
      </c>
      <c r="D1250" s="73" t="str">
        <f t="shared" si="25"/>
        <v>м</v>
      </c>
      <c r="E1250" s="73">
        <f t="shared" si="25"/>
        <v>2</v>
      </c>
      <c r="F1250" s="73">
        <f t="shared" si="25"/>
        <v>2.36</v>
      </c>
      <c r="G1250" s="73">
        <f t="shared" si="25"/>
        <v>4.72</v>
      </c>
    </row>
    <row r="1251" spans="3:8" x14ac:dyDescent="0.3">
      <c r="C1251" s="17" t="str">
        <f t="shared" si="25"/>
        <v>Рушник паперовий</v>
      </c>
      <c r="D1251" s="73" t="str">
        <f t="shared" si="25"/>
        <v>шт</v>
      </c>
      <c r="E1251" s="73">
        <f t="shared" si="25"/>
        <v>0.05</v>
      </c>
      <c r="F1251" s="73">
        <f t="shared" si="25"/>
        <v>17.5</v>
      </c>
      <c r="G1251" s="73">
        <f t="shared" si="25"/>
        <v>0.88</v>
      </c>
    </row>
    <row r="1252" spans="3:8" x14ac:dyDescent="0.3">
      <c r="C1252" s="1019" t="s">
        <v>945</v>
      </c>
      <c r="D1252" s="1019"/>
      <c r="E1252" s="1019"/>
      <c r="F1252" s="1019"/>
      <c r="G1252" s="572">
        <f>SUM(G1243:G1251)</f>
        <v>16.84</v>
      </c>
    </row>
    <row r="1254" spans="3:8" x14ac:dyDescent="0.3">
      <c r="C1254" s="12" t="s">
        <v>968</v>
      </c>
      <c r="D1254" s="12"/>
      <c r="E1254" s="12"/>
      <c r="F1254" s="11">
        <f>H1257</f>
        <v>0.2</v>
      </c>
      <c r="G1254" s="12" t="s">
        <v>971</v>
      </c>
    </row>
    <row r="1255" spans="3:8" x14ac:dyDescent="0.3">
      <c r="C1255" s="22"/>
      <c r="D1255" s="22"/>
      <c r="E1255" s="22"/>
      <c r="F1255" s="23"/>
      <c r="G1255" s="22"/>
    </row>
    <row r="1256" spans="3:8" ht="27.6" x14ac:dyDescent="0.3">
      <c r="C1256" s="14" t="s">
        <v>513</v>
      </c>
      <c r="D1256" s="14" t="s">
        <v>1180</v>
      </c>
      <c r="E1256" s="14" t="s">
        <v>516</v>
      </c>
      <c r="F1256" s="14" t="s">
        <v>970</v>
      </c>
      <c r="G1256" s="14" t="s">
        <v>930</v>
      </c>
      <c r="H1256" s="14" t="s">
        <v>961</v>
      </c>
    </row>
    <row r="1257" spans="3:8" x14ac:dyDescent="0.3">
      <c r="C1257" s="27" t="s">
        <v>1204</v>
      </c>
      <c r="D1257" s="16">
        <f>АМОРТИЗАЦІЯ!C14</f>
        <v>193</v>
      </c>
      <c r="E1257" s="17">
        <v>4831.75</v>
      </c>
      <c r="F1257" s="17">
        <v>0.01</v>
      </c>
      <c r="G1257" s="17">
        <f>E1237</f>
        <v>20</v>
      </c>
      <c r="H1257" s="16">
        <f>ROUND(F1257*G1257,2)</f>
        <v>0.2</v>
      </c>
    </row>
    <row r="1259" spans="3:8" x14ac:dyDescent="0.3">
      <c r="C1259" s="12" t="s">
        <v>948</v>
      </c>
      <c r="D1259" s="12"/>
      <c r="E1259" s="12"/>
      <c r="F1259" s="11">
        <f>H1267</f>
        <v>2.4000000000000004</v>
      </c>
      <c r="G1259" s="12" t="s">
        <v>971</v>
      </c>
    </row>
    <row r="1260" spans="3:8" x14ac:dyDescent="0.3">
      <c r="C1260" s="22"/>
      <c r="D1260" s="22"/>
      <c r="E1260" s="22"/>
      <c r="F1260" s="23"/>
    </row>
    <row r="1261" spans="3:8" ht="41.4" x14ac:dyDescent="0.3">
      <c r="C1261" s="14" t="s">
        <v>948</v>
      </c>
      <c r="D1261" s="14" t="s">
        <v>955</v>
      </c>
      <c r="E1261" s="14" t="s">
        <v>516</v>
      </c>
      <c r="F1261" s="14" t="s">
        <v>954</v>
      </c>
      <c r="G1261" s="14" t="s">
        <v>930</v>
      </c>
      <c r="H1261" s="14" t="s">
        <v>956</v>
      </c>
    </row>
    <row r="1262" spans="3:8" x14ac:dyDescent="0.3">
      <c r="C1262" s="1009" t="str">
        <f>C1237</f>
        <v>Сестра медична з масажу</v>
      </c>
      <c r="D1262" s="1010"/>
      <c r="E1262" s="1010"/>
      <c r="F1262" s="1010"/>
      <c r="G1262" s="1010"/>
      <c r="H1262" s="1011"/>
    </row>
    <row r="1263" spans="3:8" x14ac:dyDescent="0.3">
      <c r="C1263" s="17" t="s">
        <v>951</v>
      </c>
      <c r="D1263" s="112">
        <f>D1214</f>
        <v>12188.608008565312</v>
      </c>
      <c r="E1263" s="17">
        <f>I1234</f>
        <v>1932.7</v>
      </c>
      <c r="F1263" s="17">
        <f>ROUND((D1263/E1263)/60,2)</f>
        <v>0.11</v>
      </c>
      <c r="G1263" s="17">
        <f>E1237</f>
        <v>20</v>
      </c>
      <c r="H1263" s="16">
        <f>ROUND(F1263*G1263,2)</f>
        <v>2.2000000000000002</v>
      </c>
    </row>
    <row r="1264" spans="3:8" x14ac:dyDescent="0.3">
      <c r="C1264" s="17" t="s">
        <v>952</v>
      </c>
      <c r="D1264" s="112">
        <f>D1215</f>
        <v>53.149721627408987</v>
      </c>
      <c r="E1264" s="17">
        <f>I1234</f>
        <v>1932.7</v>
      </c>
      <c r="F1264" s="17">
        <f>ROUND((D1264/E1264)/60,2)</f>
        <v>0</v>
      </c>
      <c r="G1264" s="17">
        <f>E1237</f>
        <v>20</v>
      </c>
      <c r="H1264" s="16">
        <f>ROUND(F1264*G1264,2)</f>
        <v>0</v>
      </c>
    </row>
    <row r="1265" spans="2:10" x14ac:dyDescent="0.3">
      <c r="C1265" s="17" t="s">
        <v>953</v>
      </c>
      <c r="D1265" s="112">
        <f>D1216</f>
        <v>374.98368308351178</v>
      </c>
      <c r="E1265" s="17">
        <f>I1234</f>
        <v>1932.7</v>
      </c>
      <c r="F1265" s="17">
        <f>ROUND((D1265/E1265)/60,2)</f>
        <v>0</v>
      </c>
      <c r="G1265" s="17">
        <f>E1237</f>
        <v>20</v>
      </c>
      <c r="H1265" s="16">
        <f>ROUND(F1265*G1265,2)</f>
        <v>0</v>
      </c>
    </row>
    <row r="1266" spans="2:10" x14ac:dyDescent="0.3">
      <c r="C1266" s="17" t="s">
        <v>1109</v>
      </c>
      <c r="D1266" s="112">
        <f>D1217</f>
        <v>1686.0389293361886</v>
      </c>
      <c r="E1266" s="17">
        <f>I1234</f>
        <v>1932.7</v>
      </c>
      <c r="F1266" s="17">
        <f>ROUND((D1266/E1266)/60,2)</f>
        <v>0.01</v>
      </c>
      <c r="G1266" s="17">
        <f>E1237</f>
        <v>20</v>
      </c>
      <c r="H1266" s="16">
        <f>ROUND(F1266*G1266,2)</f>
        <v>0.2</v>
      </c>
    </row>
    <row r="1267" spans="2:10" x14ac:dyDescent="0.3">
      <c r="C1267" s="1019" t="s">
        <v>957</v>
      </c>
      <c r="D1267" s="1019"/>
      <c r="E1267" s="1019"/>
      <c r="F1267" s="1019"/>
      <c r="G1267" s="1019"/>
      <c r="H1267" s="18">
        <f>SUM(H1263:H1266)</f>
        <v>2.4000000000000004</v>
      </c>
    </row>
    <row r="1269" spans="2:10" ht="2.25" customHeight="1" x14ac:dyDescent="0.3"/>
    <row r="1270" spans="2:10" x14ac:dyDescent="0.3">
      <c r="C1270" s="1015" t="s">
        <v>959</v>
      </c>
      <c r="D1270" s="1015"/>
      <c r="E1270" s="1015"/>
      <c r="F1270" s="1015"/>
      <c r="G1270" s="1015"/>
      <c r="H1270" s="32">
        <f>F1231+F1242+F1259+F1254</f>
        <v>37.500000000000007</v>
      </c>
    </row>
    <row r="1271" spans="2:10" x14ac:dyDescent="0.3">
      <c r="B1271" s="65"/>
      <c r="C1271" s="33"/>
      <c r="D1271" s="33"/>
      <c r="E1271" s="33"/>
      <c r="F1271" s="33"/>
      <c r="G1271" s="33"/>
      <c r="H1271" s="34"/>
      <c r="I1271" s="65"/>
      <c r="J1271" s="65"/>
    </row>
    <row r="1272" spans="2:10" x14ac:dyDescent="0.3">
      <c r="C1272" s="1049" t="s">
        <v>1178</v>
      </c>
      <c r="D1272" s="1049"/>
      <c r="E1272" s="1049"/>
      <c r="F1272" s="1049"/>
      <c r="G1272" s="1049"/>
      <c r="H1272" s="49">
        <f>ROUND(H1270*0.2,2)</f>
        <v>7.5</v>
      </c>
    </row>
    <row r="1273" spans="2:10" x14ac:dyDescent="0.3">
      <c r="C1273" s="1015" t="s">
        <v>1179</v>
      </c>
      <c r="D1273" s="1015"/>
      <c r="E1273" s="1015"/>
      <c r="F1273" s="1015"/>
      <c r="G1273" s="1015"/>
      <c r="H1273" s="32">
        <f>H1270+H1272</f>
        <v>45.000000000000007</v>
      </c>
    </row>
    <row r="1276" spans="2:10" ht="18.600000000000001" x14ac:dyDescent="0.3">
      <c r="B1276" s="1016" t="s">
        <v>958</v>
      </c>
      <c r="C1276" s="1016"/>
      <c r="D1276" s="1016"/>
      <c r="E1276" s="1016"/>
      <c r="F1276" s="1016"/>
      <c r="G1276" s="1016"/>
      <c r="H1276" s="1016"/>
      <c r="I1276" s="1016"/>
    </row>
    <row r="1278" spans="2:10" ht="33.75" customHeight="1" x14ac:dyDescent="0.3">
      <c r="B1278" s="25" t="s">
        <v>841</v>
      </c>
      <c r="C1278" s="1050" t="s">
        <v>842</v>
      </c>
      <c r="D1278" s="1050"/>
      <c r="E1278" s="1050"/>
      <c r="F1278" s="26">
        <f>H1322</f>
        <v>60</v>
      </c>
      <c r="G1278" s="26" t="s">
        <v>971</v>
      </c>
    </row>
    <row r="1280" spans="2:10" x14ac:dyDescent="0.3">
      <c r="C1280" s="1018" t="s">
        <v>932</v>
      </c>
      <c r="D1280" s="1018"/>
      <c r="E1280" s="10"/>
      <c r="F1280" s="11">
        <f>F1286+F1289</f>
        <v>27.08</v>
      </c>
      <c r="G1280" s="12" t="s">
        <v>971</v>
      </c>
    </row>
    <row r="1282" spans="3:10" ht="27.6" x14ac:dyDescent="0.3">
      <c r="C1282" s="13" t="s">
        <v>929</v>
      </c>
      <c r="D1282" s="14" t="s">
        <v>928</v>
      </c>
      <c r="E1282" s="14" t="s">
        <v>514</v>
      </c>
      <c r="F1282" s="14" t="s">
        <v>515</v>
      </c>
      <c r="G1282" s="14" t="s">
        <v>962</v>
      </c>
      <c r="H1282" s="14" t="s">
        <v>926</v>
      </c>
      <c r="I1282" s="14" t="s">
        <v>516</v>
      </c>
      <c r="J1282" s="14" t="s">
        <v>927</v>
      </c>
    </row>
    <row r="1283" spans="3:10" x14ac:dyDescent="0.3">
      <c r="C1283" s="17" t="s">
        <v>963</v>
      </c>
      <c r="D1283" s="16">
        <f>D1234</f>
        <v>6506.55</v>
      </c>
      <c r="E1283" s="16">
        <f>D1283*12</f>
        <v>78078.600000000006</v>
      </c>
      <c r="F1283" s="16">
        <f>F1234</f>
        <v>5005</v>
      </c>
      <c r="G1283" s="16">
        <f>G1234</f>
        <v>2502.5</v>
      </c>
      <c r="H1283" s="16">
        <f>E1283+F1283+G1283</f>
        <v>85586.1</v>
      </c>
      <c r="I1283" s="17">
        <v>1932.7</v>
      </c>
      <c r="J1283" s="16">
        <f>ROUND((H1283/I1283)/60,2)</f>
        <v>0.74</v>
      </c>
    </row>
    <row r="1285" spans="3:10" ht="27.6" x14ac:dyDescent="0.3">
      <c r="C1285" s="13" t="s">
        <v>929</v>
      </c>
      <c r="D1285" s="14" t="s">
        <v>961</v>
      </c>
      <c r="E1285" s="14" t="s">
        <v>930</v>
      </c>
      <c r="F1285" s="14" t="s">
        <v>931</v>
      </c>
    </row>
    <row r="1286" spans="3:10" x14ac:dyDescent="0.3">
      <c r="C1286" s="17" t="str">
        <f>C1283</f>
        <v>Сестра медична з масажу</v>
      </c>
      <c r="D1286" s="16">
        <f>J1283</f>
        <v>0.74</v>
      </c>
      <c r="E1286" s="17">
        <v>30</v>
      </c>
      <c r="F1286" s="18">
        <f>ROUND(D1286*E1286,2)</f>
        <v>22.2</v>
      </c>
    </row>
    <row r="1288" spans="3:10" ht="3" customHeight="1" x14ac:dyDescent="0.3">
      <c r="D1288" s="19"/>
    </row>
    <row r="1289" spans="3:10" x14ac:dyDescent="0.3">
      <c r="C1289" s="17" t="s">
        <v>933</v>
      </c>
      <c r="D1289" s="16">
        <f>F1286</f>
        <v>22.2</v>
      </c>
      <c r="E1289" s="20">
        <v>0.22</v>
      </c>
      <c r="F1289" s="21">
        <f>ROUND(D1289*E1289,2)</f>
        <v>4.88</v>
      </c>
    </row>
    <row r="1291" spans="3:10" x14ac:dyDescent="0.3">
      <c r="C1291" s="12" t="s">
        <v>946</v>
      </c>
      <c r="D1291" s="12"/>
      <c r="E1291" s="12"/>
      <c r="F1291" s="12">
        <f>G1301</f>
        <v>18.72</v>
      </c>
      <c r="G1291" s="12" t="s">
        <v>971</v>
      </c>
    </row>
    <row r="1292" spans="3:10" x14ac:dyDescent="0.3">
      <c r="C1292" s="17" t="str">
        <f t="shared" ref="C1292:G1300" si="26">C1243</f>
        <v>Антисептик для обробки рук</v>
      </c>
      <c r="D1292" s="73" t="str">
        <f t="shared" si="26"/>
        <v>мл</v>
      </c>
      <c r="E1292" s="73">
        <f t="shared" si="26"/>
        <v>1</v>
      </c>
      <c r="F1292" s="73">
        <f t="shared" si="26"/>
        <v>0.375</v>
      </c>
      <c r="G1292" s="73">
        <f t="shared" si="26"/>
        <v>0.38</v>
      </c>
    </row>
    <row r="1293" spans="3:10" x14ac:dyDescent="0.3">
      <c r="C1293" s="17" t="str">
        <f t="shared" si="26"/>
        <v>Антисептик швидкої дії</v>
      </c>
      <c r="D1293" s="73" t="str">
        <f t="shared" si="26"/>
        <v>мл</v>
      </c>
      <c r="E1293" s="73">
        <f t="shared" si="26"/>
        <v>1</v>
      </c>
      <c r="F1293" s="73">
        <f t="shared" si="26"/>
        <v>0.28799999999999998</v>
      </c>
      <c r="G1293" s="73">
        <f t="shared" si="26"/>
        <v>0.28999999999999998</v>
      </c>
    </row>
    <row r="1294" spans="3:10" x14ac:dyDescent="0.3">
      <c r="C1294" s="17" t="str">
        <f t="shared" si="26"/>
        <v>Деззасоби</v>
      </c>
      <c r="D1294" s="73" t="str">
        <f t="shared" si="26"/>
        <v>г</v>
      </c>
      <c r="E1294" s="73">
        <f t="shared" si="26"/>
        <v>0.5</v>
      </c>
      <c r="F1294" s="73">
        <f t="shared" si="26"/>
        <v>0.5</v>
      </c>
      <c r="G1294" s="73">
        <f t="shared" si="26"/>
        <v>0.25</v>
      </c>
    </row>
    <row r="1295" spans="3:10" x14ac:dyDescent="0.3">
      <c r="C1295" s="17" t="str">
        <f t="shared" si="26"/>
        <v>Маска одноразова тришарова на резинці</v>
      </c>
      <c r="D1295" s="73" t="str">
        <f t="shared" si="26"/>
        <v>шт</v>
      </c>
      <c r="E1295" s="73">
        <f t="shared" si="26"/>
        <v>1</v>
      </c>
      <c r="F1295" s="73">
        <f t="shared" si="26"/>
        <v>2</v>
      </c>
      <c r="G1295" s="73">
        <f t="shared" si="26"/>
        <v>2</v>
      </c>
    </row>
    <row r="1296" spans="3:10" x14ac:dyDescent="0.3">
      <c r="C1296" s="17" t="str">
        <f t="shared" si="26"/>
        <v>Мило рідке</v>
      </c>
      <c r="D1296" s="73" t="str">
        <f t="shared" si="26"/>
        <v>мл</v>
      </c>
      <c r="E1296" s="73">
        <f t="shared" si="26"/>
        <v>1</v>
      </c>
      <c r="F1296" s="73">
        <f t="shared" si="26"/>
        <v>0.19600000000000001</v>
      </c>
      <c r="G1296" s="73">
        <f t="shared" si="26"/>
        <v>0.2</v>
      </c>
    </row>
    <row r="1297" spans="3:8" x14ac:dyDescent="0.3">
      <c r="C1297" s="17" t="str">
        <f t="shared" si="26"/>
        <v>Олія для масажу 100 мл</v>
      </c>
      <c r="D1297" s="73" t="str">
        <f t="shared" si="26"/>
        <v>мл</v>
      </c>
      <c r="E1297" s="73">
        <v>20</v>
      </c>
      <c r="F1297" s="73">
        <f t="shared" si="26"/>
        <v>0.2</v>
      </c>
      <c r="G1297" s="73">
        <f>E1297*F1297</f>
        <v>4</v>
      </c>
    </row>
    <row r="1298" spans="3:8" x14ac:dyDescent="0.3">
      <c r="C1298" s="17" t="str">
        <f t="shared" si="26"/>
        <v>Пелюшка поглинаюча 60/60</v>
      </c>
      <c r="D1298" s="73" t="str">
        <f t="shared" si="26"/>
        <v>шт</v>
      </c>
      <c r="E1298" s="73">
        <f t="shared" si="26"/>
        <v>1</v>
      </c>
      <c r="F1298" s="73">
        <f t="shared" si="26"/>
        <v>6</v>
      </c>
      <c r="G1298" s="73">
        <f t="shared" si="26"/>
        <v>6</v>
      </c>
    </row>
    <row r="1299" spans="3:8" x14ac:dyDescent="0.3">
      <c r="C1299" s="17" t="str">
        <f t="shared" si="26"/>
        <v>Простирадло одноразове 100 м</v>
      </c>
      <c r="D1299" s="73" t="str">
        <f t="shared" si="26"/>
        <v>м</v>
      </c>
      <c r="E1299" s="73">
        <f t="shared" si="26"/>
        <v>2</v>
      </c>
      <c r="F1299" s="73">
        <f t="shared" si="26"/>
        <v>2.36</v>
      </c>
      <c r="G1299" s="73">
        <f t="shared" si="26"/>
        <v>4.72</v>
      </c>
    </row>
    <row r="1300" spans="3:8" x14ac:dyDescent="0.3">
      <c r="C1300" s="17" t="str">
        <f t="shared" si="26"/>
        <v>Рушник паперовий</v>
      </c>
      <c r="D1300" s="73" t="str">
        <f t="shared" si="26"/>
        <v>шт</v>
      </c>
      <c r="E1300" s="73">
        <f t="shared" si="26"/>
        <v>0.05</v>
      </c>
      <c r="F1300" s="73">
        <f t="shared" si="26"/>
        <v>17.5</v>
      </c>
      <c r="G1300" s="73">
        <f t="shared" si="26"/>
        <v>0.88</v>
      </c>
    </row>
    <row r="1301" spans="3:8" x14ac:dyDescent="0.3">
      <c r="C1301" s="1019" t="s">
        <v>945</v>
      </c>
      <c r="D1301" s="1019"/>
      <c r="E1301" s="1019"/>
      <c r="F1301" s="1019"/>
      <c r="G1301" s="572">
        <f>SUM(G1292:G1300)</f>
        <v>18.72</v>
      </c>
    </row>
    <row r="1303" spans="3:8" x14ac:dyDescent="0.3">
      <c r="C1303" s="12" t="s">
        <v>968</v>
      </c>
      <c r="D1303" s="12"/>
      <c r="E1303" s="12"/>
      <c r="F1303" s="11">
        <f>H1306</f>
        <v>0.6</v>
      </c>
      <c r="G1303" s="12" t="s">
        <v>971</v>
      </c>
    </row>
    <row r="1304" spans="3:8" x14ac:dyDescent="0.3">
      <c r="C1304" s="22"/>
      <c r="D1304" s="22"/>
      <c r="E1304" s="22"/>
      <c r="F1304" s="23"/>
      <c r="G1304" s="22"/>
    </row>
    <row r="1305" spans="3:8" ht="27.6" x14ac:dyDescent="0.3">
      <c r="C1305" s="14" t="s">
        <v>513</v>
      </c>
      <c r="D1305" s="14" t="s">
        <v>1180</v>
      </c>
      <c r="E1305" s="14" t="s">
        <v>516</v>
      </c>
      <c r="F1305" s="14" t="s">
        <v>970</v>
      </c>
      <c r="G1305" s="14" t="s">
        <v>930</v>
      </c>
      <c r="H1305" s="14" t="s">
        <v>961</v>
      </c>
    </row>
    <row r="1306" spans="3:8" x14ac:dyDescent="0.3">
      <c r="C1306" s="27" t="s">
        <v>1204</v>
      </c>
      <c r="D1306" s="16">
        <f>АМОРТИЗАЦІЯ!C14</f>
        <v>193</v>
      </c>
      <c r="E1306" s="17">
        <v>4831.75</v>
      </c>
      <c r="F1306" s="17">
        <v>0.02</v>
      </c>
      <c r="G1306" s="17">
        <f>E1286</f>
        <v>30</v>
      </c>
      <c r="H1306" s="16">
        <f>ROUND(F1306*G1306,2)</f>
        <v>0.6</v>
      </c>
    </row>
    <row r="1308" spans="3:8" x14ac:dyDescent="0.3">
      <c r="C1308" s="12" t="s">
        <v>948</v>
      </c>
      <c r="D1308" s="12"/>
      <c r="E1308" s="12"/>
      <c r="F1308" s="11">
        <f>H1316</f>
        <v>3.5999999999999996</v>
      </c>
      <c r="G1308" s="12" t="s">
        <v>971</v>
      </c>
    </row>
    <row r="1309" spans="3:8" x14ac:dyDescent="0.3">
      <c r="C1309" s="22"/>
      <c r="D1309" s="22"/>
      <c r="E1309" s="22"/>
      <c r="F1309" s="23"/>
    </row>
    <row r="1310" spans="3:8" ht="41.4" x14ac:dyDescent="0.3">
      <c r="C1310" s="14" t="s">
        <v>948</v>
      </c>
      <c r="D1310" s="14" t="s">
        <v>955</v>
      </c>
      <c r="E1310" s="14" t="s">
        <v>516</v>
      </c>
      <c r="F1310" s="14" t="s">
        <v>954</v>
      </c>
      <c r="G1310" s="14" t="s">
        <v>930</v>
      </c>
      <c r="H1310" s="14" t="s">
        <v>956</v>
      </c>
    </row>
    <row r="1311" spans="3:8" x14ac:dyDescent="0.3">
      <c r="C1311" s="1009" t="str">
        <f>C1286</f>
        <v>Сестра медична з масажу</v>
      </c>
      <c r="D1311" s="1010"/>
      <c r="E1311" s="1010"/>
      <c r="F1311" s="1010"/>
      <c r="G1311" s="1010"/>
      <c r="H1311" s="1011"/>
    </row>
    <row r="1312" spans="3:8" x14ac:dyDescent="0.3">
      <c r="C1312" s="17" t="s">
        <v>951</v>
      </c>
      <c r="D1312" s="112">
        <f>D1263</f>
        <v>12188.608008565312</v>
      </c>
      <c r="E1312" s="17">
        <f>I1283</f>
        <v>1932.7</v>
      </c>
      <c r="F1312" s="17">
        <f>ROUND((D1312/E1312)/60,2)</f>
        <v>0.11</v>
      </c>
      <c r="G1312" s="17">
        <f>E1286</f>
        <v>30</v>
      </c>
      <c r="H1312" s="16">
        <f>ROUND(F1312*G1312,2)</f>
        <v>3.3</v>
      </c>
    </row>
    <row r="1313" spans="2:10" x14ac:dyDescent="0.3">
      <c r="C1313" s="17" t="s">
        <v>952</v>
      </c>
      <c r="D1313" s="112">
        <f>D1264</f>
        <v>53.149721627408987</v>
      </c>
      <c r="E1313" s="17">
        <f>I1283</f>
        <v>1932.7</v>
      </c>
      <c r="F1313" s="17">
        <f>ROUND((D1313/E1313)/60,2)</f>
        <v>0</v>
      </c>
      <c r="G1313" s="17">
        <f>E1286</f>
        <v>30</v>
      </c>
      <c r="H1313" s="16">
        <f>ROUND(F1313*G1313,2)</f>
        <v>0</v>
      </c>
    </row>
    <row r="1314" spans="2:10" x14ac:dyDescent="0.3">
      <c r="C1314" s="17" t="s">
        <v>953</v>
      </c>
      <c r="D1314" s="112">
        <f>D1265</f>
        <v>374.98368308351178</v>
      </c>
      <c r="E1314" s="17">
        <f>I1283</f>
        <v>1932.7</v>
      </c>
      <c r="F1314" s="17">
        <f>ROUND((D1314/E1314)/60,2)</f>
        <v>0</v>
      </c>
      <c r="G1314" s="17">
        <f>E1286</f>
        <v>30</v>
      </c>
      <c r="H1314" s="16">
        <f>ROUND(F1314*G1314,2)</f>
        <v>0</v>
      </c>
    </row>
    <row r="1315" spans="2:10" x14ac:dyDescent="0.3">
      <c r="C1315" s="17" t="s">
        <v>1109</v>
      </c>
      <c r="D1315" s="112">
        <f>D1266</f>
        <v>1686.0389293361886</v>
      </c>
      <c r="E1315" s="17">
        <f>I1283</f>
        <v>1932.7</v>
      </c>
      <c r="F1315" s="17">
        <f>ROUND((D1315/E1315)/60,2)</f>
        <v>0.01</v>
      </c>
      <c r="G1315" s="17">
        <f>E1286</f>
        <v>30</v>
      </c>
      <c r="H1315" s="16">
        <f>ROUND(F1315*G1315,2)</f>
        <v>0.3</v>
      </c>
    </row>
    <row r="1316" spans="2:10" x14ac:dyDescent="0.3">
      <c r="C1316" s="1019" t="s">
        <v>957</v>
      </c>
      <c r="D1316" s="1019"/>
      <c r="E1316" s="1019"/>
      <c r="F1316" s="1019"/>
      <c r="G1316" s="1019"/>
      <c r="H1316" s="18">
        <f>SUM(H1312:H1315)</f>
        <v>3.5999999999999996</v>
      </c>
    </row>
    <row r="1317" spans="2:10" ht="14.25" customHeight="1" x14ac:dyDescent="0.3"/>
    <row r="1319" spans="2:10" x14ac:dyDescent="0.3">
      <c r="C1319" s="1015" t="s">
        <v>959</v>
      </c>
      <c r="D1319" s="1015"/>
      <c r="E1319" s="1015"/>
      <c r="F1319" s="1015"/>
      <c r="G1319" s="1015"/>
      <c r="H1319" s="32">
        <f>F1280+F1291+F1308+F1303</f>
        <v>50</v>
      </c>
    </row>
    <row r="1320" spans="2:10" x14ac:dyDescent="0.3">
      <c r="B1320" s="65"/>
      <c r="C1320" s="33"/>
      <c r="D1320" s="33"/>
      <c r="E1320" s="33"/>
      <c r="F1320" s="33"/>
      <c r="G1320" s="33"/>
      <c r="H1320" s="34"/>
      <c r="I1320" s="65"/>
      <c r="J1320" s="65"/>
    </row>
    <row r="1321" spans="2:10" x14ac:dyDescent="0.3">
      <c r="C1321" s="1049" t="s">
        <v>1178</v>
      </c>
      <c r="D1321" s="1049"/>
      <c r="E1321" s="1049"/>
      <c r="F1321" s="1049"/>
      <c r="G1321" s="1049"/>
      <c r="H1321" s="290">
        <f>ROUND(H1319*0.2,2)</f>
        <v>10</v>
      </c>
    </row>
    <row r="1322" spans="2:10" x14ac:dyDescent="0.3">
      <c r="C1322" s="1015" t="s">
        <v>1179</v>
      </c>
      <c r="D1322" s="1015"/>
      <c r="E1322" s="1015"/>
      <c r="F1322" s="1015"/>
      <c r="G1322" s="1015"/>
      <c r="H1322" s="32">
        <f>H1319+H1321</f>
        <v>60</v>
      </c>
    </row>
  </sheetData>
  <mergeCells count="240">
    <mergeCell ref="C145:G145"/>
    <mergeCell ref="C125:F125"/>
    <mergeCell ref="C140:G140"/>
    <mergeCell ref="C135:H135"/>
    <mergeCell ref="C94:G94"/>
    <mergeCell ref="C55:D55"/>
    <mergeCell ref="C6:D6"/>
    <mergeCell ref="C27:F27"/>
    <mergeCell ref="C86:H86"/>
    <mergeCell ref="C37:H37"/>
    <mergeCell ref="C47:G47"/>
    <mergeCell ref="B2:I2"/>
    <mergeCell ref="C45:G45"/>
    <mergeCell ref="C48:G48"/>
    <mergeCell ref="C143:G143"/>
    <mergeCell ref="C91:G91"/>
    <mergeCell ref="C97:G97"/>
    <mergeCell ref="C96:G96"/>
    <mergeCell ref="C42:G42"/>
    <mergeCell ref="B51:I51"/>
    <mergeCell ref="C76:F76"/>
    <mergeCell ref="B100:I100"/>
    <mergeCell ref="C104:D104"/>
    <mergeCell ref="B394:I394"/>
    <mergeCell ref="C391:G391"/>
    <mergeCell ref="C146:G146"/>
    <mergeCell ref="C233:H233"/>
    <mergeCell ref="B149:I149"/>
    <mergeCell ref="C151:D151"/>
    <mergeCell ref="C292:G292"/>
    <mergeCell ref="C153:D153"/>
    <mergeCell ref="C174:F174"/>
    <mergeCell ref="C189:G189"/>
    <mergeCell ref="C184:H184"/>
    <mergeCell ref="C195:G195"/>
    <mergeCell ref="B198:I198"/>
    <mergeCell ref="C241:G241"/>
    <mergeCell ref="C287:G287"/>
    <mergeCell ref="C290:G290"/>
    <mergeCell ref="C243:G243"/>
    <mergeCell ref="C244:G244"/>
    <mergeCell ref="C249:D249"/>
    <mergeCell ref="C251:D251"/>
    <mergeCell ref="C223:F223"/>
    <mergeCell ref="C238:G238"/>
    <mergeCell ref="C200:D200"/>
    <mergeCell ref="C349:D349"/>
    <mergeCell ref="C342:G342"/>
    <mergeCell ref="C388:G388"/>
    <mergeCell ref="C380:H380"/>
    <mergeCell ref="C202:D202"/>
    <mergeCell ref="C192:G192"/>
    <mergeCell ref="C194:G194"/>
    <mergeCell ref="C282:H282"/>
    <mergeCell ref="B247:I247"/>
    <mergeCell ref="C272:F272"/>
    <mergeCell ref="C293:G293"/>
    <mergeCell ref="B296:I296"/>
    <mergeCell ref="C331:H331"/>
    <mergeCell ref="C347:D347"/>
    <mergeCell ref="C370:F370"/>
    <mergeCell ref="C390:G390"/>
    <mergeCell ref="C298:D298"/>
    <mergeCell ref="C321:F321"/>
    <mergeCell ref="C336:G336"/>
    <mergeCell ref="C300:D300"/>
    <mergeCell ref="C339:G339"/>
    <mergeCell ref="B345:I345"/>
    <mergeCell ref="C341:G341"/>
    <mergeCell ref="C385:G385"/>
    <mergeCell ref="C576:H576"/>
    <mergeCell ref="C439:G439"/>
    <mergeCell ref="C437:G437"/>
    <mergeCell ref="C488:G488"/>
    <mergeCell ref="C478:H478"/>
    <mergeCell ref="C468:F468"/>
    <mergeCell ref="C447:D447"/>
    <mergeCell ref="C486:G486"/>
    <mergeCell ref="C440:G440"/>
    <mergeCell ref="C445:D445"/>
    <mergeCell ref="B492:I492"/>
    <mergeCell ref="C494:D494"/>
    <mergeCell ref="C496:D496"/>
    <mergeCell ref="C532:G532"/>
    <mergeCell ref="C538:G538"/>
    <mergeCell ref="C396:D396"/>
    <mergeCell ref="C398:D398"/>
    <mergeCell ref="C419:F419"/>
    <mergeCell ref="B443:I443"/>
    <mergeCell ref="C483:G483"/>
    <mergeCell ref="C434:G434"/>
    <mergeCell ref="C489:G489"/>
    <mergeCell ref="C429:H429"/>
    <mergeCell ref="C586:G586"/>
    <mergeCell ref="B590:I590"/>
    <mergeCell ref="C641:D641"/>
    <mergeCell ref="B639:I639"/>
    <mergeCell ref="C592:E592"/>
    <mergeCell ref="C633:G633"/>
    <mergeCell ref="C635:G635"/>
    <mergeCell ref="C643:D643"/>
    <mergeCell ref="C517:F517"/>
    <mergeCell ref="C545:D545"/>
    <mergeCell ref="C537:G537"/>
    <mergeCell ref="C535:G535"/>
    <mergeCell ref="B541:I541"/>
    <mergeCell ref="C527:H527"/>
    <mergeCell ref="C581:G581"/>
    <mergeCell ref="C584:G584"/>
    <mergeCell ref="C543:E543"/>
    <mergeCell ref="C636:G636"/>
    <mergeCell ref="C630:G630"/>
    <mergeCell ref="C615:F615"/>
    <mergeCell ref="C625:H625"/>
    <mergeCell ref="C594:D594"/>
    <mergeCell ref="C566:F566"/>
    <mergeCell ref="C587:G587"/>
    <mergeCell ref="C674:H674"/>
    <mergeCell ref="C684:G684"/>
    <mergeCell ref="C682:G682"/>
    <mergeCell ref="C679:G679"/>
    <mergeCell ref="C664:F664"/>
    <mergeCell ref="C839:D839"/>
    <mergeCell ref="C832:G832"/>
    <mergeCell ref="B835:I835"/>
    <mergeCell ref="C831:G831"/>
    <mergeCell ref="C777:G777"/>
    <mergeCell ref="B737:I737"/>
    <mergeCell ref="C723:H723"/>
    <mergeCell ref="C728:G728"/>
    <mergeCell ref="C731:G731"/>
    <mergeCell ref="C733:G733"/>
    <mergeCell ref="C690:D690"/>
    <mergeCell ref="C692:D692"/>
    <mergeCell ref="C713:F713"/>
    <mergeCell ref="C685:G685"/>
    <mergeCell ref="B688:I688"/>
    <mergeCell ref="C870:H870"/>
    <mergeCell ref="C826:G826"/>
    <mergeCell ref="C860:F860"/>
    <mergeCell ref="C734:G734"/>
    <mergeCell ref="C782:G782"/>
    <mergeCell ref="B786:I786"/>
    <mergeCell ref="C788:E788"/>
    <mergeCell ref="C780:G780"/>
    <mergeCell ref="C772:H772"/>
    <mergeCell ref="C739:D739"/>
    <mergeCell ref="C762:F762"/>
    <mergeCell ref="C741:D741"/>
    <mergeCell ref="C837:D837"/>
    <mergeCell ref="C811:F811"/>
    <mergeCell ref="C790:D790"/>
    <mergeCell ref="C783:G783"/>
    <mergeCell ref="C821:H821"/>
    <mergeCell ref="C829:G829"/>
    <mergeCell ref="C1033:E1033"/>
    <mergeCell ref="C1169:G1169"/>
    <mergeCell ref="C1154:F1154"/>
    <mergeCell ref="C1074:G1074"/>
    <mergeCell ref="C1035:D1035"/>
    <mergeCell ref="C1066:H1066"/>
    <mergeCell ref="C1056:F1056"/>
    <mergeCell ref="C1077:G1077"/>
    <mergeCell ref="C875:G875"/>
    <mergeCell ref="C886:D886"/>
    <mergeCell ref="C878:G878"/>
    <mergeCell ref="C880:G880"/>
    <mergeCell ref="B1080:I1080"/>
    <mergeCell ref="C1105:F1105"/>
    <mergeCell ref="C1017:H1017"/>
    <mergeCell ref="C984:E984"/>
    <mergeCell ref="C1007:F1007"/>
    <mergeCell ref="B1031:I1031"/>
    <mergeCell ref="C881:G881"/>
    <mergeCell ref="C888:D888"/>
    <mergeCell ref="C968:H968"/>
    <mergeCell ref="C958:F958"/>
    <mergeCell ref="C919:H919"/>
    <mergeCell ref="B884:I884"/>
    <mergeCell ref="B933:I933"/>
    <mergeCell ref="C935:E935"/>
    <mergeCell ref="C909:F909"/>
    <mergeCell ref="C1027:G1027"/>
    <mergeCell ref="C1022:G1022"/>
    <mergeCell ref="C973:G973"/>
    <mergeCell ref="C929:G929"/>
    <mergeCell ref="C1028:G1028"/>
    <mergeCell ref="C1025:G1025"/>
    <mergeCell ref="C930:G930"/>
    <mergeCell ref="C979:G979"/>
    <mergeCell ref="B982:I982"/>
    <mergeCell ref="C986:D986"/>
    <mergeCell ref="C924:G924"/>
    <mergeCell ref="C927:G927"/>
    <mergeCell ref="C937:D937"/>
    <mergeCell ref="C976:G976"/>
    <mergeCell ref="C978:G978"/>
    <mergeCell ref="C1218:G1218"/>
    <mergeCell ref="C1221:G1221"/>
    <mergeCell ref="C1175:G1175"/>
    <mergeCell ref="C1071:G1071"/>
    <mergeCell ref="C1126:G1126"/>
    <mergeCell ref="C1213:H1213"/>
    <mergeCell ref="C1203:F1203"/>
    <mergeCell ref="C1123:G1123"/>
    <mergeCell ref="C1115:H1115"/>
    <mergeCell ref="C1082:E1082"/>
    <mergeCell ref="C1076:G1076"/>
    <mergeCell ref="C1182:D1182"/>
    <mergeCell ref="C1164:H1164"/>
    <mergeCell ref="B1178:I1178"/>
    <mergeCell ref="B1129:I1129"/>
    <mergeCell ref="C1174:G1174"/>
    <mergeCell ref="C1131:E1131"/>
    <mergeCell ref="C1133:D1133"/>
    <mergeCell ref="C1180:E1180"/>
    <mergeCell ref="C1172:G1172"/>
    <mergeCell ref="C1120:G1120"/>
    <mergeCell ref="C1125:G1125"/>
    <mergeCell ref="C1084:D1084"/>
    <mergeCell ref="C1262:H1262"/>
    <mergeCell ref="C1273:G1273"/>
    <mergeCell ref="C1223:G1223"/>
    <mergeCell ref="C1224:G1224"/>
    <mergeCell ref="C1229:E1229"/>
    <mergeCell ref="C1252:F1252"/>
    <mergeCell ref="B1227:I1227"/>
    <mergeCell ref="C1267:G1267"/>
    <mergeCell ref="C1231:D1231"/>
    <mergeCell ref="C1322:G1322"/>
    <mergeCell ref="C1321:G1321"/>
    <mergeCell ref="C1270:G1270"/>
    <mergeCell ref="C1278:E1278"/>
    <mergeCell ref="C1272:G1272"/>
    <mergeCell ref="C1319:G1319"/>
    <mergeCell ref="C1301:F1301"/>
    <mergeCell ref="C1316:G1316"/>
    <mergeCell ref="C1311:H1311"/>
    <mergeCell ref="C1280:D1280"/>
    <mergeCell ref="B1276:I1276"/>
  </mergeCells>
  <phoneticPr fontId="8" type="noConversion"/>
  <hyperlinks>
    <hyperlink ref="M3" location="'3 Масаж'!A4" display="Масаж голови" xr:uid="{00000000-0004-0000-1400-000000000000}"/>
    <hyperlink ref="M4" location="'3 Масаж'!A53" display="Масаж обличчя" xr:uid="{00000000-0004-0000-1400-000001000000}"/>
    <hyperlink ref="M5" location="'3 Масаж'!A102" display="Масаж шиї" xr:uid="{00000000-0004-0000-1400-000002000000}"/>
    <hyperlink ref="M6" location="'3 Масаж'!A151" display="Масаж комірцевої зони" xr:uid="{00000000-0004-0000-1400-000003000000}"/>
    <hyperlink ref="M7" location="'3 Масаж'!A200" display="Масаж шийно-грудного відділу хребта" xr:uid="{00000000-0004-0000-1400-000004000000}"/>
    <hyperlink ref="M8" location="'3 Масаж'!A249" display="Масаж верхньої кінцівки, надпліччя й ділянки лопатки" xr:uid="{00000000-0004-0000-1400-000005000000}"/>
    <hyperlink ref="M9" location="'3 Масаж'!A298" display="Масаж верхньої кінцівки" xr:uid="{00000000-0004-0000-1400-000006000000}"/>
  </hyperlinks>
  <pageMargins left="0" right="0" top="0" bottom="0" header="0.31496062992125984" footer="0.31496062992125984"/>
  <pageSetup paperSize="9" scale="77" orientation="portrait" r:id="rId1"/>
  <rowBreaks count="26" manualBreakCount="26">
    <brk id="50" min="1" max="9" man="1"/>
    <brk id="99" min="1" max="9" man="1"/>
    <brk id="148" min="1" max="9" man="1"/>
    <brk id="197" min="1" max="9" man="1"/>
    <brk id="246" min="1" max="9" man="1"/>
    <brk id="295" min="1" max="9" man="1"/>
    <brk id="344" min="1" max="9" man="1"/>
    <brk id="393" min="1" max="9" man="1"/>
    <brk id="442" min="1" max="9" man="1"/>
    <brk id="491" min="1" max="9" man="1"/>
    <brk id="540" min="1" max="9" man="1"/>
    <brk id="589" min="1" max="9" man="1"/>
    <brk id="638" min="1" max="9" man="1"/>
    <brk id="687" min="1" max="9" man="1"/>
    <brk id="736" min="1" max="9" man="1"/>
    <brk id="785" min="1" max="9" man="1"/>
    <brk id="834" min="1" max="9" man="1"/>
    <brk id="883" min="1" max="9" man="1"/>
    <brk id="932" min="1" max="9" man="1"/>
    <brk id="981" min="1" max="9" man="1"/>
    <brk id="1030" min="1" max="9" man="1"/>
    <brk id="1079" min="1" max="9" man="1"/>
    <brk id="1128" min="1" max="9" man="1"/>
    <brk id="1177" min="1" max="9" man="1"/>
    <brk id="1226" min="1" max="9" man="1"/>
    <brk id="1275" min="1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W2013"/>
  <sheetViews>
    <sheetView view="pageBreakPreview" zoomScaleNormal="100" workbookViewId="0">
      <selection activeCell="J2" sqref="J2"/>
    </sheetView>
  </sheetViews>
  <sheetFormatPr defaultRowHeight="14.4" x14ac:dyDescent="0.3"/>
  <cols>
    <col min="1" max="1" width="8.5546875" style="7" customWidth="1"/>
    <col min="2" max="2" width="42.44140625" style="7" customWidth="1"/>
    <col min="3" max="3" width="13.5546875" style="74" customWidth="1"/>
    <col min="4" max="4" width="10.44140625" style="7" bestFit="1" customWidth="1"/>
    <col min="5" max="5" width="11" style="7" customWidth="1"/>
    <col min="6" max="6" width="14.109375" style="7" customWidth="1"/>
    <col min="7" max="7" width="10.44140625" style="7" bestFit="1" customWidth="1"/>
    <col min="8" max="8" width="9.33203125" style="7" bestFit="1" customWidth="1"/>
    <col min="9" max="9" width="8.88671875" style="7" customWidth="1"/>
    <col min="10" max="10" width="12" style="130" customWidth="1"/>
    <col min="11" max="13" width="9.109375" style="114"/>
    <col min="14" max="14" width="14.109375" style="114" customWidth="1"/>
    <col min="15" max="15" width="9.109375" style="123"/>
  </cols>
  <sheetData>
    <row r="1" spans="1:23" ht="7.5" customHeight="1" x14ac:dyDescent="0.3"/>
    <row r="2" spans="1:23" s="54" customFormat="1" ht="19.8" x14ac:dyDescent="0.4">
      <c r="A2" s="7"/>
      <c r="B2" s="7"/>
      <c r="C2" s="74"/>
      <c r="D2" s="7"/>
      <c r="E2" s="7"/>
      <c r="F2" s="7"/>
      <c r="G2" s="7"/>
      <c r="H2" s="7"/>
      <c r="I2" s="7"/>
      <c r="J2" s="130"/>
      <c r="K2" s="1053" t="s">
        <v>1023</v>
      </c>
      <c r="L2" s="1053"/>
      <c r="M2" s="1053"/>
      <c r="N2" s="1053"/>
      <c r="O2" s="123"/>
      <c r="P2"/>
      <c r="Q2" s="1053" t="s">
        <v>1128</v>
      </c>
      <c r="R2" s="1053"/>
      <c r="S2" s="1053"/>
      <c r="T2" s="1053"/>
      <c r="U2"/>
      <c r="V2"/>
      <c r="W2"/>
    </row>
    <row r="3" spans="1:23" s="54" customFormat="1" ht="19.8" x14ac:dyDescent="0.4">
      <c r="A3" s="128" t="s">
        <v>624</v>
      </c>
      <c r="B3" s="1017" t="s">
        <v>669</v>
      </c>
      <c r="C3" s="1017"/>
      <c r="D3" s="1017"/>
      <c r="E3" s="52">
        <f>G54</f>
        <v>53</v>
      </c>
      <c r="F3" s="52" t="s">
        <v>971</v>
      </c>
      <c r="G3" s="53"/>
      <c r="H3" s="124"/>
      <c r="I3" s="125" t="s">
        <v>1023</v>
      </c>
      <c r="J3" s="130"/>
      <c r="K3" s="106" t="s">
        <v>624</v>
      </c>
      <c r="L3" s="108" t="s">
        <v>669</v>
      </c>
      <c r="M3" s="107"/>
      <c r="N3" s="107"/>
      <c r="O3" s="123"/>
      <c r="P3"/>
      <c r="Q3" s="106" t="s">
        <v>624</v>
      </c>
      <c r="R3" s="108" t="s">
        <v>669</v>
      </c>
      <c r="S3" s="107"/>
      <c r="T3" s="107"/>
      <c r="U3"/>
      <c r="V3"/>
      <c r="W3"/>
    </row>
    <row r="4" spans="1:23" x14ac:dyDescent="0.3">
      <c r="K4" s="106" t="s">
        <v>626</v>
      </c>
      <c r="L4" s="108" t="s">
        <v>671</v>
      </c>
      <c r="M4" s="107"/>
      <c r="N4" s="107"/>
      <c r="Q4" s="106" t="s">
        <v>626</v>
      </c>
      <c r="R4" s="108" t="s">
        <v>671</v>
      </c>
      <c r="S4" s="107"/>
      <c r="T4" s="107"/>
    </row>
    <row r="5" spans="1:23" x14ac:dyDescent="0.3">
      <c r="B5" s="1018" t="s">
        <v>932</v>
      </c>
      <c r="C5" s="1018"/>
      <c r="D5" s="10"/>
      <c r="E5" s="11">
        <f>E12+E15+E13</f>
        <v>31.78</v>
      </c>
      <c r="F5" s="12" t="s">
        <v>971</v>
      </c>
      <c r="K5" s="106" t="s">
        <v>628</v>
      </c>
      <c r="L5" s="108" t="s">
        <v>673</v>
      </c>
      <c r="M5" s="107"/>
      <c r="N5" s="107"/>
      <c r="Q5" s="106" t="s">
        <v>628</v>
      </c>
      <c r="R5" s="108" t="s">
        <v>673</v>
      </c>
      <c r="S5" s="107"/>
      <c r="T5" s="107"/>
    </row>
    <row r="6" spans="1:23" x14ac:dyDescent="0.3">
      <c r="K6" s="106" t="s">
        <v>630</v>
      </c>
      <c r="L6" s="108" t="s">
        <v>675</v>
      </c>
      <c r="M6" s="107"/>
      <c r="N6" s="107"/>
      <c r="Q6" s="106" t="s">
        <v>630</v>
      </c>
      <c r="R6" s="108" t="s">
        <v>675</v>
      </c>
      <c r="S6" s="107"/>
      <c r="T6" s="107"/>
    </row>
    <row r="7" spans="1:23" ht="27.6" x14ac:dyDescent="0.3">
      <c r="B7" s="13" t="s">
        <v>929</v>
      </c>
      <c r="C7" s="14" t="s">
        <v>928</v>
      </c>
      <c r="D7" s="14" t="s">
        <v>514</v>
      </c>
      <c r="E7" s="14" t="s">
        <v>515</v>
      </c>
      <c r="F7" s="14" t="s">
        <v>962</v>
      </c>
      <c r="G7" s="14" t="s">
        <v>926</v>
      </c>
      <c r="H7" s="14" t="s">
        <v>516</v>
      </c>
      <c r="I7" s="14" t="s">
        <v>961</v>
      </c>
      <c r="K7" s="106" t="s">
        <v>632</v>
      </c>
      <c r="L7" s="109" t="s">
        <v>677</v>
      </c>
      <c r="M7" s="107"/>
      <c r="N7" s="107"/>
      <c r="Q7" s="106" t="s">
        <v>632</v>
      </c>
      <c r="R7" s="109" t="s">
        <v>677</v>
      </c>
      <c r="S7" s="107"/>
      <c r="T7" s="107"/>
    </row>
    <row r="8" spans="1:23" x14ac:dyDescent="0.3">
      <c r="B8" s="16" t="str">
        <f>ЗП!B26</f>
        <v>Лікар-рентгенолог</v>
      </c>
      <c r="C8" s="78">
        <f>ЗП!C26</f>
        <v>8463.5400000000009</v>
      </c>
      <c r="D8" s="16">
        <f>C8*12</f>
        <v>101562.48000000001</v>
      </c>
      <c r="E8" s="16">
        <f>ЗП!E26</f>
        <v>7052.95</v>
      </c>
      <c r="F8" s="16">
        <f>ЗП!F26</f>
        <v>3526.4749999999999</v>
      </c>
      <c r="G8" s="16">
        <f>D8+E8+F8</f>
        <v>112141.90500000001</v>
      </c>
      <c r="H8" s="17">
        <v>1932.7</v>
      </c>
      <c r="I8" s="16">
        <f>ROUND((G8/H8)/60,2)</f>
        <v>0.97</v>
      </c>
      <c r="K8" s="262" t="s">
        <v>634</v>
      </c>
      <c r="L8" s="148" t="s">
        <v>679</v>
      </c>
      <c r="M8" s="107"/>
      <c r="N8" s="107"/>
      <c r="Q8" s="262" t="s">
        <v>634</v>
      </c>
      <c r="R8" s="148" t="s">
        <v>679</v>
      </c>
      <c r="S8" s="107"/>
      <c r="T8" s="107"/>
    </row>
    <row r="9" spans="1:23" x14ac:dyDescent="0.3">
      <c r="B9" s="37" t="str">
        <f>ЗП!B44</f>
        <v>Рентгенолаборант</v>
      </c>
      <c r="C9" s="226">
        <f>ЗП!C44</f>
        <v>7482.48</v>
      </c>
      <c r="D9" s="24">
        <f>C9*12</f>
        <v>89789.759999999995</v>
      </c>
      <c r="E9" s="24">
        <f>ЗП!E44</f>
        <v>5755.75</v>
      </c>
      <c r="F9" s="24">
        <f>ЗП!F44</f>
        <v>2877.875</v>
      </c>
      <c r="G9" s="16">
        <f>D9+E9+F9</f>
        <v>98423.384999999995</v>
      </c>
      <c r="H9" s="62">
        <v>1506</v>
      </c>
      <c r="I9" s="16">
        <f>ROUND((G9/H9)/60,2)</f>
        <v>1.0900000000000001</v>
      </c>
      <c r="K9" s="262" t="s">
        <v>636</v>
      </c>
      <c r="L9" s="148" t="s">
        <v>681</v>
      </c>
      <c r="M9" s="107"/>
      <c r="N9" s="107"/>
      <c r="Q9" s="262" t="s">
        <v>636</v>
      </c>
      <c r="R9" s="148" t="s">
        <v>681</v>
      </c>
      <c r="S9" s="107"/>
      <c r="T9" s="107"/>
    </row>
    <row r="10" spans="1:23" x14ac:dyDescent="0.3">
      <c r="K10" s="262" t="s">
        <v>638</v>
      </c>
      <c r="L10" s="148" t="s">
        <v>683</v>
      </c>
      <c r="M10" s="107"/>
      <c r="N10" s="107"/>
      <c r="Q10" s="262" t="s">
        <v>638</v>
      </c>
      <c r="R10" s="148" t="s">
        <v>683</v>
      </c>
      <c r="S10" s="107"/>
      <c r="T10" s="107"/>
    </row>
    <row r="11" spans="1:23" ht="27.6" x14ac:dyDescent="0.4">
      <c r="B11" s="13" t="s">
        <v>929</v>
      </c>
      <c r="C11" s="14" t="s">
        <v>961</v>
      </c>
      <c r="D11" s="14" t="s">
        <v>930</v>
      </c>
      <c r="E11" s="14" t="s">
        <v>931</v>
      </c>
      <c r="J11" s="291">
        <f>E848</f>
        <v>34</v>
      </c>
      <c r="K11" s="262" t="s">
        <v>640</v>
      </c>
      <c r="L11" s="119" t="s">
        <v>685</v>
      </c>
      <c r="M11" s="107"/>
      <c r="N11" s="107"/>
      <c r="Q11" s="262" t="s">
        <v>640</v>
      </c>
      <c r="R11" s="119" t="s">
        <v>685</v>
      </c>
      <c r="S11" s="107"/>
      <c r="T11" s="107"/>
    </row>
    <row r="12" spans="1:23" x14ac:dyDescent="0.3">
      <c r="B12" s="15" t="str">
        <f>B8</f>
        <v>Лікар-рентгенолог</v>
      </c>
      <c r="C12" s="78">
        <f>I8</f>
        <v>0.97</v>
      </c>
      <c r="D12" s="17">
        <v>10</v>
      </c>
      <c r="E12" s="18">
        <f>ROUND(C12*D12,2)</f>
        <v>9.6999999999999993</v>
      </c>
      <c r="K12" s="262" t="s">
        <v>642</v>
      </c>
      <c r="L12" s="148" t="s">
        <v>687</v>
      </c>
      <c r="M12" s="107"/>
      <c r="N12" s="107"/>
      <c r="Q12" s="262" t="s">
        <v>642</v>
      </c>
      <c r="R12" s="148" t="s">
        <v>687</v>
      </c>
      <c r="S12" s="107"/>
      <c r="T12" s="107"/>
    </row>
    <row r="13" spans="1:23" x14ac:dyDescent="0.3">
      <c r="B13" s="15" t="str">
        <f>B9</f>
        <v>Рентгенолаборант</v>
      </c>
      <c r="C13" s="78">
        <f>I9</f>
        <v>1.0900000000000001</v>
      </c>
      <c r="D13" s="17">
        <v>15</v>
      </c>
      <c r="E13" s="18">
        <f>ROUND(C13*D13,2)</f>
        <v>16.350000000000001</v>
      </c>
      <c r="K13" s="262" t="s">
        <v>644</v>
      </c>
      <c r="L13" s="148" t="s">
        <v>689</v>
      </c>
      <c r="M13" s="107"/>
      <c r="N13" s="107"/>
      <c r="Q13" s="262" t="s">
        <v>644</v>
      </c>
      <c r="R13" s="148" t="s">
        <v>689</v>
      </c>
      <c r="S13" s="107"/>
      <c r="T13" s="107"/>
    </row>
    <row r="14" spans="1:23" x14ac:dyDescent="0.3">
      <c r="C14" s="19"/>
      <c r="K14" s="262" t="s">
        <v>646</v>
      </c>
      <c r="L14" s="148" t="s">
        <v>691</v>
      </c>
      <c r="M14" s="107"/>
      <c r="N14" s="107"/>
      <c r="Q14" s="262" t="s">
        <v>646</v>
      </c>
      <c r="R14" s="148" t="s">
        <v>691</v>
      </c>
      <c r="S14" s="107"/>
      <c r="T14" s="107"/>
    </row>
    <row r="15" spans="1:23" x14ac:dyDescent="0.3">
      <c r="B15" s="17" t="s">
        <v>933</v>
      </c>
      <c r="C15" s="78">
        <f>E12+E13</f>
        <v>26.05</v>
      </c>
      <c r="D15" s="20">
        <v>0.22</v>
      </c>
      <c r="E15" s="21">
        <f>ROUND(C15*D15,2)</f>
        <v>5.73</v>
      </c>
      <c r="K15" s="262" t="s">
        <v>648</v>
      </c>
      <c r="L15" s="148" t="s">
        <v>693</v>
      </c>
      <c r="M15" s="107"/>
      <c r="N15" s="107"/>
      <c r="Q15" s="262" t="s">
        <v>648</v>
      </c>
      <c r="R15" s="148" t="s">
        <v>693</v>
      </c>
      <c r="S15" s="107"/>
      <c r="T15" s="107"/>
    </row>
    <row r="16" spans="1:23" x14ac:dyDescent="0.3">
      <c r="K16" s="262" t="s">
        <v>650</v>
      </c>
      <c r="L16" s="148" t="s">
        <v>695</v>
      </c>
      <c r="M16" s="107"/>
      <c r="N16" s="107"/>
      <c r="Q16" s="262" t="s">
        <v>650</v>
      </c>
      <c r="R16" s="148" t="s">
        <v>695</v>
      </c>
      <c r="S16" s="107"/>
      <c r="T16" s="107"/>
    </row>
    <row r="17" spans="1:20" x14ac:dyDescent="0.3">
      <c r="B17" s="12" t="s">
        <v>946</v>
      </c>
      <c r="C17" s="227"/>
      <c r="D17" s="12"/>
      <c r="E17" s="11">
        <f>F28</f>
        <v>18.11</v>
      </c>
      <c r="F17" s="12" t="s">
        <v>971</v>
      </c>
      <c r="K17" s="262" t="s">
        <v>652</v>
      </c>
      <c r="L17" s="148" t="s">
        <v>697</v>
      </c>
      <c r="M17" s="107"/>
      <c r="N17" s="107"/>
      <c r="Q17" s="262" t="s">
        <v>652</v>
      </c>
      <c r="R17" s="148" t="s">
        <v>697</v>
      </c>
      <c r="S17" s="107"/>
      <c r="T17" s="107"/>
    </row>
    <row r="18" spans="1:20" x14ac:dyDescent="0.3">
      <c r="K18" s="262" t="s">
        <v>654</v>
      </c>
      <c r="L18" s="148" t="s">
        <v>699</v>
      </c>
      <c r="M18" s="107"/>
      <c r="N18" s="107"/>
      <c r="Q18" s="262" t="s">
        <v>654</v>
      </c>
      <c r="R18" s="148" t="s">
        <v>699</v>
      </c>
      <c r="S18" s="107"/>
      <c r="T18" s="107"/>
    </row>
    <row r="19" spans="1:20" x14ac:dyDescent="0.3">
      <c r="B19" s="27" t="s">
        <v>936</v>
      </c>
      <c r="C19" s="28" t="s">
        <v>937</v>
      </c>
      <c r="D19" s="29">
        <v>1</v>
      </c>
      <c r="E19" s="30">
        <f>'МЕДИЧНІ М'!F115</f>
        <v>0.3</v>
      </c>
      <c r="F19" s="30">
        <f>ROUND(D19*E19,2)</f>
        <v>0.3</v>
      </c>
      <c r="K19" s="262" t="s">
        <v>656</v>
      </c>
      <c r="L19" s="148" t="s">
        <v>700</v>
      </c>
      <c r="M19" s="107"/>
      <c r="N19" s="107"/>
      <c r="Q19" s="262" t="s">
        <v>656</v>
      </c>
      <c r="R19" s="148" t="s">
        <v>700</v>
      </c>
      <c r="S19" s="107"/>
      <c r="T19" s="107"/>
    </row>
    <row r="20" spans="1:20" s="184" customFormat="1" x14ac:dyDescent="0.3">
      <c r="A20" s="180"/>
      <c r="B20" s="185" t="s">
        <v>1021</v>
      </c>
      <c r="C20" s="186" t="s">
        <v>941</v>
      </c>
      <c r="D20" s="164">
        <v>0.5</v>
      </c>
      <c r="E20" s="164">
        <f>'МЕДИЧНІ М'!E181</f>
        <v>2</v>
      </c>
      <c r="F20" s="164">
        <f t="shared" ref="F20:F27" si="0">ROUND(D20*E20,2)</f>
        <v>1</v>
      </c>
      <c r="G20" s="180"/>
      <c r="H20" s="180"/>
      <c r="I20" s="180"/>
      <c r="J20" s="187"/>
      <c r="K20" s="189"/>
      <c r="L20" s="189"/>
      <c r="M20" s="189"/>
      <c r="N20" s="189"/>
      <c r="O20" s="188"/>
    </row>
    <row r="21" spans="1:20" x14ac:dyDescent="0.3">
      <c r="B21" s="15" t="s">
        <v>1216</v>
      </c>
      <c r="C21" s="73" t="s">
        <v>941</v>
      </c>
      <c r="D21" s="17">
        <v>0.1</v>
      </c>
      <c r="E21" s="16">
        <f>'МЕДИЧНІ М'!E113</f>
        <v>8</v>
      </c>
      <c r="F21" s="17">
        <f t="shared" si="0"/>
        <v>0.8</v>
      </c>
    </row>
    <row r="22" spans="1:20" x14ac:dyDescent="0.3">
      <c r="B22" s="15" t="str">
        <f>'МЕДИЧНІ М'!B321</f>
        <v>Рентген 24 * 30 № 100</v>
      </c>
      <c r="C22" s="73" t="s">
        <v>941</v>
      </c>
      <c r="D22" s="17">
        <v>1</v>
      </c>
      <c r="E22" s="16">
        <f>'МЕДИЧНІ М'!F321</f>
        <v>12.2</v>
      </c>
      <c r="F22" s="17">
        <f t="shared" si="0"/>
        <v>12.2</v>
      </c>
    </row>
    <row r="23" spans="1:20" ht="28.2" x14ac:dyDescent="0.3">
      <c r="B23" s="15" t="s">
        <v>1025</v>
      </c>
      <c r="C23" s="73" t="s">
        <v>941</v>
      </c>
      <c r="D23" s="17">
        <v>0.02</v>
      </c>
      <c r="E23" s="17">
        <f>'МЕДИЧНІ М'!F121</f>
        <v>54</v>
      </c>
      <c r="F23" s="17">
        <f t="shared" si="0"/>
        <v>1.08</v>
      </c>
    </row>
    <row r="24" spans="1:20" x14ac:dyDescent="0.3">
      <c r="B24" s="15" t="s">
        <v>1024</v>
      </c>
      <c r="C24" s="73" t="s">
        <v>941</v>
      </c>
      <c r="D24" s="17">
        <v>0.02</v>
      </c>
      <c r="E24" s="17">
        <f>'МЕДИЧНІ М'!F118</f>
        <v>97.3</v>
      </c>
      <c r="F24" s="17">
        <f t="shared" si="0"/>
        <v>1.95</v>
      </c>
    </row>
    <row r="25" spans="1:20" x14ac:dyDescent="0.3">
      <c r="B25" s="15" t="s">
        <v>964</v>
      </c>
      <c r="C25" s="73" t="s">
        <v>941</v>
      </c>
      <c r="D25" s="17">
        <v>0.1</v>
      </c>
      <c r="E25" s="16">
        <f>'МЕДИЧНІ М'!E119</f>
        <v>2.8</v>
      </c>
      <c r="F25" s="17">
        <f t="shared" si="0"/>
        <v>0.28000000000000003</v>
      </c>
    </row>
    <row r="26" spans="1:20" x14ac:dyDescent="0.3">
      <c r="B26" s="27" t="s">
        <v>942</v>
      </c>
      <c r="C26" s="28" t="s">
        <v>941</v>
      </c>
      <c r="D26" s="29">
        <v>0.01</v>
      </c>
      <c r="E26" s="29">
        <f>'МЕДИЧНІ М'!E120</f>
        <v>24.6</v>
      </c>
      <c r="F26" s="30">
        <f t="shared" si="0"/>
        <v>0.25</v>
      </c>
    </row>
    <row r="27" spans="1:20" x14ac:dyDescent="0.3">
      <c r="B27" s="27" t="s">
        <v>1124</v>
      </c>
      <c r="C27" s="28" t="s">
        <v>944</v>
      </c>
      <c r="D27" s="29">
        <v>0.5</v>
      </c>
      <c r="E27" s="29">
        <f>'МЕДИЧНІ М'!E114</f>
        <v>0.5</v>
      </c>
      <c r="F27" s="30">
        <f t="shared" si="0"/>
        <v>0.25</v>
      </c>
    </row>
    <row r="28" spans="1:20" x14ac:dyDescent="0.3">
      <c r="B28" s="1019" t="s">
        <v>945</v>
      </c>
      <c r="C28" s="1019"/>
      <c r="D28" s="1019"/>
      <c r="E28" s="1019"/>
      <c r="F28" s="89">
        <f>SUM(F19:F27)</f>
        <v>18.11</v>
      </c>
    </row>
    <row r="29" spans="1:20" ht="7.5" customHeight="1" x14ac:dyDescent="0.3"/>
    <row r="30" spans="1:20" x14ac:dyDescent="0.3">
      <c r="B30" s="12" t="s">
        <v>968</v>
      </c>
      <c r="C30" s="227"/>
      <c r="D30" s="12"/>
      <c r="E30" s="11">
        <f>SUM(G33:G34)</f>
        <v>0</v>
      </c>
      <c r="F30" s="12" t="s">
        <v>971</v>
      </c>
    </row>
    <row r="31" spans="1:20" ht="6" customHeight="1" x14ac:dyDescent="0.3">
      <c r="B31" s="22"/>
      <c r="C31" s="36"/>
      <c r="D31" s="22"/>
      <c r="E31" s="23"/>
      <c r="F31" s="22"/>
    </row>
    <row r="32" spans="1:20" ht="27.6" x14ac:dyDescent="0.3">
      <c r="B32" s="14" t="s">
        <v>513</v>
      </c>
      <c r="C32" s="14" t="s">
        <v>1108</v>
      </c>
      <c r="D32" s="14" t="s">
        <v>516</v>
      </c>
      <c r="E32" s="14" t="s">
        <v>970</v>
      </c>
      <c r="F32" s="14" t="s">
        <v>930</v>
      </c>
      <c r="G32" s="14" t="s">
        <v>961</v>
      </c>
    </row>
    <row r="33" spans="2:8" x14ac:dyDescent="0.3">
      <c r="B33" s="46" t="s">
        <v>1158</v>
      </c>
      <c r="C33" s="78">
        <f>АМОРТИЗАЦІЯ!C22</f>
        <v>0</v>
      </c>
      <c r="D33" s="17">
        <f>H8</f>
        <v>1932.7</v>
      </c>
      <c r="E33" s="16">
        <f>ROUND((C33/D33)/60,2)</f>
        <v>0</v>
      </c>
      <c r="F33" s="17">
        <f>D12</f>
        <v>10</v>
      </c>
      <c r="G33" s="16">
        <f>ROUND(E33*F33,2)</f>
        <v>0</v>
      </c>
    </row>
    <row r="34" spans="2:8" x14ac:dyDescent="0.3">
      <c r="B34" s="27" t="s">
        <v>1093</v>
      </c>
      <c r="C34" s="78">
        <f>АМОРТИЗАЦІЯ!C22</f>
        <v>0</v>
      </c>
      <c r="D34" s="62">
        <f>H9</f>
        <v>1506</v>
      </c>
      <c r="E34" s="17">
        <f>ROUND((C34/D34)/60,2)</f>
        <v>0</v>
      </c>
      <c r="F34" s="17">
        <f>D13</f>
        <v>15</v>
      </c>
      <c r="G34" s="16">
        <f>ROUND(E34*F34,2)</f>
        <v>0</v>
      </c>
      <c r="H34" s="38"/>
    </row>
    <row r="35" spans="2:8" ht="6" customHeight="1" x14ac:dyDescent="0.3"/>
    <row r="36" spans="2:8" x14ac:dyDescent="0.3">
      <c r="B36" s="12" t="s">
        <v>948</v>
      </c>
      <c r="C36" s="227"/>
      <c r="D36" s="12"/>
      <c r="E36" s="11">
        <f>G49</f>
        <v>3.45</v>
      </c>
      <c r="F36" s="12" t="s">
        <v>971</v>
      </c>
    </row>
    <row r="37" spans="2:8" ht="6" customHeight="1" x14ac:dyDescent="0.3">
      <c r="B37" s="22"/>
      <c r="C37" s="36"/>
      <c r="D37" s="22"/>
      <c r="E37" s="23"/>
    </row>
    <row r="38" spans="2:8" ht="27.6" x14ac:dyDescent="0.3">
      <c r="B38" s="14" t="s">
        <v>948</v>
      </c>
      <c r="C38" s="14" t="s">
        <v>1110</v>
      </c>
      <c r="D38" s="14" t="s">
        <v>516</v>
      </c>
      <c r="E38" s="14" t="s">
        <v>954</v>
      </c>
      <c r="F38" s="14" t="s">
        <v>930</v>
      </c>
      <c r="G38" s="14" t="s">
        <v>1111</v>
      </c>
    </row>
    <row r="39" spans="2:8" x14ac:dyDescent="0.3">
      <c r="B39" s="1009" t="str">
        <f>B8</f>
        <v>Лікар-рентгенолог</v>
      </c>
      <c r="C39" s="1010"/>
      <c r="D39" s="1010"/>
      <c r="E39" s="1010"/>
      <c r="F39" s="1010"/>
      <c r="G39" s="1011"/>
    </row>
    <row r="40" spans="2:8" x14ac:dyDescent="0.3">
      <c r="B40" s="17" t="s">
        <v>951</v>
      </c>
      <c r="C40" s="221">
        <f>НАКЛАДНІ!F4</f>
        <v>12188.608008565312</v>
      </c>
      <c r="D40" s="17">
        <f>H8</f>
        <v>1932.7</v>
      </c>
      <c r="E40" s="17">
        <f>ROUND((C40/D40)/60,2)</f>
        <v>0.11</v>
      </c>
      <c r="F40" s="17">
        <f>D12</f>
        <v>10</v>
      </c>
      <c r="G40" s="16">
        <f>ROUND(E40*F40,2)</f>
        <v>1.1000000000000001</v>
      </c>
    </row>
    <row r="41" spans="2:8" x14ac:dyDescent="0.3">
      <c r="B41" s="17" t="s">
        <v>952</v>
      </c>
      <c r="C41" s="221">
        <f>НАКЛАДНІ!F5</f>
        <v>53.149721627408987</v>
      </c>
      <c r="D41" s="17">
        <f>H8</f>
        <v>1932.7</v>
      </c>
      <c r="E41" s="17">
        <f>ROUND((C41/D41)/60,2)</f>
        <v>0</v>
      </c>
      <c r="F41" s="17">
        <f>D12</f>
        <v>10</v>
      </c>
      <c r="G41" s="16">
        <f>ROUND(E41*F41,2)</f>
        <v>0</v>
      </c>
    </row>
    <row r="42" spans="2:8" x14ac:dyDescent="0.3">
      <c r="B42" s="17" t="s">
        <v>953</v>
      </c>
      <c r="C42" s="221">
        <f>НАКЛАДНІ!F6</f>
        <v>374.98368308351178</v>
      </c>
      <c r="D42" s="17">
        <f>H8</f>
        <v>1932.7</v>
      </c>
      <c r="E42" s="17">
        <f>ROUND((C42/D42)/60,2)</f>
        <v>0</v>
      </c>
      <c r="F42" s="17">
        <f>D12</f>
        <v>10</v>
      </c>
      <c r="G42" s="16">
        <f>ROUND(E42*F42,2)</f>
        <v>0</v>
      </c>
    </row>
    <row r="43" spans="2:8" x14ac:dyDescent="0.3">
      <c r="B43" s="17" t="s">
        <v>1109</v>
      </c>
      <c r="C43" s="221">
        <f>НАКЛАДНІ!F7</f>
        <v>1686.0389293361886</v>
      </c>
      <c r="D43" s="17">
        <f>H8</f>
        <v>1932.7</v>
      </c>
      <c r="E43" s="17">
        <f>ROUND((C43/D43)/60,2)</f>
        <v>0.01</v>
      </c>
      <c r="F43" s="17">
        <f>D12</f>
        <v>10</v>
      </c>
      <c r="G43" s="16">
        <f>ROUND(E43*F43,2)</f>
        <v>0.1</v>
      </c>
    </row>
    <row r="44" spans="2:8" x14ac:dyDescent="0.3">
      <c r="B44" s="1009" t="str">
        <f>B9</f>
        <v>Рентгенолаборант</v>
      </c>
      <c r="C44" s="1010"/>
      <c r="D44" s="1010"/>
      <c r="E44" s="1010"/>
      <c r="F44" s="1010"/>
      <c r="G44" s="1011"/>
    </row>
    <row r="45" spans="2:8" x14ac:dyDescent="0.3">
      <c r="B45" s="17" t="s">
        <v>951</v>
      </c>
      <c r="C45" s="221">
        <f>C40</f>
        <v>12188.608008565312</v>
      </c>
      <c r="D45" s="17">
        <f>H9</f>
        <v>1506</v>
      </c>
      <c r="E45" s="17">
        <f>ROUND((C45/D45)/60,2)</f>
        <v>0.13</v>
      </c>
      <c r="F45" s="17">
        <f>D13</f>
        <v>15</v>
      </c>
      <c r="G45" s="16">
        <f>ROUND(E45*F45,2)</f>
        <v>1.95</v>
      </c>
    </row>
    <row r="46" spans="2:8" x14ac:dyDescent="0.3">
      <c r="B46" s="17" t="s">
        <v>952</v>
      </c>
      <c r="C46" s="221">
        <f>C41</f>
        <v>53.149721627408987</v>
      </c>
      <c r="D46" s="17">
        <f>H9</f>
        <v>1506</v>
      </c>
      <c r="E46" s="17">
        <f>ROUND((C46/D46)/60,2)</f>
        <v>0</v>
      </c>
      <c r="F46" s="17">
        <f>D13</f>
        <v>15</v>
      </c>
      <c r="G46" s="16">
        <f>ROUND(E46*F46,2)</f>
        <v>0</v>
      </c>
    </row>
    <row r="47" spans="2:8" x14ac:dyDescent="0.3">
      <c r="B47" s="17" t="s">
        <v>953</v>
      </c>
      <c r="C47" s="221">
        <f>C42</f>
        <v>374.98368308351178</v>
      </c>
      <c r="D47" s="17">
        <f>H9</f>
        <v>1506</v>
      </c>
      <c r="E47" s="17">
        <f>ROUND((C47/D47)/60,2)</f>
        <v>0</v>
      </c>
      <c r="F47" s="17">
        <f>D13</f>
        <v>15</v>
      </c>
      <c r="G47" s="16">
        <f>ROUND(E47*F47,2)</f>
        <v>0</v>
      </c>
    </row>
    <row r="48" spans="2:8" x14ac:dyDescent="0.3">
      <c r="B48" s="17" t="s">
        <v>1109</v>
      </c>
      <c r="C48" s="221">
        <f>C43</f>
        <v>1686.0389293361886</v>
      </c>
      <c r="D48" s="17">
        <f>H9</f>
        <v>1506</v>
      </c>
      <c r="E48" s="17">
        <f>ROUND((C48/D48)/60,2)</f>
        <v>0.02</v>
      </c>
      <c r="F48" s="17">
        <f>D13</f>
        <v>15</v>
      </c>
      <c r="G48" s="16">
        <f>ROUND(E48*F48,2)</f>
        <v>0.3</v>
      </c>
    </row>
    <row r="49" spans="1:15" x14ac:dyDescent="0.3">
      <c r="B49" s="1012" t="s">
        <v>957</v>
      </c>
      <c r="C49" s="1013"/>
      <c r="D49" s="1013"/>
      <c r="E49" s="1013"/>
      <c r="F49" s="1014"/>
      <c r="G49" s="18">
        <f>SUM(G40:G48)</f>
        <v>3.45</v>
      </c>
    </row>
    <row r="51" spans="1:15" hidden="1" x14ac:dyDescent="0.3"/>
    <row r="52" spans="1:15" x14ac:dyDescent="0.3">
      <c r="B52" s="1015" t="s">
        <v>959</v>
      </c>
      <c r="C52" s="1015"/>
      <c r="D52" s="1015"/>
      <c r="E52" s="1015"/>
      <c r="F52" s="1015"/>
      <c r="G52" s="32">
        <f>E5+E17+E30+E36</f>
        <v>53.34</v>
      </c>
    </row>
    <row r="53" spans="1:15" x14ac:dyDescent="0.3">
      <c r="B53" s="33"/>
      <c r="C53" s="33"/>
      <c r="D53" s="33"/>
      <c r="E53" s="33"/>
      <c r="F53" s="33"/>
      <c r="G53" s="34"/>
    </row>
    <row r="54" spans="1:15" x14ac:dyDescent="0.3">
      <c r="B54" s="1015" t="s">
        <v>960</v>
      </c>
      <c r="C54" s="1015"/>
      <c r="D54" s="1015"/>
      <c r="E54" s="1015"/>
      <c r="F54" s="1015"/>
      <c r="G54" s="32">
        <f>ROUND(G52,0)</f>
        <v>53</v>
      </c>
    </row>
    <row r="56" spans="1:15" s="54" customFormat="1" ht="19.8" x14ac:dyDescent="0.4">
      <c r="A56" s="50" t="s">
        <v>624</v>
      </c>
      <c r="B56" s="1017" t="s">
        <v>669</v>
      </c>
      <c r="C56" s="1017"/>
      <c r="D56" s="1017"/>
      <c r="E56" s="52">
        <f>G106</f>
        <v>41</v>
      </c>
      <c r="F56" s="52" t="s">
        <v>971</v>
      </c>
      <c r="G56" s="53"/>
      <c r="H56" s="124"/>
      <c r="I56" s="125" t="s">
        <v>1128</v>
      </c>
      <c r="J56" s="130"/>
      <c r="K56" s="114"/>
      <c r="L56" s="114"/>
      <c r="M56" s="114"/>
      <c r="N56" s="126"/>
      <c r="O56" s="127"/>
    </row>
    <row r="57" spans="1:15" s="54" customFormat="1" ht="19.8" x14ac:dyDescent="0.4">
      <c r="A57" s="7"/>
      <c r="B57" s="7"/>
      <c r="C57" s="74"/>
      <c r="D57" s="7"/>
      <c r="E57" s="7"/>
      <c r="F57" s="7"/>
      <c r="G57" s="7"/>
      <c r="H57" s="7"/>
      <c r="I57" s="7"/>
      <c r="J57" s="130"/>
      <c r="K57" s="114"/>
      <c r="L57" s="114"/>
      <c r="M57" s="114"/>
      <c r="N57" s="126"/>
      <c r="O57" s="127"/>
    </row>
    <row r="58" spans="1:15" s="54" customFormat="1" ht="19.8" x14ac:dyDescent="0.4">
      <c r="A58" s="7"/>
      <c r="B58" s="1018" t="s">
        <v>932</v>
      </c>
      <c r="C58" s="1018"/>
      <c r="D58" s="10"/>
      <c r="E58" s="11">
        <f>E65+E68+E66</f>
        <v>31.78</v>
      </c>
      <c r="F58" s="12" t="s">
        <v>971</v>
      </c>
      <c r="G58" s="7"/>
      <c r="H58" s="7"/>
      <c r="I58" s="7"/>
      <c r="J58" s="130"/>
      <c r="K58" s="114"/>
      <c r="L58" s="114"/>
      <c r="M58" s="114"/>
      <c r="N58" s="126"/>
      <c r="O58" s="127"/>
    </row>
    <row r="60" spans="1:15" ht="27.6" x14ac:dyDescent="0.3">
      <c r="B60" s="13" t="s">
        <v>929</v>
      </c>
      <c r="C60" s="14" t="s">
        <v>928</v>
      </c>
      <c r="D60" s="14" t="s">
        <v>514</v>
      </c>
      <c r="E60" s="14" t="s">
        <v>515</v>
      </c>
      <c r="F60" s="14" t="s">
        <v>962</v>
      </c>
      <c r="G60" s="14" t="s">
        <v>926</v>
      </c>
      <c r="H60" s="14" t="s">
        <v>516</v>
      </c>
      <c r="I60" s="14" t="s">
        <v>961</v>
      </c>
    </row>
    <row r="61" spans="1:15" x14ac:dyDescent="0.3">
      <c r="B61" s="16" t="str">
        <f>B8</f>
        <v>Лікар-рентгенолог</v>
      </c>
      <c r="C61" s="78">
        <f>C8</f>
        <v>8463.5400000000009</v>
      </c>
      <c r="D61" s="16">
        <f>C61*12</f>
        <v>101562.48000000001</v>
      </c>
      <c r="E61" s="16">
        <f>E8</f>
        <v>7052.95</v>
      </c>
      <c r="F61" s="121">
        <f>F8</f>
        <v>3526.4749999999999</v>
      </c>
      <c r="G61" s="16">
        <f>D61+E61+F61</f>
        <v>112141.90500000001</v>
      </c>
      <c r="H61" s="17">
        <v>1932.7</v>
      </c>
      <c r="I61" s="16">
        <f>ROUND((G61/H61)/60,2)</f>
        <v>0.97</v>
      </c>
    </row>
    <row r="62" spans="1:15" x14ac:dyDescent="0.3">
      <c r="B62" s="37" t="str">
        <f>B9</f>
        <v>Рентгенолаборант</v>
      </c>
      <c r="C62" s="228">
        <f>C9</f>
        <v>7482.48</v>
      </c>
      <c r="D62" s="24">
        <f>C62*12</f>
        <v>89789.759999999995</v>
      </c>
      <c r="E62" s="37">
        <f>E9</f>
        <v>5755.75</v>
      </c>
      <c r="F62" s="122">
        <f>F9</f>
        <v>2877.875</v>
      </c>
      <c r="G62" s="16">
        <f>D62+E62+F62</f>
        <v>98423.384999999995</v>
      </c>
      <c r="H62" s="62">
        <v>1506</v>
      </c>
      <c r="I62" s="16">
        <f>ROUND((G62/H62)/60,2)</f>
        <v>1.0900000000000001</v>
      </c>
    </row>
    <row r="64" spans="1:15" ht="27.6" x14ac:dyDescent="0.3">
      <c r="B64" s="13" t="s">
        <v>929</v>
      </c>
      <c r="C64" s="14" t="s">
        <v>961</v>
      </c>
      <c r="D64" s="14" t="s">
        <v>930</v>
      </c>
      <c r="E64" s="14" t="s">
        <v>931</v>
      </c>
    </row>
    <row r="65" spans="1:15" x14ac:dyDescent="0.3">
      <c r="B65" s="15" t="str">
        <f>B61</f>
        <v>Лікар-рентгенолог</v>
      </c>
      <c r="C65" s="78">
        <f>I61</f>
        <v>0.97</v>
      </c>
      <c r="D65" s="17">
        <v>10</v>
      </c>
      <c r="E65" s="18">
        <f>ROUND(C65*D65,2)</f>
        <v>9.6999999999999993</v>
      </c>
    </row>
    <row r="66" spans="1:15" x14ac:dyDescent="0.3">
      <c r="B66" s="15" t="str">
        <f>B62</f>
        <v>Рентгенолаборант</v>
      </c>
      <c r="C66" s="78">
        <f>I62</f>
        <v>1.0900000000000001</v>
      </c>
      <c r="D66" s="17">
        <v>15</v>
      </c>
      <c r="E66" s="18">
        <f>ROUND(C66*D66,2)</f>
        <v>16.350000000000001</v>
      </c>
    </row>
    <row r="67" spans="1:15" x14ac:dyDescent="0.3">
      <c r="C67" s="19"/>
    </row>
    <row r="68" spans="1:15" x14ac:dyDescent="0.3">
      <c r="B68" s="17" t="s">
        <v>933</v>
      </c>
      <c r="C68" s="78">
        <f>E65+E66</f>
        <v>26.05</v>
      </c>
      <c r="D68" s="20">
        <v>0.22</v>
      </c>
      <c r="E68" s="21">
        <f>ROUND(C68*D68,2)</f>
        <v>5.73</v>
      </c>
    </row>
    <row r="70" spans="1:15" x14ac:dyDescent="0.3">
      <c r="B70" s="12" t="s">
        <v>946</v>
      </c>
      <c r="C70" s="227"/>
      <c r="D70" s="12"/>
      <c r="E70" s="11">
        <f>F80</f>
        <v>5.91</v>
      </c>
      <c r="F70" s="12" t="s">
        <v>971</v>
      </c>
    </row>
    <row r="72" spans="1:15" x14ac:dyDescent="0.3">
      <c r="B72" s="27" t="s">
        <v>936</v>
      </c>
      <c r="C72" s="28" t="s">
        <v>937</v>
      </c>
      <c r="D72" s="29">
        <v>1</v>
      </c>
      <c r="E72" s="30">
        <f>'МЕДИЧНІ М'!F115</f>
        <v>0.3</v>
      </c>
      <c r="F72" s="30">
        <f t="shared" ref="F72:F79" si="1">ROUND(D72*E72,2)</f>
        <v>0.3</v>
      </c>
    </row>
    <row r="73" spans="1:15" s="184" customFormat="1" x14ac:dyDescent="0.3">
      <c r="A73" s="180"/>
      <c r="B73" s="185" t="s">
        <v>1021</v>
      </c>
      <c r="C73" s="186" t="s">
        <v>941</v>
      </c>
      <c r="D73" s="164">
        <v>0.5</v>
      </c>
      <c r="E73" s="164">
        <f>'МЕДИЧНІ М'!E181</f>
        <v>2</v>
      </c>
      <c r="F73" s="164">
        <f t="shared" si="1"/>
        <v>1</v>
      </c>
      <c r="G73" s="180"/>
      <c r="H73" s="180"/>
      <c r="I73" s="180"/>
      <c r="J73" s="187"/>
      <c r="K73" s="189"/>
      <c r="L73" s="189"/>
      <c r="M73" s="189"/>
      <c r="N73" s="189"/>
      <c r="O73" s="188"/>
    </row>
    <row r="74" spans="1:15" x14ac:dyDescent="0.3">
      <c r="B74" s="15" t="s">
        <v>1216</v>
      </c>
      <c r="C74" s="73" t="s">
        <v>941</v>
      </c>
      <c r="D74" s="17">
        <v>0.1</v>
      </c>
      <c r="E74" s="16">
        <f>'МЕДИЧНІ М'!E113</f>
        <v>8</v>
      </c>
      <c r="F74" s="17">
        <f t="shared" si="1"/>
        <v>0.8</v>
      </c>
    </row>
    <row r="75" spans="1:15" ht="28.2" x14ac:dyDescent="0.3">
      <c r="B75" s="15" t="s">
        <v>1025</v>
      </c>
      <c r="C75" s="73" t="s">
        <v>941</v>
      </c>
      <c r="D75" s="17">
        <v>0.02</v>
      </c>
      <c r="E75" s="17">
        <f>'МЕДИЧНІ М'!F121</f>
        <v>54</v>
      </c>
      <c r="F75" s="17">
        <f t="shared" si="1"/>
        <v>1.08</v>
      </c>
    </row>
    <row r="76" spans="1:15" x14ac:dyDescent="0.3">
      <c r="B76" s="15" t="s">
        <v>1024</v>
      </c>
      <c r="C76" s="73" t="s">
        <v>941</v>
      </c>
      <c r="D76" s="17">
        <v>0.02</v>
      </c>
      <c r="E76" s="17">
        <f>'МЕДИЧНІ М'!F118</f>
        <v>97.3</v>
      </c>
      <c r="F76" s="17">
        <f t="shared" si="1"/>
        <v>1.95</v>
      </c>
    </row>
    <row r="77" spans="1:15" x14ac:dyDescent="0.3">
      <c r="B77" s="15" t="s">
        <v>964</v>
      </c>
      <c r="C77" s="73" t="s">
        <v>941</v>
      </c>
      <c r="D77" s="17">
        <v>0.1</v>
      </c>
      <c r="E77" s="16">
        <f>'МЕДИЧНІ М'!E119</f>
        <v>2.8</v>
      </c>
      <c r="F77" s="17">
        <f t="shared" si="1"/>
        <v>0.28000000000000003</v>
      </c>
    </row>
    <row r="78" spans="1:15" x14ac:dyDescent="0.3">
      <c r="B78" s="27" t="s">
        <v>942</v>
      </c>
      <c r="C78" s="28" t="s">
        <v>941</v>
      </c>
      <c r="D78" s="29">
        <v>0.01</v>
      </c>
      <c r="E78" s="29">
        <f>'МЕДИЧНІ М'!E120</f>
        <v>24.6</v>
      </c>
      <c r="F78" s="30">
        <f t="shared" si="1"/>
        <v>0.25</v>
      </c>
    </row>
    <row r="79" spans="1:15" x14ac:dyDescent="0.3">
      <c r="B79" s="27" t="s">
        <v>1124</v>
      </c>
      <c r="C79" s="28" t="s">
        <v>944</v>
      </c>
      <c r="D79" s="29">
        <v>0.5</v>
      </c>
      <c r="E79" s="29">
        <f>'МЕДИЧНІ М'!E114</f>
        <v>0.5</v>
      </c>
      <c r="F79" s="30">
        <f t="shared" si="1"/>
        <v>0.25</v>
      </c>
    </row>
    <row r="80" spans="1:15" x14ac:dyDescent="0.3">
      <c r="B80" s="1019" t="s">
        <v>945</v>
      </c>
      <c r="C80" s="1019"/>
      <c r="D80" s="1019"/>
      <c r="E80" s="1019"/>
      <c r="F80" s="89">
        <f>SUM(F72:F79)</f>
        <v>5.91</v>
      </c>
    </row>
    <row r="82" spans="2:8" x14ac:dyDescent="0.3">
      <c r="B82" s="12" t="s">
        <v>968</v>
      </c>
      <c r="C82" s="227"/>
      <c r="D82" s="12"/>
      <c r="E82" s="11">
        <f>SUM(G85:G86)</f>
        <v>0</v>
      </c>
      <c r="F82" s="12" t="s">
        <v>971</v>
      </c>
    </row>
    <row r="83" spans="2:8" x14ac:dyDescent="0.3">
      <c r="B83" s="22"/>
      <c r="C83" s="36"/>
      <c r="D83" s="22"/>
      <c r="E83" s="23"/>
      <c r="F83" s="22"/>
    </row>
    <row r="84" spans="2:8" ht="27.6" x14ac:dyDescent="0.3">
      <c r="B84" s="14" t="s">
        <v>513</v>
      </c>
      <c r="C84" s="14" t="s">
        <v>1108</v>
      </c>
      <c r="D84" s="14" t="s">
        <v>516</v>
      </c>
      <c r="E84" s="14" t="s">
        <v>970</v>
      </c>
      <c r="F84" s="14" t="s">
        <v>930</v>
      </c>
      <c r="G84" s="14" t="s">
        <v>961</v>
      </c>
    </row>
    <row r="85" spans="2:8" x14ac:dyDescent="0.3">
      <c r="B85" s="46" t="s">
        <v>1158</v>
      </c>
      <c r="C85" s="73">
        <f>C33</f>
        <v>0</v>
      </c>
      <c r="D85" s="17">
        <f>H61</f>
        <v>1932.7</v>
      </c>
      <c r="E85" s="17">
        <f>ROUND((C85/D85)/60,2)</f>
        <v>0</v>
      </c>
      <c r="F85" s="17">
        <f>D65</f>
        <v>10</v>
      </c>
      <c r="G85" s="16">
        <f>ROUND(E85*F85,2)</f>
        <v>0</v>
      </c>
    </row>
    <row r="86" spans="2:8" x14ac:dyDescent="0.3">
      <c r="B86" s="27" t="s">
        <v>1093</v>
      </c>
      <c r="C86" s="73">
        <f>C34</f>
        <v>0</v>
      </c>
      <c r="D86" s="62">
        <f>H62</f>
        <v>1506</v>
      </c>
      <c r="E86" s="17">
        <f>ROUND((C86/D86)/60,2)</f>
        <v>0</v>
      </c>
      <c r="F86" s="17">
        <f>D66</f>
        <v>15</v>
      </c>
      <c r="G86" s="16">
        <f>ROUND(E86*F86,2)</f>
        <v>0</v>
      </c>
      <c r="H86" s="38"/>
    </row>
    <row r="88" spans="2:8" x14ac:dyDescent="0.3">
      <c r="B88" s="12" t="s">
        <v>948</v>
      </c>
      <c r="C88" s="227"/>
      <c r="D88" s="12"/>
      <c r="E88" s="11">
        <f>G101</f>
        <v>3.45</v>
      </c>
      <c r="F88" s="12" t="s">
        <v>971</v>
      </c>
    </row>
    <row r="89" spans="2:8" x14ac:dyDescent="0.3">
      <c r="B89" s="22"/>
      <c r="C89" s="36"/>
      <c r="D89" s="22"/>
      <c r="E89" s="23"/>
    </row>
    <row r="90" spans="2:8" ht="27.6" x14ac:dyDescent="0.3">
      <c r="B90" s="14" t="s">
        <v>948</v>
      </c>
      <c r="C90" s="14" t="s">
        <v>1110</v>
      </c>
      <c r="D90" s="14" t="s">
        <v>516</v>
      </c>
      <c r="E90" s="14" t="s">
        <v>954</v>
      </c>
      <c r="F90" s="14" t="s">
        <v>930</v>
      </c>
      <c r="G90" s="14" t="s">
        <v>1111</v>
      </c>
    </row>
    <row r="91" spans="2:8" x14ac:dyDescent="0.3">
      <c r="B91" s="1009" t="str">
        <f>B61</f>
        <v>Лікар-рентгенолог</v>
      </c>
      <c r="C91" s="1010"/>
      <c r="D91" s="1010"/>
      <c r="E91" s="1010"/>
      <c r="F91" s="1010"/>
      <c r="G91" s="1011"/>
    </row>
    <row r="92" spans="2:8" x14ac:dyDescent="0.3">
      <c r="B92" s="17" t="s">
        <v>951</v>
      </c>
      <c r="C92" s="221">
        <f>C40</f>
        <v>12188.608008565312</v>
      </c>
      <c r="D92" s="17">
        <f>H61</f>
        <v>1932.7</v>
      </c>
      <c r="E92" s="17">
        <f>ROUND((C92/D92)/60,2)</f>
        <v>0.11</v>
      </c>
      <c r="F92" s="17">
        <f>D65</f>
        <v>10</v>
      </c>
      <c r="G92" s="16">
        <f>ROUND(E92*F92,2)</f>
        <v>1.1000000000000001</v>
      </c>
    </row>
    <row r="93" spans="2:8" x14ac:dyDescent="0.3">
      <c r="B93" s="17" t="s">
        <v>952</v>
      </c>
      <c r="C93" s="221">
        <f>C41</f>
        <v>53.149721627408987</v>
      </c>
      <c r="D93" s="17">
        <f>H61</f>
        <v>1932.7</v>
      </c>
      <c r="E93" s="17">
        <f>ROUND((C93/D93)/60,2)</f>
        <v>0</v>
      </c>
      <c r="F93" s="17">
        <f>D65</f>
        <v>10</v>
      </c>
      <c r="G93" s="16">
        <f>ROUND(E93*F93,2)</f>
        <v>0</v>
      </c>
    </row>
    <row r="94" spans="2:8" x14ac:dyDescent="0.3">
      <c r="B94" s="17" t="s">
        <v>953</v>
      </c>
      <c r="C94" s="221">
        <f>C42</f>
        <v>374.98368308351178</v>
      </c>
      <c r="D94" s="17">
        <f>H61</f>
        <v>1932.7</v>
      </c>
      <c r="E94" s="17">
        <f>ROUND((C94/D94)/60,2)</f>
        <v>0</v>
      </c>
      <c r="F94" s="17">
        <f>D65</f>
        <v>10</v>
      </c>
      <c r="G94" s="16">
        <f>ROUND(E94*F94,2)</f>
        <v>0</v>
      </c>
    </row>
    <row r="95" spans="2:8" x14ac:dyDescent="0.3">
      <c r="B95" s="17" t="s">
        <v>1109</v>
      </c>
      <c r="C95" s="221">
        <f>C43</f>
        <v>1686.0389293361886</v>
      </c>
      <c r="D95" s="17">
        <f>H61</f>
        <v>1932.7</v>
      </c>
      <c r="E95" s="17">
        <f>ROUND((C95/D95)/60,2)</f>
        <v>0.01</v>
      </c>
      <c r="F95" s="17">
        <f>D65</f>
        <v>10</v>
      </c>
      <c r="G95" s="16">
        <f>ROUND(E95*F95,2)</f>
        <v>0.1</v>
      </c>
    </row>
    <row r="96" spans="2:8" x14ac:dyDescent="0.3">
      <c r="B96" s="1009" t="str">
        <f>B62</f>
        <v>Рентгенолаборант</v>
      </c>
      <c r="C96" s="1010"/>
      <c r="D96" s="1010"/>
      <c r="E96" s="1010"/>
      <c r="F96" s="1010"/>
      <c r="G96" s="1011"/>
    </row>
    <row r="97" spans="1:15" x14ac:dyDescent="0.3">
      <c r="B97" s="17" t="s">
        <v>951</v>
      </c>
      <c r="C97" s="221">
        <f>C92</f>
        <v>12188.608008565312</v>
      </c>
      <c r="D97" s="17">
        <f>H62</f>
        <v>1506</v>
      </c>
      <c r="E97" s="17">
        <f>ROUND((C97/D97)/60,2)</f>
        <v>0.13</v>
      </c>
      <c r="F97" s="17">
        <f>D66</f>
        <v>15</v>
      </c>
      <c r="G97" s="16">
        <f>ROUND(E97*F97,2)</f>
        <v>1.95</v>
      </c>
    </row>
    <row r="98" spans="1:15" x14ac:dyDescent="0.3">
      <c r="B98" s="17" t="s">
        <v>952</v>
      </c>
      <c r="C98" s="221">
        <f>C93</f>
        <v>53.149721627408987</v>
      </c>
      <c r="D98" s="17">
        <f>H62</f>
        <v>1506</v>
      </c>
      <c r="E98" s="17">
        <f>ROUND((C98/D98)/60,2)</f>
        <v>0</v>
      </c>
      <c r="F98" s="17">
        <f>D66</f>
        <v>15</v>
      </c>
      <c r="G98" s="16">
        <f>ROUND(E98*F98,2)</f>
        <v>0</v>
      </c>
    </row>
    <row r="99" spans="1:15" x14ac:dyDescent="0.3">
      <c r="B99" s="17" t="s">
        <v>953</v>
      </c>
      <c r="C99" s="221">
        <f>C94</f>
        <v>374.98368308351178</v>
      </c>
      <c r="D99" s="17">
        <f>H62</f>
        <v>1506</v>
      </c>
      <c r="E99" s="17">
        <f>ROUND((C99/D99)/60,2)</f>
        <v>0</v>
      </c>
      <c r="F99" s="17">
        <f>D66</f>
        <v>15</v>
      </c>
      <c r="G99" s="16">
        <f>ROUND(E99*F99,2)</f>
        <v>0</v>
      </c>
    </row>
    <row r="100" spans="1:15" x14ac:dyDescent="0.3">
      <c r="B100" s="17" t="s">
        <v>1109</v>
      </c>
      <c r="C100" s="221">
        <f>C95</f>
        <v>1686.0389293361886</v>
      </c>
      <c r="D100" s="112">
        <f>H62</f>
        <v>1506</v>
      </c>
      <c r="E100" s="17">
        <f>ROUND((C100/D100)/60,2)</f>
        <v>0.02</v>
      </c>
      <c r="F100" s="17">
        <f>D66</f>
        <v>15</v>
      </c>
      <c r="G100" s="16">
        <f>ROUND(E100*F100,2)</f>
        <v>0.3</v>
      </c>
    </row>
    <row r="101" spans="1:15" x14ac:dyDescent="0.3">
      <c r="B101" s="1012" t="s">
        <v>957</v>
      </c>
      <c r="C101" s="1013"/>
      <c r="D101" s="1013"/>
      <c r="E101" s="1013"/>
      <c r="F101" s="1014"/>
      <c r="G101" s="18">
        <f>SUM(G92:G100)</f>
        <v>3.45</v>
      </c>
    </row>
    <row r="102" spans="1:15" ht="9" customHeight="1" x14ac:dyDescent="0.3"/>
    <row r="103" spans="1:15" hidden="1" x14ac:dyDescent="0.3"/>
    <row r="104" spans="1:15" x14ac:dyDescent="0.3">
      <c r="B104" s="1015" t="s">
        <v>959</v>
      </c>
      <c r="C104" s="1015"/>
      <c r="D104" s="1015"/>
      <c r="E104" s="1015"/>
      <c r="F104" s="1015"/>
      <c r="G104" s="32">
        <f>E58+E70+E82+E88</f>
        <v>41.14</v>
      </c>
    </row>
    <row r="105" spans="1:15" x14ac:dyDescent="0.3">
      <c r="B105" s="33"/>
      <c r="C105" s="33"/>
      <c r="D105" s="33"/>
      <c r="E105" s="33"/>
      <c r="F105" s="33"/>
      <c r="G105" s="34"/>
    </row>
    <row r="106" spans="1:15" x14ac:dyDescent="0.3">
      <c r="B106" s="1015" t="s">
        <v>960</v>
      </c>
      <c r="C106" s="1015"/>
      <c r="D106" s="1015"/>
      <c r="E106" s="1015"/>
      <c r="F106" s="1015"/>
      <c r="G106" s="32">
        <f>ROUND(G104,0)</f>
        <v>41</v>
      </c>
    </row>
    <row r="108" spans="1:15" s="54" customFormat="1" ht="36" customHeight="1" x14ac:dyDescent="0.4">
      <c r="A108" s="50" t="s">
        <v>626</v>
      </c>
      <c r="B108" s="1017" t="s">
        <v>671</v>
      </c>
      <c r="C108" s="1017"/>
      <c r="D108" s="1017"/>
      <c r="E108" s="52">
        <f>G159</f>
        <v>66</v>
      </c>
      <c r="F108" s="52" t="s">
        <v>971</v>
      </c>
      <c r="G108" s="53"/>
      <c r="H108" s="124"/>
      <c r="I108" s="125" t="s">
        <v>1023</v>
      </c>
      <c r="J108" s="130"/>
      <c r="K108" s="114"/>
      <c r="L108" s="114"/>
      <c r="M108" s="114"/>
      <c r="N108" s="126"/>
      <c r="O108" s="127"/>
    </row>
    <row r="110" spans="1:15" x14ac:dyDescent="0.3">
      <c r="B110" s="1018" t="s">
        <v>932</v>
      </c>
      <c r="C110" s="1018"/>
      <c r="D110" s="10"/>
      <c r="E110" s="11">
        <f>E117+E120+E118</f>
        <v>31.78</v>
      </c>
      <c r="F110" s="12" t="s">
        <v>971</v>
      </c>
    </row>
    <row r="111" spans="1:15" ht="8.25" customHeight="1" x14ac:dyDescent="0.3"/>
    <row r="112" spans="1:15" ht="27.6" x14ac:dyDescent="0.3">
      <c r="B112" s="13" t="s">
        <v>929</v>
      </c>
      <c r="C112" s="14" t="s">
        <v>928</v>
      </c>
      <c r="D112" s="14" t="s">
        <v>514</v>
      </c>
      <c r="E112" s="14" t="s">
        <v>515</v>
      </c>
      <c r="F112" s="14" t="s">
        <v>962</v>
      </c>
      <c r="G112" s="14" t="s">
        <v>926</v>
      </c>
      <c r="H112" s="14" t="s">
        <v>516</v>
      </c>
      <c r="I112" s="14" t="s">
        <v>961</v>
      </c>
    </row>
    <row r="113" spans="1:15" x14ac:dyDescent="0.3">
      <c r="B113" s="16" t="str">
        <f>B61</f>
        <v>Лікар-рентгенолог</v>
      </c>
      <c r="C113" s="16">
        <f>C61</f>
        <v>8463.5400000000009</v>
      </c>
      <c r="D113" s="16">
        <f>C113*12</f>
        <v>101562.48000000001</v>
      </c>
      <c r="E113" s="16">
        <f>E61</f>
        <v>7052.95</v>
      </c>
      <c r="F113" s="16">
        <f>F61</f>
        <v>3526.4749999999999</v>
      </c>
      <c r="G113" s="16">
        <f>D113+E113+F113</f>
        <v>112141.90500000001</v>
      </c>
      <c r="H113" s="17">
        <v>1932.7</v>
      </c>
      <c r="I113" s="16">
        <f>ROUND((G113/H113)/60,2)</f>
        <v>0.97</v>
      </c>
    </row>
    <row r="114" spans="1:15" x14ac:dyDescent="0.3">
      <c r="B114" s="16" t="str">
        <f>B62</f>
        <v>Рентгенолаборант</v>
      </c>
      <c r="C114" s="16">
        <f>C62</f>
        <v>7482.48</v>
      </c>
      <c r="D114" s="24">
        <f>C114*12</f>
        <v>89789.759999999995</v>
      </c>
      <c r="E114" s="16">
        <f>E62</f>
        <v>5755.75</v>
      </c>
      <c r="F114" s="16">
        <f>F62</f>
        <v>2877.875</v>
      </c>
      <c r="G114" s="16">
        <f>D114+E114+F114</f>
        <v>98423.384999999995</v>
      </c>
      <c r="H114" s="62">
        <v>1506</v>
      </c>
      <c r="I114" s="16">
        <f>ROUND((G114/H114)/60,2)</f>
        <v>1.0900000000000001</v>
      </c>
    </row>
    <row r="116" spans="1:15" ht="27.6" x14ac:dyDescent="0.3">
      <c r="B116" s="13" t="s">
        <v>929</v>
      </c>
      <c r="C116" s="14" t="s">
        <v>961</v>
      </c>
      <c r="D116" s="14" t="s">
        <v>930</v>
      </c>
      <c r="E116" s="14" t="s">
        <v>931</v>
      </c>
    </row>
    <row r="117" spans="1:15" x14ac:dyDescent="0.3">
      <c r="B117" s="15" t="str">
        <f>B113</f>
        <v>Лікар-рентгенолог</v>
      </c>
      <c r="C117" s="78">
        <f>I113</f>
        <v>0.97</v>
      </c>
      <c r="D117" s="17">
        <v>10</v>
      </c>
      <c r="E117" s="18">
        <f>ROUND(C117*D117,2)</f>
        <v>9.6999999999999993</v>
      </c>
    </row>
    <row r="118" spans="1:15" x14ac:dyDescent="0.3">
      <c r="B118" s="15" t="str">
        <f>B114</f>
        <v>Рентгенолаборант</v>
      </c>
      <c r="C118" s="78">
        <f>I114</f>
        <v>1.0900000000000001</v>
      </c>
      <c r="D118" s="17">
        <v>15</v>
      </c>
      <c r="E118" s="18">
        <f>ROUND(C118*D118,2)</f>
        <v>16.350000000000001</v>
      </c>
    </row>
    <row r="119" spans="1:15" x14ac:dyDescent="0.3">
      <c r="C119" s="19"/>
    </row>
    <row r="120" spans="1:15" x14ac:dyDescent="0.3">
      <c r="B120" s="17" t="s">
        <v>933</v>
      </c>
      <c r="C120" s="78">
        <f>E117+E118</f>
        <v>26.05</v>
      </c>
      <c r="D120" s="20">
        <v>0.22</v>
      </c>
      <c r="E120" s="21">
        <f>ROUND(C120*D120,2)</f>
        <v>5.73</v>
      </c>
    </row>
    <row r="122" spans="1:15" x14ac:dyDescent="0.3">
      <c r="B122" s="12" t="s">
        <v>946</v>
      </c>
      <c r="C122" s="227"/>
      <c r="D122" s="12"/>
      <c r="E122" s="12">
        <f>F133</f>
        <v>30.31</v>
      </c>
      <c r="F122" s="12" t="s">
        <v>971</v>
      </c>
    </row>
    <row r="124" spans="1:15" x14ac:dyDescent="0.3">
      <c r="B124" s="27" t="s">
        <v>936</v>
      </c>
      <c r="C124" s="28" t="s">
        <v>937</v>
      </c>
      <c r="D124" s="29">
        <v>1</v>
      </c>
      <c r="E124" s="30">
        <f>'МЕДИЧНІ М'!F115</f>
        <v>0.3</v>
      </c>
      <c r="F124" s="30">
        <f>ROUND(D124*E124,2)</f>
        <v>0.3</v>
      </c>
    </row>
    <row r="125" spans="1:15" s="184" customFormat="1" x14ac:dyDescent="0.3">
      <c r="A125" s="180"/>
      <c r="B125" s="185" t="s">
        <v>1021</v>
      </c>
      <c r="C125" s="186" t="s">
        <v>941</v>
      </c>
      <c r="D125" s="164">
        <v>0.5</v>
      </c>
      <c r="E125" s="164">
        <f>'МЕДИЧНІ М'!E181</f>
        <v>2</v>
      </c>
      <c r="F125" s="164">
        <f t="shared" ref="F125:F132" si="2">ROUND(D125*E125,2)</f>
        <v>1</v>
      </c>
      <c r="G125" s="180"/>
      <c r="H125" s="180"/>
      <c r="I125" s="180"/>
      <c r="J125" s="187"/>
      <c r="K125" s="189"/>
      <c r="L125" s="189"/>
      <c r="M125" s="189"/>
      <c r="N125" s="189"/>
      <c r="O125" s="188"/>
    </row>
    <row r="126" spans="1:15" x14ac:dyDescent="0.3">
      <c r="B126" s="15" t="s">
        <v>1216</v>
      </c>
      <c r="C126" s="73" t="s">
        <v>941</v>
      </c>
      <c r="D126" s="17">
        <v>0.1</v>
      </c>
      <c r="E126" s="16">
        <f>'МЕДИЧНІ М'!E113</f>
        <v>8</v>
      </c>
      <c r="F126" s="17">
        <f t="shared" si="2"/>
        <v>0.8</v>
      </c>
    </row>
    <row r="127" spans="1:15" x14ac:dyDescent="0.3">
      <c r="B127" s="15" t="str">
        <f>'МЕДИЧНІ М'!B321</f>
        <v>Рентген 24 * 30 № 100</v>
      </c>
      <c r="C127" s="73" t="s">
        <v>941</v>
      </c>
      <c r="D127" s="17">
        <v>2</v>
      </c>
      <c r="E127" s="16">
        <f>'МЕДИЧНІ М'!F321</f>
        <v>12.2</v>
      </c>
      <c r="F127" s="17">
        <f t="shared" si="2"/>
        <v>24.4</v>
      </c>
    </row>
    <row r="128" spans="1:15" ht="28.2" x14ac:dyDescent="0.3">
      <c r="B128" s="15" t="s">
        <v>1025</v>
      </c>
      <c r="C128" s="73" t="s">
        <v>941</v>
      </c>
      <c r="D128" s="17">
        <v>0.02</v>
      </c>
      <c r="E128" s="17">
        <f>'МЕДИЧНІ М'!F121</f>
        <v>54</v>
      </c>
      <c r="F128" s="17">
        <f t="shared" si="2"/>
        <v>1.08</v>
      </c>
    </row>
    <row r="129" spans="2:8" x14ac:dyDescent="0.3">
      <c r="B129" s="15" t="s">
        <v>1024</v>
      </c>
      <c r="C129" s="73" t="s">
        <v>941</v>
      </c>
      <c r="D129" s="17">
        <v>0.02</v>
      </c>
      <c r="E129" s="17">
        <f>'МЕДИЧНІ М'!F118</f>
        <v>97.3</v>
      </c>
      <c r="F129" s="17">
        <f t="shared" si="2"/>
        <v>1.95</v>
      </c>
    </row>
    <row r="130" spans="2:8" x14ac:dyDescent="0.3">
      <c r="B130" s="15" t="s">
        <v>964</v>
      </c>
      <c r="C130" s="73" t="s">
        <v>941</v>
      </c>
      <c r="D130" s="17">
        <v>0.1</v>
      </c>
      <c r="E130" s="16">
        <f>'МЕДИЧНІ М'!E119</f>
        <v>2.8</v>
      </c>
      <c r="F130" s="17">
        <f t="shared" si="2"/>
        <v>0.28000000000000003</v>
      </c>
    </row>
    <row r="131" spans="2:8" x14ac:dyDescent="0.3">
      <c r="B131" s="27" t="s">
        <v>942</v>
      </c>
      <c r="C131" s="28" t="s">
        <v>941</v>
      </c>
      <c r="D131" s="29">
        <v>0.01</v>
      </c>
      <c r="E131" s="29">
        <f>'МЕДИЧНІ М'!E120</f>
        <v>24.6</v>
      </c>
      <c r="F131" s="30">
        <f t="shared" si="2"/>
        <v>0.25</v>
      </c>
    </row>
    <row r="132" spans="2:8" x14ac:dyDescent="0.3">
      <c r="B132" s="27" t="s">
        <v>1124</v>
      </c>
      <c r="C132" s="28" t="s">
        <v>944</v>
      </c>
      <c r="D132" s="29">
        <v>0.5</v>
      </c>
      <c r="E132" s="29">
        <f>'МЕДИЧНІ М'!E114</f>
        <v>0.5</v>
      </c>
      <c r="F132" s="30">
        <f t="shared" si="2"/>
        <v>0.25</v>
      </c>
    </row>
    <row r="133" spans="2:8" x14ac:dyDescent="0.3">
      <c r="B133" s="1019" t="s">
        <v>945</v>
      </c>
      <c r="C133" s="1019"/>
      <c r="D133" s="1019"/>
      <c r="E133" s="1019"/>
      <c r="F133" s="31">
        <f>SUM(F124:F132)</f>
        <v>30.31</v>
      </c>
    </row>
    <row r="134" spans="2:8" ht="9" customHeight="1" x14ac:dyDescent="0.3"/>
    <row r="135" spans="2:8" x14ac:dyDescent="0.3">
      <c r="B135" s="12" t="s">
        <v>968</v>
      </c>
      <c r="C135" s="227"/>
      <c r="D135" s="12"/>
      <c r="E135" s="11">
        <f>SUM(G138:G139)</f>
        <v>0</v>
      </c>
      <c r="F135" s="12" t="s">
        <v>971</v>
      </c>
    </row>
    <row r="136" spans="2:8" ht="9.75" customHeight="1" x14ac:dyDescent="0.3">
      <c r="B136" s="22"/>
      <c r="C136" s="36"/>
      <c r="D136" s="22"/>
      <c r="E136" s="23"/>
      <c r="F136" s="22"/>
    </row>
    <row r="137" spans="2:8" ht="27.6" x14ac:dyDescent="0.3">
      <c r="B137" s="14" t="s">
        <v>513</v>
      </c>
      <c r="C137" s="14" t="s">
        <v>1108</v>
      </c>
      <c r="D137" s="14" t="s">
        <v>516</v>
      </c>
      <c r="E137" s="14" t="s">
        <v>970</v>
      </c>
      <c r="F137" s="14" t="s">
        <v>930</v>
      </c>
      <c r="G137" s="14" t="s">
        <v>961</v>
      </c>
    </row>
    <row r="138" spans="2:8" x14ac:dyDescent="0.3">
      <c r="B138" s="46" t="str">
        <f>B85</f>
        <v>Автоматизоване робоче місце</v>
      </c>
      <c r="C138" s="46">
        <f>C85</f>
        <v>0</v>
      </c>
      <c r="D138" s="62">
        <f>H113</f>
        <v>1932.7</v>
      </c>
      <c r="E138" s="17">
        <f>ROUND((C138/D138)/60,2)</f>
        <v>0</v>
      </c>
      <c r="F138" s="17">
        <f>D117</f>
        <v>10</v>
      </c>
      <c r="G138" s="16">
        <f>ROUND(E138*F138,2)</f>
        <v>0</v>
      </c>
    </row>
    <row r="139" spans="2:8" x14ac:dyDescent="0.3">
      <c r="B139" s="27" t="s">
        <v>1093</v>
      </c>
      <c r="C139" s="46">
        <f>C86</f>
        <v>0</v>
      </c>
      <c r="D139" s="62">
        <f>H114</f>
        <v>1506</v>
      </c>
      <c r="E139" s="17">
        <f>ROUND((C139/D139)/60,2)</f>
        <v>0</v>
      </c>
      <c r="F139" s="17">
        <f>D118</f>
        <v>15</v>
      </c>
      <c r="G139" s="16">
        <f>ROUND(E139*F139,2)</f>
        <v>0</v>
      </c>
      <c r="H139" s="38"/>
    </row>
    <row r="140" spans="2:8" ht="6.75" customHeight="1" x14ac:dyDescent="0.3"/>
    <row r="141" spans="2:8" x14ac:dyDescent="0.3">
      <c r="B141" s="12" t="s">
        <v>948</v>
      </c>
      <c r="C141" s="227"/>
      <c r="D141" s="12"/>
      <c r="E141" s="11">
        <f>G154</f>
        <v>3.45</v>
      </c>
      <c r="F141" s="12" t="s">
        <v>971</v>
      </c>
    </row>
    <row r="142" spans="2:8" ht="4.5" customHeight="1" x14ac:dyDescent="0.3">
      <c r="B142" s="22"/>
      <c r="C142" s="36"/>
      <c r="D142" s="22"/>
      <c r="E142" s="23"/>
    </row>
    <row r="143" spans="2:8" ht="27.6" x14ac:dyDescent="0.3">
      <c r="B143" s="14" t="s">
        <v>948</v>
      </c>
      <c r="C143" s="14" t="s">
        <v>1110</v>
      </c>
      <c r="D143" s="14" t="s">
        <v>516</v>
      </c>
      <c r="E143" s="14" t="s">
        <v>954</v>
      </c>
      <c r="F143" s="14" t="s">
        <v>930</v>
      </c>
      <c r="G143" s="14" t="s">
        <v>1111</v>
      </c>
    </row>
    <row r="144" spans="2:8" x14ac:dyDescent="0.3">
      <c r="B144" s="1009" t="str">
        <f>B113</f>
        <v>Лікар-рентгенолог</v>
      </c>
      <c r="C144" s="1010"/>
      <c r="D144" s="1010"/>
      <c r="E144" s="1010"/>
      <c r="F144" s="1010"/>
      <c r="G144" s="1011"/>
    </row>
    <row r="145" spans="1:15" x14ac:dyDescent="0.3">
      <c r="B145" s="17" t="s">
        <v>951</v>
      </c>
      <c r="C145" s="221">
        <f>C92</f>
        <v>12188.608008565312</v>
      </c>
      <c r="D145" s="17">
        <f>H113</f>
        <v>1932.7</v>
      </c>
      <c r="E145" s="17">
        <f>ROUND((C145/D145)/60,2)</f>
        <v>0.11</v>
      </c>
      <c r="F145" s="17">
        <f>D117</f>
        <v>10</v>
      </c>
      <c r="G145" s="16">
        <f>ROUND(E145*F145,2)</f>
        <v>1.1000000000000001</v>
      </c>
    </row>
    <row r="146" spans="1:15" x14ac:dyDescent="0.3">
      <c r="B146" s="17" t="s">
        <v>952</v>
      </c>
      <c r="C146" s="221">
        <f>C93</f>
        <v>53.149721627408987</v>
      </c>
      <c r="D146" s="17">
        <f>H113</f>
        <v>1932.7</v>
      </c>
      <c r="E146" s="17">
        <f>ROUND((C146/D146)/60,2)</f>
        <v>0</v>
      </c>
      <c r="F146" s="17">
        <f>D117</f>
        <v>10</v>
      </c>
      <c r="G146" s="16">
        <f>ROUND(E146*F146,2)</f>
        <v>0</v>
      </c>
    </row>
    <row r="147" spans="1:15" x14ac:dyDescent="0.3">
      <c r="B147" s="17" t="s">
        <v>953</v>
      </c>
      <c r="C147" s="221">
        <f>C94</f>
        <v>374.98368308351178</v>
      </c>
      <c r="D147" s="17">
        <f>H113</f>
        <v>1932.7</v>
      </c>
      <c r="E147" s="17">
        <f>ROUND((C147/D147)/60,2)</f>
        <v>0</v>
      </c>
      <c r="F147" s="17">
        <f>D117</f>
        <v>10</v>
      </c>
      <c r="G147" s="16">
        <f>ROUND(E147*F147,2)</f>
        <v>0</v>
      </c>
    </row>
    <row r="148" spans="1:15" x14ac:dyDescent="0.3">
      <c r="B148" s="17" t="s">
        <v>1109</v>
      </c>
      <c r="C148" s="221">
        <f>C95</f>
        <v>1686.0389293361886</v>
      </c>
      <c r="D148" s="17">
        <f>H113</f>
        <v>1932.7</v>
      </c>
      <c r="E148" s="17">
        <f>ROUND((C148/D148)/60,2)</f>
        <v>0.01</v>
      </c>
      <c r="F148" s="17">
        <f>D117</f>
        <v>10</v>
      </c>
      <c r="G148" s="16">
        <f>ROUND(E148*F148,2)</f>
        <v>0.1</v>
      </c>
    </row>
    <row r="149" spans="1:15" x14ac:dyDescent="0.3">
      <c r="B149" s="1009" t="str">
        <f>B114</f>
        <v>Рентгенолаборант</v>
      </c>
      <c r="C149" s="1010"/>
      <c r="D149" s="1010"/>
      <c r="E149" s="1010"/>
      <c r="F149" s="1010"/>
      <c r="G149" s="1011"/>
    </row>
    <row r="150" spans="1:15" x14ac:dyDescent="0.3">
      <c r="B150" s="17" t="s">
        <v>951</v>
      </c>
      <c r="C150" s="221">
        <f>C145</f>
        <v>12188.608008565312</v>
      </c>
      <c r="D150" s="17">
        <f>H114</f>
        <v>1506</v>
      </c>
      <c r="E150" s="17">
        <f>ROUND((C150/D150)/60,2)</f>
        <v>0.13</v>
      </c>
      <c r="F150" s="17">
        <f>D118</f>
        <v>15</v>
      </c>
      <c r="G150" s="16">
        <f>ROUND(E150*F150,2)</f>
        <v>1.95</v>
      </c>
    </row>
    <row r="151" spans="1:15" x14ac:dyDescent="0.3">
      <c r="B151" s="17" t="s">
        <v>952</v>
      </c>
      <c r="C151" s="221">
        <f>C146</f>
        <v>53.149721627408987</v>
      </c>
      <c r="D151" s="17">
        <f>H114</f>
        <v>1506</v>
      </c>
      <c r="E151" s="17">
        <f>ROUND((C151/D151)/60,2)</f>
        <v>0</v>
      </c>
      <c r="F151" s="17">
        <f>D118</f>
        <v>15</v>
      </c>
      <c r="G151" s="16">
        <f>ROUND(E151*F151,2)</f>
        <v>0</v>
      </c>
    </row>
    <row r="152" spans="1:15" x14ac:dyDescent="0.3">
      <c r="B152" s="17" t="s">
        <v>953</v>
      </c>
      <c r="C152" s="221">
        <f>C147</f>
        <v>374.98368308351178</v>
      </c>
      <c r="D152" s="17">
        <f>H114</f>
        <v>1506</v>
      </c>
      <c r="E152" s="17">
        <f>ROUND((C152/D152)/60,2)</f>
        <v>0</v>
      </c>
      <c r="F152" s="17">
        <f>D118</f>
        <v>15</v>
      </c>
      <c r="G152" s="16">
        <f>ROUND(E152*F152,2)</f>
        <v>0</v>
      </c>
    </row>
    <row r="153" spans="1:15" x14ac:dyDescent="0.3">
      <c r="B153" s="17" t="s">
        <v>1109</v>
      </c>
      <c r="C153" s="221">
        <f>C148</f>
        <v>1686.0389293361886</v>
      </c>
      <c r="D153" s="17">
        <f>H114</f>
        <v>1506</v>
      </c>
      <c r="E153" s="17">
        <f>ROUND((C153/D153)/60,2)</f>
        <v>0.02</v>
      </c>
      <c r="F153" s="17">
        <f>D118</f>
        <v>15</v>
      </c>
      <c r="G153" s="16">
        <f>ROUND(E153*F153,2)</f>
        <v>0.3</v>
      </c>
    </row>
    <row r="154" spans="1:15" x14ac:dyDescent="0.3">
      <c r="B154" s="1012" t="s">
        <v>957</v>
      </c>
      <c r="C154" s="1013"/>
      <c r="D154" s="1013"/>
      <c r="E154" s="1013"/>
      <c r="F154" s="1014"/>
      <c r="G154" s="18">
        <f>SUM(G145:G153)</f>
        <v>3.45</v>
      </c>
    </row>
    <row r="155" spans="1:15" ht="3" customHeight="1" x14ac:dyDescent="0.3"/>
    <row r="156" spans="1:15" ht="5.25" customHeight="1" x14ac:dyDescent="0.3"/>
    <row r="157" spans="1:15" x14ac:dyDescent="0.3">
      <c r="B157" s="1015" t="s">
        <v>959</v>
      </c>
      <c r="C157" s="1015"/>
      <c r="D157" s="1015"/>
      <c r="E157" s="1015"/>
      <c r="F157" s="1015"/>
      <c r="G157" s="32">
        <f>E110+E122+E135+E141</f>
        <v>65.540000000000006</v>
      </c>
    </row>
    <row r="158" spans="1:15" x14ac:dyDescent="0.3">
      <c r="B158" s="33"/>
      <c r="C158" s="33"/>
      <c r="D158" s="33"/>
      <c r="E158" s="33"/>
      <c r="F158" s="33"/>
      <c r="G158" s="34"/>
    </row>
    <row r="159" spans="1:15" s="54" customFormat="1" ht="19.8" x14ac:dyDescent="0.4">
      <c r="A159" s="7"/>
      <c r="B159" s="1015" t="s">
        <v>960</v>
      </c>
      <c r="C159" s="1015"/>
      <c r="D159" s="1015"/>
      <c r="E159" s="1015"/>
      <c r="F159" s="1015"/>
      <c r="G159" s="32">
        <f>ROUND(G157,0)</f>
        <v>66</v>
      </c>
      <c r="H159" s="7"/>
      <c r="I159" s="7"/>
      <c r="J159" s="130"/>
      <c r="K159" s="114"/>
      <c r="L159" s="114"/>
      <c r="M159" s="114"/>
      <c r="N159" s="126"/>
      <c r="O159" s="127"/>
    </row>
    <row r="160" spans="1:15" s="54" customFormat="1" ht="19.8" x14ac:dyDescent="0.4">
      <c r="A160" s="7"/>
      <c r="B160" s="7"/>
      <c r="C160" s="74"/>
      <c r="D160" s="7"/>
      <c r="E160" s="7"/>
      <c r="F160" s="7"/>
      <c r="G160" s="7"/>
      <c r="H160" s="7"/>
      <c r="I160" s="7"/>
      <c r="J160" s="130"/>
      <c r="K160" s="114"/>
      <c r="L160" s="114"/>
      <c r="M160" s="114"/>
      <c r="N160" s="126"/>
      <c r="O160" s="127"/>
    </row>
    <row r="161" spans="1:15" s="54" customFormat="1" ht="19.8" x14ac:dyDescent="0.4">
      <c r="A161" s="50" t="s">
        <v>626</v>
      </c>
      <c r="B161" s="1017" t="s">
        <v>671</v>
      </c>
      <c r="C161" s="1017"/>
      <c r="D161" s="1017"/>
      <c r="E161" s="52">
        <f>G211</f>
        <v>41</v>
      </c>
      <c r="F161" s="52" t="s">
        <v>971</v>
      </c>
      <c r="G161" s="53"/>
      <c r="H161" s="124"/>
      <c r="I161" s="125" t="s">
        <v>1128</v>
      </c>
      <c r="J161" s="130"/>
      <c r="K161" s="114"/>
      <c r="L161" s="114"/>
      <c r="M161" s="114"/>
      <c r="N161" s="126"/>
      <c r="O161" s="127"/>
    </row>
    <row r="163" spans="1:15" x14ac:dyDescent="0.3">
      <c r="B163" s="1018" t="s">
        <v>932</v>
      </c>
      <c r="C163" s="1018"/>
      <c r="D163" s="10"/>
      <c r="E163" s="11">
        <f>E170+E173+E171</f>
        <v>31.78</v>
      </c>
      <c r="F163" s="12" t="s">
        <v>971</v>
      </c>
    </row>
    <row r="165" spans="1:15" ht="27.6" x14ac:dyDescent="0.3">
      <c r="B165" s="13" t="s">
        <v>929</v>
      </c>
      <c r="C165" s="14" t="s">
        <v>928</v>
      </c>
      <c r="D165" s="14" t="s">
        <v>514</v>
      </c>
      <c r="E165" s="14" t="s">
        <v>515</v>
      </c>
      <c r="F165" s="14" t="s">
        <v>962</v>
      </c>
      <c r="G165" s="14" t="s">
        <v>926</v>
      </c>
      <c r="H165" s="14" t="s">
        <v>516</v>
      </c>
      <c r="I165" s="14" t="s">
        <v>961</v>
      </c>
    </row>
    <row r="166" spans="1:15" x14ac:dyDescent="0.3">
      <c r="B166" s="16" t="str">
        <f>B113</f>
        <v>Лікар-рентгенолог</v>
      </c>
      <c r="C166" s="78">
        <f>C113</f>
        <v>8463.5400000000009</v>
      </c>
      <c r="D166" s="16">
        <f>C166*12</f>
        <v>101562.48000000001</v>
      </c>
      <c r="E166" s="16">
        <f>E113</f>
        <v>7052.95</v>
      </c>
      <c r="F166" s="16">
        <f>F113</f>
        <v>3526.4749999999999</v>
      </c>
      <c r="G166" s="16">
        <f>D166+E166+F166</f>
        <v>112141.90500000001</v>
      </c>
      <c r="H166" s="17">
        <v>1932.7</v>
      </c>
      <c r="I166" s="16">
        <f>ROUND((G166/H166)/60,2)</f>
        <v>0.97</v>
      </c>
    </row>
    <row r="167" spans="1:15" x14ac:dyDescent="0.3">
      <c r="B167" s="24" t="str">
        <f>B114</f>
        <v>Рентгенолаборант</v>
      </c>
      <c r="C167" s="226">
        <f>C114</f>
        <v>7482.48</v>
      </c>
      <c r="D167" s="24">
        <f>C167*12</f>
        <v>89789.759999999995</v>
      </c>
      <c r="E167" s="24">
        <f>E114</f>
        <v>5755.75</v>
      </c>
      <c r="F167" s="24">
        <f>F114</f>
        <v>2877.875</v>
      </c>
      <c r="G167" s="16">
        <f>D167+E167+F167</f>
        <v>98423.384999999995</v>
      </c>
      <c r="H167" s="62">
        <v>1506</v>
      </c>
      <c r="I167" s="16">
        <f>ROUND((G167/H167)/60,2)</f>
        <v>1.0900000000000001</v>
      </c>
    </row>
    <row r="169" spans="1:15" ht="27.6" x14ac:dyDescent="0.3">
      <c r="B169" s="13" t="s">
        <v>929</v>
      </c>
      <c r="C169" s="14" t="s">
        <v>961</v>
      </c>
      <c r="D169" s="14" t="s">
        <v>930</v>
      </c>
      <c r="E169" s="14" t="s">
        <v>931</v>
      </c>
    </row>
    <row r="170" spans="1:15" x14ac:dyDescent="0.3">
      <c r="B170" s="15" t="str">
        <f>B166</f>
        <v>Лікар-рентгенолог</v>
      </c>
      <c r="C170" s="78">
        <f>I166</f>
        <v>0.97</v>
      </c>
      <c r="D170" s="17">
        <v>10</v>
      </c>
      <c r="E170" s="18">
        <f>ROUND(C170*D170,2)</f>
        <v>9.6999999999999993</v>
      </c>
    </row>
    <row r="171" spans="1:15" x14ac:dyDescent="0.3">
      <c r="B171" s="15" t="str">
        <f>B167</f>
        <v>Рентгенолаборант</v>
      </c>
      <c r="C171" s="78">
        <f>I167</f>
        <v>1.0900000000000001</v>
      </c>
      <c r="D171" s="17">
        <v>15</v>
      </c>
      <c r="E171" s="18">
        <f>ROUND(C171*D171,2)</f>
        <v>16.350000000000001</v>
      </c>
    </row>
    <row r="172" spans="1:15" x14ac:dyDescent="0.3">
      <c r="C172" s="19"/>
    </row>
    <row r="173" spans="1:15" x14ac:dyDescent="0.3">
      <c r="B173" s="17" t="s">
        <v>933</v>
      </c>
      <c r="C173" s="78">
        <f>E170+E171</f>
        <v>26.05</v>
      </c>
      <c r="D173" s="20">
        <v>0.22</v>
      </c>
      <c r="E173" s="21">
        <f>ROUND(C173*D173,2)</f>
        <v>5.73</v>
      </c>
    </row>
    <row r="175" spans="1:15" x14ac:dyDescent="0.3">
      <c r="B175" s="12" t="s">
        <v>946</v>
      </c>
      <c r="C175" s="227"/>
      <c r="D175" s="12"/>
      <c r="E175" s="11">
        <f>F185</f>
        <v>5.91</v>
      </c>
      <c r="F175" s="12" t="s">
        <v>971</v>
      </c>
    </row>
    <row r="177" spans="1:15" x14ac:dyDescent="0.3">
      <c r="B177" s="27" t="s">
        <v>936</v>
      </c>
      <c r="C177" s="28" t="s">
        <v>937</v>
      </c>
      <c r="D177" s="29">
        <v>1</v>
      </c>
      <c r="E177" s="30">
        <f>'МЕДИЧНІ М'!F115</f>
        <v>0.3</v>
      </c>
      <c r="F177" s="30">
        <f t="shared" ref="F177:F184" si="3">ROUND(D177*E177,2)</f>
        <v>0.3</v>
      </c>
    </row>
    <row r="178" spans="1:15" s="184" customFormat="1" x14ac:dyDescent="0.3">
      <c r="A178" s="180"/>
      <c r="B178" s="185" t="s">
        <v>1021</v>
      </c>
      <c r="C178" s="186" t="s">
        <v>941</v>
      </c>
      <c r="D178" s="164">
        <v>0.5</v>
      </c>
      <c r="E178" s="164">
        <f>'МЕДИЧНІ М'!E181</f>
        <v>2</v>
      </c>
      <c r="F178" s="164">
        <f t="shared" si="3"/>
        <v>1</v>
      </c>
      <c r="G178" s="180"/>
      <c r="H178" s="180"/>
      <c r="I178" s="180"/>
      <c r="J178" s="187"/>
      <c r="K178" s="189"/>
      <c r="L178" s="189"/>
      <c r="M178" s="189"/>
      <c r="N178" s="189"/>
      <c r="O178" s="188"/>
    </row>
    <row r="179" spans="1:15" x14ac:dyDescent="0.3">
      <c r="B179" s="15" t="s">
        <v>1216</v>
      </c>
      <c r="C179" s="73" t="s">
        <v>941</v>
      </c>
      <c r="D179" s="17">
        <v>0.1</v>
      </c>
      <c r="E179" s="16">
        <f>'МЕДИЧНІ М'!E113</f>
        <v>8</v>
      </c>
      <c r="F179" s="17">
        <f t="shared" si="3"/>
        <v>0.8</v>
      </c>
    </row>
    <row r="180" spans="1:15" ht="28.2" x14ac:dyDescent="0.3">
      <c r="B180" s="15" t="s">
        <v>1025</v>
      </c>
      <c r="C180" s="73" t="s">
        <v>941</v>
      </c>
      <c r="D180" s="17">
        <v>0.02</v>
      </c>
      <c r="E180" s="17">
        <f>'МЕДИЧНІ М'!F121</f>
        <v>54</v>
      </c>
      <c r="F180" s="17">
        <f t="shared" si="3"/>
        <v>1.08</v>
      </c>
    </row>
    <row r="181" spans="1:15" x14ac:dyDescent="0.3">
      <c r="B181" s="15" t="s">
        <v>1024</v>
      </c>
      <c r="C181" s="73" t="s">
        <v>941</v>
      </c>
      <c r="D181" s="17">
        <v>0.02</v>
      </c>
      <c r="E181" s="17">
        <f>'МЕДИЧНІ М'!F118</f>
        <v>97.3</v>
      </c>
      <c r="F181" s="17">
        <f t="shared" si="3"/>
        <v>1.95</v>
      </c>
    </row>
    <row r="182" spans="1:15" x14ac:dyDescent="0.3">
      <c r="B182" s="15" t="s">
        <v>964</v>
      </c>
      <c r="C182" s="73" t="s">
        <v>941</v>
      </c>
      <c r="D182" s="17">
        <v>0.1</v>
      </c>
      <c r="E182" s="16">
        <f>'МЕДИЧНІ М'!E119</f>
        <v>2.8</v>
      </c>
      <c r="F182" s="17">
        <f t="shared" si="3"/>
        <v>0.28000000000000003</v>
      </c>
    </row>
    <row r="183" spans="1:15" x14ac:dyDescent="0.3">
      <c r="B183" s="27" t="s">
        <v>942</v>
      </c>
      <c r="C183" s="28" t="s">
        <v>941</v>
      </c>
      <c r="D183" s="29">
        <v>0.01</v>
      </c>
      <c r="E183" s="29">
        <f>'МЕДИЧНІ М'!E120</f>
        <v>24.6</v>
      </c>
      <c r="F183" s="30">
        <f t="shared" si="3"/>
        <v>0.25</v>
      </c>
    </row>
    <row r="184" spans="1:15" x14ac:dyDescent="0.3">
      <c r="B184" s="27" t="s">
        <v>1124</v>
      </c>
      <c r="C184" s="28" t="s">
        <v>944</v>
      </c>
      <c r="D184" s="29">
        <v>0.5</v>
      </c>
      <c r="E184" s="29">
        <f>'МЕДИЧНІ М'!E114</f>
        <v>0.5</v>
      </c>
      <c r="F184" s="30">
        <f t="shared" si="3"/>
        <v>0.25</v>
      </c>
    </row>
    <row r="185" spans="1:15" x14ac:dyDescent="0.3">
      <c r="B185" s="1019" t="s">
        <v>945</v>
      </c>
      <c r="C185" s="1019"/>
      <c r="D185" s="1019"/>
      <c r="E185" s="1019"/>
      <c r="F185" s="89">
        <f>SUM(F177:F184)</f>
        <v>5.91</v>
      </c>
    </row>
    <row r="187" spans="1:15" x14ac:dyDescent="0.3">
      <c r="B187" s="12" t="s">
        <v>968</v>
      </c>
      <c r="C187" s="227"/>
      <c r="D187" s="12"/>
      <c r="E187" s="11">
        <f>SUM(G190:G191)</f>
        <v>0</v>
      </c>
      <c r="F187" s="12" t="s">
        <v>971</v>
      </c>
    </row>
    <row r="188" spans="1:15" x14ac:dyDescent="0.3">
      <c r="B188" s="22"/>
      <c r="C188" s="36"/>
      <c r="D188" s="22"/>
      <c r="E188" s="23"/>
      <c r="F188" s="22"/>
    </row>
    <row r="189" spans="1:15" ht="27.6" x14ac:dyDescent="0.3">
      <c r="B189" s="14" t="s">
        <v>513</v>
      </c>
      <c r="C189" s="14" t="s">
        <v>1108</v>
      </c>
      <c r="D189" s="14" t="s">
        <v>516</v>
      </c>
      <c r="E189" s="14" t="s">
        <v>970</v>
      </c>
      <c r="F189" s="14" t="s">
        <v>930</v>
      </c>
      <c r="G189" s="14" t="s">
        <v>961</v>
      </c>
    </row>
    <row r="190" spans="1:15" x14ac:dyDescent="0.3">
      <c r="B190" s="46" t="s">
        <v>1158</v>
      </c>
      <c r="C190" s="73">
        <f>C138</f>
        <v>0</v>
      </c>
      <c r="D190" s="62">
        <f>H166</f>
        <v>1932.7</v>
      </c>
      <c r="E190" s="17">
        <f>ROUND((C190/D190)/60,2)</f>
        <v>0</v>
      </c>
      <c r="F190" s="17">
        <f>D170</f>
        <v>10</v>
      </c>
      <c r="G190" s="16">
        <f>ROUND(E190*F190,2)</f>
        <v>0</v>
      </c>
    </row>
    <row r="191" spans="1:15" x14ac:dyDescent="0.3">
      <c r="B191" s="27" t="s">
        <v>1093</v>
      </c>
      <c r="C191" s="73">
        <f>C139</f>
        <v>0</v>
      </c>
      <c r="D191" s="62">
        <f>H167</f>
        <v>1506</v>
      </c>
      <c r="E191" s="17">
        <f>ROUND((C191/D191)/60,2)</f>
        <v>0</v>
      </c>
      <c r="F191" s="17">
        <f>D171</f>
        <v>15</v>
      </c>
      <c r="G191" s="16">
        <f>ROUND(E191*F191,2)</f>
        <v>0</v>
      </c>
      <c r="H191" s="38"/>
    </row>
    <row r="193" spans="2:7" x14ac:dyDescent="0.3">
      <c r="B193" s="12" t="s">
        <v>948</v>
      </c>
      <c r="C193" s="227"/>
      <c r="D193" s="12"/>
      <c r="E193" s="11">
        <f>G206</f>
        <v>3.45</v>
      </c>
      <c r="F193" s="12" t="s">
        <v>971</v>
      </c>
    </row>
    <row r="194" spans="2:7" x14ac:dyDescent="0.3">
      <c r="B194" s="22"/>
      <c r="C194" s="36"/>
      <c r="D194" s="22"/>
      <c r="E194" s="23"/>
    </row>
    <row r="195" spans="2:7" ht="27.6" x14ac:dyDescent="0.3">
      <c r="B195" s="14" t="s">
        <v>948</v>
      </c>
      <c r="C195" s="14" t="s">
        <v>1110</v>
      </c>
      <c r="D195" s="14" t="s">
        <v>516</v>
      </c>
      <c r="E195" s="14" t="s">
        <v>954</v>
      </c>
      <c r="F195" s="14" t="s">
        <v>930</v>
      </c>
      <c r="G195" s="14" t="s">
        <v>1111</v>
      </c>
    </row>
    <row r="196" spans="2:7" x14ac:dyDescent="0.3">
      <c r="B196" s="1009" t="str">
        <f>B166</f>
        <v>Лікар-рентгенолог</v>
      </c>
      <c r="C196" s="1010"/>
      <c r="D196" s="1010"/>
      <c r="E196" s="1010"/>
      <c r="F196" s="1010"/>
      <c r="G196" s="1011"/>
    </row>
    <row r="197" spans="2:7" x14ac:dyDescent="0.3">
      <c r="B197" s="17" t="s">
        <v>951</v>
      </c>
      <c r="C197" s="221">
        <f>C145</f>
        <v>12188.608008565312</v>
      </c>
      <c r="D197" s="17">
        <f>H166</f>
        <v>1932.7</v>
      </c>
      <c r="E197" s="17">
        <f>ROUND((C197/D197)/60,2)</f>
        <v>0.11</v>
      </c>
      <c r="F197" s="17">
        <f>D170</f>
        <v>10</v>
      </c>
      <c r="G197" s="16">
        <f>ROUND(E197*F197,2)</f>
        <v>1.1000000000000001</v>
      </c>
    </row>
    <row r="198" spans="2:7" x14ac:dyDescent="0.3">
      <c r="B198" s="17" t="s">
        <v>952</v>
      </c>
      <c r="C198" s="221">
        <f>C146</f>
        <v>53.149721627408987</v>
      </c>
      <c r="D198" s="17">
        <f>H166</f>
        <v>1932.7</v>
      </c>
      <c r="E198" s="17">
        <f>ROUND((C198/D198)/60,2)</f>
        <v>0</v>
      </c>
      <c r="F198" s="17">
        <f>D170</f>
        <v>10</v>
      </c>
      <c r="G198" s="16">
        <f>ROUND(E198*F198,2)</f>
        <v>0</v>
      </c>
    </row>
    <row r="199" spans="2:7" x14ac:dyDescent="0.3">
      <c r="B199" s="17" t="s">
        <v>953</v>
      </c>
      <c r="C199" s="221">
        <f>C147</f>
        <v>374.98368308351178</v>
      </c>
      <c r="D199" s="17">
        <f>H166</f>
        <v>1932.7</v>
      </c>
      <c r="E199" s="17">
        <f>ROUND((C199/D199)/60,2)</f>
        <v>0</v>
      </c>
      <c r="F199" s="17">
        <f>D170</f>
        <v>10</v>
      </c>
      <c r="G199" s="16">
        <f>ROUND(E199*F199,2)</f>
        <v>0</v>
      </c>
    </row>
    <row r="200" spans="2:7" x14ac:dyDescent="0.3">
      <c r="B200" s="17" t="s">
        <v>1109</v>
      </c>
      <c r="C200" s="221">
        <f>C148</f>
        <v>1686.0389293361886</v>
      </c>
      <c r="D200" s="17">
        <f>H166</f>
        <v>1932.7</v>
      </c>
      <c r="E200" s="17">
        <f>ROUND((C200/D200)/60,2)</f>
        <v>0.01</v>
      </c>
      <c r="F200" s="17">
        <f>D170</f>
        <v>10</v>
      </c>
      <c r="G200" s="16">
        <f>ROUND(E200*F200,2)</f>
        <v>0.1</v>
      </c>
    </row>
    <row r="201" spans="2:7" x14ac:dyDescent="0.3">
      <c r="B201" s="1009" t="str">
        <f>B167</f>
        <v>Рентгенолаборант</v>
      </c>
      <c r="C201" s="1010"/>
      <c r="D201" s="1010"/>
      <c r="E201" s="1010"/>
      <c r="F201" s="1010"/>
      <c r="G201" s="1011"/>
    </row>
    <row r="202" spans="2:7" x14ac:dyDescent="0.3">
      <c r="B202" s="17" t="s">
        <v>951</v>
      </c>
      <c r="C202" s="221">
        <f>C197</f>
        <v>12188.608008565312</v>
      </c>
      <c r="D202" s="17">
        <f>H167</f>
        <v>1506</v>
      </c>
      <c r="E202" s="17">
        <f>ROUND((C202/D202)/60,2)</f>
        <v>0.13</v>
      </c>
      <c r="F202" s="17">
        <f>D171</f>
        <v>15</v>
      </c>
      <c r="G202" s="16">
        <f>ROUND(E202*F202,2)</f>
        <v>1.95</v>
      </c>
    </row>
    <row r="203" spans="2:7" x14ac:dyDescent="0.3">
      <c r="B203" s="17" t="s">
        <v>952</v>
      </c>
      <c r="C203" s="221">
        <f>C198</f>
        <v>53.149721627408987</v>
      </c>
      <c r="D203" s="17">
        <f>H167</f>
        <v>1506</v>
      </c>
      <c r="E203" s="17">
        <f>ROUND((C203/D203)/60,2)</f>
        <v>0</v>
      </c>
      <c r="F203" s="17">
        <f>D171</f>
        <v>15</v>
      </c>
      <c r="G203" s="16">
        <f>ROUND(E203*F203,2)</f>
        <v>0</v>
      </c>
    </row>
    <row r="204" spans="2:7" x14ac:dyDescent="0.3">
      <c r="B204" s="17" t="s">
        <v>953</v>
      </c>
      <c r="C204" s="221">
        <f>C199</f>
        <v>374.98368308351178</v>
      </c>
      <c r="D204" s="17">
        <f>H167</f>
        <v>1506</v>
      </c>
      <c r="E204" s="17">
        <f>ROUND((C204/D204)/60,2)</f>
        <v>0</v>
      </c>
      <c r="F204" s="17">
        <f>D171</f>
        <v>15</v>
      </c>
      <c r="G204" s="16">
        <f>ROUND(E204*F204,2)</f>
        <v>0</v>
      </c>
    </row>
    <row r="205" spans="2:7" x14ac:dyDescent="0.3">
      <c r="B205" s="17" t="s">
        <v>1109</v>
      </c>
      <c r="C205" s="221">
        <f>C200</f>
        <v>1686.0389293361886</v>
      </c>
      <c r="D205" s="17">
        <f>H167</f>
        <v>1506</v>
      </c>
      <c r="E205" s="17">
        <f>ROUND((C205/D205)/60,2)</f>
        <v>0.02</v>
      </c>
      <c r="F205" s="17">
        <f>D171</f>
        <v>15</v>
      </c>
      <c r="G205" s="16">
        <f>ROUND(E205*F205,2)</f>
        <v>0.3</v>
      </c>
    </row>
    <row r="206" spans="2:7" x14ac:dyDescent="0.3">
      <c r="B206" s="1012" t="s">
        <v>957</v>
      </c>
      <c r="C206" s="1013"/>
      <c r="D206" s="1013"/>
      <c r="E206" s="1013"/>
      <c r="F206" s="1014"/>
      <c r="G206" s="18">
        <f>SUM(G197:G205)</f>
        <v>3.45</v>
      </c>
    </row>
    <row r="208" spans="2:7" ht="0.75" customHeight="1" x14ac:dyDescent="0.3"/>
    <row r="209" spans="1:15" x14ac:dyDescent="0.3">
      <c r="B209" s="1015" t="s">
        <v>959</v>
      </c>
      <c r="C209" s="1015"/>
      <c r="D209" s="1015"/>
      <c r="E209" s="1015"/>
      <c r="F209" s="1015"/>
      <c r="G209" s="32">
        <f>E163+E175+E187+E193</f>
        <v>41.14</v>
      </c>
    </row>
    <row r="210" spans="1:15" x14ac:dyDescent="0.3">
      <c r="B210" s="33"/>
      <c r="C210" s="33"/>
      <c r="D210" s="33"/>
      <c r="E210" s="33"/>
      <c r="F210" s="33"/>
      <c r="G210" s="34"/>
    </row>
    <row r="211" spans="1:15" x14ac:dyDescent="0.3">
      <c r="B211" s="1015" t="s">
        <v>960</v>
      </c>
      <c r="C211" s="1015"/>
      <c r="D211" s="1015"/>
      <c r="E211" s="1015"/>
      <c r="F211" s="1015"/>
      <c r="G211" s="32">
        <f>ROUND(G209,0)</f>
        <v>41</v>
      </c>
    </row>
    <row r="213" spans="1:15" s="54" customFormat="1" ht="18.75" customHeight="1" x14ac:dyDescent="0.4">
      <c r="A213" s="50" t="s">
        <v>628</v>
      </c>
      <c r="B213" s="1017" t="s">
        <v>673</v>
      </c>
      <c r="C213" s="1017"/>
      <c r="D213" s="1017"/>
      <c r="E213" s="52">
        <f>G264</f>
        <v>53</v>
      </c>
      <c r="F213" s="52" t="s">
        <v>971</v>
      </c>
      <c r="G213" s="53"/>
      <c r="H213" s="124"/>
      <c r="I213" s="125" t="s">
        <v>1023</v>
      </c>
      <c r="J213" s="130"/>
      <c r="K213" s="114"/>
      <c r="L213" s="114"/>
      <c r="M213" s="114"/>
      <c r="N213" s="126"/>
      <c r="O213" s="127"/>
    </row>
    <row r="215" spans="1:15" x14ac:dyDescent="0.3">
      <c r="B215" s="1018" t="s">
        <v>932</v>
      </c>
      <c r="C215" s="1018"/>
      <c r="D215" s="10"/>
      <c r="E215" s="11">
        <f>E222+E225+E223</f>
        <v>31.78</v>
      </c>
      <c r="F215" s="12" t="s">
        <v>971</v>
      </c>
    </row>
    <row r="217" spans="1:15" ht="27.6" x14ac:dyDescent="0.3">
      <c r="B217" s="13" t="s">
        <v>929</v>
      </c>
      <c r="C217" s="14" t="s">
        <v>928</v>
      </c>
      <c r="D217" s="14" t="s">
        <v>514</v>
      </c>
      <c r="E217" s="14" t="s">
        <v>515</v>
      </c>
      <c r="F217" s="14" t="s">
        <v>962</v>
      </c>
      <c r="G217" s="14" t="s">
        <v>926</v>
      </c>
      <c r="H217" s="14" t="s">
        <v>516</v>
      </c>
      <c r="I217" s="14" t="s">
        <v>961</v>
      </c>
    </row>
    <row r="218" spans="1:15" x14ac:dyDescent="0.3">
      <c r="B218" s="16" t="str">
        <f t="shared" ref="B218:F219" si="4">B166</f>
        <v>Лікар-рентгенолог</v>
      </c>
      <c r="C218" s="16">
        <f t="shared" si="4"/>
        <v>8463.5400000000009</v>
      </c>
      <c r="D218" s="16">
        <f t="shared" si="4"/>
        <v>101562.48000000001</v>
      </c>
      <c r="E218" s="16">
        <f t="shared" si="4"/>
        <v>7052.95</v>
      </c>
      <c r="F218" s="16">
        <f t="shared" si="4"/>
        <v>3526.4749999999999</v>
      </c>
      <c r="G218" s="16">
        <f>D218+E218+F218</f>
        <v>112141.90500000001</v>
      </c>
      <c r="H218" s="17">
        <v>1932.7</v>
      </c>
      <c r="I218" s="16">
        <f>ROUND((G218/H218)/60,2)</f>
        <v>0.97</v>
      </c>
    </row>
    <row r="219" spans="1:15" x14ac:dyDescent="0.3">
      <c r="B219" s="16" t="str">
        <f t="shared" si="4"/>
        <v>Рентгенолаборант</v>
      </c>
      <c r="C219" s="16">
        <f t="shared" si="4"/>
        <v>7482.48</v>
      </c>
      <c r="D219" s="16">
        <f t="shared" si="4"/>
        <v>89789.759999999995</v>
      </c>
      <c r="E219" s="16">
        <f t="shared" si="4"/>
        <v>5755.75</v>
      </c>
      <c r="F219" s="16">
        <f t="shared" si="4"/>
        <v>2877.875</v>
      </c>
      <c r="G219" s="16">
        <f>D219+E219+F219</f>
        <v>98423.384999999995</v>
      </c>
      <c r="H219" s="62">
        <v>1506</v>
      </c>
      <c r="I219" s="16">
        <f>ROUND((G219/H219)/60,2)</f>
        <v>1.0900000000000001</v>
      </c>
    </row>
    <row r="221" spans="1:15" ht="27.6" x14ac:dyDescent="0.3">
      <c r="B221" s="13" t="s">
        <v>929</v>
      </c>
      <c r="C221" s="14" t="s">
        <v>961</v>
      </c>
      <c r="D221" s="14" t="s">
        <v>930</v>
      </c>
      <c r="E221" s="14" t="s">
        <v>931</v>
      </c>
    </row>
    <row r="222" spans="1:15" x14ac:dyDescent="0.3">
      <c r="B222" s="15" t="str">
        <f>B218</f>
        <v>Лікар-рентгенолог</v>
      </c>
      <c r="C222" s="78">
        <f>I218</f>
        <v>0.97</v>
      </c>
      <c r="D222" s="17">
        <v>10</v>
      </c>
      <c r="E222" s="18">
        <f>ROUND(C222*D222,2)</f>
        <v>9.6999999999999993</v>
      </c>
    </row>
    <row r="223" spans="1:15" x14ac:dyDescent="0.3">
      <c r="B223" s="15" t="str">
        <f>B219</f>
        <v>Рентгенолаборант</v>
      </c>
      <c r="C223" s="78">
        <f>I219</f>
        <v>1.0900000000000001</v>
      </c>
      <c r="D223" s="17">
        <v>15</v>
      </c>
      <c r="E223" s="18">
        <f>ROUND(C223*D223,2)</f>
        <v>16.350000000000001</v>
      </c>
    </row>
    <row r="224" spans="1:15" x14ac:dyDescent="0.3">
      <c r="C224" s="19"/>
    </row>
    <row r="225" spans="1:15" x14ac:dyDescent="0.3">
      <c r="B225" s="17" t="s">
        <v>933</v>
      </c>
      <c r="C225" s="78">
        <f>E222+E223</f>
        <v>26.05</v>
      </c>
      <c r="D225" s="20">
        <v>0.22</v>
      </c>
      <c r="E225" s="21">
        <f>ROUND(C225*D225,2)</f>
        <v>5.73</v>
      </c>
    </row>
    <row r="227" spans="1:15" x14ac:dyDescent="0.3">
      <c r="B227" s="12" t="s">
        <v>946</v>
      </c>
      <c r="C227" s="227"/>
      <c r="D227" s="12"/>
      <c r="E227" s="12">
        <f>F238</f>
        <v>18.11</v>
      </c>
      <c r="F227" s="12" t="s">
        <v>971</v>
      </c>
    </row>
    <row r="229" spans="1:15" x14ac:dyDescent="0.3">
      <c r="B229" s="27" t="s">
        <v>936</v>
      </c>
      <c r="C229" s="28" t="s">
        <v>937</v>
      </c>
      <c r="D229" s="29">
        <v>1</v>
      </c>
      <c r="E229" s="30">
        <f>'МЕДИЧНІ М'!F115</f>
        <v>0.3</v>
      </c>
      <c r="F229" s="30">
        <f>ROUND(D229*E229,2)</f>
        <v>0.3</v>
      </c>
    </row>
    <row r="230" spans="1:15" s="184" customFormat="1" x14ac:dyDescent="0.3">
      <c r="A230" s="180"/>
      <c r="B230" s="185" t="s">
        <v>1021</v>
      </c>
      <c r="C230" s="186" t="s">
        <v>941</v>
      </c>
      <c r="D230" s="164">
        <v>0.5</v>
      </c>
      <c r="E230" s="164">
        <f>'МЕДИЧНІ М'!E181</f>
        <v>2</v>
      </c>
      <c r="F230" s="164">
        <f t="shared" ref="F230:F237" si="5">ROUND(D230*E230,2)</f>
        <v>1</v>
      </c>
      <c r="G230" s="180"/>
      <c r="H230" s="180"/>
      <c r="I230" s="180"/>
      <c r="J230" s="187"/>
      <c r="K230" s="189"/>
      <c r="L230" s="189"/>
      <c r="M230" s="189"/>
      <c r="N230" s="189"/>
      <c r="O230" s="188"/>
    </row>
    <row r="231" spans="1:15" x14ac:dyDescent="0.3">
      <c r="B231" s="15" t="s">
        <v>1216</v>
      </c>
      <c r="C231" s="73" t="s">
        <v>941</v>
      </c>
      <c r="D231" s="17">
        <v>0.1</v>
      </c>
      <c r="E231" s="16">
        <f>'МЕДИЧНІ М'!E113</f>
        <v>8</v>
      </c>
      <c r="F231" s="17">
        <f t="shared" si="5"/>
        <v>0.8</v>
      </c>
    </row>
    <row r="232" spans="1:15" x14ac:dyDescent="0.3">
      <c r="B232" s="15" t="str">
        <f>'МЕДИЧНІ М'!B321</f>
        <v>Рентген 24 * 30 № 100</v>
      </c>
      <c r="C232" s="73" t="s">
        <v>941</v>
      </c>
      <c r="D232" s="17">
        <v>1</v>
      </c>
      <c r="E232" s="16">
        <f>'МЕДИЧНІ М'!F321</f>
        <v>12.2</v>
      </c>
      <c r="F232" s="17">
        <f t="shared" si="5"/>
        <v>12.2</v>
      </c>
    </row>
    <row r="233" spans="1:15" ht="28.2" x14ac:dyDescent="0.3">
      <c r="B233" s="15" t="s">
        <v>1025</v>
      </c>
      <c r="C233" s="73" t="s">
        <v>941</v>
      </c>
      <c r="D233" s="17">
        <v>0.02</v>
      </c>
      <c r="E233" s="17">
        <f>'МЕДИЧНІ М'!F121</f>
        <v>54</v>
      </c>
      <c r="F233" s="17">
        <f t="shared" si="5"/>
        <v>1.08</v>
      </c>
    </row>
    <row r="234" spans="1:15" x14ac:dyDescent="0.3">
      <c r="B234" s="15" t="s">
        <v>1024</v>
      </c>
      <c r="C234" s="73" t="s">
        <v>941</v>
      </c>
      <c r="D234" s="17">
        <v>0.02</v>
      </c>
      <c r="E234" s="17">
        <f>'МЕДИЧНІ М'!F118</f>
        <v>97.3</v>
      </c>
      <c r="F234" s="17">
        <f t="shared" si="5"/>
        <v>1.95</v>
      </c>
    </row>
    <row r="235" spans="1:15" x14ac:dyDescent="0.3">
      <c r="B235" s="15" t="s">
        <v>964</v>
      </c>
      <c r="C235" s="73" t="s">
        <v>941</v>
      </c>
      <c r="D235" s="17">
        <v>0.1</v>
      </c>
      <c r="E235" s="16">
        <f>'МЕДИЧНІ М'!E119</f>
        <v>2.8</v>
      </c>
      <c r="F235" s="17">
        <f t="shared" si="5"/>
        <v>0.28000000000000003</v>
      </c>
    </row>
    <row r="236" spans="1:15" x14ac:dyDescent="0.3">
      <c r="B236" s="27" t="s">
        <v>942</v>
      </c>
      <c r="C236" s="28" t="s">
        <v>941</v>
      </c>
      <c r="D236" s="29">
        <v>0.01</v>
      </c>
      <c r="E236" s="29">
        <f>'МЕДИЧНІ М'!E120</f>
        <v>24.6</v>
      </c>
      <c r="F236" s="30">
        <f t="shared" si="5"/>
        <v>0.25</v>
      </c>
    </row>
    <row r="237" spans="1:15" x14ac:dyDescent="0.3">
      <c r="B237" s="27" t="s">
        <v>1124</v>
      </c>
      <c r="C237" s="28" t="s">
        <v>944</v>
      </c>
      <c r="D237" s="29">
        <v>0.5</v>
      </c>
      <c r="E237" s="29">
        <f>'МЕДИЧНІ М'!E114</f>
        <v>0.5</v>
      </c>
      <c r="F237" s="30">
        <f t="shared" si="5"/>
        <v>0.25</v>
      </c>
    </row>
    <row r="238" spans="1:15" x14ac:dyDescent="0.3">
      <c r="B238" s="1019" t="s">
        <v>945</v>
      </c>
      <c r="C238" s="1019"/>
      <c r="D238" s="1019"/>
      <c r="E238" s="1019"/>
      <c r="F238" s="31">
        <f>SUM(F229:F237)</f>
        <v>18.11</v>
      </c>
    </row>
    <row r="239" spans="1:15" ht="8.25" customHeight="1" x14ac:dyDescent="0.3"/>
    <row r="240" spans="1:15" x14ac:dyDescent="0.3">
      <c r="B240" s="12" t="s">
        <v>968</v>
      </c>
      <c r="C240" s="227"/>
      <c r="D240" s="12"/>
      <c r="E240" s="11">
        <f>SUM(G243:G244)</f>
        <v>0</v>
      </c>
      <c r="F240" s="12" t="s">
        <v>971</v>
      </c>
    </row>
    <row r="241" spans="2:8" ht="9" customHeight="1" x14ac:dyDescent="0.3">
      <c r="B241" s="22"/>
      <c r="C241" s="36"/>
      <c r="D241" s="22"/>
      <c r="E241" s="23"/>
      <c r="F241" s="22"/>
    </row>
    <row r="242" spans="2:8" ht="27.6" x14ac:dyDescent="0.3">
      <c r="B242" s="14" t="s">
        <v>513</v>
      </c>
      <c r="C242" s="14" t="s">
        <v>1108</v>
      </c>
      <c r="D242" s="14" t="s">
        <v>516</v>
      </c>
      <c r="E242" s="14" t="s">
        <v>970</v>
      </c>
      <c r="F242" s="14" t="s">
        <v>930</v>
      </c>
      <c r="G242" s="14" t="s">
        <v>961</v>
      </c>
    </row>
    <row r="243" spans="2:8" x14ac:dyDescent="0.3">
      <c r="B243" s="46" t="str">
        <f>B190</f>
        <v>Автоматизоване робоче місце</v>
      </c>
      <c r="C243" s="46">
        <f>C190</f>
        <v>0</v>
      </c>
      <c r="D243" s="62">
        <f>H218</f>
        <v>1932.7</v>
      </c>
      <c r="E243" s="16">
        <f>ROUND((C243/D243)/60,2)</f>
        <v>0</v>
      </c>
      <c r="F243" s="17">
        <f>D222</f>
        <v>10</v>
      </c>
      <c r="G243" s="16">
        <f>ROUND(E243*F243,2)</f>
        <v>0</v>
      </c>
    </row>
    <row r="244" spans="2:8" x14ac:dyDescent="0.3">
      <c r="B244" s="46" t="str">
        <f>B191</f>
        <v>Рентген</v>
      </c>
      <c r="C244" s="46">
        <f>C191</f>
        <v>0</v>
      </c>
      <c r="D244" s="62">
        <f>H219</f>
        <v>1506</v>
      </c>
      <c r="E244" s="17">
        <f>ROUND((C244/D244)/60,2)</f>
        <v>0</v>
      </c>
      <c r="F244" s="17">
        <f>D223</f>
        <v>15</v>
      </c>
      <c r="G244" s="16">
        <f>ROUND(E244*F244,2)</f>
        <v>0</v>
      </c>
      <c r="H244" s="38"/>
    </row>
    <row r="245" spans="2:8" ht="6.75" customHeight="1" x14ac:dyDescent="0.3"/>
    <row r="246" spans="2:8" x14ac:dyDescent="0.3">
      <c r="B246" s="12" t="s">
        <v>948</v>
      </c>
      <c r="C246" s="227"/>
      <c r="D246" s="12"/>
      <c r="E246" s="11">
        <f>G259</f>
        <v>3.45</v>
      </c>
      <c r="F246" s="12" t="s">
        <v>971</v>
      </c>
    </row>
    <row r="247" spans="2:8" ht="6.75" customHeight="1" x14ac:dyDescent="0.3">
      <c r="B247" s="22"/>
      <c r="C247" s="36"/>
      <c r="D247" s="22"/>
      <c r="E247" s="23"/>
    </row>
    <row r="248" spans="2:8" ht="27.6" x14ac:dyDescent="0.3">
      <c r="B248" s="14" t="s">
        <v>948</v>
      </c>
      <c r="C248" s="14" t="s">
        <v>1110</v>
      </c>
      <c r="D248" s="14" t="s">
        <v>516</v>
      </c>
      <c r="E248" s="14" t="s">
        <v>954</v>
      </c>
      <c r="F248" s="14" t="s">
        <v>930</v>
      </c>
      <c r="G248" s="14" t="s">
        <v>1111</v>
      </c>
    </row>
    <row r="249" spans="2:8" x14ac:dyDescent="0.3">
      <c r="B249" s="1009" t="str">
        <f>B218</f>
        <v>Лікар-рентгенолог</v>
      </c>
      <c r="C249" s="1010"/>
      <c r="D249" s="1010"/>
      <c r="E249" s="1010"/>
      <c r="F249" s="1010"/>
      <c r="G249" s="1011"/>
    </row>
    <row r="250" spans="2:8" x14ac:dyDescent="0.3">
      <c r="B250" s="17" t="s">
        <v>951</v>
      </c>
      <c r="C250" s="221">
        <f>C197</f>
        <v>12188.608008565312</v>
      </c>
      <c r="D250" s="17">
        <f>H218</f>
        <v>1932.7</v>
      </c>
      <c r="E250" s="17">
        <f>ROUND((C250/D250)/60,2)</f>
        <v>0.11</v>
      </c>
      <c r="F250" s="17">
        <f>D222</f>
        <v>10</v>
      </c>
      <c r="G250" s="16">
        <f>ROUND(E250*F250,2)</f>
        <v>1.1000000000000001</v>
      </c>
    </row>
    <row r="251" spans="2:8" x14ac:dyDescent="0.3">
      <c r="B251" s="17" t="s">
        <v>952</v>
      </c>
      <c r="C251" s="221">
        <f>C198</f>
        <v>53.149721627408987</v>
      </c>
      <c r="D251" s="17">
        <f>H218</f>
        <v>1932.7</v>
      </c>
      <c r="E251" s="17">
        <f>ROUND((C251/D251)/60,2)</f>
        <v>0</v>
      </c>
      <c r="F251" s="17">
        <f>D222</f>
        <v>10</v>
      </c>
      <c r="G251" s="16">
        <f>ROUND(E251*F251,2)</f>
        <v>0</v>
      </c>
    </row>
    <row r="252" spans="2:8" x14ac:dyDescent="0.3">
      <c r="B252" s="17" t="s">
        <v>953</v>
      </c>
      <c r="C252" s="221">
        <f>C199</f>
        <v>374.98368308351178</v>
      </c>
      <c r="D252" s="17">
        <f>H218</f>
        <v>1932.7</v>
      </c>
      <c r="E252" s="17">
        <f>ROUND((C252/D252)/60,2)</f>
        <v>0</v>
      </c>
      <c r="F252" s="17">
        <f>D222</f>
        <v>10</v>
      </c>
      <c r="G252" s="16">
        <f>ROUND(E252*F252,2)</f>
        <v>0</v>
      </c>
    </row>
    <row r="253" spans="2:8" x14ac:dyDescent="0.3">
      <c r="B253" s="17" t="s">
        <v>1109</v>
      </c>
      <c r="C253" s="221">
        <f>C200</f>
        <v>1686.0389293361886</v>
      </c>
      <c r="D253" s="17">
        <f>H218</f>
        <v>1932.7</v>
      </c>
      <c r="E253" s="17">
        <f>ROUND((C253/D253)/60,2)</f>
        <v>0.01</v>
      </c>
      <c r="F253" s="17">
        <f>D222</f>
        <v>10</v>
      </c>
      <c r="G253" s="16">
        <f>ROUND(E253*F253,2)</f>
        <v>0.1</v>
      </c>
    </row>
    <row r="254" spans="2:8" x14ac:dyDescent="0.3">
      <c r="B254" s="1009" t="str">
        <f>B219</f>
        <v>Рентгенолаборант</v>
      </c>
      <c r="C254" s="1010"/>
      <c r="D254" s="1010"/>
      <c r="E254" s="1010"/>
      <c r="F254" s="1010"/>
      <c r="G254" s="1011"/>
    </row>
    <row r="255" spans="2:8" x14ac:dyDescent="0.3">
      <c r="B255" s="17" t="s">
        <v>951</v>
      </c>
      <c r="C255" s="221">
        <f>C250</f>
        <v>12188.608008565312</v>
      </c>
      <c r="D255" s="17">
        <f>H219</f>
        <v>1506</v>
      </c>
      <c r="E255" s="17">
        <f>ROUND((C255/D255)/60,2)</f>
        <v>0.13</v>
      </c>
      <c r="F255" s="17">
        <f>D223</f>
        <v>15</v>
      </c>
      <c r="G255" s="16">
        <f>ROUND(E255*F255,2)</f>
        <v>1.95</v>
      </c>
    </row>
    <row r="256" spans="2:8" x14ac:dyDescent="0.3">
      <c r="B256" s="17" t="s">
        <v>952</v>
      </c>
      <c r="C256" s="221">
        <f>C251</f>
        <v>53.149721627408987</v>
      </c>
      <c r="D256" s="17">
        <f>H219</f>
        <v>1506</v>
      </c>
      <c r="E256" s="17">
        <f>ROUND((C256/D256)/60,2)</f>
        <v>0</v>
      </c>
      <c r="F256" s="17">
        <f>D223</f>
        <v>15</v>
      </c>
      <c r="G256" s="16">
        <f>ROUND(E256*F256,2)</f>
        <v>0</v>
      </c>
    </row>
    <row r="257" spans="1:15" x14ac:dyDescent="0.3">
      <c r="B257" s="17" t="s">
        <v>953</v>
      </c>
      <c r="C257" s="221">
        <f>C252</f>
        <v>374.98368308351178</v>
      </c>
      <c r="D257" s="17">
        <f>H219</f>
        <v>1506</v>
      </c>
      <c r="E257" s="17">
        <f>ROUND((C257/D257)/60,2)</f>
        <v>0</v>
      </c>
      <c r="F257" s="17">
        <f>D223</f>
        <v>15</v>
      </c>
      <c r="G257" s="16">
        <f>ROUND(E257*F257,2)</f>
        <v>0</v>
      </c>
    </row>
    <row r="258" spans="1:15" x14ac:dyDescent="0.3">
      <c r="B258" s="17" t="s">
        <v>1109</v>
      </c>
      <c r="C258" s="221">
        <f>C253</f>
        <v>1686.0389293361886</v>
      </c>
      <c r="D258" s="17">
        <f>H219</f>
        <v>1506</v>
      </c>
      <c r="E258" s="17">
        <f>ROUND((C258/D258)/60,2)</f>
        <v>0.02</v>
      </c>
      <c r="F258" s="17">
        <f>D223</f>
        <v>15</v>
      </c>
      <c r="G258" s="16">
        <f>ROUND(E258*F258,2)</f>
        <v>0.3</v>
      </c>
    </row>
    <row r="259" spans="1:15" x14ac:dyDescent="0.3">
      <c r="B259" s="1012" t="s">
        <v>957</v>
      </c>
      <c r="C259" s="1013"/>
      <c r="D259" s="1013"/>
      <c r="E259" s="1013"/>
      <c r="F259" s="1014"/>
      <c r="G259" s="18">
        <f>SUM(G250:G258)</f>
        <v>3.45</v>
      </c>
    </row>
    <row r="260" spans="1:15" ht="2.25" customHeight="1" x14ac:dyDescent="0.3"/>
    <row r="261" spans="1:15" ht="7.5" customHeight="1" x14ac:dyDescent="0.3"/>
    <row r="262" spans="1:15" x14ac:dyDescent="0.3">
      <c r="B262" s="1015" t="s">
        <v>959</v>
      </c>
      <c r="C262" s="1015"/>
      <c r="D262" s="1015"/>
      <c r="E262" s="1015"/>
      <c r="F262" s="1015"/>
      <c r="G262" s="32">
        <f>E215+E227+E240+E246</f>
        <v>53.34</v>
      </c>
    </row>
    <row r="263" spans="1:15" x14ac:dyDescent="0.3">
      <c r="B263" s="33"/>
      <c r="C263" s="33"/>
      <c r="D263" s="33"/>
      <c r="E263" s="33"/>
      <c r="F263" s="33"/>
      <c r="G263" s="34"/>
    </row>
    <row r="264" spans="1:15" s="54" customFormat="1" ht="19.8" x14ac:dyDescent="0.4">
      <c r="A264" s="7"/>
      <c r="B264" s="1015" t="s">
        <v>960</v>
      </c>
      <c r="C264" s="1015"/>
      <c r="D264" s="1015"/>
      <c r="E264" s="1015"/>
      <c r="F264" s="1015"/>
      <c r="G264" s="32">
        <f>ROUND(G262,0)</f>
        <v>53</v>
      </c>
      <c r="H264" s="7"/>
      <c r="I264" s="7"/>
      <c r="J264" s="130"/>
      <c r="K264" s="114"/>
      <c r="L264" s="114"/>
      <c r="M264" s="114"/>
      <c r="N264" s="126"/>
      <c r="O264" s="127"/>
    </row>
    <row r="265" spans="1:15" s="54" customFormat="1" ht="14.25" customHeight="1" x14ac:dyDescent="0.4">
      <c r="A265" s="7"/>
      <c r="B265" s="7"/>
      <c r="C265" s="74"/>
      <c r="D265" s="7"/>
      <c r="E265" s="7"/>
      <c r="F265" s="7"/>
      <c r="G265" s="7"/>
      <c r="H265" s="7"/>
      <c r="I265" s="7"/>
      <c r="J265" s="130"/>
      <c r="K265" s="114"/>
      <c r="L265" s="114"/>
      <c r="M265" s="114"/>
      <c r="N265" s="126"/>
      <c r="O265" s="127"/>
    </row>
    <row r="266" spans="1:15" s="54" customFormat="1" ht="19.8" x14ac:dyDescent="0.4">
      <c r="A266" s="50" t="s">
        <v>628</v>
      </c>
      <c r="B266" s="1017" t="s">
        <v>673</v>
      </c>
      <c r="C266" s="1017"/>
      <c r="D266" s="1017"/>
      <c r="E266" s="52">
        <f>G316</f>
        <v>41</v>
      </c>
      <c r="F266" s="52" t="s">
        <v>971</v>
      </c>
      <c r="G266" s="53"/>
      <c r="H266" s="124"/>
      <c r="I266" s="125" t="s">
        <v>1128</v>
      </c>
      <c r="J266" s="130"/>
      <c r="K266" s="114"/>
      <c r="L266" s="114"/>
      <c r="M266" s="114"/>
      <c r="N266" s="126"/>
      <c r="O266" s="127"/>
    </row>
    <row r="267" spans="1:15" ht="14.25" customHeight="1" x14ac:dyDescent="0.3"/>
    <row r="268" spans="1:15" ht="14.25" customHeight="1" x14ac:dyDescent="0.3">
      <c r="B268" s="1018" t="s">
        <v>932</v>
      </c>
      <c r="C268" s="1018"/>
      <c r="D268" s="10"/>
      <c r="E268" s="11">
        <f>E275+E278+E276</f>
        <v>31.78</v>
      </c>
      <c r="F268" s="12" t="s">
        <v>971</v>
      </c>
    </row>
    <row r="269" spans="1:15" ht="14.25" customHeight="1" x14ac:dyDescent="0.3"/>
    <row r="270" spans="1:15" ht="27.6" x14ac:dyDescent="0.3">
      <c r="B270" s="13" t="s">
        <v>929</v>
      </c>
      <c r="C270" s="14" t="s">
        <v>928</v>
      </c>
      <c r="D270" s="14" t="s">
        <v>514</v>
      </c>
      <c r="E270" s="14" t="s">
        <v>515</v>
      </c>
      <c r="F270" s="14" t="s">
        <v>962</v>
      </c>
      <c r="G270" s="14" t="s">
        <v>926</v>
      </c>
      <c r="H270" s="14" t="s">
        <v>516</v>
      </c>
      <c r="I270" s="14" t="s">
        <v>961</v>
      </c>
    </row>
    <row r="271" spans="1:15" ht="14.25" customHeight="1" x14ac:dyDescent="0.3">
      <c r="B271" s="16" t="str">
        <f>B218</f>
        <v>Лікар-рентгенолог</v>
      </c>
      <c r="C271" s="78">
        <f>C218</f>
        <v>8463.5400000000009</v>
      </c>
      <c r="D271" s="16">
        <f>C271*12</f>
        <v>101562.48000000001</v>
      </c>
      <c r="E271" s="16">
        <f>E218</f>
        <v>7052.95</v>
      </c>
      <c r="F271" s="16">
        <f>F218</f>
        <v>3526.4749999999999</v>
      </c>
      <c r="G271" s="16">
        <f>D271+E271+F271</f>
        <v>112141.90500000001</v>
      </c>
      <c r="H271" s="17">
        <v>1932.7</v>
      </c>
      <c r="I271" s="16">
        <f>ROUND((G271/H271)/60,2)</f>
        <v>0.97</v>
      </c>
    </row>
    <row r="272" spans="1:15" ht="14.25" customHeight="1" x14ac:dyDescent="0.3">
      <c r="B272" s="24" t="str">
        <f>B219</f>
        <v>Рентгенолаборант</v>
      </c>
      <c r="C272" s="226">
        <f>C219</f>
        <v>7482.48</v>
      </c>
      <c r="D272" s="24">
        <f>C272*12</f>
        <v>89789.759999999995</v>
      </c>
      <c r="E272" s="24">
        <f>E219</f>
        <v>5755.75</v>
      </c>
      <c r="F272" s="24">
        <f>F219</f>
        <v>2877.875</v>
      </c>
      <c r="G272" s="16">
        <f>D272+E272+F272</f>
        <v>98423.384999999995</v>
      </c>
      <c r="H272" s="62">
        <v>1506</v>
      </c>
      <c r="I272" s="16">
        <f>ROUND((G272/H272)/60,2)</f>
        <v>1.0900000000000001</v>
      </c>
    </row>
    <row r="273" spans="1:15" ht="14.25" customHeight="1" x14ac:dyDescent="0.3"/>
    <row r="274" spans="1:15" ht="14.25" customHeight="1" x14ac:dyDescent="0.3">
      <c r="B274" s="13" t="s">
        <v>929</v>
      </c>
      <c r="C274" s="14" t="s">
        <v>961</v>
      </c>
      <c r="D274" s="14" t="s">
        <v>930</v>
      </c>
      <c r="E274" s="14" t="s">
        <v>931</v>
      </c>
    </row>
    <row r="275" spans="1:15" ht="14.25" customHeight="1" x14ac:dyDescent="0.3">
      <c r="B275" s="15" t="str">
        <f>B271</f>
        <v>Лікар-рентгенолог</v>
      </c>
      <c r="C275" s="78">
        <f>I271</f>
        <v>0.97</v>
      </c>
      <c r="D275" s="17">
        <v>10</v>
      </c>
      <c r="E275" s="18">
        <f>ROUND(C275*D275,2)</f>
        <v>9.6999999999999993</v>
      </c>
    </row>
    <row r="276" spans="1:15" ht="14.25" customHeight="1" x14ac:dyDescent="0.3">
      <c r="B276" s="15" t="str">
        <f>B272</f>
        <v>Рентгенолаборант</v>
      </c>
      <c r="C276" s="78">
        <f>I272</f>
        <v>1.0900000000000001</v>
      </c>
      <c r="D276" s="17">
        <v>15</v>
      </c>
      <c r="E276" s="18">
        <f>ROUND(C276*D276,2)</f>
        <v>16.350000000000001</v>
      </c>
    </row>
    <row r="277" spans="1:15" ht="14.25" customHeight="1" x14ac:dyDescent="0.3">
      <c r="C277" s="19"/>
    </row>
    <row r="278" spans="1:15" ht="14.25" customHeight="1" x14ac:dyDescent="0.3">
      <c r="B278" s="17" t="s">
        <v>933</v>
      </c>
      <c r="C278" s="78">
        <f>E275+E276</f>
        <v>26.05</v>
      </c>
      <c r="D278" s="20">
        <v>0.22</v>
      </c>
      <c r="E278" s="21">
        <f>ROUND(C278*D278,2)</f>
        <v>5.73</v>
      </c>
    </row>
    <row r="279" spans="1:15" ht="14.25" customHeight="1" x14ac:dyDescent="0.3"/>
    <row r="280" spans="1:15" ht="14.25" customHeight="1" x14ac:dyDescent="0.3">
      <c r="B280" s="12" t="s">
        <v>946</v>
      </c>
      <c r="C280" s="227"/>
      <c r="D280" s="12"/>
      <c r="E280" s="11">
        <f>F290</f>
        <v>5.91</v>
      </c>
      <c r="F280" s="12" t="s">
        <v>971</v>
      </c>
    </row>
    <row r="281" spans="1:15" ht="14.25" customHeight="1" x14ac:dyDescent="0.3"/>
    <row r="282" spans="1:15" ht="14.25" customHeight="1" x14ac:dyDescent="0.3">
      <c r="B282" s="15" t="s">
        <v>966</v>
      </c>
      <c r="C282" s="73" t="s">
        <v>941</v>
      </c>
      <c r="D282" s="29">
        <v>1</v>
      </c>
      <c r="E282" s="30">
        <f>'МЕДИЧНІ М'!F115</f>
        <v>0.3</v>
      </c>
      <c r="F282" s="30">
        <f>ROUND(D282*E282,2)</f>
        <v>0.3</v>
      </c>
    </row>
    <row r="283" spans="1:15" s="184" customFormat="1" ht="14.25" customHeight="1" x14ac:dyDescent="0.3">
      <c r="A283" s="180"/>
      <c r="B283" s="185" t="s">
        <v>1021</v>
      </c>
      <c r="C283" s="186" t="s">
        <v>941</v>
      </c>
      <c r="D283" s="164">
        <v>0.5</v>
      </c>
      <c r="E283" s="164">
        <f>'МЕДИЧНІ М'!E181</f>
        <v>2</v>
      </c>
      <c r="F283" s="164">
        <f t="shared" ref="F283:F289" si="6">ROUND(D283*E283,2)</f>
        <v>1</v>
      </c>
      <c r="G283" s="180"/>
      <c r="H283" s="180"/>
      <c r="I283" s="180"/>
      <c r="J283" s="187"/>
      <c r="K283" s="189"/>
      <c r="L283" s="189"/>
      <c r="M283" s="189"/>
      <c r="N283" s="189"/>
      <c r="O283" s="188"/>
    </row>
    <row r="284" spans="1:15" ht="14.25" customHeight="1" x14ac:dyDescent="0.3">
      <c r="B284" s="15" t="s">
        <v>1216</v>
      </c>
      <c r="C284" s="73" t="s">
        <v>941</v>
      </c>
      <c r="D284" s="17">
        <v>0.1</v>
      </c>
      <c r="E284" s="16">
        <f>'МЕДИЧНІ М'!E113</f>
        <v>8</v>
      </c>
      <c r="F284" s="17">
        <f t="shared" si="6"/>
        <v>0.8</v>
      </c>
    </row>
    <row r="285" spans="1:15" ht="14.25" customHeight="1" x14ac:dyDescent="0.3">
      <c r="B285" s="15" t="s">
        <v>1025</v>
      </c>
      <c r="C285" s="73" t="s">
        <v>941</v>
      </c>
      <c r="D285" s="17">
        <v>0.02</v>
      </c>
      <c r="E285" s="17">
        <f>'МЕДИЧНІ М'!F121</f>
        <v>54</v>
      </c>
      <c r="F285" s="17">
        <f t="shared" si="6"/>
        <v>1.08</v>
      </c>
    </row>
    <row r="286" spans="1:15" ht="14.25" customHeight="1" x14ac:dyDescent="0.3">
      <c r="B286" s="15" t="s">
        <v>1024</v>
      </c>
      <c r="C286" s="73" t="s">
        <v>941</v>
      </c>
      <c r="D286" s="17">
        <v>0.02</v>
      </c>
      <c r="E286" s="17">
        <f>'МЕДИЧНІ М'!F118</f>
        <v>97.3</v>
      </c>
      <c r="F286" s="17">
        <f t="shared" si="6"/>
        <v>1.95</v>
      </c>
    </row>
    <row r="287" spans="1:15" ht="14.25" customHeight="1" x14ac:dyDescent="0.3">
      <c r="B287" s="15" t="s">
        <v>964</v>
      </c>
      <c r="C287" s="73" t="s">
        <v>941</v>
      </c>
      <c r="D287" s="17">
        <v>0.1</v>
      </c>
      <c r="E287" s="16">
        <f>'МЕДИЧНІ М'!E119</f>
        <v>2.8</v>
      </c>
      <c r="F287" s="17">
        <f t="shared" si="6"/>
        <v>0.28000000000000003</v>
      </c>
    </row>
    <row r="288" spans="1:15" ht="14.25" customHeight="1" x14ac:dyDescent="0.3">
      <c r="B288" s="27" t="s">
        <v>942</v>
      </c>
      <c r="C288" s="28" t="s">
        <v>941</v>
      </c>
      <c r="D288" s="29">
        <v>0.01</v>
      </c>
      <c r="E288" s="29">
        <f>'МЕДИЧНІ М'!E120</f>
        <v>24.6</v>
      </c>
      <c r="F288" s="30">
        <f t="shared" si="6"/>
        <v>0.25</v>
      </c>
    </row>
    <row r="289" spans="2:8" ht="14.25" customHeight="1" x14ac:dyDescent="0.3">
      <c r="B289" s="27" t="s">
        <v>1124</v>
      </c>
      <c r="C289" s="28" t="s">
        <v>944</v>
      </c>
      <c r="D289" s="29">
        <v>0.5</v>
      </c>
      <c r="E289" s="29">
        <f>'МЕДИЧНІ М'!E114</f>
        <v>0.5</v>
      </c>
      <c r="F289" s="30">
        <f t="shared" si="6"/>
        <v>0.25</v>
      </c>
    </row>
    <row r="290" spans="2:8" ht="14.25" customHeight="1" x14ac:dyDescent="0.3">
      <c r="B290" s="1019" t="s">
        <v>945</v>
      </c>
      <c r="C290" s="1019"/>
      <c r="D290" s="1019"/>
      <c r="E290" s="1019"/>
      <c r="F290" s="89">
        <f>SUM(F282:F289)</f>
        <v>5.91</v>
      </c>
    </row>
    <row r="291" spans="2:8" ht="14.25" customHeight="1" x14ac:dyDescent="0.3"/>
    <row r="292" spans="2:8" ht="14.25" customHeight="1" x14ac:dyDescent="0.3">
      <c r="B292" s="12" t="s">
        <v>968</v>
      </c>
      <c r="C292" s="227"/>
      <c r="D292" s="12"/>
      <c r="E292" s="11">
        <f>SUM(G295:G296)</f>
        <v>0</v>
      </c>
      <c r="F292" s="12" t="s">
        <v>971</v>
      </c>
    </row>
    <row r="293" spans="2:8" ht="14.25" customHeight="1" x14ac:dyDescent="0.3">
      <c r="B293" s="22"/>
      <c r="C293" s="36"/>
      <c r="D293" s="22"/>
      <c r="E293" s="23"/>
      <c r="F293" s="22"/>
    </row>
    <row r="294" spans="2:8" ht="27.6" x14ac:dyDescent="0.3">
      <c r="B294" s="14" t="s">
        <v>513</v>
      </c>
      <c r="C294" s="14" t="s">
        <v>969</v>
      </c>
      <c r="D294" s="14" t="s">
        <v>516</v>
      </c>
      <c r="E294" s="14" t="s">
        <v>970</v>
      </c>
      <c r="F294" s="14" t="s">
        <v>930</v>
      </c>
      <c r="G294" s="14" t="s">
        <v>961</v>
      </c>
    </row>
    <row r="295" spans="2:8" x14ac:dyDescent="0.3">
      <c r="B295" s="46" t="s">
        <v>1158</v>
      </c>
      <c r="C295" s="73">
        <f>C243</f>
        <v>0</v>
      </c>
      <c r="D295" s="62">
        <f>H271</f>
        <v>1932.7</v>
      </c>
      <c r="E295" s="17">
        <f>ROUND((C295/D295)/60,2)</f>
        <v>0</v>
      </c>
      <c r="F295" s="17">
        <f>D275</f>
        <v>10</v>
      </c>
      <c r="G295" s="16">
        <f>ROUND(E295*F295,2)</f>
        <v>0</v>
      </c>
    </row>
    <row r="296" spans="2:8" ht="14.25" customHeight="1" x14ac:dyDescent="0.3">
      <c r="B296" s="27" t="s">
        <v>1093</v>
      </c>
      <c r="C296" s="73">
        <f>C244</f>
        <v>0</v>
      </c>
      <c r="D296" s="62">
        <f>H272</f>
        <v>1506</v>
      </c>
      <c r="E296" s="17">
        <f>ROUND((C296/D296)/60,2)</f>
        <v>0</v>
      </c>
      <c r="F296" s="17">
        <f>D276</f>
        <v>15</v>
      </c>
      <c r="G296" s="16">
        <f>ROUND(E296*F296,2)</f>
        <v>0</v>
      </c>
      <c r="H296" s="38"/>
    </row>
    <row r="297" spans="2:8" ht="14.25" customHeight="1" x14ac:dyDescent="0.3"/>
    <row r="298" spans="2:8" ht="14.25" customHeight="1" x14ac:dyDescent="0.3">
      <c r="B298" s="12" t="s">
        <v>948</v>
      </c>
      <c r="C298" s="227"/>
      <c r="D298" s="12"/>
      <c r="E298" s="11">
        <f>G311</f>
        <v>3.45</v>
      </c>
      <c r="F298" s="12" t="s">
        <v>971</v>
      </c>
    </row>
    <row r="299" spans="2:8" ht="14.25" customHeight="1" x14ac:dyDescent="0.3">
      <c r="B299" s="22"/>
      <c r="C299" s="36"/>
      <c r="D299" s="22"/>
      <c r="E299" s="23"/>
    </row>
    <row r="300" spans="2:8" ht="27.6" x14ac:dyDescent="0.3">
      <c r="B300" s="14" t="s">
        <v>948</v>
      </c>
      <c r="C300" s="14" t="s">
        <v>1110</v>
      </c>
      <c r="D300" s="14" t="s">
        <v>516</v>
      </c>
      <c r="E300" s="14" t="s">
        <v>954</v>
      </c>
      <c r="F300" s="14" t="s">
        <v>930</v>
      </c>
      <c r="G300" s="14" t="s">
        <v>1111</v>
      </c>
    </row>
    <row r="301" spans="2:8" ht="14.25" customHeight="1" x14ac:dyDescent="0.3">
      <c r="B301" s="1009" t="str">
        <f>B271</f>
        <v>Лікар-рентгенолог</v>
      </c>
      <c r="C301" s="1010"/>
      <c r="D301" s="1010"/>
      <c r="E301" s="1010"/>
      <c r="F301" s="1010"/>
      <c r="G301" s="1011"/>
    </row>
    <row r="302" spans="2:8" ht="14.25" customHeight="1" x14ac:dyDescent="0.3">
      <c r="B302" s="17" t="s">
        <v>951</v>
      </c>
      <c r="C302" s="221">
        <f>C250</f>
        <v>12188.608008565312</v>
      </c>
      <c r="D302" s="17">
        <f>H271</f>
        <v>1932.7</v>
      </c>
      <c r="E302" s="17">
        <f>ROUND((C302/D302)/60,2)</f>
        <v>0.11</v>
      </c>
      <c r="F302" s="17">
        <f>D275</f>
        <v>10</v>
      </c>
      <c r="G302" s="16">
        <f>ROUND(E302*F302,2)</f>
        <v>1.1000000000000001</v>
      </c>
    </row>
    <row r="303" spans="2:8" ht="14.25" customHeight="1" x14ac:dyDescent="0.3">
      <c r="B303" s="17" t="s">
        <v>952</v>
      </c>
      <c r="C303" s="221">
        <f>C251</f>
        <v>53.149721627408987</v>
      </c>
      <c r="D303" s="17">
        <f>H271</f>
        <v>1932.7</v>
      </c>
      <c r="E303" s="17">
        <f>ROUND((C303/D303)/60,2)</f>
        <v>0</v>
      </c>
      <c r="F303" s="17">
        <f>D275</f>
        <v>10</v>
      </c>
      <c r="G303" s="16">
        <f>ROUND(E303*F303,2)</f>
        <v>0</v>
      </c>
    </row>
    <row r="304" spans="2:8" ht="14.25" customHeight="1" x14ac:dyDescent="0.3">
      <c r="B304" s="17" t="s">
        <v>953</v>
      </c>
      <c r="C304" s="221">
        <f>C252</f>
        <v>374.98368308351178</v>
      </c>
      <c r="D304" s="17">
        <f>H271</f>
        <v>1932.7</v>
      </c>
      <c r="E304" s="17">
        <f>ROUND((C304/D304)/60,2)</f>
        <v>0</v>
      </c>
      <c r="F304" s="17">
        <f>D275</f>
        <v>10</v>
      </c>
      <c r="G304" s="16">
        <f>ROUND(E304*F304,2)</f>
        <v>0</v>
      </c>
    </row>
    <row r="305" spans="1:15" ht="14.25" customHeight="1" x14ac:dyDescent="0.3">
      <c r="B305" s="17" t="s">
        <v>1109</v>
      </c>
      <c r="C305" s="221">
        <f>C253</f>
        <v>1686.0389293361886</v>
      </c>
      <c r="D305" s="17">
        <f>H271</f>
        <v>1932.7</v>
      </c>
      <c r="E305" s="17">
        <f>ROUND((C305/D305)/60,2)</f>
        <v>0.01</v>
      </c>
      <c r="F305" s="17">
        <f>D275</f>
        <v>10</v>
      </c>
      <c r="G305" s="16">
        <f>ROUND(E305*F305,2)</f>
        <v>0.1</v>
      </c>
    </row>
    <row r="306" spans="1:15" ht="14.25" customHeight="1" x14ac:dyDescent="0.3">
      <c r="B306" s="1009" t="str">
        <f>B272</f>
        <v>Рентгенолаборант</v>
      </c>
      <c r="C306" s="1010"/>
      <c r="D306" s="1010"/>
      <c r="E306" s="1010"/>
      <c r="F306" s="1010"/>
      <c r="G306" s="1011"/>
    </row>
    <row r="307" spans="1:15" ht="14.25" customHeight="1" x14ac:dyDescent="0.3">
      <c r="B307" s="17" t="s">
        <v>951</v>
      </c>
      <c r="C307" s="221">
        <f>C302</f>
        <v>12188.608008565312</v>
      </c>
      <c r="D307" s="17">
        <f>H272</f>
        <v>1506</v>
      </c>
      <c r="E307" s="17">
        <f>ROUND((C307/D307)/60,2)</f>
        <v>0.13</v>
      </c>
      <c r="F307" s="17">
        <f>D276</f>
        <v>15</v>
      </c>
      <c r="G307" s="16">
        <f>ROUND(E307*F307,2)</f>
        <v>1.95</v>
      </c>
    </row>
    <row r="308" spans="1:15" ht="14.25" customHeight="1" x14ac:dyDescent="0.3">
      <c r="B308" s="17" t="s">
        <v>952</v>
      </c>
      <c r="C308" s="221">
        <f>C303</f>
        <v>53.149721627408987</v>
      </c>
      <c r="D308" s="17">
        <f>H272</f>
        <v>1506</v>
      </c>
      <c r="E308" s="17">
        <f>ROUND((C308/D308)/60,2)</f>
        <v>0</v>
      </c>
      <c r="F308" s="17">
        <f>D276</f>
        <v>15</v>
      </c>
      <c r="G308" s="16">
        <f>ROUND(E308*F308,2)</f>
        <v>0</v>
      </c>
    </row>
    <row r="309" spans="1:15" ht="14.25" customHeight="1" x14ac:dyDescent="0.3">
      <c r="B309" s="17" t="s">
        <v>953</v>
      </c>
      <c r="C309" s="221">
        <f>C304</f>
        <v>374.98368308351178</v>
      </c>
      <c r="D309" s="17">
        <f>H272</f>
        <v>1506</v>
      </c>
      <c r="E309" s="17">
        <f>ROUND((C309/D309)/60,2)</f>
        <v>0</v>
      </c>
      <c r="F309" s="17">
        <f>D276</f>
        <v>15</v>
      </c>
      <c r="G309" s="16">
        <f>ROUND(E309*F309,2)</f>
        <v>0</v>
      </c>
    </row>
    <row r="310" spans="1:15" ht="14.25" customHeight="1" x14ac:dyDescent="0.3">
      <c r="B310" s="17" t="s">
        <v>1109</v>
      </c>
      <c r="C310" s="221">
        <f>C305</f>
        <v>1686.0389293361886</v>
      </c>
      <c r="D310" s="17">
        <f>H272</f>
        <v>1506</v>
      </c>
      <c r="E310" s="17">
        <f>ROUND((C310/D310)/60,2)</f>
        <v>0.02</v>
      </c>
      <c r="F310" s="17">
        <f>D276</f>
        <v>15</v>
      </c>
      <c r="G310" s="16">
        <f>ROUND(E310*F310,2)</f>
        <v>0.3</v>
      </c>
    </row>
    <row r="311" spans="1:15" ht="14.25" customHeight="1" x14ac:dyDescent="0.3">
      <c r="B311" s="1012" t="s">
        <v>957</v>
      </c>
      <c r="C311" s="1013"/>
      <c r="D311" s="1013"/>
      <c r="E311" s="1013"/>
      <c r="F311" s="1014"/>
      <c r="G311" s="18">
        <f>SUM(G302:G310)</f>
        <v>3.45</v>
      </c>
    </row>
    <row r="312" spans="1:15" ht="14.25" customHeight="1" x14ac:dyDescent="0.3"/>
    <row r="313" spans="1:15" ht="14.25" customHeight="1" x14ac:dyDescent="0.3"/>
    <row r="314" spans="1:15" x14ac:dyDescent="0.3">
      <c r="B314" s="1015" t="s">
        <v>959</v>
      </c>
      <c r="C314" s="1015"/>
      <c r="D314" s="1015"/>
      <c r="E314" s="1015"/>
      <c r="F314" s="1015"/>
      <c r="G314" s="32">
        <f>E268+E280+E292+E298</f>
        <v>41.14</v>
      </c>
    </row>
    <row r="315" spans="1:15" ht="14.25" customHeight="1" x14ac:dyDescent="0.3">
      <c r="B315" s="33"/>
      <c r="C315" s="33"/>
      <c r="D315" s="33"/>
      <c r="E315" s="33"/>
      <c r="F315" s="33"/>
      <c r="G315" s="34"/>
    </row>
    <row r="316" spans="1:15" x14ac:dyDescent="0.3">
      <c r="B316" s="1015" t="s">
        <v>960</v>
      </c>
      <c r="C316" s="1015"/>
      <c r="D316" s="1015"/>
      <c r="E316" s="1015"/>
      <c r="F316" s="1015"/>
      <c r="G316" s="32">
        <f>ROUND(G314,0)</f>
        <v>41</v>
      </c>
    </row>
    <row r="317" spans="1:15" ht="14.25" customHeight="1" x14ac:dyDescent="0.3"/>
    <row r="318" spans="1:15" ht="14.25" customHeight="1" x14ac:dyDescent="0.3"/>
    <row r="319" spans="1:15" s="54" customFormat="1" ht="38.25" customHeight="1" x14ac:dyDescent="0.4">
      <c r="A319" s="50" t="s">
        <v>630</v>
      </c>
      <c r="B319" s="1017" t="s">
        <v>675</v>
      </c>
      <c r="C319" s="1017"/>
      <c r="D319" s="1017"/>
      <c r="E319" s="52">
        <f>G370</f>
        <v>66</v>
      </c>
      <c r="F319" s="52" t="s">
        <v>971</v>
      </c>
      <c r="G319" s="53"/>
      <c r="H319" s="124"/>
      <c r="I319" s="125" t="s">
        <v>1023</v>
      </c>
      <c r="J319" s="130"/>
      <c r="K319" s="114"/>
      <c r="L319" s="114"/>
      <c r="M319" s="114"/>
      <c r="N319" s="126"/>
      <c r="O319" s="127"/>
    </row>
    <row r="321" spans="1:15" x14ac:dyDescent="0.3">
      <c r="B321" s="1018" t="s">
        <v>932</v>
      </c>
      <c r="C321" s="1018"/>
      <c r="D321" s="10"/>
      <c r="E321" s="11">
        <f>E328+E331+E329</f>
        <v>31.78</v>
      </c>
      <c r="F321" s="12" t="s">
        <v>971</v>
      </c>
    </row>
    <row r="323" spans="1:15" ht="27.6" x14ac:dyDescent="0.3">
      <c r="B323" s="13" t="s">
        <v>929</v>
      </c>
      <c r="C323" s="14" t="s">
        <v>928</v>
      </c>
      <c r="D323" s="14" t="s">
        <v>514</v>
      </c>
      <c r="E323" s="14" t="s">
        <v>515</v>
      </c>
      <c r="F323" s="14" t="s">
        <v>962</v>
      </c>
      <c r="G323" s="14" t="s">
        <v>926</v>
      </c>
      <c r="H323" s="14" t="s">
        <v>516</v>
      </c>
      <c r="I323" s="14" t="s">
        <v>961</v>
      </c>
    </row>
    <row r="324" spans="1:15" x14ac:dyDescent="0.3">
      <c r="B324" s="16" t="str">
        <f t="shared" ref="B324:F325" si="7">B271</f>
        <v>Лікар-рентгенолог</v>
      </c>
      <c r="C324" s="16">
        <f t="shared" si="7"/>
        <v>8463.5400000000009</v>
      </c>
      <c r="D324" s="16">
        <f t="shared" si="7"/>
        <v>101562.48000000001</v>
      </c>
      <c r="E324" s="16">
        <f t="shared" si="7"/>
        <v>7052.95</v>
      </c>
      <c r="F324" s="16">
        <f t="shared" si="7"/>
        <v>3526.4749999999999</v>
      </c>
      <c r="G324" s="16">
        <f>D324+E324+F324</f>
        <v>112141.90500000001</v>
      </c>
      <c r="H324" s="17">
        <v>1932.7</v>
      </c>
      <c r="I324" s="16">
        <f>ROUND((G324/H324)/60,2)</f>
        <v>0.97</v>
      </c>
    </row>
    <row r="325" spans="1:15" x14ac:dyDescent="0.3">
      <c r="B325" s="16" t="str">
        <f t="shared" si="7"/>
        <v>Рентгенолаборант</v>
      </c>
      <c r="C325" s="16">
        <f t="shared" si="7"/>
        <v>7482.48</v>
      </c>
      <c r="D325" s="16">
        <f t="shared" si="7"/>
        <v>89789.759999999995</v>
      </c>
      <c r="E325" s="16">
        <f t="shared" si="7"/>
        <v>5755.75</v>
      </c>
      <c r="F325" s="16">
        <f t="shared" si="7"/>
        <v>2877.875</v>
      </c>
      <c r="G325" s="16">
        <f>D325+E325+F325</f>
        <v>98423.384999999995</v>
      </c>
      <c r="H325" s="62">
        <v>1506</v>
      </c>
      <c r="I325" s="16">
        <f>ROUND((G325/H325)/60,2)</f>
        <v>1.0900000000000001</v>
      </c>
    </row>
    <row r="327" spans="1:15" ht="27.6" x14ac:dyDescent="0.3">
      <c r="B327" s="13" t="s">
        <v>929</v>
      </c>
      <c r="C327" s="14" t="s">
        <v>961</v>
      </c>
      <c r="D327" s="14" t="s">
        <v>930</v>
      </c>
      <c r="E327" s="14" t="s">
        <v>931</v>
      </c>
    </row>
    <row r="328" spans="1:15" x14ac:dyDescent="0.3">
      <c r="B328" s="15" t="str">
        <f>B324</f>
        <v>Лікар-рентгенолог</v>
      </c>
      <c r="C328" s="78">
        <f>I324</f>
        <v>0.97</v>
      </c>
      <c r="D328" s="17">
        <v>10</v>
      </c>
      <c r="E328" s="18">
        <f>ROUND(C328*D328,2)</f>
        <v>9.6999999999999993</v>
      </c>
    </row>
    <row r="329" spans="1:15" x14ac:dyDescent="0.3">
      <c r="B329" s="15" t="str">
        <f>B325</f>
        <v>Рентгенолаборант</v>
      </c>
      <c r="C329" s="78">
        <f>I325</f>
        <v>1.0900000000000001</v>
      </c>
      <c r="D329" s="17">
        <v>15</v>
      </c>
      <c r="E329" s="18">
        <f>ROUND(C329*D329,2)</f>
        <v>16.350000000000001</v>
      </c>
    </row>
    <row r="330" spans="1:15" ht="8.25" customHeight="1" x14ac:dyDescent="0.3">
      <c r="C330" s="19"/>
    </row>
    <row r="331" spans="1:15" x14ac:dyDescent="0.3">
      <c r="B331" s="17" t="s">
        <v>933</v>
      </c>
      <c r="C331" s="78">
        <f>E328+E329</f>
        <v>26.05</v>
      </c>
      <c r="D331" s="20">
        <v>0.22</v>
      </c>
      <c r="E331" s="21">
        <f>ROUND(C331*D331,2)</f>
        <v>5.73</v>
      </c>
    </row>
    <row r="332" spans="1:15" ht="9.75" customHeight="1" x14ac:dyDescent="0.3"/>
    <row r="333" spans="1:15" x14ac:dyDescent="0.3">
      <c r="B333" s="12" t="s">
        <v>946</v>
      </c>
      <c r="C333" s="227"/>
      <c r="D333" s="12"/>
      <c r="E333" s="11">
        <f>F344</f>
        <v>30.31</v>
      </c>
      <c r="F333" s="12" t="s">
        <v>971</v>
      </c>
    </row>
    <row r="335" spans="1:15" x14ac:dyDescent="0.3">
      <c r="B335" s="27" t="s">
        <v>936</v>
      </c>
      <c r="C335" s="28" t="s">
        <v>937</v>
      </c>
      <c r="D335" s="29">
        <v>1</v>
      </c>
      <c r="E335" s="30">
        <f>'МЕДИЧНІ М'!F115</f>
        <v>0.3</v>
      </c>
      <c r="F335" s="30">
        <f>ROUND(D335*E335,2)</f>
        <v>0.3</v>
      </c>
    </row>
    <row r="336" spans="1:15" s="184" customFormat="1" x14ac:dyDescent="0.3">
      <c r="A336" s="180"/>
      <c r="B336" s="185" t="s">
        <v>1021</v>
      </c>
      <c r="C336" s="186" t="s">
        <v>941</v>
      </c>
      <c r="D336" s="164">
        <v>0.5</v>
      </c>
      <c r="E336" s="164">
        <f>'МЕДИЧНІ М'!E181</f>
        <v>2</v>
      </c>
      <c r="F336" s="164">
        <f t="shared" ref="F336:F343" si="8">ROUND(D336*E336,2)</f>
        <v>1</v>
      </c>
      <c r="G336" s="180"/>
      <c r="H336" s="180"/>
      <c r="I336" s="180"/>
      <c r="J336" s="187"/>
      <c r="K336" s="189"/>
      <c r="L336" s="189"/>
      <c r="M336" s="189"/>
      <c r="N336" s="189"/>
      <c r="O336" s="188"/>
    </row>
    <row r="337" spans="2:8" x14ac:dyDescent="0.3">
      <c r="B337" s="15" t="s">
        <v>1216</v>
      </c>
      <c r="C337" s="73" t="s">
        <v>941</v>
      </c>
      <c r="D337" s="17">
        <v>0.1</v>
      </c>
      <c r="E337" s="16">
        <f>'МЕДИЧНІ М'!E113</f>
        <v>8</v>
      </c>
      <c r="F337" s="17">
        <f t="shared" si="8"/>
        <v>0.8</v>
      </c>
    </row>
    <row r="338" spans="2:8" x14ac:dyDescent="0.3">
      <c r="B338" s="15" t="str">
        <f>'МЕДИЧНІ М'!B321</f>
        <v>Рентген 24 * 30 № 100</v>
      </c>
      <c r="C338" s="73" t="s">
        <v>941</v>
      </c>
      <c r="D338" s="17">
        <v>2</v>
      </c>
      <c r="E338" s="16">
        <f>'МЕДИЧНІ М'!F321</f>
        <v>12.2</v>
      </c>
      <c r="F338" s="17">
        <f t="shared" si="8"/>
        <v>24.4</v>
      </c>
    </row>
    <row r="339" spans="2:8" ht="28.2" x14ac:dyDescent="0.3">
      <c r="B339" s="15" t="s">
        <v>1025</v>
      </c>
      <c r="C339" s="73" t="s">
        <v>941</v>
      </c>
      <c r="D339" s="17">
        <v>0.02</v>
      </c>
      <c r="E339" s="17">
        <f>'МЕДИЧНІ М'!F121</f>
        <v>54</v>
      </c>
      <c r="F339" s="17">
        <f t="shared" si="8"/>
        <v>1.08</v>
      </c>
    </row>
    <row r="340" spans="2:8" x14ac:dyDescent="0.3">
      <c r="B340" s="15" t="s">
        <v>1024</v>
      </c>
      <c r="C340" s="73" t="s">
        <v>941</v>
      </c>
      <c r="D340" s="17">
        <v>0.02</v>
      </c>
      <c r="E340" s="17">
        <f>'МЕДИЧНІ М'!F118</f>
        <v>97.3</v>
      </c>
      <c r="F340" s="17">
        <f t="shared" si="8"/>
        <v>1.95</v>
      </c>
    </row>
    <row r="341" spans="2:8" x14ac:dyDescent="0.3">
      <c r="B341" s="15" t="s">
        <v>964</v>
      </c>
      <c r="C341" s="73" t="s">
        <v>941</v>
      </c>
      <c r="D341" s="17">
        <v>0.1</v>
      </c>
      <c r="E341" s="16">
        <f>'МЕДИЧНІ М'!E119</f>
        <v>2.8</v>
      </c>
      <c r="F341" s="17">
        <f t="shared" si="8"/>
        <v>0.28000000000000003</v>
      </c>
    </row>
    <row r="342" spans="2:8" x14ac:dyDescent="0.3">
      <c r="B342" s="27" t="s">
        <v>942</v>
      </c>
      <c r="C342" s="28" t="s">
        <v>941</v>
      </c>
      <c r="D342" s="29">
        <v>0.01</v>
      </c>
      <c r="E342" s="29">
        <f>'МЕДИЧНІ М'!E120</f>
        <v>24.6</v>
      </c>
      <c r="F342" s="30">
        <f t="shared" si="8"/>
        <v>0.25</v>
      </c>
    </row>
    <row r="343" spans="2:8" x14ac:dyDescent="0.3">
      <c r="B343" s="27" t="s">
        <v>1124</v>
      </c>
      <c r="C343" s="28" t="s">
        <v>944</v>
      </c>
      <c r="D343" s="29">
        <v>0.5</v>
      </c>
      <c r="E343" s="29">
        <f>'МЕДИЧНІ М'!E114</f>
        <v>0.5</v>
      </c>
      <c r="F343" s="30">
        <f t="shared" si="8"/>
        <v>0.25</v>
      </c>
    </row>
    <row r="344" spans="2:8" x14ac:dyDescent="0.3">
      <c r="B344" s="1019" t="s">
        <v>945</v>
      </c>
      <c r="C344" s="1019"/>
      <c r="D344" s="1019"/>
      <c r="E344" s="1019"/>
      <c r="F344" s="89">
        <f>SUM(F335:F343)</f>
        <v>30.31</v>
      </c>
    </row>
    <row r="345" spans="2:8" ht="7.5" customHeight="1" x14ac:dyDescent="0.3"/>
    <row r="346" spans="2:8" x14ac:dyDescent="0.3">
      <c r="B346" s="12" t="s">
        <v>968</v>
      </c>
      <c r="C346" s="227"/>
      <c r="D346" s="12"/>
      <c r="E346" s="11">
        <f>SUM(G349:G350)</f>
        <v>0</v>
      </c>
      <c r="F346" s="12" t="s">
        <v>971</v>
      </c>
    </row>
    <row r="347" spans="2:8" ht="8.25" customHeight="1" x14ac:dyDescent="0.3">
      <c r="B347" s="22"/>
      <c r="C347" s="36"/>
      <c r="D347" s="22"/>
      <c r="E347" s="23"/>
      <c r="F347" s="22"/>
    </row>
    <row r="348" spans="2:8" ht="27.6" x14ac:dyDescent="0.3">
      <c r="B348" s="14" t="s">
        <v>513</v>
      </c>
      <c r="C348" s="14" t="s">
        <v>1108</v>
      </c>
      <c r="D348" s="14" t="s">
        <v>516</v>
      </c>
      <c r="E348" s="14" t="s">
        <v>970</v>
      </c>
      <c r="F348" s="14" t="s">
        <v>930</v>
      </c>
      <c r="G348" s="14" t="s">
        <v>961</v>
      </c>
    </row>
    <row r="349" spans="2:8" x14ac:dyDescent="0.3">
      <c r="B349" s="46" t="str">
        <f>B295</f>
        <v>Автоматизоване робоче місце</v>
      </c>
      <c r="C349" s="46">
        <f>C295</f>
        <v>0</v>
      </c>
      <c r="D349" s="62">
        <f>H324</f>
        <v>1932.7</v>
      </c>
      <c r="E349" s="17">
        <f>ROUND((C349/D349)/60,2)</f>
        <v>0</v>
      </c>
      <c r="F349" s="17">
        <f>D328</f>
        <v>10</v>
      </c>
      <c r="G349" s="16">
        <f>ROUND(E349*F349,2)</f>
        <v>0</v>
      </c>
    </row>
    <row r="350" spans="2:8" x14ac:dyDescent="0.3">
      <c r="B350" s="46" t="str">
        <f>B296</f>
        <v>Рентген</v>
      </c>
      <c r="C350" s="46">
        <f>C296</f>
        <v>0</v>
      </c>
      <c r="D350" s="62">
        <f>H325</f>
        <v>1506</v>
      </c>
      <c r="E350" s="17">
        <f>ROUND((C350/D350)/60,2)</f>
        <v>0</v>
      </c>
      <c r="F350" s="17">
        <f>D329</f>
        <v>15</v>
      </c>
      <c r="G350" s="16">
        <f>ROUND(E350*F350,2)</f>
        <v>0</v>
      </c>
      <c r="H350" s="38"/>
    </row>
    <row r="351" spans="2:8" ht="10.5" customHeight="1" x14ac:dyDescent="0.3"/>
    <row r="352" spans="2:8" x14ac:dyDescent="0.3">
      <c r="B352" s="12" t="s">
        <v>948</v>
      </c>
      <c r="C352" s="227"/>
      <c r="D352" s="12"/>
      <c r="E352" s="11">
        <f>G365</f>
        <v>3.45</v>
      </c>
      <c r="F352" s="12" t="s">
        <v>971</v>
      </c>
    </row>
    <row r="353" spans="2:7" ht="8.25" customHeight="1" x14ac:dyDescent="0.3">
      <c r="B353" s="22"/>
      <c r="C353" s="36"/>
      <c r="D353" s="22"/>
      <c r="E353" s="23"/>
    </row>
    <row r="354" spans="2:7" ht="27.6" x14ac:dyDescent="0.3">
      <c r="B354" s="14" t="s">
        <v>948</v>
      </c>
      <c r="C354" s="14" t="s">
        <v>1110</v>
      </c>
      <c r="D354" s="14" t="s">
        <v>516</v>
      </c>
      <c r="E354" s="14" t="s">
        <v>954</v>
      </c>
      <c r="F354" s="14" t="s">
        <v>930</v>
      </c>
      <c r="G354" s="14" t="s">
        <v>1111</v>
      </c>
    </row>
    <row r="355" spans="2:7" x14ac:dyDescent="0.3">
      <c r="B355" s="1009" t="str">
        <f>B324</f>
        <v>Лікар-рентгенолог</v>
      </c>
      <c r="C355" s="1010"/>
      <c r="D355" s="1010"/>
      <c r="E355" s="1010"/>
      <c r="F355" s="1010"/>
      <c r="G355" s="1011"/>
    </row>
    <row r="356" spans="2:7" x14ac:dyDescent="0.3">
      <c r="B356" s="17" t="s">
        <v>951</v>
      </c>
      <c r="C356" s="221">
        <f>C302</f>
        <v>12188.608008565312</v>
      </c>
      <c r="D356" s="17">
        <f>H324</f>
        <v>1932.7</v>
      </c>
      <c r="E356" s="17">
        <f>ROUND((C356/D356)/60,2)</f>
        <v>0.11</v>
      </c>
      <c r="F356" s="17">
        <f>D328</f>
        <v>10</v>
      </c>
      <c r="G356" s="16">
        <f>ROUND(E356*F356,2)</f>
        <v>1.1000000000000001</v>
      </c>
    </row>
    <row r="357" spans="2:7" x14ac:dyDescent="0.3">
      <c r="B357" s="17" t="s">
        <v>952</v>
      </c>
      <c r="C357" s="221">
        <f>C303</f>
        <v>53.149721627408987</v>
      </c>
      <c r="D357" s="17">
        <f>H324</f>
        <v>1932.7</v>
      </c>
      <c r="E357" s="17">
        <f>ROUND((C357/D357)/60,2)</f>
        <v>0</v>
      </c>
      <c r="F357" s="17">
        <f>D328</f>
        <v>10</v>
      </c>
      <c r="G357" s="16">
        <f>ROUND(E357*F357,2)</f>
        <v>0</v>
      </c>
    </row>
    <row r="358" spans="2:7" x14ac:dyDescent="0.3">
      <c r="B358" s="17" t="s">
        <v>953</v>
      </c>
      <c r="C358" s="221">
        <f>C304</f>
        <v>374.98368308351178</v>
      </c>
      <c r="D358" s="17">
        <f>H324</f>
        <v>1932.7</v>
      </c>
      <c r="E358" s="17">
        <f>ROUND((C358/D358)/60,2)</f>
        <v>0</v>
      </c>
      <c r="F358" s="17">
        <f>D328</f>
        <v>10</v>
      </c>
      <c r="G358" s="16">
        <f>ROUND(E358*F358,2)</f>
        <v>0</v>
      </c>
    </row>
    <row r="359" spans="2:7" x14ac:dyDescent="0.3">
      <c r="B359" s="17" t="s">
        <v>1109</v>
      </c>
      <c r="C359" s="221">
        <f>C305</f>
        <v>1686.0389293361886</v>
      </c>
      <c r="D359" s="17">
        <f>H324</f>
        <v>1932.7</v>
      </c>
      <c r="E359" s="17">
        <f>ROUND((C359/D359)/60,2)</f>
        <v>0.01</v>
      </c>
      <c r="F359" s="17">
        <f>D328</f>
        <v>10</v>
      </c>
      <c r="G359" s="16">
        <f>ROUND(E359*F359,2)</f>
        <v>0.1</v>
      </c>
    </row>
    <row r="360" spans="2:7" x14ac:dyDescent="0.3">
      <c r="B360" s="1009" t="str">
        <f>B325</f>
        <v>Рентгенолаборант</v>
      </c>
      <c r="C360" s="1010"/>
      <c r="D360" s="1010"/>
      <c r="E360" s="1010"/>
      <c r="F360" s="1010"/>
      <c r="G360" s="1011"/>
    </row>
    <row r="361" spans="2:7" x14ac:dyDescent="0.3">
      <c r="B361" s="17" t="s">
        <v>951</v>
      </c>
      <c r="C361" s="221">
        <f>C356</f>
        <v>12188.608008565312</v>
      </c>
      <c r="D361" s="17">
        <f>H325</f>
        <v>1506</v>
      </c>
      <c r="E361" s="17">
        <f>ROUND((C361/D361)/60,2)</f>
        <v>0.13</v>
      </c>
      <c r="F361" s="17">
        <f>D329</f>
        <v>15</v>
      </c>
      <c r="G361" s="16">
        <f>ROUND(E361*F361,2)</f>
        <v>1.95</v>
      </c>
    </row>
    <row r="362" spans="2:7" x14ac:dyDescent="0.3">
      <c r="B362" s="17" t="s">
        <v>952</v>
      </c>
      <c r="C362" s="221">
        <f>C357</f>
        <v>53.149721627408987</v>
      </c>
      <c r="D362" s="17">
        <f>H325</f>
        <v>1506</v>
      </c>
      <c r="E362" s="17">
        <f>ROUND((C362/D362)/60,2)</f>
        <v>0</v>
      </c>
      <c r="F362" s="17">
        <f>D329</f>
        <v>15</v>
      </c>
      <c r="G362" s="16">
        <f>ROUND(E362*F362,2)</f>
        <v>0</v>
      </c>
    </row>
    <row r="363" spans="2:7" x14ac:dyDescent="0.3">
      <c r="B363" s="17" t="s">
        <v>953</v>
      </c>
      <c r="C363" s="221">
        <f>C358</f>
        <v>374.98368308351178</v>
      </c>
      <c r="D363" s="17">
        <f>H325</f>
        <v>1506</v>
      </c>
      <c r="E363" s="17">
        <f>ROUND((C363/D363)/60,2)</f>
        <v>0</v>
      </c>
      <c r="F363" s="17">
        <f>D329</f>
        <v>15</v>
      </c>
      <c r="G363" s="16">
        <f>ROUND(E363*F363,2)</f>
        <v>0</v>
      </c>
    </row>
    <row r="364" spans="2:7" x14ac:dyDescent="0.3">
      <c r="B364" s="17" t="s">
        <v>1109</v>
      </c>
      <c r="C364" s="221">
        <f>C359</f>
        <v>1686.0389293361886</v>
      </c>
      <c r="D364" s="17">
        <f>H325</f>
        <v>1506</v>
      </c>
      <c r="E364" s="17">
        <f>ROUND((C364/D364)/60,2)</f>
        <v>0.02</v>
      </c>
      <c r="F364" s="17">
        <f>D329</f>
        <v>15</v>
      </c>
      <c r="G364" s="16">
        <f>ROUND(E364*F364,2)</f>
        <v>0.3</v>
      </c>
    </row>
    <row r="365" spans="2:7" x14ac:dyDescent="0.3">
      <c r="B365" s="1012" t="s">
        <v>957</v>
      </c>
      <c r="C365" s="1013"/>
      <c r="D365" s="1013"/>
      <c r="E365" s="1013"/>
      <c r="F365" s="1014"/>
      <c r="G365" s="18">
        <f>SUM(G356:G364)</f>
        <v>3.45</v>
      </c>
    </row>
    <row r="366" spans="2:7" ht="6" customHeight="1" x14ac:dyDescent="0.3"/>
    <row r="367" spans="2:7" ht="0.75" hidden="1" customHeight="1" x14ac:dyDescent="0.3"/>
    <row r="368" spans="2:7" x14ac:dyDescent="0.3">
      <c r="B368" s="1015" t="s">
        <v>959</v>
      </c>
      <c r="C368" s="1015"/>
      <c r="D368" s="1015"/>
      <c r="E368" s="1015"/>
      <c r="F368" s="1015"/>
      <c r="G368" s="32">
        <f>E321+E333+E346+E352</f>
        <v>65.540000000000006</v>
      </c>
    </row>
    <row r="369" spans="1:15" x14ac:dyDescent="0.3">
      <c r="B369" s="33"/>
      <c r="C369" s="33"/>
      <c r="D369" s="33"/>
      <c r="E369" s="33"/>
      <c r="F369" s="33"/>
      <c r="G369" s="34"/>
    </row>
    <row r="370" spans="1:15" x14ac:dyDescent="0.3">
      <c r="B370" s="1015" t="s">
        <v>960</v>
      </c>
      <c r="C370" s="1015"/>
      <c r="D370" s="1015"/>
      <c r="E370" s="1015"/>
      <c r="F370" s="1015"/>
      <c r="G370" s="32">
        <f>ROUND(G368,0)</f>
        <v>66</v>
      </c>
    </row>
    <row r="372" spans="1:15" s="54" customFormat="1" ht="36.75" customHeight="1" x14ac:dyDescent="0.4">
      <c r="A372" s="50" t="s">
        <v>630</v>
      </c>
      <c r="B372" s="1017" t="s">
        <v>675</v>
      </c>
      <c r="C372" s="1017"/>
      <c r="D372" s="1017"/>
      <c r="E372" s="52">
        <f>G422</f>
        <v>41</v>
      </c>
      <c r="F372" s="52" t="s">
        <v>971</v>
      </c>
      <c r="G372" s="53"/>
      <c r="H372" s="124"/>
      <c r="I372" s="125" t="s">
        <v>1128</v>
      </c>
      <c r="J372" s="130"/>
      <c r="K372" s="114"/>
      <c r="L372" s="114"/>
      <c r="M372" s="114"/>
      <c r="N372" s="126"/>
      <c r="O372" s="127"/>
    </row>
    <row r="374" spans="1:15" x14ac:dyDescent="0.3">
      <c r="B374" s="1018" t="s">
        <v>932</v>
      </c>
      <c r="C374" s="1018"/>
      <c r="D374" s="10"/>
      <c r="E374" s="11">
        <f>E381+E384+E382</f>
        <v>31.78</v>
      </c>
      <c r="F374" s="12" t="s">
        <v>971</v>
      </c>
    </row>
    <row r="376" spans="1:15" ht="27.6" x14ac:dyDescent="0.3">
      <c r="B376" s="13" t="s">
        <v>929</v>
      </c>
      <c r="C376" s="14" t="s">
        <v>928</v>
      </c>
      <c r="D376" s="14" t="s">
        <v>514</v>
      </c>
      <c r="E376" s="14" t="s">
        <v>515</v>
      </c>
      <c r="F376" s="14" t="s">
        <v>962</v>
      </c>
      <c r="G376" s="14" t="s">
        <v>926</v>
      </c>
      <c r="H376" s="14" t="s">
        <v>516</v>
      </c>
      <c r="I376" s="14" t="s">
        <v>961</v>
      </c>
    </row>
    <row r="377" spans="1:15" x14ac:dyDescent="0.3">
      <c r="B377" s="16" t="str">
        <f>B324</f>
        <v>Лікар-рентгенолог</v>
      </c>
      <c r="C377" s="78">
        <f>C324</f>
        <v>8463.5400000000009</v>
      </c>
      <c r="D377" s="16">
        <f>C377*12</f>
        <v>101562.48000000001</v>
      </c>
      <c r="E377" s="16">
        <f>E324</f>
        <v>7052.95</v>
      </c>
      <c r="F377" s="16">
        <f>F324</f>
        <v>3526.4749999999999</v>
      </c>
      <c r="G377" s="16">
        <f>D377+E377+F377</f>
        <v>112141.90500000001</v>
      </c>
      <c r="H377" s="17">
        <v>1932.7</v>
      </c>
      <c r="I377" s="16">
        <f>ROUND((G377/H377)/60,2)</f>
        <v>0.97</v>
      </c>
    </row>
    <row r="378" spans="1:15" x14ac:dyDescent="0.3">
      <c r="B378" s="16" t="str">
        <f>B325</f>
        <v>Рентгенолаборант</v>
      </c>
      <c r="C378" s="78">
        <f>C325</f>
        <v>7482.48</v>
      </c>
      <c r="D378" s="24">
        <f>C378*12</f>
        <v>89789.759999999995</v>
      </c>
      <c r="E378" s="16">
        <f>E325</f>
        <v>5755.75</v>
      </c>
      <c r="F378" s="16">
        <f>F325</f>
        <v>2877.875</v>
      </c>
      <c r="G378" s="16">
        <f>D378+E378+F378</f>
        <v>98423.384999999995</v>
      </c>
      <c r="H378" s="62">
        <v>1506</v>
      </c>
      <c r="I378" s="16">
        <f>ROUND((G378/H378)/60,2)</f>
        <v>1.0900000000000001</v>
      </c>
    </row>
    <row r="380" spans="1:15" ht="27.6" x14ac:dyDescent="0.3">
      <c r="B380" s="13" t="s">
        <v>929</v>
      </c>
      <c r="C380" s="14" t="s">
        <v>961</v>
      </c>
      <c r="D380" s="14" t="s">
        <v>930</v>
      </c>
      <c r="E380" s="14" t="s">
        <v>931</v>
      </c>
    </row>
    <row r="381" spans="1:15" x14ac:dyDescent="0.3">
      <c r="B381" s="15" t="str">
        <f>B377</f>
        <v>Лікар-рентгенолог</v>
      </c>
      <c r="C381" s="78">
        <f>I377</f>
        <v>0.97</v>
      </c>
      <c r="D381" s="17">
        <v>10</v>
      </c>
      <c r="E381" s="18">
        <f>ROUND(C381*D381,2)</f>
        <v>9.6999999999999993</v>
      </c>
    </row>
    <row r="382" spans="1:15" x14ac:dyDescent="0.3">
      <c r="B382" s="15" t="str">
        <f>B378</f>
        <v>Рентгенолаборант</v>
      </c>
      <c r="C382" s="78">
        <f>I378</f>
        <v>1.0900000000000001</v>
      </c>
      <c r="D382" s="17">
        <v>15</v>
      </c>
      <c r="E382" s="18">
        <f>ROUND(C382*D382,2)</f>
        <v>16.350000000000001</v>
      </c>
    </row>
    <row r="383" spans="1:15" x14ac:dyDescent="0.3">
      <c r="C383" s="19"/>
    </row>
    <row r="384" spans="1:15" x14ac:dyDescent="0.3">
      <c r="B384" s="17" t="s">
        <v>933</v>
      </c>
      <c r="C384" s="78">
        <f>E381+E382</f>
        <v>26.05</v>
      </c>
      <c r="D384" s="20">
        <v>0.22</v>
      </c>
      <c r="E384" s="21">
        <f>ROUND(C384*D384,2)</f>
        <v>5.73</v>
      </c>
    </row>
    <row r="386" spans="1:15" x14ac:dyDescent="0.3">
      <c r="B386" s="12" t="s">
        <v>946</v>
      </c>
      <c r="C386" s="227"/>
      <c r="D386" s="12"/>
      <c r="E386" s="11">
        <f>F396</f>
        <v>5.91</v>
      </c>
      <c r="F386" s="12" t="s">
        <v>971</v>
      </c>
    </row>
    <row r="387" spans="1:15" ht="10.5" customHeight="1" x14ac:dyDescent="0.3"/>
    <row r="388" spans="1:15" x14ac:dyDescent="0.3">
      <c r="B388" s="27" t="s">
        <v>936</v>
      </c>
      <c r="C388" s="28" t="s">
        <v>937</v>
      </c>
      <c r="D388" s="29">
        <v>1</v>
      </c>
      <c r="E388" s="30">
        <f>'МЕДИЧНІ М'!F115</f>
        <v>0.3</v>
      </c>
      <c r="F388" s="30">
        <f t="shared" ref="F388:F395" si="9">ROUND(D388*E388,2)</f>
        <v>0.3</v>
      </c>
    </row>
    <row r="389" spans="1:15" s="184" customFormat="1" x14ac:dyDescent="0.3">
      <c r="A389" s="180"/>
      <c r="B389" s="185" t="s">
        <v>1021</v>
      </c>
      <c r="C389" s="186" t="s">
        <v>941</v>
      </c>
      <c r="D389" s="164">
        <v>0.5</v>
      </c>
      <c r="E389" s="164">
        <f>'МЕДИЧНІ М'!E181</f>
        <v>2</v>
      </c>
      <c r="F389" s="164">
        <f t="shared" si="9"/>
        <v>1</v>
      </c>
      <c r="G389" s="180"/>
      <c r="H389" s="180"/>
      <c r="I389" s="180"/>
      <c r="J389" s="187"/>
      <c r="K389" s="189"/>
      <c r="L389" s="189"/>
      <c r="M389" s="189"/>
      <c r="N389" s="189"/>
      <c r="O389" s="188"/>
    </row>
    <row r="390" spans="1:15" x14ac:dyDescent="0.3">
      <c r="B390" s="15" t="s">
        <v>1216</v>
      </c>
      <c r="C390" s="73" t="s">
        <v>941</v>
      </c>
      <c r="D390" s="17">
        <v>0.1</v>
      </c>
      <c r="E390" s="16">
        <f>'МЕДИЧНІ М'!E113</f>
        <v>8</v>
      </c>
      <c r="F390" s="17">
        <f t="shared" si="9"/>
        <v>0.8</v>
      </c>
    </row>
    <row r="391" spans="1:15" ht="28.2" x14ac:dyDescent="0.3">
      <c r="B391" s="15" t="s">
        <v>1025</v>
      </c>
      <c r="C391" s="73" t="s">
        <v>941</v>
      </c>
      <c r="D391" s="17">
        <v>0.02</v>
      </c>
      <c r="E391" s="17">
        <f>'МЕДИЧНІ М'!F121</f>
        <v>54</v>
      </c>
      <c r="F391" s="17">
        <f t="shared" si="9"/>
        <v>1.08</v>
      </c>
    </row>
    <row r="392" spans="1:15" x14ac:dyDescent="0.3">
      <c r="B392" s="15" t="s">
        <v>1024</v>
      </c>
      <c r="C392" s="73" t="s">
        <v>941</v>
      </c>
      <c r="D392" s="17">
        <v>0.02</v>
      </c>
      <c r="E392" s="17">
        <f>'МЕДИЧНІ М'!F118</f>
        <v>97.3</v>
      </c>
      <c r="F392" s="17">
        <f t="shared" si="9"/>
        <v>1.95</v>
      </c>
    </row>
    <row r="393" spans="1:15" x14ac:dyDescent="0.3">
      <c r="B393" s="15" t="s">
        <v>964</v>
      </c>
      <c r="C393" s="73" t="s">
        <v>941</v>
      </c>
      <c r="D393" s="17">
        <v>0.1</v>
      </c>
      <c r="E393" s="16">
        <f>'МЕДИЧНІ М'!E119</f>
        <v>2.8</v>
      </c>
      <c r="F393" s="17">
        <f t="shared" si="9"/>
        <v>0.28000000000000003</v>
      </c>
    </row>
    <row r="394" spans="1:15" x14ac:dyDescent="0.3">
      <c r="B394" s="27" t="s">
        <v>942</v>
      </c>
      <c r="C394" s="28" t="s">
        <v>941</v>
      </c>
      <c r="D394" s="29">
        <v>0.01</v>
      </c>
      <c r="E394" s="29">
        <f>'МЕДИЧНІ М'!E120</f>
        <v>24.6</v>
      </c>
      <c r="F394" s="30">
        <f t="shared" si="9"/>
        <v>0.25</v>
      </c>
    </row>
    <row r="395" spans="1:15" x14ac:dyDescent="0.3">
      <c r="B395" s="27" t="s">
        <v>1124</v>
      </c>
      <c r="C395" s="28" t="s">
        <v>944</v>
      </c>
      <c r="D395" s="29">
        <v>0.5</v>
      </c>
      <c r="E395" s="29">
        <f>'МЕДИЧНІ М'!E114</f>
        <v>0.5</v>
      </c>
      <c r="F395" s="30">
        <f t="shared" si="9"/>
        <v>0.25</v>
      </c>
    </row>
    <row r="396" spans="1:15" x14ac:dyDescent="0.3">
      <c r="B396" s="1019" t="s">
        <v>945</v>
      </c>
      <c r="C396" s="1019"/>
      <c r="D396" s="1019"/>
      <c r="E396" s="1019"/>
      <c r="F396" s="89">
        <f>SUM(F388:F395)</f>
        <v>5.91</v>
      </c>
    </row>
    <row r="398" spans="1:15" x14ac:dyDescent="0.3">
      <c r="B398" s="12" t="s">
        <v>968</v>
      </c>
      <c r="C398" s="227"/>
      <c r="D398" s="12"/>
      <c r="E398" s="11">
        <f>SUM(G401:G402)</f>
        <v>0</v>
      </c>
      <c r="F398" s="12" t="s">
        <v>971</v>
      </c>
    </row>
    <row r="399" spans="1:15" x14ac:dyDescent="0.3">
      <c r="B399" s="22"/>
      <c r="C399" s="36"/>
      <c r="D399" s="22"/>
      <c r="E399" s="23"/>
      <c r="F399" s="22"/>
    </row>
    <row r="400" spans="1:15" ht="27.6" x14ac:dyDescent="0.3">
      <c r="B400" s="14" t="s">
        <v>513</v>
      </c>
      <c r="C400" s="14" t="s">
        <v>1108</v>
      </c>
      <c r="D400" s="14" t="s">
        <v>516</v>
      </c>
      <c r="E400" s="14" t="s">
        <v>970</v>
      </c>
      <c r="F400" s="14" t="s">
        <v>930</v>
      </c>
      <c r="G400" s="14" t="s">
        <v>961</v>
      </c>
    </row>
    <row r="401" spans="2:8" x14ac:dyDescent="0.3">
      <c r="B401" s="46" t="s">
        <v>1158</v>
      </c>
      <c r="C401" s="73">
        <f>C349</f>
        <v>0</v>
      </c>
      <c r="D401" s="62">
        <f>H377</f>
        <v>1932.7</v>
      </c>
      <c r="E401" s="17">
        <f>ROUND((C401/D401)/60,2)</f>
        <v>0</v>
      </c>
      <c r="F401" s="17">
        <f>D381</f>
        <v>10</v>
      </c>
      <c r="G401" s="16">
        <f>ROUND(E401*F401,2)</f>
        <v>0</v>
      </c>
    </row>
    <row r="402" spans="2:8" x14ac:dyDescent="0.3">
      <c r="B402" s="27" t="s">
        <v>1093</v>
      </c>
      <c r="C402" s="73">
        <f>C350</f>
        <v>0</v>
      </c>
      <c r="D402" s="62">
        <f>H378</f>
        <v>1506</v>
      </c>
      <c r="E402" s="17">
        <f>ROUND((C402/D402)/60,2)</f>
        <v>0</v>
      </c>
      <c r="F402" s="17">
        <f>D382</f>
        <v>15</v>
      </c>
      <c r="G402" s="16">
        <f>ROUND(E402*F402,2)</f>
        <v>0</v>
      </c>
      <c r="H402" s="38"/>
    </row>
    <row r="404" spans="2:8" x14ac:dyDescent="0.3">
      <c r="B404" s="12" t="s">
        <v>948</v>
      </c>
      <c r="C404" s="227"/>
      <c r="D404" s="12"/>
      <c r="E404" s="11">
        <f>G417</f>
        <v>3.45</v>
      </c>
      <c r="F404" s="12" t="s">
        <v>971</v>
      </c>
    </row>
    <row r="405" spans="2:8" ht="8.25" customHeight="1" x14ac:dyDescent="0.3">
      <c r="B405" s="22"/>
      <c r="C405" s="36"/>
      <c r="D405" s="22"/>
      <c r="E405" s="23"/>
    </row>
    <row r="406" spans="2:8" ht="27.6" x14ac:dyDescent="0.3">
      <c r="B406" s="14" t="s">
        <v>948</v>
      </c>
      <c r="C406" s="14" t="s">
        <v>1110</v>
      </c>
      <c r="D406" s="14" t="s">
        <v>516</v>
      </c>
      <c r="E406" s="14" t="s">
        <v>954</v>
      </c>
      <c r="F406" s="14" t="s">
        <v>930</v>
      </c>
      <c r="G406" s="14" t="s">
        <v>1111</v>
      </c>
    </row>
    <row r="407" spans="2:8" x14ac:dyDescent="0.3">
      <c r="B407" s="1009" t="str">
        <f>B377</f>
        <v>Лікар-рентгенолог</v>
      </c>
      <c r="C407" s="1010"/>
      <c r="D407" s="1010"/>
      <c r="E407" s="1010"/>
      <c r="F407" s="1010"/>
      <c r="G407" s="1011"/>
    </row>
    <row r="408" spans="2:8" x14ac:dyDescent="0.3">
      <c r="B408" s="17" t="s">
        <v>951</v>
      </c>
      <c r="C408" s="221">
        <f>C356</f>
        <v>12188.608008565312</v>
      </c>
      <c r="D408" s="17">
        <f>H377</f>
        <v>1932.7</v>
      </c>
      <c r="E408" s="17">
        <f>ROUND((C408/D408)/60,2)</f>
        <v>0.11</v>
      </c>
      <c r="F408" s="17">
        <f>D381</f>
        <v>10</v>
      </c>
      <c r="G408" s="16">
        <f>ROUND(E408*F408,2)</f>
        <v>1.1000000000000001</v>
      </c>
    </row>
    <row r="409" spans="2:8" x14ac:dyDescent="0.3">
      <c r="B409" s="17" t="s">
        <v>952</v>
      </c>
      <c r="C409" s="221">
        <f>C357</f>
        <v>53.149721627408987</v>
      </c>
      <c r="D409" s="17">
        <f>H377</f>
        <v>1932.7</v>
      </c>
      <c r="E409" s="17">
        <f>ROUND((C409/D409)/60,2)</f>
        <v>0</v>
      </c>
      <c r="F409" s="17">
        <f>D381</f>
        <v>10</v>
      </c>
      <c r="G409" s="16">
        <f>ROUND(E409*F409,2)</f>
        <v>0</v>
      </c>
    </row>
    <row r="410" spans="2:8" x14ac:dyDescent="0.3">
      <c r="B410" s="17" t="s">
        <v>953</v>
      </c>
      <c r="C410" s="221">
        <f>C358</f>
        <v>374.98368308351178</v>
      </c>
      <c r="D410" s="17">
        <f>H377</f>
        <v>1932.7</v>
      </c>
      <c r="E410" s="17">
        <f>ROUND((C410/D410)/60,2)</f>
        <v>0</v>
      </c>
      <c r="F410" s="17">
        <f>D381</f>
        <v>10</v>
      </c>
      <c r="G410" s="16">
        <f>ROUND(E410*F410,2)</f>
        <v>0</v>
      </c>
    </row>
    <row r="411" spans="2:8" x14ac:dyDescent="0.3">
      <c r="B411" s="17" t="s">
        <v>1109</v>
      </c>
      <c r="C411" s="221">
        <f>C359</f>
        <v>1686.0389293361886</v>
      </c>
      <c r="D411" s="17">
        <f>H377</f>
        <v>1932.7</v>
      </c>
      <c r="E411" s="17">
        <f>ROUND((C411/D411)/60,2)</f>
        <v>0.01</v>
      </c>
      <c r="F411" s="17">
        <f>D381</f>
        <v>10</v>
      </c>
      <c r="G411" s="16">
        <f>ROUND(E411*F411,2)</f>
        <v>0.1</v>
      </c>
    </row>
    <row r="412" spans="2:8" x14ac:dyDescent="0.3">
      <c r="B412" s="1009" t="str">
        <f>B378</f>
        <v>Рентгенолаборант</v>
      </c>
      <c r="C412" s="1010"/>
      <c r="D412" s="1010"/>
      <c r="E412" s="1010"/>
      <c r="F412" s="1010"/>
      <c r="G412" s="1011"/>
    </row>
    <row r="413" spans="2:8" x14ac:dyDescent="0.3">
      <c r="B413" s="17" t="s">
        <v>951</v>
      </c>
      <c r="C413" s="221">
        <f>C408</f>
        <v>12188.608008565312</v>
      </c>
      <c r="D413" s="17">
        <f>H378</f>
        <v>1506</v>
      </c>
      <c r="E413" s="17">
        <f>ROUND((C413/D413)/60,2)</f>
        <v>0.13</v>
      </c>
      <c r="F413" s="17">
        <f>D382</f>
        <v>15</v>
      </c>
      <c r="G413" s="16">
        <f>ROUND(E413*F413,2)</f>
        <v>1.95</v>
      </c>
    </row>
    <row r="414" spans="2:8" x14ac:dyDescent="0.3">
      <c r="B414" s="17" t="s">
        <v>952</v>
      </c>
      <c r="C414" s="221">
        <f>C409</f>
        <v>53.149721627408987</v>
      </c>
      <c r="D414" s="17">
        <f>H378</f>
        <v>1506</v>
      </c>
      <c r="E414" s="17">
        <f>ROUND((C414/D414)/60,2)</f>
        <v>0</v>
      </c>
      <c r="F414" s="17">
        <f>D382</f>
        <v>15</v>
      </c>
      <c r="G414" s="16">
        <f>ROUND(E414*F414,2)</f>
        <v>0</v>
      </c>
    </row>
    <row r="415" spans="2:8" x14ac:dyDescent="0.3">
      <c r="B415" s="17" t="s">
        <v>953</v>
      </c>
      <c r="C415" s="221">
        <f>C410</f>
        <v>374.98368308351178</v>
      </c>
      <c r="D415" s="17">
        <f>H378</f>
        <v>1506</v>
      </c>
      <c r="E415" s="17">
        <f>ROUND((C415/D415)/60,2)</f>
        <v>0</v>
      </c>
      <c r="F415" s="17">
        <f>D382</f>
        <v>15</v>
      </c>
      <c r="G415" s="16">
        <f>ROUND(E415*F415,2)</f>
        <v>0</v>
      </c>
    </row>
    <row r="416" spans="2:8" x14ac:dyDescent="0.3">
      <c r="B416" s="17" t="s">
        <v>1109</v>
      </c>
      <c r="C416" s="221">
        <f>C411</f>
        <v>1686.0389293361886</v>
      </c>
      <c r="D416" s="17">
        <f>H378</f>
        <v>1506</v>
      </c>
      <c r="E416" s="17">
        <f>ROUND((C416/D416)/60,2)</f>
        <v>0.02</v>
      </c>
      <c r="F416" s="17">
        <f>D382</f>
        <v>15</v>
      </c>
      <c r="G416" s="16">
        <f>ROUND(E416*F416,2)</f>
        <v>0.3</v>
      </c>
    </row>
    <row r="417" spans="1:15" x14ac:dyDescent="0.3">
      <c r="B417" s="1012" t="s">
        <v>957</v>
      </c>
      <c r="C417" s="1013"/>
      <c r="D417" s="1013"/>
      <c r="E417" s="1013"/>
      <c r="F417" s="1014"/>
      <c r="G417" s="18">
        <f>SUM(G408:G416)</f>
        <v>3.45</v>
      </c>
    </row>
    <row r="418" spans="1:15" ht="9.75" customHeight="1" x14ac:dyDescent="0.3"/>
    <row r="419" spans="1:15" hidden="1" x14ac:dyDescent="0.3"/>
    <row r="420" spans="1:15" x14ac:dyDescent="0.3">
      <c r="B420" s="1015" t="s">
        <v>959</v>
      </c>
      <c r="C420" s="1015"/>
      <c r="D420" s="1015"/>
      <c r="E420" s="1015"/>
      <c r="F420" s="1015"/>
      <c r="G420" s="32">
        <f>E374+E386+E398+E404</f>
        <v>41.14</v>
      </c>
    </row>
    <row r="421" spans="1:15" x14ac:dyDescent="0.3">
      <c r="B421" s="33"/>
      <c r="C421" s="33"/>
      <c r="D421" s="33"/>
      <c r="E421" s="33"/>
      <c r="F421" s="33"/>
      <c r="G421" s="34"/>
    </row>
    <row r="422" spans="1:15" x14ac:dyDescent="0.3">
      <c r="B422" s="1015" t="s">
        <v>960</v>
      </c>
      <c r="C422" s="1015"/>
      <c r="D422" s="1015"/>
      <c r="E422" s="1015"/>
      <c r="F422" s="1015"/>
      <c r="G422" s="32">
        <f>ROUND(G420,0)</f>
        <v>41</v>
      </c>
    </row>
    <row r="424" spans="1:15" s="54" customFormat="1" ht="19.8" x14ac:dyDescent="0.4">
      <c r="A424" s="50" t="s">
        <v>632</v>
      </c>
      <c r="B424" s="1017" t="s">
        <v>677</v>
      </c>
      <c r="C424" s="1017"/>
      <c r="D424" s="1017"/>
      <c r="E424" s="52">
        <f>G475</f>
        <v>49</v>
      </c>
      <c r="F424" s="52" t="s">
        <v>971</v>
      </c>
      <c r="G424" s="53"/>
      <c r="H424" s="124"/>
      <c r="I424" s="125" t="s">
        <v>1023</v>
      </c>
      <c r="J424" s="130"/>
      <c r="K424" s="114"/>
      <c r="L424" s="114"/>
      <c r="M424" s="114"/>
      <c r="N424" s="126"/>
      <c r="O424" s="127"/>
    </row>
    <row r="425" spans="1:15" ht="18.600000000000001" x14ac:dyDescent="0.3">
      <c r="I425" s="125" t="s">
        <v>503</v>
      </c>
    </row>
    <row r="426" spans="1:15" x14ac:dyDescent="0.3">
      <c r="B426" s="1018" t="s">
        <v>932</v>
      </c>
      <c r="C426" s="1018"/>
      <c r="D426" s="10"/>
      <c r="E426" s="11">
        <f>E433+E436+E434</f>
        <v>31.78</v>
      </c>
      <c r="F426" s="12" t="s">
        <v>971</v>
      </c>
    </row>
    <row r="428" spans="1:15" ht="27.6" x14ac:dyDescent="0.3">
      <c r="B428" s="13" t="s">
        <v>929</v>
      </c>
      <c r="C428" s="14" t="s">
        <v>928</v>
      </c>
      <c r="D428" s="14" t="s">
        <v>514</v>
      </c>
      <c r="E428" s="14" t="s">
        <v>515</v>
      </c>
      <c r="F428" s="14" t="s">
        <v>962</v>
      </c>
      <c r="G428" s="14" t="s">
        <v>926</v>
      </c>
      <c r="H428" s="14" t="s">
        <v>516</v>
      </c>
      <c r="I428" s="14" t="s">
        <v>961</v>
      </c>
    </row>
    <row r="429" spans="1:15" x14ac:dyDescent="0.3">
      <c r="B429" s="16" t="str">
        <f t="shared" ref="B429:F430" si="10">B377</f>
        <v>Лікар-рентгенолог</v>
      </c>
      <c r="C429" s="16">
        <f t="shared" si="10"/>
        <v>8463.5400000000009</v>
      </c>
      <c r="D429" s="16">
        <f t="shared" si="10"/>
        <v>101562.48000000001</v>
      </c>
      <c r="E429" s="16">
        <f t="shared" si="10"/>
        <v>7052.95</v>
      </c>
      <c r="F429" s="16">
        <f t="shared" si="10"/>
        <v>3526.4749999999999</v>
      </c>
      <c r="G429" s="16">
        <f>D429+E429+F429</f>
        <v>112141.90500000001</v>
      </c>
      <c r="H429" s="17">
        <v>1932.7</v>
      </c>
      <c r="I429" s="16">
        <f>ROUND((G429/H429)/60,2)</f>
        <v>0.97</v>
      </c>
    </row>
    <row r="430" spans="1:15" x14ac:dyDescent="0.3">
      <c r="B430" s="16" t="str">
        <f t="shared" si="10"/>
        <v>Рентгенолаборант</v>
      </c>
      <c r="C430" s="16">
        <f t="shared" si="10"/>
        <v>7482.48</v>
      </c>
      <c r="D430" s="16">
        <f t="shared" si="10"/>
        <v>89789.759999999995</v>
      </c>
      <c r="E430" s="16">
        <f t="shared" si="10"/>
        <v>5755.75</v>
      </c>
      <c r="F430" s="16">
        <f t="shared" si="10"/>
        <v>2877.875</v>
      </c>
      <c r="G430" s="16">
        <f>D430+E430+F430</f>
        <v>98423.384999999995</v>
      </c>
      <c r="H430" s="62">
        <v>1506</v>
      </c>
      <c r="I430" s="16">
        <f>ROUND((G430/H430)/60,2)</f>
        <v>1.0900000000000001</v>
      </c>
    </row>
    <row r="432" spans="1:15" ht="27.6" x14ac:dyDescent="0.3">
      <c r="B432" s="13" t="s">
        <v>929</v>
      </c>
      <c r="C432" s="14" t="s">
        <v>961</v>
      </c>
      <c r="D432" s="14" t="s">
        <v>930</v>
      </c>
      <c r="E432" s="14" t="s">
        <v>931</v>
      </c>
    </row>
    <row r="433" spans="1:15" x14ac:dyDescent="0.3">
      <c r="B433" s="15" t="str">
        <f>B429</f>
        <v>Лікар-рентгенолог</v>
      </c>
      <c r="C433" s="78">
        <f>I429</f>
        <v>0.97</v>
      </c>
      <c r="D433" s="17">
        <v>10</v>
      </c>
      <c r="E433" s="18">
        <f>ROUND(C433*D433,2)</f>
        <v>9.6999999999999993</v>
      </c>
    </row>
    <row r="434" spans="1:15" x14ac:dyDescent="0.3">
      <c r="B434" s="15" t="str">
        <f>B430</f>
        <v>Рентгенолаборант</v>
      </c>
      <c r="C434" s="78">
        <f>I430</f>
        <v>1.0900000000000001</v>
      </c>
      <c r="D434" s="17">
        <v>15</v>
      </c>
      <c r="E434" s="18">
        <f>ROUND(C434*D434,2)</f>
        <v>16.350000000000001</v>
      </c>
    </row>
    <row r="435" spans="1:15" x14ac:dyDescent="0.3">
      <c r="C435" s="19"/>
    </row>
    <row r="436" spans="1:15" x14ac:dyDescent="0.3">
      <c r="B436" s="17" t="s">
        <v>933</v>
      </c>
      <c r="C436" s="78">
        <f>E433+E434</f>
        <v>26.05</v>
      </c>
      <c r="D436" s="20">
        <v>0.22</v>
      </c>
      <c r="E436" s="21">
        <f>ROUND(C436*D436,2)</f>
        <v>5.73</v>
      </c>
    </row>
    <row r="438" spans="1:15" x14ac:dyDescent="0.3">
      <c r="B438" s="12" t="s">
        <v>946</v>
      </c>
      <c r="C438" s="227"/>
      <c r="D438" s="12"/>
      <c r="E438" s="11">
        <f>F449</f>
        <v>13.509999999999998</v>
      </c>
      <c r="F438" s="12" t="s">
        <v>971</v>
      </c>
    </row>
    <row r="440" spans="1:15" x14ac:dyDescent="0.3">
      <c r="B440" s="27" t="s">
        <v>936</v>
      </c>
      <c r="C440" s="28" t="s">
        <v>937</v>
      </c>
      <c r="D440" s="29">
        <v>1</v>
      </c>
      <c r="E440" s="30">
        <f>'МЕДИЧНІ М'!F115</f>
        <v>0.3</v>
      </c>
      <c r="F440" s="30">
        <f>ROUND(D440*E440,2)</f>
        <v>0.3</v>
      </c>
    </row>
    <row r="441" spans="1:15" s="184" customFormat="1" x14ac:dyDescent="0.3">
      <c r="A441" s="180"/>
      <c r="B441" s="185" t="s">
        <v>1021</v>
      </c>
      <c r="C441" s="186" t="s">
        <v>941</v>
      </c>
      <c r="D441" s="164">
        <v>0.5</v>
      </c>
      <c r="E441" s="164">
        <f>'МЕДИЧНІ М'!E181</f>
        <v>2</v>
      </c>
      <c r="F441" s="164">
        <f t="shared" ref="F441:F448" si="11">ROUND(D441*E441,2)</f>
        <v>1</v>
      </c>
      <c r="G441" s="180"/>
      <c r="H441" s="180"/>
      <c r="I441" s="180"/>
      <c r="J441" s="187"/>
      <c r="K441" s="189"/>
      <c r="L441" s="189"/>
      <c r="M441" s="189"/>
      <c r="N441" s="189"/>
      <c r="O441" s="188"/>
    </row>
    <row r="442" spans="1:15" x14ac:dyDescent="0.3">
      <c r="B442" s="15" t="s">
        <v>1216</v>
      </c>
      <c r="C442" s="73" t="s">
        <v>941</v>
      </c>
      <c r="D442" s="17">
        <v>0.1</v>
      </c>
      <c r="E442" s="16">
        <f>'МЕДИЧНІ М'!E113</f>
        <v>8</v>
      </c>
      <c r="F442" s="17">
        <f t="shared" si="11"/>
        <v>0.8</v>
      </c>
    </row>
    <row r="443" spans="1:15" x14ac:dyDescent="0.3">
      <c r="B443" s="15" t="str">
        <f>'МЕДИЧНІ М'!B320</f>
        <v>Рентген 18 * 24 № 100</v>
      </c>
      <c r="C443" s="73" t="s">
        <v>941</v>
      </c>
      <c r="D443" s="17">
        <v>1</v>
      </c>
      <c r="E443" s="16">
        <f>'МЕДИЧНІ М'!F320</f>
        <v>7.6</v>
      </c>
      <c r="F443" s="17">
        <f t="shared" si="11"/>
        <v>7.6</v>
      </c>
    </row>
    <row r="444" spans="1:15" ht="28.2" x14ac:dyDescent="0.3">
      <c r="B444" s="15" t="s">
        <v>1025</v>
      </c>
      <c r="C444" s="73" t="s">
        <v>941</v>
      </c>
      <c r="D444" s="17">
        <v>0.02</v>
      </c>
      <c r="E444" s="17">
        <f>'МЕДИЧНІ М'!F121</f>
        <v>54</v>
      </c>
      <c r="F444" s="17">
        <f t="shared" si="11"/>
        <v>1.08</v>
      </c>
    </row>
    <row r="445" spans="1:15" x14ac:dyDescent="0.3">
      <c r="B445" s="15" t="s">
        <v>1024</v>
      </c>
      <c r="C445" s="73" t="s">
        <v>941</v>
      </c>
      <c r="D445" s="17">
        <v>0.02</v>
      </c>
      <c r="E445" s="17">
        <f>'МЕДИЧНІ М'!F118</f>
        <v>97.3</v>
      </c>
      <c r="F445" s="17">
        <f t="shared" si="11"/>
        <v>1.95</v>
      </c>
    </row>
    <row r="446" spans="1:15" x14ac:dyDescent="0.3">
      <c r="B446" s="15" t="s">
        <v>964</v>
      </c>
      <c r="C446" s="73" t="s">
        <v>941</v>
      </c>
      <c r="D446" s="17">
        <v>0.1</v>
      </c>
      <c r="E446" s="16">
        <f>'МЕДИЧНІ М'!E119</f>
        <v>2.8</v>
      </c>
      <c r="F446" s="17">
        <f t="shared" si="11"/>
        <v>0.28000000000000003</v>
      </c>
    </row>
    <row r="447" spans="1:15" x14ac:dyDescent="0.3">
      <c r="B447" s="27" t="s">
        <v>942</v>
      </c>
      <c r="C447" s="28" t="s">
        <v>941</v>
      </c>
      <c r="D447" s="29">
        <v>0.01</v>
      </c>
      <c r="E447" s="29">
        <f>'МЕДИЧНІ М'!E120</f>
        <v>24.6</v>
      </c>
      <c r="F447" s="30">
        <f t="shared" si="11"/>
        <v>0.25</v>
      </c>
    </row>
    <row r="448" spans="1:15" x14ac:dyDescent="0.3">
      <c r="B448" s="27" t="s">
        <v>1124</v>
      </c>
      <c r="C448" s="28" t="s">
        <v>944</v>
      </c>
      <c r="D448" s="29">
        <v>0.5</v>
      </c>
      <c r="E448" s="29">
        <f>'МЕДИЧНІ М'!E114</f>
        <v>0.5</v>
      </c>
      <c r="F448" s="30">
        <f t="shared" si="11"/>
        <v>0.25</v>
      </c>
    </row>
    <row r="449" spans="2:8" x14ac:dyDescent="0.3">
      <c r="B449" s="1019" t="s">
        <v>945</v>
      </c>
      <c r="C449" s="1019"/>
      <c r="D449" s="1019"/>
      <c r="E449" s="1019"/>
      <c r="F449" s="89">
        <f>SUM(F440:F448)</f>
        <v>13.509999999999998</v>
      </c>
    </row>
    <row r="451" spans="2:8" x14ac:dyDescent="0.3">
      <c r="B451" s="12" t="s">
        <v>968</v>
      </c>
      <c r="C451" s="227"/>
      <c r="D451" s="12"/>
      <c r="E451" s="11">
        <f>SUM(G454:G455)</f>
        <v>0</v>
      </c>
      <c r="F451" s="12" t="s">
        <v>971</v>
      </c>
    </row>
    <row r="452" spans="2:8" ht="6" customHeight="1" x14ac:dyDescent="0.3">
      <c r="B452" s="22"/>
      <c r="C452" s="36"/>
      <c r="D452" s="22"/>
      <c r="E452" s="23"/>
      <c r="F452" s="22"/>
    </row>
    <row r="453" spans="2:8" ht="27.6" x14ac:dyDescent="0.3">
      <c r="B453" s="14" t="s">
        <v>513</v>
      </c>
      <c r="C453" s="14" t="s">
        <v>1108</v>
      </c>
      <c r="D453" s="14" t="s">
        <v>516</v>
      </c>
      <c r="E453" s="14" t="s">
        <v>970</v>
      </c>
      <c r="F453" s="14" t="s">
        <v>930</v>
      </c>
      <c r="G453" s="14" t="s">
        <v>961</v>
      </c>
    </row>
    <row r="454" spans="2:8" x14ac:dyDescent="0.3">
      <c r="B454" s="46" t="str">
        <f>B401</f>
        <v>Автоматизоване робоче місце</v>
      </c>
      <c r="C454" s="46">
        <f>C401</f>
        <v>0</v>
      </c>
      <c r="D454" s="62">
        <f>H429</f>
        <v>1932.7</v>
      </c>
      <c r="E454" s="17">
        <f>ROUND((C454/D454)/60,2)</f>
        <v>0</v>
      </c>
      <c r="F454" s="17">
        <f>D433</f>
        <v>10</v>
      </c>
      <c r="G454" s="16">
        <f>ROUND(E454*F454,2)</f>
        <v>0</v>
      </c>
    </row>
    <row r="455" spans="2:8" x14ac:dyDescent="0.3">
      <c r="B455" s="46" t="str">
        <f>B402</f>
        <v>Рентген</v>
      </c>
      <c r="C455" s="46">
        <f>C402</f>
        <v>0</v>
      </c>
      <c r="D455" s="62">
        <f>H430</f>
        <v>1506</v>
      </c>
      <c r="E455" s="17">
        <f>ROUND((C455/D455)/60,2)</f>
        <v>0</v>
      </c>
      <c r="F455" s="17">
        <f>D434</f>
        <v>15</v>
      </c>
      <c r="G455" s="16">
        <f>ROUND(E455*F455,2)</f>
        <v>0</v>
      </c>
      <c r="H455" s="38"/>
    </row>
    <row r="456" spans="2:8" ht="10.5" customHeight="1" x14ac:dyDescent="0.3"/>
    <row r="457" spans="2:8" x14ac:dyDescent="0.3">
      <c r="B457" s="12" t="s">
        <v>948</v>
      </c>
      <c r="C457" s="227"/>
      <c r="D457" s="12"/>
      <c r="E457" s="11">
        <f>G470</f>
        <v>3.45</v>
      </c>
      <c r="F457" s="12" t="s">
        <v>971</v>
      </c>
    </row>
    <row r="458" spans="2:8" ht="9" customHeight="1" x14ac:dyDescent="0.3">
      <c r="B458" s="22"/>
      <c r="C458" s="36"/>
      <c r="D458" s="22"/>
      <c r="E458" s="23"/>
    </row>
    <row r="459" spans="2:8" ht="27.6" x14ac:dyDescent="0.3">
      <c r="B459" s="14" t="s">
        <v>948</v>
      </c>
      <c r="C459" s="14" t="s">
        <v>1110</v>
      </c>
      <c r="D459" s="14" t="s">
        <v>516</v>
      </c>
      <c r="E459" s="14" t="s">
        <v>954</v>
      </c>
      <c r="F459" s="14" t="s">
        <v>930</v>
      </c>
      <c r="G459" s="14" t="s">
        <v>1111</v>
      </c>
    </row>
    <row r="460" spans="2:8" x14ac:dyDescent="0.3">
      <c r="B460" s="1009" t="str">
        <f>B429</f>
        <v>Лікар-рентгенолог</v>
      </c>
      <c r="C460" s="1010"/>
      <c r="D460" s="1010"/>
      <c r="E460" s="1010"/>
      <c r="F460" s="1010"/>
      <c r="G460" s="1011"/>
    </row>
    <row r="461" spans="2:8" x14ac:dyDescent="0.3">
      <c r="B461" s="17" t="s">
        <v>951</v>
      </c>
      <c r="C461" s="221">
        <f>C408</f>
        <v>12188.608008565312</v>
      </c>
      <c r="D461" s="17">
        <f>H429</f>
        <v>1932.7</v>
      </c>
      <c r="E461" s="17">
        <f>ROUND((C461/D461)/60,2)</f>
        <v>0.11</v>
      </c>
      <c r="F461" s="17">
        <f>D433</f>
        <v>10</v>
      </c>
      <c r="G461" s="16">
        <f>ROUND(E461*F461,2)</f>
        <v>1.1000000000000001</v>
      </c>
    </row>
    <row r="462" spans="2:8" x14ac:dyDescent="0.3">
      <c r="B462" s="17" t="s">
        <v>952</v>
      </c>
      <c r="C462" s="221">
        <f>C409</f>
        <v>53.149721627408987</v>
      </c>
      <c r="D462" s="17">
        <f>H429</f>
        <v>1932.7</v>
      </c>
      <c r="E462" s="17">
        <f>ROUND((C462/D462)/60,2)</f>
        <v>0</v>
      </c>
      <c r="F462" s="17">
        <f>D433</f>
        <v>10</v>
      </c>
      <c r="G462" s="16">
        <f>ROUND(E462*F462,2)</f>
        <v>0</v>
      </c>
    </row>
    <row r="463" spans="2:8" x14ac:dyDescent="0.3">
      <c r="B463" s="17" t="s">
        <v>953</v>
      </c>
      <c r="C463" s="221">
        <f>C410</f>
        <v>374.98368308351178</v>
      </c>
      <c r="D463" s="17">
        <f>H429</f>
        <v>1932.7</v>
      </c>
      <c r="E463" s="17">
        <f>ROUND((C463/D463)/60,2)</f>
        <v>0</v>
      </c>
      <c r="F463" s="17">
        <f>D433</f>
        <v>10</v>
      </c>
      <c r="G463" s="16">
        <f>ROUND(E463*F463,2)</f>
        <v>0</v>
      </c>
    </row>
    <row r="464" spans="2:8" x14ac:dyDescent="0.3">
      <c r="B464" s="17" t="s">
        <v>1109</v>
      </c>
      <c r="C464" s="221">
        <f>C411</f>
        <v>1686.0389293361886</v>
      </c>
      <c r="D464" s="17">
        <f>H429</f>
        <v>1932.7</v>
      </c>
      <c r="E464" s="17">
        <f>ROUND((C464/D464)/60,2)</f>
        <v>0.01</v>
      </c>
      <c r="F464" s="17">
        <f>D433</f>
        <v>10</v>
      </c>
      <c r="G464" s="16">
        <f>ROUND(E464*F464,2)</f>
        <v>0.1</v>
      </c>
    </row>
    <row r="465" spans="1:15" x14ac:dyDescent="0.3">
      <c r="B465" s="1009" t="str">
        <f>B430</f>
        <v>Рентгенолаборант</v>
      </c>
      <c r="C465" s="1010"/>
      <c r="D465" s="1010"/>
      <c r="E465" s="1010"/>
      <c r="F465" s="1010"/>
      <c r="G465" s="1011"/>
    </row>
    <row r="466" spans="1:15" x14ac:dyDescent="0.3">
      <c r="B466" s="17" t="s">
        <v>951</v>
      </c>
      <c r="C466" s="221">
        <f>C461</f>
        <v>12188.608008565312</v>
      </c>
      <c r="D466" s="17">
        <f>H430</f>
        <v>1506</v>
      </c>
      <c r="E466" s="17">
        <f>ROUND((C466/D466)/60,2)</f>
        <v>0.13</v>
      </c>
      <c r="F466" s="17">
        <f>D434</f>
        <v>15</v>
      </c>
      <c r="G466" s="16">
        <f>ROUND(E466*F466,2)</f>
        <v>1.95</v>
      </c>
    </row>
    <row r="467" spans="1:15" x14ac:dyDescent="0.3">
      <c r="B467" s="17" t="s">
        <v>952</v>
      </c>
      <c r="C467" s="221">
        <f>C462</f>
        <v>53.149721627408987</v>
      </c>
      <c r="D467" s="17">
        <f>H430</f>
        <v>1506</v>
      </c>
      <c r="E467" s="17">
        <f>ROUND((C467/D467)/60,2)</f>
        <v>0</v>
      </c>
      <c r="F467" s="17">
        <f>D434</f>
        <v>15</v>
      </c>
      <c r="G467" s="16">
        <f>ROUND(E467*F467,2)</f>
        <v>0</v>
      </c>
    </row>
    <row r="468" spans="1:15" x14ac:dyDescent="0.3">
      <c r="B468" s="17" t="s">
        <v>953</v>
      </c>
      <c r="C468" s="221">
        <f>C463</f>
        <v>374.98368308351178</v>
      </c>
      <c r="D468" s="17">
        <f>H430</f>
        <v>1506</v>
      </c>
      <c r="E468" s="17">
        <f>ROUND((C468/D468)/60,2)</f>
        <v>0</v>
      </c>
      <c r="F468" s="17">
        <f>D434</f>
        <v>15</v>
      </c>
      <c r="G468" s="16">
        <f>ROUND(E468*F468,2)</f>
        <v>0</v>
      </c>
    </row>
    <row r="469" spans="1:15" x14ac:dyDescent="0.3">
      <c r="B469" s="17" t="s">
        <v>1109</v>
      </c>
      <c r="C469" s="221">
        <f>C464</f>
        <v>1686.0389293361886</v>
      </c>
      <c r="D469" s="17">
        <f>H430</f>
        <v>1506</v>
      </c>
      <c r="E469" s="17">
        <f>ROUND((C469/D469)/60,2)</f>
        <v>0.02</v>
      </c>
      <c r="F469" s="17">
        <f>D434</f>
        <v>15</v>
      </c>
      <c r="G469" s="16">
        <f>ROUND(E469*F469,2)</f>
        <v>0.3</v>
      </c>
    </row>
    <row r="470" spans="1:15" x14ac:dyDescent="0.3">
      <c r="B470" s="1012" t="s">
        <v>957</v>
      </c>
      <c r="C470" s="1013"/>
      <c r="D470" s="1013"/>
      <c r="E470" s="1013"/>
      <c r="F470" s="1014"/>
      <c r="G470" s="18">
        <f>SUM(G461:G469)</f>
        <v>3.45</v>
      </c>
    </row>
    <row r="471" spans="1:15" ht="9" customHeight="1" x14ac:dyDescent="0.3"/>
    <row r="472" spans="1:15" ht="3.75" hidden="1" customHeight="1" x14ac:dyDescent="0.3"/>
    <row r="473" spans="1:15" x14ac:dyDescent="0.3">
      <c r="B473" s="1015" t="s">
        <v>959</v>
      </c>
      <c r="C473" s="1015"/>
      <c r="D473" s="1015"/>
      <c r="E473" s="1015"/>
      <c r="F473" s="1015"/>
      <c r="G473" s="32">
        <f>E426+E438+E451+E457</f>
        <v>48.74</v>
      </c>
    </row>
    <row r="474" spans="1:15" ht="9" customHeight="1" x14ac:dyDescent="0.3">
      <c r="B474" s="33"/>
      <c r="C474" s="33"/>
      <c r="D474" s="33"/>
      <c r="E474" s="33"/>
      <c r="F474" s="33"/>
      <c r="G474" s="34"/>
    </row>
    <row r="475" spans="1:15" x14ac:dyDescent="0.3">
      <c r="B475" s="1015" t="s">
        <v>960</v>
      </c>
      <c r="C475" s="1015"/>
      <c r="D475" s="1015"/>
      <c r="E475" s="1015"/>
      <c r="F475" s="1015"/>
      <c r="G475" s="32">
        <f>ROUND(G473,0)</f>
        <v>49</v>
      </c>
    </row>
    <row r="477" spans="1:15" s="54" customFormat="1" ht="19.8" x14ac:dyDescent="0.4">
      <c r="A477" s="50" t="s">
        <v>632</v>
      </c>
      <c r="B477" s="1017" t="s">
        <v>677</v>
      </c>
      <c r="C477" s="1017"/>
      <c r="D477" s="1017"/>
      <c r="E477" s="52">
        <f>G527</f>
        <v>41</v>
      </c>
      <c r="F477" s="52" t="s">
        <v>971</v>
      </c>
      <c r="G477" s="53"/>
      <c r="H477" s="124"/>
      <c r="I477" s="125" t="s">
        <v>1128</v>
      </c>
      <c r="J477" s="130"/>
      <c r="K477" s="114"/>
      <c r="L477" s="114"/>
      <c r="M477" s="114"/>
      <c r="N477" s="126"/>
      <c r="O477" s="127"/>
    </row>
    <row r="479" spans="1:15" x14ac:dyDescent="0.3">
      <c r="B479" s="1018" t="s">
        <v>932</v>
      </c>
      <c r="C479" s="1018"/>
      <c r="D479" s="10"/>
      <c r="E479" s="11">
        <f>E486+E489+E487</f>
        <v>31.78</v>
      </c>
      <c r="F479" s="12" t="s">
        <v>971</v>
      </c>
    </row>
    <row r="481" spans="1:15" ht="27.6" x14ac:dyDescent="0.3">
      <c r="B481" s="13" t="s">
        <v>929</v>
      </c>
      <c r="C481" s="14" t="s">
        <v>928</v>
      </c>
      <c r="D481" s="14" t="s">
        <v>514</v>
      </c>
      <c r="E481" s="14" t="s">
        <v>515</v>
      </c>
      <c r="F481" s="14" t="s">
        <v>962</v>
      </c>
      <c r="G481" s="14" t="s">
        <v>926</v>
      </c>
      <c r="H481" s="14" t="s">
        <v>516</v>
      </c>
      <c r="I481" s="14" t="s">
        <v>961</v>
      </c>
    </row>
    <row r="482" spans="1:15" x14ac:dyDescent="0.3">
      <c r="B482" s="16" t="str">
        <f>B429</f>
        <v>Лікар-рентгенолог</v>
      </c>
      <c r="C482" s="78">
        <f>C429</f>
        <v>8463.5400000000009</v>
      </c>
      <c r="D482" s="16">
        <f>C482*12</f>
        <v>101562.48000000001</v>
      </c>
      <c r="E482" s="16">
        <f>E429</f>
        <v>7052.95</v>
      </c>
      <c r="F482" s="16">
        <f>F429</f>
        <v>3526.4749999999999</v>
      </c>
      <c r="G482" s="16">
        <f>D482+E482+F482</f>
        <v>112141.90500000001</v>
      </c>
      <c r="H482" s="17">
        <v>1932.7</v>
      </c>
      <c r="I482" s="16">
        <f>ROUND((G482/H482)/60,2)</f>
        <v>0.97</v>
      </c>
    </row>
    <row r="483" spans="1:15" x14ac:dyDescent="0.3">
      <c r="B483" s="16" t="str">
        <f>B430</f>
        <v>Рентгенолаборант</v>
      </c>
      <c r="C483" s="78">
        <f>C430</f>
        <v>7482.48</v>
      </c>
      <c r="D483" s="24">
        <f>C483*12</f>
        <v>89789.759999999995</v>
      </c>
      <c r="E483" s="16">
        <f>E430</f>
        <v>5755.75</v>
      </c>
      <c r="F483" s="16">
        <f>F430</f>
        <v>2877.875</v>
      </c>
      <c r="G483" s="16">
        <f>D483+E483+F483</f>
        <v>98423.384999999995</v>
      </c>
      <c r="H483" s="62">
        <v>1506</v>
      </c>
      <c r="I483" s="16">
        <f>ROUND((G483/H483)/60,2)</f>
        <v>1.0900000000000001</v>
      </c>
    </row>
    <row r="485" spans="1:15" ht="27.6" x14ac:dyDescent="0.3">
      <c r="B485" s="13" t="s">
        <v>929</v>
      </c>
      <c r="C485" s="14" t="s">
        <v>961</v>
      </c>
      <c r="D485" s="14" t="s">
        <v>930</v>
      </c>
      <c r="E485" s="14" t="s">
        <v>931</v>
      </c>
    </row>
    <row r="486" spans="1:15" x14ac:dyDescent="0.3">
      <c r="B486" s="15" t="str">
        <f>B482</f>
        <v>Лікар-рентгенолог</v>
      </c>
      <c r="C486" s="78">
        <f>I482</f>
        <v>0.97</v>
      </c>
      <c r="D486" s="17">
        <v>10</v>
      </c>
      <c r="E486" s="18">
        <f>ROUND(C486*D486,2)</f>
        <v>9.6999999999999993</v>
      </c>
    </row>
    <row r="487" spans="1:15" x14ac:dyDescent="0.3">
      <c r="B487" s="15" t="str">
        <f>B483</f>
        <v>Рентгенолаборант</v>
      </c>
      <c r="C487" s="78">
        <f>I483</f>
        <v>1.0900000000000001</v>
      </c>
      <c r="D487" s="17">
        <v>15</v>
      </c>
      <c r="E487" s="18">
        <f>ROUND(C487*D487,2)</f>
        <v>16.350000000000001</v>
      </c>
    </row>
    <row r="488" spans="1:15" x14ac:dyDescent="0.3">
      <c r="C488" s="19"/>
    </row>
    <row r="489" spans="1:15" x14ac:dyDescent="0.3">
      <c r="B489" s="17" t="s">
        <v>933</v>
      </c>
      <c r="C489" s="78">
        <f>E486+E487</f>
        <v>26.05</v>
      </c>
      <c r="D489" s="20">
        <v>0.22</v>
      </c>
      <c r="E489" s="21">
        <f>ROUND(C489*D489,2)</f>
        <v>5.73</v>
      </c>
    </row>
    <row r="491" spans="1:15" x14ac:dyDescent="0.3">
      <c r="B491" s="12" t="s">
        <v>946</v>
      </c>
      <c r="C491" s="227"/>
      <c r="D491" s="12"/>
      <c r="E491" s="11">
        <f>F501</f>
        <v>5.91</v>
      </c>
      <c r="F491" s="12" t="s">
        <v>971</v>
      </c>
    </row>
    <row r="493" spans="1:15" x14ac:dyDescent="0.3">
      <c r="B493" s="27" t="s">
        <v>936</v>
      </c>
      <c r="C493" s="28" t="s">
        <v>937</v>
      </c>
      <c r="D493" s="29">
        <v>1</v>
      </c>
      <c r="E493" s="30">
        <f>'МЕДИЧНІ М'!F115</f>
        <v>0.3</v>
      </c>
      <c r="F493" s="30">
        <f t="shared" ref="F493:F500" si="12">ROUND(D493*E493,2)</f>
        <v>0.3</v>
      </c>
    </row>
    <row r="494" spans="1:15" s="184" customFormat="1" x14ac:dyDescent="0.3">
      <c r="A494" s="180"/>
      <c r="B494" s="185" t="s">
        <v>1021</v>
      </c>
      <c r="C494" s="186" t="s">
        <v>941</v>
      </c>
      <c r="D494" s="164">
        <v>0.5</v>
      </c>
      <c r="E494" s="164">
        <f>'МЕДИЧНІ М'!E181</f>
        <v>2</v>
      </c>
      <c r="F494" s="164">
        <f t="shared" si="12"/>
        <v>1</v>
      </c>
      <c r="G494" s="180"/>
      <c r="H494" s="180"/>
      <c r="I494" s="180"/>
      <c r="J494" s="187"/>
      <c r="K494" s="189"/>
      <c r="L494" s="189"/>
      <c r="M494" s="189"/>
      <c r="N494" s="189"/>
      <c r="O494" s="188"/>
    </row>
    <row r="495" spans="1:15" x14ac:dyDescent="0.3">
      <c r="B495" s="15" t="s">
        <v>1216</v>
      </c>
      <c r="C495" s="73" t="s">
        <v>941</v>
      </c>
      <c r="D495" s="17">
        <v>0.1</v>
      </c>
      <c r="E495" s="16">
        <f>'МЕДИЧНІ М'!E113</f>
        <v>8</v>
      </c>
      <c r="F495" s="17">
        <f t="shared" si="12"/>
        <v>0.8</v>
      </c>
    </row>
    <row r="496" spans="1:15" ht="28.2" x14ac:dyDescent="0.3">
      <c r="B496" s="15" t="s">
        <v>1025</v>
      </c>
      <c r="C496" s="73" t="s">
        <v>941</v>
      </c>
      <c r="D496" s="17">
        <v>0.02</v>
      </c>
      <c r="E496" s="17">
        <f>'МЕДИЧНІ М'!F121</f>
        <v>54</v>
      </c>
      <c r="F496" s="17">
        <f t="shared" si="12"/>
        <v>1.08</v>
      </c>
    </row>
    <row r="497" spans="2:8" ht="14.25" customHeight="1" x14ac:dyDescent="0.3">
      <c r="B497" s="15" t="s">
        <v>1024</v>
      </c>
      <c r="C497" s="73" t="s">
        <v>941</v>
      </c>
      <c r="D497" s="17">
        <v>0.02</v>
      </c>
      <c r="E497" s="17">
        <f>'МЕДИЧНІ М'!F118</f>
        <v>97.3</v>
      </c>
      <c r="F497" s="17">
        <f t="shared" si="12"/>
        <v>1.95</v>
      </c>
    </row>
    <row r="498" spans="2:8" x14ac:dyDescent="0.3">
      <c r="B498" s="15" t="s">
        <v>964</v>
      </c>
      <c r="C498" s="73" t="s">
        <v>941</v>
      </c>
      <c r="D498" s="17">
        <v>0.1</v>
      </c>
      <c r="E498" s="16">
        <f>'МЕДИЧНІ М'!E119</f>
        <v>2.8</v>
      </c>
      <c r="F498" s="17">
        <f t="shared" si="12"/>
        <v>0.28000000000000003</v>
      </c>
    </row>
    <row r="499" spans="2:8" x14ac:dyDescent="0.3">
      <c r="B499" s="27" t="s">
        <v>942</v>
      </c>
      <c r="C499" s="28" t="s">
        <v>941</v>
      </c>
      <c r="D499" s="29">
        <v>0.01</v>
      </c>
      <c r="E499" s="29">
        <f>'МЕДИЧНІ М'!E120</f>
        <v>24.6</v>
      </c>
      <c r="F499" s="30">
        <f t="shared" si="12"/>
        <v>0.25</v>
      </c>
    </row>
    <row r="500" spans="2:8" x14ac:dyDescent="0.3">
      <c r="B500" s="27" t="s">
        <v>1124</v>
      </c>
      <c r="C500" s="28" t="s">
        <v>944</v>
      </c>
      <c r="D500" s="29">
        <v>0.5</v>
      </c>
      <c r="E500" s="29">
        <f>'МЕДИЧНІ М'!E114</f>
        <v>0.5</v>
      </c>
      <c r="F500" s="30">
        <f t="shared" si="12"/>
        <v>0.25</v>
      </c>
    </row>
    <row r="501" spans="2:8" x14ac:dyDescent="0.3">
      <c r="B501" s="1019" t="s">
        <v>945</v>
      </c>
      <c r="C501" s="1019"/>
      <c r="D501" s="1019"/>
      <c r="E501" s="1019"/>
      <c r="F501" s="89">
        <f>SUM(F493:F500)</f>
        <v>5.91</v>
      </c>
    </row>
    <row r="503" spans="2:8" x14ac:dyDescent="0.3">
      <c r="B503" s="12" t="s">
        <v>968</v>
      </c>
      <c r="C503" s="227"/>
      <c r="D503" s="12"/>
      <c r="E503" s="11">
        <f>SUM(G506:G507)</f>
        <v>0</v>
      </c>
      <c r="F503" s="12" t="s">
        <v>971</v>
      </c>
    </row>
    <row r="504" spans="2:8" x14ac:dyDescent="0.3">
      <c r="B504" s="22"/>
      <c r="C504" s="36"/>
      <c r="D504" s="22"/>
      <c r="E504" s="23"/>
      <c r="F504" s="22"/>
    </row>
    <row r="505" spans="2:8" ht="27.6" x14ac:dyDescent="0.3">
      <c r="B505" s="14" t="s">
        <v>513</v>
      </c>
      <c r="C505" s="14" t="s">
        <v>1108</v>
      </c>
      <c r="D505" s="14" t="s">
        <v>516</v>
      </c>
      <c r="E505" s="14" t="s">
        <v>970</v>
      </c>
      <c r="F505" s="14" t="s">
        <v>930</v>
      </c>
      <c r="G505" s="14" t="s">
        <v>961</v>
      </c>
    </row>
    <row r="506" spans="2:8" x14ac:dyDescent="0.3">
      <c r="B506" s="46" t="s">
        <v>1161</v>
      </c>
      <c r="C506" s="73">
        <f>C454</f>
        <v>0</v>
      </c>
      <c r="D506" s="62">
        <f>H482</f>
        <v>1932.7</v>
      </c>
      <c r="E506" s="17">
        <f>ROUND((C506/D506)/60,2)</f>
        <v>0</v>
      </c>
      <c r="F506" s="17">
        <f>D486</f>
        <v>10</v>
      </c>
      <c r="G506" s="16">
        <f>ROUND(E506*F506,2)</f>
        <v>0</v>
      </c>
    </row>
    <row r="507" spans="2:8" x14ac:dyDescent="0.3">
      <c r="B507" s="27" t="s">
        <v>1093</v>
      </c>
      <c r="C507" s="73">
        <f>C455</f>
        <v>0</v>
      </c>
      <c r="D507" s="62">
        <f>H483</f>
        <v>1506</v>
      </c>
      <c r="E507" s="17">
        <f>ROUND((C507/D507)/60,2)</f>
        <v>0</v>
      </c>
      <c r="F507" s="17">
        <f>D487</f>
        <v>15</v>
      </c>
      <c r="G507" s="16">
        <f>ROUND(E507*F507,2)</f>
        <v>0</v>
      </c>
      <c r="H507" s="38"/>
    </row>
    <row r="509" spans="2:8" x14ac:dyDescent="0.3">
      <c r="B509" s="12" t="s">
        <v>948</v>
      </c>
      <c r="C509" s="227"/>
      <c r="D509" s="12"/>
      <c r="E509" s="11">
        <f>G522</f>
        <v>3.45</v>
      </c>
      <c r="F509" s="12" t="s">
        <v>971</v>
      </c>
    </row>
    <row r="510" spans="2:8" x14ac:dyDescent="0.3">
      <c r="B510" s="22"/>
      <c r="C510" s="36"/>
      <c r="D510" s="22"/>
      <c r="E510" s="23"/>
    </row>
    <row r="511" spans="2:8" ht="27.6" x14ac:dyDescent="0.3">
      <c r="B511" s="14" t="s">
        <v>948</v>
      </c>
      <c r="C511" s="14" t="s">
        <v>1110</v>
      </c>
      <c r="D511" s="14" t="s">
        <v>516</v>
      </c>
      <c r="E511" s="14" t="s">
        <v>954</v>
      </c>
      <c r="F511" s="14" t="s">
        <v>930</v>
      </c>
      <c r="G511" s="14" t="s">
        <v>1111</v>
      </c>
    </row>
    <row r="512" spans="2:8" x14ac:dyDescent="0.3">
      <c r="B512" s="1009" t="str">
        <f>B482</f>
        <v>Лікар-рентгенолог</v>
      </c>
      <c r="C512" s="1010"/>
      <c r="D512" s="1010"/>
      <c r="E512" s="1010"/>
      <c r="F512" s="1010"/>
      <c r="G512" s="1011"/>
    </row>
    <row r="513" spans="2:7" x14ac:dyDescent="0.3">
      <c r="B513" s="17" t="s">
        <v>951</v>
      </c>
      <c r="C513" s="221">
        <f>C461</f>
        <v>12188.608008565312</v>
      </c>
      <c r="D513" s="17">
        <f>H482</f>
        <v>1932.7</v>
      </c>
      <c r="E513" s="17">
        <f>ROUND((C513/D513)/60,2)</f>
        <v>0.11</v>
      </c>
      <c r="F513" s="17">
        <f>D486</f>
        <v>10</v>
      </c>
      <c r="G513" s="16">
        <f>ROUND(E513*F513,2)</f>
        <v>1.1000000000000001</v>
      </c>
    </row>
    <row r="514" spans="2:7" x14ac:dyDescent="0.3">
      <c r="B514" s="17" t="s">
        <v>952</v>
      </c>
      <c r="C514" s="221">
        <f>C462</f>
        <v>53.149721627408987</v>
      </c>
      <c r="D514" s="17">
        <f>H482</f>
        <v>1932.7</v>
      </c>
      <c r="E514" s="17">
        <f>ROUND((C514/D514)/60,2)</f>
        <v>0</v>
      </c>
      <c r="F514" s="17">
        <f>D486</f>
        <v>10</v>
      </c>
      <c r="G514" s="16">
        <f>ROUND(E514*F514,2)</f>
        <v>0</v>
      </c>
    </row>
    <row r="515" spans="2:7" x14ac:dyDescent="0.3">
      <c r="B515" s="17" t="s">
        <v>953</v>
      </c>
      <c r="C515" s="221">
        <f>C463</f>
        <v>374.98368308351178</v>
      </c>
      <c r="D515" s="17">
        <f>H482</f>
        <v>1932.7</v>
      </c>
      <c r="E515" s="17">
        <f>ROUND((C515/D515)/60,2)</f>
        <v>0</v>
      </c>
      <c r="F515" s="17">
        <f>D486</f>
        <v>10</v>
      </c>
      <c r="G515" s="16">
        <f>ROUND(E515*F515,2)</f>
        <v>0</v>
      </c>
    </row>
    <row r="516" spans="2:7" x14ac:dyDescent="0.3">
      <c r="B516" s="17" t="s">
        <v>1109</v>
      </c>
      <c r="C516" s="221">
        <f>C464</f>
        <v>1686.0389293361886</v>
      </c>
      <c r="D516" s="17">
        <f>H482</f>
        <v>1932.7</v>
      </c>
      <c r="E516" s="17">
        <f>ROUND((C516/D516)/60,2)</f>
        <v>0.01</v>
      </c>
      <c r="F516" s="17">
        <f>D486</f>
        <v>10</v>
      </c>
      <c r="G516" s="16">
        <f>ROUND(E516*F516,2)</f>
        <v>0.1</v>
      </c>
    </row>
    <row r="517" spans="2:7" x14ac:dyDescent="0.3">
      <c r="B517" s="1009" t="str">
        <f>B483</f>
        <v>Рентгенолаборант</v>
      </c>
      <c r="C517" s="1010"/>
      <c r="D517" s="1010"/>
      <c r="E517" s="1010"/>
      <c r="F517" s="1010"/>
      <c r="G517" s="1011"/>
    </row>
    <row r="518" spans="2:7" x14ac:dyDescent="0.3">
      <c r="B518" s="17" t="s">
        <v>951</v>
      </c>
      <c r="C518" s="221">
        <f>C513</f>
        <v>12188.608008565312</v>
      </c>
      <c r="D518" s="17">
        <f>H483</f>
        <v>1506</v>
      </c>
      <c r="E518" s="17">
        <f>ROUND((C518/D518)/60,2)</f>
        <v>0.13</v>
      </c>
      <c r="F518" s="17">
        <f>D487</f>
        <v>15</v>
      </c>
      <c r="G518" s="16">
        <f>ROUND(E518*F518,2)</f>
        <v>1.95</v>
      </c>
    </row>
    <row r="519" spans="2:7" x14ac:dyDescent="0.3">
      <c r="B519" s="17" t="s">
        <v>952</v>
      </c>
      <c r="C519" s="221">
        <f>C514</f>
        <v>53.149721627408987</v>
      </c>
      <c r="D519" s="17">
        <f>H483</f>
        <v>1506</v>
      </c>
      <c r="E519" s="17">
        <f>ROUND((C519/D519)/60,2)</f>
        <v>0</v>
      </c>
      <c r="F519" s="17">
        <f>D487</f>
        <v>15</v>
      </c>
      <c r="G519" s="16">
        <f>ROUND(E519*F519,2)</f>
        <v>0</v>
      </c>
    </row>
    <row r="520" spans="2:7" x14ac:dyDescent="0.3">
      <c r="B520" s="17" t="s">
        <v>953</v>
      </c>
      <c r="C520" s="221">
        <f>C515</f>
        <v>374.98368308351178</v>
      </c>
      <c r="D520" s="17">
        <f>H483</f>
        <v>1506</v>
      </c>
      <c r="E520" s="17">
        <f>ROUND((C520/D520)/60,2)</f>
        <v>0</v>
      </c>
      <c r="F520" s="17">
        <f>D487</f>
        <v>15</v>
      </c>
      <c r="G520" s="16">
        <f>ROUND(E520*F520,2)</f>
        <v>0</v>
      </c>
    </row>
    <row r="521" spans="2:7" x14ac:dyDescent="0.3">
      <c r="B521" s="17" t="s">
        <v>1109</v>
      </c>
      <c r="C521" s="221">
        <f>C516</f>
        <v>1686.0389293361886</v>
      </c>
      <c r="D521" s="17">
        <f>H483</f>
        <v>1506</v>
      </c>
      <c r="E521" s="17">
        <f>ROUND((C521/D521)/60,2)</f>
        <v>0.02</v>
      </c>
      <c r="F521" s="17">
        <f>D487</f>
        <v>15</v>
      </c>
      <c r="G521" s="16">
        <f>ROUND(E521*F521,2)</f>
        <v>0.3</v>
      </c>
    </row>
    <row r="522" spans="2:7" x14ac:dyDescent="0.3">
      <c r="B522" s="1012" t="s">
        <v>957</v>
      </c>
      <c r="C522" s="1013"/>
      <c r="D522" s="1013"/>
      <c r="E522" s="1013"/>
      <c r="F522" s="1014"/>
      <c r="G522" s="18">
        <f>SUM(G513:G521)</f>
        <v>3.45</v>
      </c>
    </row>
    <row r="523" spans="2:7" ht="14.25" customHeight="1" x14ac:dyDescent="0.3"/>
    <row r="525" spans="2:7" x14ac:dyDescent="0.3">
      <c r="B525" s="1015" t="s">
        <v>959</v>
      </c>
      <c r="C525" s="1015"/>
      <c r="D525" s="1015"/>
      <c r="E525" s="1015"/>
      <c r="F525" s="1015"/>
      <c r="G525" s="32">
        <f>E479+E491+E503+E509</f>
        <v>41.14</v>
      </c>
    </row>
    <row r="526" spans="2:7" x14ac:dyDescent="0.3">
      <c r="B526" s="33"/>
      <c r="C526" s="33"/>
      <c r="D526" s="33"/>
      <c r="E526" s="33"/>
      <c r="F526" s="33"/>
      <c r="G526" s="34"/>
    </row>
    <row r="527" spans="2:7" x14ac:dyDescent="0.3">
      <c r="B527" s="1015" t="s">
        <v>960</v>
      </c>
      <c r="C527" s="1015"/>
      <c r="D527" s="1015"/>
      <c r="E527" s="1015"/>
      <c r="F527" s="1015"/>
      <c r="G527" s="32">
        <f>ROUND(G525,0)</f>
        <v>41</v>
      </c>
    </row>
    <row r="529" spans="1:15" s="54" customFormat="1" ht="36.75" customHeight="1" x14ac:dyDescent="0.4">
      <c r="A529" s="50" t="s">
        <v>634</v>
      </c>
      <c r="B529" s="1032" t="s">
        <v>679</v>
      </c>
      <c r="C529" s="1032"/>
      <c r="D529" s="1032"/>
      <c r="E529" s="52">
        <f>G580</f>
        <v>56</v>
      </c>
      <c r="F529" s="52" t="s">
        <v>971</v>
      </c>
      <c r="G529" s="53"/>
      <c r="H529" s="124"/>
      <c r="I529" s="125" t="s">
        <v>1023</v>
      </c>
      <c r="J529" s="132"/>
      <c r="K529" s="126"/>
      <c r="L529" s="126"/>
      <c r="M529" s="126"/>
      <c r="N529" s="126"/>
      <c r="O529" s="127"/>
    </row>
    <row r="530" spans="1:15" s="54" customFormat="1" ht="19.8" x14ac:dyDescent="0.4">
      <c r="A530" s="53"/>
      <c r="B530" s="53"/>
      <c r="C530" s="225"/>
      <c r="D530" s="53"/>
      <c r="E530" s="53"/>
      <c r="F530" s="53"/>
      <c r="G530" s="53"/>
      <c r="H530" s="53"/>
      <c r="I530" s="125" t="s">
        <v>503</v>
      </c>
      <c r="J530" s="132"/>
      <c r="K530" s="126"/>
      <c r="L530" s="126"/>
      <c r="M530" s="126"/>
      <c r="N530" s="126"/>
      <c r="O530" s="127"/>
    </row>
    <row r="531" spans="1:15" s="54" customFormat="1" ht="19.8" x14ac:dyDescent="0.4">
      <c r="A531" s="53"/>
      <c r="B531" s="1037" t="s">
        <v>932</v>
      </c>
      <c r="C531" s="1037"/>
      <c r="D531" s="68"/>
      <c r="E531" s="92">
        <f>E538+E541+E539</f>
        <v>31.78</v>
      </c>
      <c r="F531" s="93" t="s">
        <v>971</v>
      </c>
      <c r="G531" s="53"/>
      <c r="H531" s="53"/>
      <c r="I531" s="53"/>
      <c r="J531" s="132"/>
      <c r="K531" s="126"/>
      <c r="L531" s="126"/>
      <c r="M531" s="126"/>
      <c r="N531" s="126"/>
      <c r="O531" s="127"/>
    </row>
    <row r="533" spans="1:15" ht="27.6" x14ac:dyDescent="0.3">
      <c r="B533" s="13" t="s">
        <v>929</v>
      </c>
      <c r="C533" s="14" t="s">
        <v>928</v>
      </c>
      <c r="D533" s="14" t="s">
        <v>514</v>
      </c>
      <c r="E533" s="14" t="s">
        <v>515</v>
      </c>
      <c r="F533" s="14" t="s">
        <v>962</v>
      </c>
      <c r="G533" s="14" t="s">
        <v>926</v>
      </c>
      <c r="H533" s="14" t="s">
        <v>516</v>
      </c>
      <c r="I533" s="14" t="s">
        <v>961</v>
      </c>
    </row>
    <row r="534" spans="1:15" x14ac:dyDescent="0.3">
      <c r="B534" s="16" t="str">
        <f t="shared" ref="B534:F535" si="13">B482</f>
        <v>Лікар-рентгенолог</v>
      </c>
      <c r="C534" s="16">
        <f t="shared" si="13"/>
        <v>8463.5400000000009</v>
      </c>
      <c r="D534" s="16">
        <f t="shared" si="13"/>
        <v>101562.48000000001</v>
      </c>
      <c r="E534" s="16">
        <f t="shared" si="13"/>
        <v>7052.95</v>
      </c>
      <c r="F534" s="16">
        <f t="shared" si="13"/>
        <v>3526.4749999999999</v>
      </c>
      <c r="G534" s="16">
        <f>D534+E534+F534</f>
        <v>112141.90500000001</v>
      </c>
      <c r="H534" s="17">
        <v>1932.7</v>
      </c>
      <c r="I534" s="16">
        <f>ROUND((G534/H534)/60,2)</f>
        <v>0.97</v>
      </c>
    </row>
    <row r="535" spans="1:15" x14ac:dyDescent="0.3">
      <c r="B535" s="16" t="str">
        <f t="shared" si="13"/>
        <v>Рентгенолаборант</v>
      </c>
      <c r="C535" s="16">
        <f t="shared" si="13"/>
        <v>7482.48</v>
      </c>
      <c r="D535" s="16">
        <f t="shared" si="13"/>
        <v>89789.759999999995</v>
      </c>
      <c r="E535" s="16">
        <f t="shared" si="13"/>
        <v>5755.75</v>
      </c>
      <c r="F535" s="16">
        <f t="shared" si="13"/>
        <v>2877.875</v>
      </c>
      <c r="G535" s="16">
        <f>D535+E535+F535</f>
        <v>98423.384999999995</v>
      </c>
      <c r="H535" s="62">
        <v>1506</v>
      </c>
      <c r="I535" s="16">
        <f>ROUND((G535/H535)/60,2)</f>
        <v>1.0900000000000001</v>
      </c>
    </row>
    <row r="536" spans="1:15" ht="5.25" customHeight="1" x14ac:dyDescent="0.3"/>
    <row r="537" spans="1:15" ht="27.6" x14ac:dyDescent="0.3">
      <c r="B537" s="13" t="s">
        <v>929</v>
      </c>
      <c r="C537" s="14" t="s">
        <v>961</v>
      </c>
      <c r="D537" s="14" t="s">
        <v>930</v>
      </c>
      <c r="E537" s="14" t="s">
        <v>931</v>
      </c>
    </row>
    <row r="538" spans="1:15" x14ac:dyDescent="0.3">
      <c r="B538" s="15" t="str">
        <f>B534</f>
        <v>Лікар-рентгенолог</v>
      </c>
      <c r="C538" s="78">
        <f>I534</f>
        <v>0.97</v>
      </c>
      <c r="D538" s="17">
        <v>10</v>
      </c>
      <c r="E538" s="18">
        <f>ROUND(C538*D538,2)</f>
        <v>9.6999999999999993</v>
      </c>
    </row>
    <row r="539" spans="1:15" x14ac:dyDescent="0.3">
      <c r="B539" s="15" t="str">
        <f>B535</f>
        <v>Рентгенолаборант</v>
      </c>
      <c r="C539" s="78">
        <f>I535</f>
        <v>1.0900000000000001</v>
      </c>
      <c r="D539" s="17">
        <v>15</v>
      </c>
      <c r="E539" s="18">
        <f>ROUND(C539*D539,2)</f>
        <v>16.350000000000001</v>
      </c>
    </row>
    <row r="540" spans="1:15" x14ac:dyDescent="0.3">
      <c r="C540" s="19"/>
    </row>
    <row r="541" spans="1:15" x14ac:dyDescent="0.3">
      <c r="B541" s="17" t="s">
        <v>933</v>
      </c>
      <c r="C541" s="78">
        <f>E538+E539</f>
        <v>26.05</v>
      </c>
      <c r="D541" s="20">
        <v>0.22</v>
      </c>
      <c r="E541" s="21">
        <f>ROUND(C541*D541,2)</f>
        <v>5.73</v>
      </c>
    </row>
    <row r="542" spans="1:15" ht="9" customHeight="1" x14ac:dyDescent="0.3"/>
    <row r="543" spans="1:15" x14ac:dyDescent="0.3">
      <c r="B543" s="12" t="s">
        <v>946</v>
      </c>
      <c r="C543" s="227"/>
      <c r="D543" s="12"/>
      <c r="E543" s="11">
        <f>F554</f>
        <v>21.110000000000003</v>
      </c>
      <c r="F543" s="12" t="s">
        <v>971</v>
      </c>
    </row>
    <row r="544" spans="1:15" ht="6" customHeight="1" x14ac:dyDescent="0.3"/>
    <row r="545" spans="1:15" x14ac:dyDescent="0.3">
      <c r="B545" s="27" t="s">
        <v>936</v>
      </c>
      <c r="C545" s="28" t="s">
        <v>937</v>
      </c>
      <c r="D545" s="29">
        <v>1</v>
      </c>
      <c r="E545" s="30">
        <f>'МЕДИЧНІ М'!F115</f>
        <v>0.3</v>
      </c>
      <c r="F545" s="30">
        <f>ROUND(D545*E545,2)</f>
        <v>0.3</v>
      </c>
    </row>
    <row r="546" spans="1:15" s="184" customFormat="1" x14ac:dyDescent="0.3">
      <c r="A546" s="180"/>
      <c r="B546" s="185" t="s">
        <v>1021</v>
      </c>
      <c r="C546" s="186" t="s">
        <v>941</v>
      </c>
      <c r="D546" s="164">
        <v>0.5</v>
      </c>
      <c r="E546" s="164">
        <f>'МЕДИЧНІ М'!E181</f>
        <v>2</v>
      </c>
      <c r="F546" s="164">
        <f t="shared" ref="F546:F553" si="14">ROUND(D546*E546,2)</f>
        <v>1</v>
      </c>
      <c r="G546" s="180"/>
      <c r="H546" s="180"/>
      <c r="I546" s="180"/>
      <c r="J546" s="187"/>
      <c r="K546" s="189"/>
      <c r="L546" s="189"/>
      <c r="M546" s="189"/>
      <c r="N546" s="189"/>
      <c r="O546" s="188"/>
    </row>
    <row r="547" spans="1:15" x14ac:dyDescent="0.3">
      <c r="B547" s="15" t="s">
        <v>1216</v>
      </c>
      <c r="C547" s="73" t="s">
        <v>941</v>
      </c>
      <c r="D547" s="17">
        <v>0.1</v>
      </c>
      <c r="E547" s="16">
        <f>'МЕДИЧНІ М'!E113</f>
        <v>8</v>
      </c>
      <c r="F547" s="17">
        <f t="shared" si="14"/>
        <v>0.8</v>
      </c>
    </row>
    <row r="548" spans="1:15" x14ac:dyDescent="0.3">
      <c r="B548" s="15" t="str">
        <f>'МЕДИЧНІ М'!B320</f>
        <v>Рентген 18 * 24 № 100</v>
      </c>
      <c r="C548" s="73" t="s">
        <v>941</v>
      </c>
      <c r="D548" s="17">
        <v>2</v>
      </c>
      <c r="E548" s="16">
        <f>'МЕДИЧНІ М'!F320</f>
        <v>7.6</v>
      </c>
      <c r="F548" s="17">
        <f t="shared" si="14"/>
        <v>15.2</v>
      </c>
    </row>
    <row r="549" spans="1:15" ht="28.2" x14ac:dyDescent="0.3">
      <c r="B549" s="15" t="s">
        <v>1025</v>
      </c>
      <c r="C549" s="73" t="s">
        <v>941</v>
      </c>
      <c r="D549" s="17">
        <v>0.02</v>
      </c>
      <c r="E549" s="17">
        <f>'МЕДИЧНІ М'!F121</f>
        <v>54</v>
      </c>
      <c r="F549" s="17">
        <f t="shared" si="14"/>
        <v>1.08</v>
      </c>
    </row>
    <row r="550" spans="1:15" x14ac:dyDescent="0.3">
      <c r="B550" s="15" t="s">
        <v>1024</v>
      </c>
      <c r="C550" s="73" t="s">
        <v>941</v>
      </c>
      <c r="D550" s="17">
        <v>0.02</v>
      </c>
      <c r="E550" s="17">
        <f>'МЕДИЧНІ М'!F118</f>
        <v>97.3</v>
      </c>
      <c r="F550" s="17">
        <f t="shared" si="14"/>
        <v>1.95</v>
      </c>
    </row>
    <row r="551" spans="1:15" x14ac:dyDescent="0.3">
      <c r="B551" s="15" t="s">
        <v>964</v>
      </c>
      <c r="C551" s="73" t="s">
        <v>941</v>
      </c>
      <c r="D551" s="17">
        <v>0.1</v>
      </c>
      <c r="E551" s="16">
        <f>'МЕДИЧНІ М'!E119</f>
        <v>2.8</v>
      </c>
      <c r="F551" s="17">
        <f t="shared" si="14"/>
        <v>0.28000000000000003</v>
      </c>
    </row>
    <row r="552" spans="1:15" x14ac:dyDescent="0.3">
      <c r="B552" s="27" t="s">
        <v>942</v>
      </c>
      <c r="C552" s="28" t="s">
        <v>941</v>
      </c>
      <c r="D552" s="29">
        <v>0.01</v>
      </c>
      <c r="E552" s="29">
        <f>'МЕДИЧНІ М'!E120</f>
        <v>24.6</v>
      </c>
      <c r="F552" s="30">
        <f t="shared" si="14"/>
        <v>0.25</v>
      </c>
    </row>
    <row r="553" spans="1:15" x14ac:dyDescent="0.3">
      <c r="B553" s="27" t="s">
        <v>1124</v>
      </c>
      <c r="C553" s="28" t="s">
        <v>944</v>
      </c>
      <c r="D553" s="29">
        <v>0.5</v>
      </c>
      <c r="E553" s="29">
        <f>'МЕДИЧНІ М'!E114</f>
        <v>0.5</v>
      </c>
      <c r="F553" s="30">
        <f t="shared" si="14"/>
        <v>0.25</v>
      </c>
    </row>
    <row r="554" spans="1:15" x14ac:dyDescent="0.3">
      <c r="B554" s="1019" t="s">
        <v>945</v>
      </c>
      <c r="C554" s="1019"/>
      <c r="D554" s="1019"/>
      <c r="E554" s="1019"/>
      <c r="F554" s="89">
        <f>SUM(F545:F553)</f>
        <v>21.110000000000003</v>
      </c>
    </row>
    <row r="555" spans="1:15" ht="5.25" customHeight="1" x14ac:dyDescent="0.3"/>
    <row r="556" spans="1:15" x14ac:dyDescent="0.3">
      <c r="B556" s="12" t="s">
        <v>968</v>
      </c>
      <c r="C556" s="227"/>
      <c r="D556" s="12"/>
      <c r="E556" s="11">
        <f>SUM(G559:G560)</f>
        <v>0</v>
      </c>
      <c r="F556" s="12" t="s">
        <v>971</v>
      </c>
    </row>
    <row r="557" spans="1:15" ht="9" customHeight="1" x14ac:dyDescent="0.3">
      <c r="B557" s="22"/>
      <c r="C557" s="36"/>
      <c r="D557" s="22"/>
      <c r="E557" s="23"/>
      <c r="F557" s="22"/>
    </row>
    <row r="558" spans="1:15" ht="27.6" x14ac:dyDescent="0.3">
      <c r="B558" s="14" t="s">
        <v>513</v>
      </c>
      <c r="C558" s="14" t="s">
        <v>1108</v>
      </c>
      <c r="D558" s="14" t="s">
        <v>516</v>
      </c>
      <c r="E558" s="14" t="s">
        <v>970</v>
      </c>
      <c r="F558" s="14" t="s">
        <v>930</v>
      </c>
      <c r="G558" s="14" t="s">
        <v>961</v>
      </c>
    </row>
    <row r="559" spans="1:15" x14ac:dyDescent="0.3">
      <c r="B559" s="46" t="str">
        <f>B506</f>
        <v>Автоматизоване робоче місце, ПК</v>
      </c>
      <c r="C559" s="46">
        <f>C506</f>
        <v>0</v>
      </c>
      <c r="D559" s="62">
        <f>H534</f>
        <v>1932.7</v>
      </c>
      <c r="E559" s="17">
        <f>ROUND((C559/D559)/60,2)</f>
        <v>0</v>
      </c>
      <c r="F559" s="17">
        <f>D538</f>
        <v>10</v>
      </c>
      <c r="G559" s="16">
        <f>ROUND(E559*F559,2)</f>
        <v>0</v>
      </c>
    </row>
    <row r="560" spans="1:15" x14ac:dyDescent="0.3">
      <c r="B560" s="46" t="str">
        <f>B507</f>
        <v>Рентген</v>
      </c>
      <c r="C560" s="46">
        <f>C507</f>
        <v>0</v>
      </c>
      <c r="D560" s="62">
        <f>H535</f>
        <v>1506</v>
      </c>
      <c r="E560" s="17">
        <f>ROUND((C560/D560)/60,2)</f>
        <v>0</v>
      </c>
      <c r="F560" s="17">
        <f>D539</f>
        <v>15</v>
      </c>
      <c r="G560" s="16">
        <f>ROUND(E560*F560,2)</f>
        <v>0</v>
      </c>
      <c r="H560" s="38"/>
    </row>
    <row r="562" spans="2:7" x14ac:dyDescent="0.3">
      <c r="B562" s="12" t="s">
        <v>948</v>
      </c>
      <c r="C562" s="227"/>
      <c r="D562" s="12"/>
      <c r="E562" s="11">
        <f>G575</f>
        <v>3.45</v>
      </c>
      <c r="F562" s="12" t="s">
        <v>971</v>
      </c>
    </row>
    <row r="563" spans="2:7" ht="10.5" customHeight="1" x14ac:dyDescent="0.3">
      <c r="B563" s="22"/>
      <c r="C563" s="36"/>
      <c r="D563" s="22"/>
      <c r="E563" s="23"/>
    </row>
    <row r="564" spans="2:7" ht="27.6" x14ac:dyDescent="0.3">
      <c r="B564" s="14" t="s">
        <v>948</v>
      </c>
      <c r="C564" s="14" t="s">
        <v>1110</v>
      </c>
      <c r="D564" s="14" t="s">
        <v>516</v>
      </c>
      <c r="E564" s="14" t="s">
        <v>954</v>
      </c>
      <c r="F564" s="14" t="s">
        <v>930</v>
      </c>
      <c r="G564" s="14" t="s">
        <v>1111</v>
      </c>
    </row>
    <row r="565" spans="2:7" x14ac:dyDescent="0.3">
      <c r="B565" s="1009" t="str">
        <f>B534</f>
        <v>Лікар-рентгенолог</v>
      </c>
      <c r="C565" s="1010"/>
      <c r="D565" s="1010"/>
      <c r="E565" s="1010"/>
      <c r="F565" s="1010"/>
      <c r="G565" s="1011"/>
    </row>
    <row r="566" spans="2:7" x14ac:dyDescent="0.3">
      <c r="B566" s="17" t="s">
        <v>951</v>
      </c>
      <c r="C566" s="221">
        <f>C513</f>
        <v>12188.608008565312</v>
      </c>
      <c r="D566" s="17">
        <f>H534</f>
        <v>1932.7</v>
      </c>
      <c r="E566" s="17">
        <f>ROUND((C566/D566)/60,2)</f>
        <v>0.11</v>
      </c>
      <c r="F566" s="17">
        <f>D538</f>
        <v>10</v>
      </c>
      <c r="G566" s="16">
        <f>ROUND(E566*F566,2)</f>
        <v>1.1000000000000001</v>
      </c>
    </row>
    <row r="567" spans="2:7" x14ac:dyDescent="0.3">
      <c r="B567" s="17" t="s">
        <v>952</v>
      </c>
      <c r="C567" s="221">
        <f>C514</f>
        <v>53.149721627408987</v>
      </c>
      <c r="D567" s="17">
        <f>H534</f>
        <v>1932.7</v>
      </c>
      <c r="E567" s="17">
        <f>ROUND((C567/D567)/60,2)</f>
        <v>0</v>
      </c>
      <c r="F567" s="17">
        <f>D538</f>
        <v>10</v>
      </c>
      <c r="G567" s="16">
        <f>ROUND(E567*F567,2)</f>
        <v>0</v>
      </c>
    </row>
    <row r="568" spans="2:7" x14ac:dyDescent="0.3">
      <c r="B568" s="17" t="s">
        <v>953</v>
      </c>
      <c r="C568" s="221">
        <f>C515</f>
        <v>374.98368308351178</v>
      </c>
      <c r="D568" s="17">
        <f>H534</f>
        <v>1932.7</v>
      </c>
      <c r="E568" s="17">
        <f>ROUND((C568/D568)/60,2)</f>
        <v>0</v>
      </c>
      <c r="F568" s="17">
        <f>D538</f>
        <v>10</v>
      </c>
      <c r="G568" s="16">
        <f>ROUND(E568*F568,2)</f>
        <v>0</v>
      </c>
    </row>
    <row r="569" spans="2:7" x14ac:dyDescent="0.3">
      <c r="B569" s="17" t="s">
        <v>1109</v>
      </c>
      <c r="C569" s="221">
        <f>C516</f>
        <v>1686.0389293361886</v>
      </c>
      <c r="D569" s="17">
        <f>H534</f>
        <v>1932.7</v>
      </c>
      <c r="E569" s="17">
        <f>ROUND((C569/D569)/60,2)</f>
        <v>0.01</v>
      </c>
      <c r="F569" s="17">
        <f>D538</f>
        <v>10</v>
      </c>
      <c r="G569" s="16">
        <f>ROUND(E569*F569,2)</f>
        <v>0.1</v>
      </c>
    </row>
    <row r="570" spans="2:7" x14ac:dyDescent="0.3">
      <c r="B570" s="1009" t="str">
        <f>B535</f>
        <v>Рентгенолаборант</v>
      </c>
      <c r="C570" s="1010"/>
      <c r="D570" s="1010"/>
      <c r="E570" s="1010"/>
      <c r="F570" s="1010"/>
      <c r="G570" s="1011"/>
    </row>
    <row r="571" spans="2:7" x14ac:dyDescent="0.3">
      <c r="B571" s="17" t="s">
        <v>951</v>
      </c>
      <c r="C571" s="221">
        <f>C566</f>
        <v>12188.608008565312</v>
      </c>
      <c r="D571" s="17">
        <f>H535</f>
        <v>1506</v>
      </c>
      <c r="E571" s="17">
        <f>ROUND((C571/D571)/60,2)</f>
        <v>0.13</v>
      </c>
      <c r="F571" s="17">
        <f>D539</f>
        <v>15</v>
      </c>
      <c r="G571" s="16">
        <f>ROUND(E571*F571,2)</f>
        <v>1.95</v>
      </c>
    </row>
    <row r="572" spans="2:7" x14ac:dyDescent="0.3">
      <c r="B572" s="17" t="s">
        <v>952</v>
      </c>
      <c r="C572" s="221">
        <f>C567</f>
        <v>53.149721627408987</v>
      </c>
      <c r="D572" s="17">
        <f>H535</f>
        <v>1506</v>
      </c>
      <c r="E572" s="17">
        <f>ROUND((C572/D572)/60,2)</f>
        <v>0</v>
      </c>
      <c r="F572" s="17">
        <f>D539</f>
        <v>15</v>
      </c>
      <c r="G572" s="16">
        <f>ROUND(E572*F572,2)</f>
        <v>0</v>
      </c>
    </row>
    <row r="573" spans="2:7" x14ac:dyDescent="0.3">
      <c r="B573" s="17" t="s">
        <v>953</v>
      </c>
      <c r="C573" s="221">
        <f>C568</f>
        <v>374.98368308351178</v>
      </c>
      <c r="D573" s="17">
        <f>H535</f>
        <v>1506</v>
      </c>
      <c r="E573" s="17">
        <f>ROUND((C573/D573)/60,2)</f>
        <v>0</v>
      </c>
      <c r="F573" s="17">
        <f>D539</f>
        <v>15</v>
      </c>
      <c r="G573" s="16">
        <f>ROUND(E573*F573,2)</f>
        <v>0</v>
      </c>
    </row>
    <row r="574" spans="2:7" x14ac:dyDescent="0.3">
      <c r="B574" s="17" t="s">
        <v>1109</v>
      </c>
      <c r="C574" s="221">
        <f>C569</f>
        <v>1686.0389293361886</v>
      </c>
      <c r="D574" s="17">
        <f>H535</f>
        <v>1506</v>
      </c>
      <c r="E574" s="17">
        <f>ROUND((C574/D574)/60,2)</f>
        <v>0.02</v>
      </c>
      <c r="F574" s="17">
        <f>D539</f>
        <v>15</v>
      </c>
      <c r="G574" s="16">
        <f>ROUND(E574*F574,2)</f>
        <v>0.3</v>
      </c>
    </row>
    <row r="575" spans="2:7" x14ac:dyDescent="0.3">
      <c r="B575" s="1012" t="s">
        <v>957</v>
      </c>
      <c r="C575" s="1013"/>
      <c r="D575" s="1013"/>
      <c r="E575" s="1013"/>
      <c r="F575" s="1014"/>
      <c r="G575" s="18">
        <f>SUM(G566:G574)</f>
        <v>3.45</v>
      </c>
    </row>
    <row r="576" spans="2:7" ht="6.75" customHeight="1" x14ac:dyDescent="0.3"/>
    <row r="578" spans="1:15" x14ac:dyDescent="0.3">
      <c r="B578" s="1015" t="s">
        <v>959</v>
      </c>
      <c r="C578" s="1015"/>
      <c r="D578" s="1015"/>
      <c r="E578" s="1015"/>
      <c r="F578" s="1015"/>
      <c r="G578" s="32">
        <f>E531+E543+E556+E562</f>
        <v>56.34</v>
      </c>
    </row>
    <row r="579" spans="1:15" ht="14.25" customHeight="1" x14ac:dyDescent="0.3">
      <c r="B579" s="33"/>
      <c r="C579" s="33"/>
      <c r="D579" s="33"/>
      <c r="E579" s="33"/>
      <c r="F579" s="33"/>
      <c r="G579" s="34"/>
    </row>
    <row r="580" spans="1:15" s="54" customFormat="1" ht="19.8" x14ac:dyDescent="0.4">
      <c r="A580" s="53"/>
      <c r="B580" s="1051" t="s">
        <v>960</v>
      </c>
      <c r="C580" s="1051"/>
      <c r="D580" s="1051"/>
      <c r="E580" s="1051"/>
      <c r="F580" s="1051"/>
      <c r="G580" s="32">
        <f>ROUND(G578,0)</f>
        <v>56</v>
      </c>
      <c r="H580" s="53"/>
      <c r="I580" s="53"/>
      <c r="J580" s="132"/>
      <c r="K580" s="126"/>
      <c r="L580" s="126"/>
      <c r="M580" s="126"/>
      <c r="N580" s="126"/>
      <c r="O580" s="127"/>
    </row>
    <row r="581" spans="1:15" s="54" customFormat="1" ht="19.8" x14ac:dyDescent="0.4">
      <c r="A581" s="53"/>
      <c r="B581" s="53"/>
      <c r="C581" s="225"/>
      <c r="D581" s="53"/>
      <c r="E581" s="53"/>
      <c r="F581" s="53"/>
      <c r="G581" s="53"/>
      <c r="H581" s="53"/>
      <c r="I581" s="53"/>
      <c r="J581" s="132"/>
      <c r="K581" s="126"/>
      <c r="L581" s="126"/>
      <c r="M581" s="126"/>
      <c r="N581" s="126"/>
      <c r="O581" s="127"/>
    </row>
    <row r="582" spans="1:15" s="54" customFormat="1" ht="19.8" x14ac:dyDescent="0.4">
      <c r="A582" s="50" t="s">
        <v>634</v>
      </c>
      <c r="B582" s="1032" t="s">
        <v>679</v>
      </c>
      <c r="C582" s="1032"/>
      <c r="D582" s="1032"/>
      <c r="E582" s="52">
        <f>G632</f>
        <v>41</v>
      </c>
      <c r="F582" s="52" t="s">
        <v>971</v>
      </c>
      <c r="G582" s="53"/>
      <c r="H582" s="124"/>
      <c r="I582" s="125" t="s">
        <v>1128</v>
      </c>
      <c r="J582" s="132"/>
      <c r="K582" s="126"/>
      <c r="L582" s="126"/>
      <c r="M582" s="126"/>
      <c r="N582" s="126"/>
      <c r="O582" s="127"/>
    </row>
    <row r="583" spans="1:15" s="54" customFormat="1" ht="19.8" x14ac:dyDescent="0.4">
      <c r="A583" s="53"/>
      <c r="B583" s="53"/>
      <c r="C583" s="225"/>
      <c r="D583" s="53"/>
      <c r="E583" s="53"/>
      <c r="F583" s="53"/>
      <c r="G583" s="53"/>
      <c r="H583" s="53"/>
      <c r="I583" s="53"/>
      <c r="J583" s="132"/>
      <c r="K583" s="126"/>
      <c r="L583" s="126"/>
      <c r="M583" s="126"/>
      <c r="N583" s="126"/>
      <c r="O583" s="127"/>
    </row>
    <row r="584" spans="1:15" x14ac:dyDescent="0.3">
      <c r="B584" s="1018" t="s">
        <v>932</v>
      </c>
      <c r="C584" s="1018"/>
      <c r="D584" s="10"/>
      <c r="E584" s="11">
        <f>E591+E594+E592</f>
        <v>31.78</v>
      </c>
      <c r="F584" s="12" t="s">
        <v>971</v>
      </c>
    </row>
    <row r="586" spans="1:15" ht="27.6" x14ac:dyDescent="0.3">
      <c r="B586" s="13" t="s">
        <v>929</v>
      </c>
      <c r="C586" s="14" t="s">
        <v>928</v>
      </c>
      <c r="D586" s="14" t="s">
        <v>514</v>
      </c>
      <c r="E586" s="14" t="s">
        <v>515</v>
      </c>
      <c r="F586" s="14" t="s">
        <v>962</v>
      </c>
      <c r="G586" s="14" t="s">
        <v>926</v>
      </c>
      <c r="H586" s="14" t="s">
        <v>516</v>
      </c>
      <c r="I586" s="14" t="s">
        <v>961</v>
      </c>
    </row>
    <row r="587" spans="1:15" x14ac:dyDescent="0.3">
      <c r="B587" s="16" t="str">
        <f>B534</f>
        <v>Лікар-рентгенолог</v>
      </c>
      <c r="C587" s="78">
        <f>C534</f>
        <v>8463.5400000000009</v>
      </c>
      <c r="D587" s="16">
        <f>C587*12</f>
        <v>101562.48000000001</v>
      </c>
      <c r="E587" s="16">
        <f>E534</f>
        <v>7052.95</v>
      </c>
      <c r="F587" s="16">
        <f>F534</f>
        <v>3526.4749999999999</v>
      </c>
      <c r="G587" s="16">
        <f>D587+E587+F587</f>
        <v>112141.90500000001</v>
      </c>
      <c r="H587" s="17">
        <v>1932.7</v>
      </c>
      <c r="I587" s="16">
        <f>ROUND((G587/H587)/60,2)</f>
        <v>0.97</v>
      </c>
    </row>
    <row r="588" spans="1:15" x14ac:dyDescent="0.3">
      <c r="B588" s="16" t="str">
        <f>B535</f>
        <v>Рентгенолаборант</v>
      </c>
      <c r="C588" s="78">
        <f>C535</f>
        <v>7482.48</v>
      </c>
      <c r="D588" s="24">
        <f>C588*12</f>
        <v>89789.759999999995</v>
      </c>
      <c r="E588" s="16">
        <f>E535</f>
        <v>5755.75</v>
      </c>
      <c r="F588" s="16">
        <f>F535</f>
        <v>2877.875</v>
      </c>
      <c r="G588" s="16">
        <f>D588+E588+F588</f>
        <v>98423.384999999995</v>
      </c>
      <c r="H588" s="62">
        <v>1506</v>
      </c>
      <c r="I588" s="16">
        <f>ROUND((G588/H588)/60,2)</f>
        <v>1.0900000000000001</v>
      </c>
    </row>
    <row r="590" spans="1:15" ht="27.6" x14ac:dyDescent="0.3">
      <c r="B590" s="13" t="s">
        <v>929</v>
      </c>
      <c r="C590" s="14" t="s">
        <v>961</v>
      </c>
      <c r="D590" s="14" t="s">
        <v>930</v>
      </c>
      <c r="E590" s="14" t="s">
        <v>931</v>
      </c>
    </row>
    <row r="591" spans="1:15" x14ac:dyDescent="0.3">
      <c r="B591" s="15" t="str">
        <f>B587</f>
        <v>Лікар-рентгенолог</v>
      </c>
      <c r="C591" s="78">
        <f>I587</f>
        <v>0.97</v>
      </c>
      <c r="D591" s="17">
        <v>10</v>
      </c>
      <c r="E591" s="18">
        <f>ROUND(C591*D591,2)</f>
        <v>9.6999999999999993</v>
      </c>
    </row>
    <row r="592" spans="1:15" x14ac:dyDescent="0.3">
      <c r="B592" s="15" t="str">
        <f>B588</f>
        <v>Рентгенолаборант</v>
      </c>
      <c r="C592" s="78">
        <f>I588</f>
        <v>1.0900000000000001</v>
      </c>
      <c r="D592" s="17">
        <v>15</v>
      </c>
      <c r="E592" s="18">
        <f>ROUND(C592*D592,2)</f>
        <v>16.350000000000001</v>
      </c>
    </row>
    <row r="593" spans="1:15" x14ac:dyDescent="0.3">
      <c r="C593" s="19"/>
    </row>
    <row r="594" spans="1:15" x14ac:dyDescent="0.3">
      <c r="B594" s="17" t="s">
        <v>933</v>
      </c>
      <c r="C594" s="78">
        <f>E591+E592</f>
        <v>26.05</v>
      </c>
      <c r="D594" s="20">
        <v>0.22</v>
      </c>
      <c r="E594" s="21">
        <f>ROUND(C594*D594,2)</f>
        <v>5.73</v>
      </c>
    </row>
    <row r="596" spans="1:15" x14ac:dyDescent="0.3">
      <c r="B596" s="12" t="s">
        <v>946</v>
      </c>
      <c r="C596" s="227"/>
      <c r="D596" s="12"/>
      <c r="E596" s="12">
        <f>F606</f>
        <v>5.91</v>
      </c>
      <c r="F596" s="12" t="s">
        <v>971</v>
      </c>
    </row>
    <row r="598" spans="1:15" x14ac:dyDescent="0.3">
      <c r="B598" s="27" t="s">
        <v>936</v>
      </c>
      <c r="C598" s="28" t="s">
        <v>937</v>
      </c>
      <c r="D598" s="29">
        <v>1</v>
      </c>
      <c r="E598" s="30">
        <f>'МЕДИЧНІ М'!F115</f>
        <v>0.3</v>
      </c>
      <c r="F598" s="30">
        <f t="shared" ref="F598:F605" si="15">ROUND(D598*E598,2)</f>
        <v>0.3</v>
      </c>
    </row>
    <row r="599" spans="1:15" s="184" customFormat="1" x14ac:dyDescent="0.3">
      <c r="A599" s="180"/>
      <c r="B599" s="185" t="s">
        <v>1021</v>
      </c>
      <c r="C599" s="186" t="s">
        <v>941</v>
      </c>
      <c r="D599" s="164">
        <v>0.5</v>
      </c>
      <c r="E599" s="164">
        <f>'МЕДИЧНІ М'!E181</f>
        <v>2</v>
      </c>
      <c r="F599" s="164">
        <f t="shared" si="15"/>
        <v>1</v>
      </c>
      <c r="G599" s="180"/>
      <c r="H599" s="180"/>
      <c r="I599" s="180"/>
      <c r="J599" s="187"/>
      <c r="K599" s="189"/>
      <c r="L599" s="189"/>
      <c r="M599" s="189"/>
      <c r="N599" s="189"/>
      <c r="O599" s="188"/>
    </row>
    <row r="600" spans="1:15" x14ac:dyDescent="0.3">
      <c r="B600" s="15" t="s">
        <v>1216</v>
      </c>
      <c r="C600" s="73" t="s">
        <v>941</v>
      </c>
      <c r="D600" s="17">
        <v>0.1</v>
      </c>
      <c r="E600" s="16">
        <f>'МЕДИЧНІ М'!E113</f>
        <v>8</v>
      </c>
      <c r="F600" s="17">
        <f t="shared" si="15"/>
        <v>0.8</v>
      </c>
    </row>
    <row r="601" spans="1:15" ht="28.2" x14ac:dyDescent="0.3">
      <c r="B601" s="15" t="s">
        <v>1025</v>
      </c>
      <c r="C601" s="73" t="s">
        <v>941</v>
      </c>
      <c r="D601" s="17">
        <v>0.02</v>
      </c>
      <c r="E601" s="17">
        <f>'МЕДИЧНІ М'!F121</f>
        <v>54</v>
      </c>
      <c r="F601" s="17">
        <f t="shared" si="15"/>
        <v>1.08</v>
      </c>
    </row>
    <row r="602" spans="1:15" x14ac:dyDescent="0.3">
      <c r="B602" s="15" t="s">
        <v>1024</v>
      </c>
      <c r="C602" s="73" t="s">
        <v>941</v>
      </c>
      <c r="D602" s="17">
        <v>0.02</v>
      </c>
      <c r="E602" s="17">
        <f>'МЕДИЧНІ М'!F118</f>
        <v>97.3</v>
      </c>
      <c r="F602" s="17">
        <f t="shared" si="15"/>
        <v>1.95</v>
      </c>
    </row>
    <row r="603" spans="1:15" x14ac:dyDescent="0.3">
      <c r="B603" s="15" t="s">
        <v>964</v>
      </c>
      <c r="C603" s="73" t="s">
        <v>941</v>
      </c>
      <c r="D603" s="17">
        <v>0.1</v>
      </c>
      <c r="E603" s="16">
        <f>'МЕДИЧНІ М'!E119</f>
        <v>2.8</v>
      </c>
      <c r="F603" s="17">
        <f t="shared" si="15"/>
        <v>0.28000000000000003</v>
      </c>
    </row>
    <row r="604" spans="1:15" x14ac:dyDescent="0.3">
      <c r="B604" s="27" t="s">
        <v>942</v>
      </c>
      <c r="C604" s="28" t="s">
        <v>941</v>
      </c>
      <c r="D604" s="29">
        <v>0.01</v>
      </c>
      <c r="E604" s="29">
        <f>'МЕДИЧНІ М'!E120</f>
        <v>24.6</v>
      </c>
      <c r="F604" s="30">
        <f t="shared" si="15"/>
        <v>0.25</v>
      </c>
    </row>
    <row r="605" spans="1:15" x14ac:dyDescent="0.3">
      <c r="B605" s="27" t="s">
        <v>1124</v>
      </c>
      <c r="C605" s="28" t="s">
        <v>944</v>
      </c>
      <c r="D605" s="29">
        <v>0.5</v>
      </c>
      <c r="E605" s="29">
        <f>'МЕДИЧНІ М'!E114</f>
        <v>0.5</v>
      </c>
      <c r="F605" s="30">
        <f t="shared" si="15"/>
        <v>0.25</v>
      </c>
    </row>
    <row r="606" spans="1:15" x14ac:dyDescent="0.3">
      <c r="B606" s="1019" t="s">
        <v>945</v>
      </c>
      <c r="C606" s="1019"/>
      <c r="D606" s="1019"/>
      <c r="E606" s="1019"/>
      <c r="F606" s="31">
        <f>SUM(F598:F605)</f>
        <v>5.91</v>
      </c>
    </row>
    <row r="608" spans="1:15" x14ac:dyDescent="0.3">
      <c r="B608" s="12" t="s">
        <v>968</v>
      </c>
      <c r="C608" s="227"/>
      <c r="D608" s="12"/>
      <c r="E608" s="11">
        <f>SUM(G611:G612)</f>
        <v>0</v>
      </c>
      <c r="F608" s="12" t="s">
        <v>971</v>
      </c>
    </row>
    <row r="609" spans="2:8" x14ac:dyDescent="0.3">
      <c r="B609" s="22"/>
      <c r="C609" s="36"/>
      <c r="D609" s="22"/>
      <c r="E609" s="23"/>
      <c r="F609" s="22"/>
    </row>
    <row r="610" spans="2:8" ht="27.6" x14ac:dyDescent="0.3">
      <c r="B610" s="14" t="s">
        <v>513</v>
      </c>
      <c r="C610" s="14" t="s">
        <v>1108</v>
      </c>
      <c r="D610" s="14" t="s">
        <v>516</v>
      </c>
      <c r="E610" s="14" t="s">
        <v>970</v>
      </c>
      <c r="F610" s="14" t="s">
        <v>930</v>
      </c>
      <c r="G610" s="14" t="s">
        <v>961</v>
      </c>
    </row>
    <row r="611" spans="2:8" x14ac:dyDescent="0.3">
      <c r="B611" s="46" t="s">
        <v>1161</v>
      </c>
      <c r="C611" s="73">
        <f>C559</f>
        <v>0</v>
      </c>
      <c r="D611" s="62">
        <f>H587</f>
        <v>1932.7</v>
      </c>
      <c r="E611" s="17">
        <f>ROUND((C611/D611)/60,2)</f>
        <v>0</v>
      </c>
      <c r="F611" s="17">
        <f>D591</f>
        <v>10</v>
      </c>
      <c r="G611" s="16">
        <f>ROUND(E611*F611,2)</f>
        <v>0</v>
      </c>
    </row>
    <row r="612" spans="2:8" x14ac:dyDescent="0.3">
      <c r="B612" s="27" t="s">
        <v>1093</v>
      </c>
      <c r="C612" s="73">
        <f>C560</f>
        <v>0</v>
      </c>
      <c r="D612" s="62">
        <f>H588</f>
        <v>1506</v>
      </c>
      <c r="E612" s="17">
        <f>ROUND((C612/D612)/60,2)</f>
        <v>0</v>
      </c>
      <c r="F612" s="17">
        <f>D592</f>
        <v>15</v>
      </c>
      <c r="G612" s="16">
        <f>ROUND(E612*F612,2)</f>
        <v>0</v>
      </c>
      <c r="H612" s="38"/>
    </row>
    <row r="614" spans="2:8" x14ac:dyDescent="0.3">
      <c r="B614" s="12" t="s">
        <v>948</v>
      </c>
      <c r="C614" s="227"/>
      <c r="D614" s="12"/>
      <c r="E614" s="11">
        <f>G627</f>
        <v>3.45</v>
      </c>
      <c r="F614" s="12" t="s">
        <v>971</v>
      </c>
    </row>
    <row r="615" spans="2:8" x14ac:dyDescent="0.3">
      <c r="B615" s="22"/>
      <c r="C615" s="36"/>
      <c r="D615" s="22"/>
      <c r="E615" s="23"/>
    </row>
    <row r="616" spans="2:8" ht="27.6" x14ac:dyDescent="0.3">
      <c r="B616" s="14" t="s">
        <v>948</v>
      </c>
      <c r="C616" s="14" t="s">
        <v>1110</v>
      </c>
      <c r="D616" s="14" t="s">
        <v>516</v>
      </c>
      <c r="E616" s="14" t="s">
        <v>954</v>
      </c>
      <c r="F616" s="14" t="s">
        <v>930</v>
      </c>
      <c r="G616" s="14" t="s">
        <v>1111</v>
      </c>
    </row>
    <row r="617" spans="2:8" x14ac:dyDescent="0.3">
      <c r="B617" s="1009" t="str">
        <f>B587</f>
        <v>Лікар-рентгенолог</v>
      </c>
      <c r="C617" s="1010"/>
      <c r="D617" s="1010"/>
      <c r="E617" s="1010"/>
      <c r="F617" s="1010"/>
      <c r="G617" s="1011"/>
    </row>
    <row r="618" spans="2:8" x14ac:dyDescent="0.3">
      <c r="B618" s="17" t="s">
        <v>951</v>
      </c>
      <c r="C618" s="221">
        <f>C566</f>
        <v>12188.608008565312</v>
      </c>
      <c r="D618" s="17">
        <f>H587</f>
        <v>1932.7</v>
      </c>
      <c r="E618" s="17">
        <f>ROUND((C618/D618)/60,2)</f>
        <v>0.11</v>
      </c>
      <c r="F618" s="17">
        <f>D591</f>
        <v>10</v>
      </c>
      <c r="G618" s="16">
        <f>ROUND(E618*F618,2)</f>
        <v>1.1000000000000001</v>
      </c>
    </row>
    <row r="619" spans="2:8" x14ac:dyDescent="0.3">
      <c r="B619" s="17" t="s">
        <v>952</v>
      </c>
      <c r="C619" s="221">
        <f>C567</f>
        <v>53.149721627408987</v>
      </c>
      <c r="D619" s="17">
        <f>H587</f>
        <v>1932.7</v>
      </c>
      <c r="E619" s="17">
        <f>ROUND((C619/D619)/60,2)</f>
        <v>0</v>
      </c>
      <c r="F619" s="17">
        <f>D591</f>
        <v>10</v>
      </c>
      <c r="G619" s="16">
        <f>ROUND(E619*F619,2)</f>
        <v>0</v>
      </c>
    </row>
    <row r="620" spans="2:8" x14ac:dyDescent="0.3">
      <c r="B620" s="17" t="s">
        <v>953</v>
      </c>
      <c r="C620" s="221">
        <f>C568</f>
        <v>374.98368308351178</v>
      </c>
      <c r="D620" s="17">
        <f>H587</f>
        <v>1932.7</v>
      </c>
      <c r="E620" s="17">
        <f>ROUND((C620/D620)/60,2)</f>
        <v>0</v>
      </c>
      <c r="F620" s="17">
        <f>D591</f>
        <v>10</v>
      </c>
      <c r="G620" s="16">
        <f>ROUND(E620*F620,2)</f>
        <v>0</v>
      </c>
    </row>
    <row r="621" spans="2:8" x14ac:dyDescent="0.3">
      <c r="B621" s="17" t="s">
        <v>1109</v>
      </c>
      <c r="C621" s="221">
        <f>C569</f>
        <v>1686.0389293361886</v>
      </c>
      <c r="D621" s="17">
        <f>H587</f>
        <v>1932.7</v>
      </c>
      <c r="E621" s="17">
        <f>ROUND((C621/D621)/60,2)</f>
        <v>0.01</v>
      </c>
      <c r="F621" s="17">
        <f>D591</f>
        <v>10</v>
      </c>
      <c r="G621" s="16">
        <f>ROUND(E621*F621,2)</f>
        <v>0.1</v>
      </c>
    </row>
    <row r="622" spans="2:8" x14ac:dyDescent="0.3">
      <c r="B622" s="1009" t="str">
        <f>B588</f>
        <v>Рентгенолаборант</v>
      </c>
      <c r="C622" s="1010"/>
      <c r="D622" s="1010"/>
      <c r="E622" s="1010"/>
      <c r="F622" s="1010"/>
      <c r="G622" s="1011"/>
    </row>
    <row r="623" spans="2:8" x14ac:dyDescent="0.3">
      <c r="B623" s="17" t="s">
        <v>951</v>
      </c>
      <c r="C623" s="221">
        <f>C618</f>
        <v>12188.608008565312</v>
      </c>
      <c r="D623" s="17">
        <f>H588</f>
        <v>1506</v>
      </c>
      <c r="E623" s="17">
        <f>ROUND((C623/D623)/60,2)</f>
        <v>0.13</v>
      </c>
      <c r="F623" s="17">
        <f>D592</f>
        <v>15</v>
      </c>
      <c r="G623" s="16">
        <f>ROUND(E623*F623,2)</f>
        <v>1.95</v>
      </c>
    </row>
    <row r="624" spans="2:8" x14ac:dyDescent="0.3">
      <c r="B624" s="17" t="s">
        <v>952</v>
      </c>
      <c r="C624" s="221">
        <f>C619</f>
        <v>53.149721627408987</v>
      </c>
      <c r="D624" s="17">
        <f>H588</f>
        <v>1506</v>
      </c>
      <c r="E624" s="17">
        <f>ROUND((C624/D624)/60,2)</f>
        <v>0</v>
      </c>
      <c r="F624" s="17">
        <f>D592</f>
        <v>15</v>
      </c>
      <c r="G624" s="16">
        <f>ROUND(E624*F624,2)</f>
        <v>0</v>
      </c>
    </row>
    <row r="625" spans="1:15" x14ac:dyDescent="0.3">
      <c r="B625" s="17" t="s">
        <v>953</v>
      </c>
      <c r="C625" s="221">
        <f>C620</f>
        <v>374.98368308351178</v>
      </c>
      <c r="D625" s="17">
        <f>H588</f>
        <v>1506</v>
      </c>
      <c r="E625" s="17">
        <f>ROUND((C625/D625)/60,2)</f>
        <v>0</v>
      </c>
      <c r="F625" s="17">
        <f>D592</f>
        <v>15</v>
      </c>
      <c r="G625" s="16">
        <f>ROUND(E625*F625,2)</f>
        <v>0</v>
      </c>
    </row>
    <row r="626" spans="1:15" x14ac:dyDescent="0.3">
      <c r="B626" s="17" t="s">
        <v>1109</v>
      </c>
      <c r="C626" s="221">
        <f>C621</f>
        <v>1686.0389293361886</v>
      </c>
      <c r="D626" s="17">
        <f>H588</f>
        <v>1506</v>
      </c>
      <c r="E626" s="17">
        <f>ROUND((C626/D626)/60,2)</f>
        <v>0.02</v>
      </c>
      <c r="F626" s="17">
        <f>D592</f>
        <v>15</v>
      </c>
      <c r="G626" s="16">
        <f>ROUND(E626*F626,2)</f>
        <v>0.3</v>
      </c>
    </row>
    <row r="627" spans="1:15" x14ac:dyDescent="0.3">
      <c r="B627" s="1012" t="s">
        <v>957</v>
      </c>
      <c r="C627" s="1013"/>
      <c r="D627" s="1013"/>
      <c r="E627" s="1013"/>
      <c r="F627" s="1014"/>
      <c r="G627" s="18">
        <f>SUM(G618:G626)</f>
        <v>3.45</v>
      </c>
    </row>
    <row r="630" spans="1:15" x14ac:dyDescent="0.3">
      <c r="B630" s="1015" t="s">
        <v>959</v>
      </c>
      <c r="C630" s="1015"/>
      <c r="D630" s="1015"/>
      <c r="E630" s="1015"/>
      <c r="F630" s="1015"/>
      <c r="G630" s="32">
        <f>E584+E596+E608+E614</f>
        <v>41.14</v>
      </c>
    </row>
    <row r="631" spans="1:15" x14ac:dyDescent="0.3">
      <c r="B631" s="33"/>
      <c r="C631" s="33"/>
      <c r="D631" s="33"/>
      <c r="E631" s="33"/>
      <c r="F631" s="33"/>
      <c r="G631" s="34"/>
    </row>
    <row r="632" spans="1:15" x14ac:dyDescent="0.3">
      <c r="B632" s="1015" t="s">
        <v>960</v>
      </c>
      <c r="C632" s="1015"/>
      <c r="D632" s="1015"/>
      <c r="E632" s="1015"/>
      <c r="F632" s="1015"/>
      <c r="G632" s="32">
        <f>ROUND(G630,0)</f>
        <v>41</v>
      </c>
    </row>
    <row r="634" spans="1:15" s="54" customFormat="1" ht="19.8" x14ac:dyDescent="0.4">
      <c r="A634" s="53"/>
      <c r="B634" s="53"/>
      <c r="C634" s="225"/>
      <c r="D634" s="53"/>
      <c r="E634" s="53"/>
      <c r="F634" s="53"/>
      <c r="G634" s="53"/>
      <c r="H634" s="53"/>
      <c r="I634" s="53"/>
      <c r="J634" s="132"/>
      <c r="K634" s="126"/>
      <c r="L634" s="126"/>
      <c r="M634" s="126"/>
      <c r="N634" s="126"/>
      <c r="O634" s="127"/>
    </row>
    <row r="635" spans="1:15" s="54" customFormat="1" ht="19.8" x14ac:dyDescent="0.4">
      <c r="A635" s="50" t="s">
        <v>636</v>
      </c>
      <c r="B635" s="1032" t="s">
        <v>681</v>
      </c>
      <c r="C635" s="1032"/>
      <c r="D635" s="1032"/>
      <c r="E635" s="52">
        <f>G686</f>
        <v>45</v>
      </c>
      <c r="F635" s="52" t="s">
        <v>971</v>
      </c>
      <c r="G635" s="53"/>
      <c r="H635" s="124"/>
      <c r="I635" s="125" t="s">
        <v>1023</v>
      </c>
      <c r="J635" s="132"/>
      <c r="K635" s="126"/>
      <c r="L635" s="126"/>
      <c r="M635" s="126"/>
      <c r="N635" s="126"/>
      <c r="O635" s="127"/>
    </row>
    <row r="637" spans="1:15" x14ac:dyDescent="0.3">
      <c r="B637" s="1018" t="s">
        <v>932</v>
      </c>
      <c r="C637" s="1018"/>
      <c r="D637" s="10"/>
      <c r="E637" s="11">
        <f>E644+E647+E645</f>
        <v>31.78</v>
      </c>
      <c r="F637" s="12" t="s">
        <v>971</v>
      </c>
    </row>
    <row r="639" spans="1:15" ht="27.6" x14ac:dyDescent="0.3">
      <c r="B639" s="13" t="s">
        <v>929</v>
      </c>
      <c r="C639" s="14" t="s">
        <v>928</v>
      </c>
      <c r="D639" s="14" t="s">
        <v>514</v>
      </c>
      <c r="E639" s="14" t="s">
        <v>515</v>
      </c>
      <c r="F639" s="14" t="s">
        <v>962</v>
      </c>
      <c r="G639" s="14" t="s">
        <v>926</v>
      </c>
      <c r="H639" s="14" t="s">
        <v>516</v>
      </c>
      <c r="I639" s="14" t="s">
        <v>961</v>
      </c>
    </row>
    <row r="640" spans="1:15" x14ac:dyDescent="0.3">
      <c r="B640" s="16" t="str">
        <f t="shared" ref="B640:F641" si="16">B587</f>
        <v>Лікар-рентгенолог</v>
      </c>
      <c r="C640" s="16">
        <f t="shared" si="16"/>
        <v>8463.5400000000009</v>
      </c>
      <c r="D640" s="16">
        <f t="shared" si="16"/>
        <v>101562.48000000001</v>
      </c>
      <c r="E640" s="16">
        <f t="shared" si="16"/>
        <v>7052.95</v>
      </c>
      <c r="F640" s="16">
        <f t="shared" si="16"/>
        <v>3526.4749999999999</v>
      </c>
      <c r="G640" s="16">
        <f>D640+E640+F640</f>
        <v>112141.90500000001</v>
      </c>
      <c r="H640" s="17">
        <v>1932.7</v>
      </c>
      <c r="I640" s="16">
        <f>ROUND((G640/H640)/60,2)</f>
        <v>0.97</v>
      </c>
    </row>
    <row r="641" spans="1:15" x14ac:dyDescent="0.3">
      <c r="B641" s="16" t="str">
        <f t="shared" si="16"/>
        <v>Рентгенолаборант</v>
      </c>
      <c r="C641" s="16">
        <f t="shared" si="16"/>
        <v>7482.48</v>
      </c>
      <c r="D641" s="16">
        <f t="shared" si="16"/>
        <v>89789.759999999995</v>
      </c>
      <c r="E641" s="16">
        <f t="shared" si="16"/>
        <v>5755.75</v>
      </c>
      <c r="F641" s="16">
        <f t="shared" si="16"/>
        <v>2877.875</v>
      </c>
      <c r="G641" s="16">
        <f>D641+E641+F641</f>
        <v>98423.384999999995</v>
      </c>
      <c r="H641" s="62">
        <v>1506</v>
      </c>
      <c r="I641" s="16">
        <f>ROUND((G641/H641)/60,2)</f>
        <v>1.0900000000000001</v>
      </c>
    </row>
    <row r="643" spans="1:15" ht="27.6" x14ac:dyDescent="0.3">
      <c r="B643" s="13" t="s">
        <v>929</v>
      </c>
      <c r="C643" s="14" t="s">
        <v>961</v>
      </c>
      <c r="D643" s="14" t="s">
        <v>930</v>
      </c>
      <c r="E643" s="14" t="s">
        <v>931</v>
      </c>
    </row>
    <row r="644" spans="1:15" x14ac:dyDescent="0.3">
      <c r="B644" s="15" t="str">
        <f>B640</f>
        <v>Лікар-рентгенолог</v>
      </c>
      <c r="C644" s="78">
        <f>I640</f>
        <v>0.97</v>
      </c>
      <c r="D644" s="17">
        <v>10</v>
      </c>
      <c r="E644" s="18">
        <f>ROUND(C644*D644,2)</f>
        <v>9.6999999999999993</v>
      </c>
    </row>
    <row r="645" spans="1:15" x14ac:dyDescent="0.3">
      <c r="B645" s="15" t="str">
        <f>B641</f>
        <v>Рентгенолаборант</v>
      </c>
      <c r="C645" s="78">
        <f>I641</f>
        <v>1.0900000000000001</v>
      </c>
      <c r="D645" s="17">
        <v>15</v>
      </c>
      <c r="E645" s="18">
        <f>ROUND(C645*D645,2)</f>
        <v>16.350000000000001</v>
      </c>
    </row>
    <row r="646" spans="1:15" x14ac:dyDescent="0.3">
      <c r="C646" s="19"/>
    </row>
    <row r="647" spans="1:15" x14ac:dyDescent="0.3">
      <c r="B647" s="17" t="s">
        <v>933</v>
      </c>
      <c r="C647" s="78">
        <f>E644+E645</f>
        <v>26.05</v>
      </c>
      <c r="D647" s="20">
        <v>0.22</v>
      </c>
      <c r="E647" s="21">
        <f>ROUND(C647*D647,2)</f>
        <v>5.73</v>
      </c>
    </row>
    <row r="649" spans="1:15" x14ac:dyDescent="0.3">
      <c r="B649" s="12" t="s">
        <v>946</v>
      </c>
      <c r="C649" s="227"/>
      <c r="D649" s="12"/>
      <c r="E649" s="11">
        <f>F660</f>
        <v>9.8099999999999987</v>
      </c>
      <c r="F649" s="12" t="s">
        <v>971</v>
      </c>
    </row>
    <row r="651" spans="1:15" x14ac:dyDescent="0.3">
      <c r="B651" s="15" t="s">
        <v>966</v>
      </c>
      <c r="C651" s="73" t="s">
        <v>941</v>
      </c>
      <c r="D651" s="29">
        <v>1</v>
      </c>
      <c r="E651" s="30">
        <f>'МЕДИЧНІ М'!F115</f>
        <v>0.3</v>
      </c>
      <c r="F651" s="30">
        <f>ROUND(D651*E651,2)</f>
        <v>0.3</v>
      </c>
    </row>
    <row r="652" spans="1:15" s="184" customFormat="1" x14ac:dyDescent="0.3">
      <c r="A652" s="180"/>
      <c r="B652" s="185" t="s">
        <v>1021</v>
      </c>
      <c r="C652" s="186" t="s">
        <v>941</v>
      </c>
      <c r="D652" s="164">
        <v>0.5</v>
      </c>
      <c r="E652" s="164">
        <f>'МЕДИЧНІ М'!E181</f>
        <v>2</v>
      </c>
      <c r="F652" s="164">
        <f t="shared" ref="F652:F659" si="17">ROUND(D652*E652,2)</f>
        <v>1</v>
      </c>
      <c r="G652" s="180"/>
      <c r="H652" s="180"/>
      <c r="I652" s="180"/>
      <c r="J652" s="187"/>
      <c r="K652" s="189"/>
      <c r="L652" s="189"/>
      <c r="M652" s="189"/>
      <c r="N652" s="189"/>
      <c r="O652" s="188"/>
    </row>
    <row r="653" spans="1:15" x14ac:dyDescent="0.3">
      <c r="B653" s="15" t="s">
        <v>1216</v>
      </c>
      <c r="C653" s="73" t="s">
        <v>941</v>
      </c>
      <c r="D653" s="17">
        <v>0.1</v>
      </c>
      <c r="E653" s="16">
        <f>'МЕДИЧНІ М'!E113</f>
        <v>8</v>
      </c>
      <c r="F653" s="17">
        <f t="shared" si="17"/>
        <v>0.8</v>
      </c>
    </row>
    <row r="654" spans="1:15" x14ac:dyDescent="0.3">
      <c r="B654" s="15" t="str">
        <f>'МЕДИЧНІ М'!B319</f>
        <v>Рентген 13 * 18 № 100</v>
      </c>
      <c r="C654" s="73" t="s">
        <v>941</v>
      </c>
      <c r="D654" s="17">
        <v>1</v>
      </c>
      <c r="E654" s="16">
        <f>'МЕДИЧНІ М'!F319</f>
        <v>3.9</v>
      </c>
      <c r="F654" s="17">
        <f t="shared" si="17"/>
        <v>3.9</v>
      </c>
    </row>
    <row r="655" spans="1:15" ht="28.2" x14ac:dyDescent="0.3">
      <c r="B655" s="15" t="s">
        <v>1025</v>
      </c>
      <c r="C655" s="73" t="s">
        <v>941</v>
      </c>
      <c r="D655" s="17">
        <v>0.02</v>
      </c>
      <c r="E655" s="17">
        <f>'МЕДИЧНІ М'!F121</f>
        <v>54</v>
      </c>
      <c r="F655" s="17">
        <f t="shared" si="17"/>
        <v>1.08</v>
      </c>
    </row>
    <row r="656" spans="1:15" x14ac:dyDescent="0.3">
      <c r="B656" s="15" t="s">
        <v>1024</v>
      </c>
      <c r="C656" s="73" t="s">
        <v>941</v>
      </c>
      <c r="D656" s="17">
        <v>0.02</v>
      </c>
      <c r="E656" s="17">
        <f>'МЕДИЧНІ М'!F118</f>
        <v>97.3</v>
      </c>
      <c r="F656" s="17">
        <f t="shared" si="17"/>
        <v>1.95</v>
      </c>
    </row>
    <row r="657" spans="2:8" x14ac:dyDescent="0.3">
      <c r="B657" s="15" t="s">
        <v>964</v>
      </c>
      <c r="C657" s="73" t="s">
        <v>941</v>
      </c>
      <c r="D657" s="17">
        <v>0.1</v>
      </c>
      <c r="E657" s="16">
        <f>'МЕДИЧНІ М'!E119</f>
        <v>2.8</v>
      </c>
      <c r="F657" s="17">
        <f t="shared" si="17"/>
        <v>0.28000000000000003</v>
      </c>
    </row>
    <row r="658" spans="2:8" x14ac:dyDescent="0.3">
      <c r="B658" s="27" t="s">
        <v>942</v>
      </c>
      <c r="C658" s="28" t="s">
        <v>941</v>
      </c>
      <c r="D658" s="29">
        <v>0.01</v>
      </c>
      <c r="E658" s="29">
        <f>'МЕДИЧНІ М'!E120</f>
        <v>24.6</v>
      </c>
      <c r="F658" s="30">
        <f t="shared" si="17"/>
        <v>0.25</v>
      </c>
    </row>
    <row r="659" spans="2:8" x14ac:dyDescent="0.3">
      <c r="B659" s="27" t="s">
        <v>1124</v>
      </c>
      <c r="C659" s="28" t="s">
        <v>944</v>
      </c>
      <c r="D659" s="29">
        <v>0.5</v>
      </c>
      <c r="E659" s="29">
        <f>'МЕДИЧНІ М'!E114</f>
        <v>0.5</v>
      </c>
      <c r="F659" s="30">
        <f t="shared" si="17"/>
        <v>0.25</v>
      </c>
    </row>
    <row r="660" spans="2:8" x14ac:dyDescent="0.3">
      <c r="B660" s="1019" t="s">
        <v>945</v>
      </c>
      <c r="C660" s="1019"/>
      <c r="D660" s="1019"/>
      <c r="E660" s="1019"/>
      <c r="F660" s="89">
        <f>SUM(F651:F659)</f>
        <v>9.8099999999999987</v>
      </c>
    </row>
    <row r="661" spans="2:8" ht="8.25" customHeight="1" x14ac:dyDescent="0.3"/>
    <row r="662" spans="2:8" x14ac:dyDescent="0.3">
      <c r="B662" s="12" t="s">
        <v>968</v>
      </c>
      <c r="C662" s="227"/>
      <c r="D662" s="12"/>
      <c r="E662" s="11">
        <f>SUM(G665:G666)</f>
        <v>0</v>
      </c>
      <c r="F662" s="12" t="s">
        <v>971</v>
      </c>
    </row>
    <row r="663" spans="2:8" ht="5.25" customHeight="1" x14ac:dyDescent="0.3">
      <c r="B663" s="22"/>
      <c r="C663" s="36"/>
      <c r="D663" s="22"/>
      <c r="E663" s="23"/>
      <c r="F663" s="22"/>
    </row>
    <row r="664" spans="2:8" ht="27.6" x14ac:dyDescent="0.3">
      <c r="B664" s="14" t="s">
        <v>513</v>
      </c>
      <c r="C664" s="14" t="s">
        <v>1108</v>
      </c>
      <c r="D664" s="14" t="s">
        <v>516</v>
      </c>
      <c r="E664" s="14" t="s">
        <v>970</v>
      </c>
      <c r="F664" s="14" t="s">
        <v>930</v>
      </c>
      <c r="G664" s="14" t="s">
        <v>961</v>
      </c>
    </row>
    <row r="665" spans="2:8" x14ac:dyDescent="0.3">
      <c r="B665" s="46" t="str">
        <f>B611</f>
        <v>Автоматизоване робоче місце, ПК</v>
      </c>
      <c r="C665" s="46">
        <f>C611</f>
        <v>0</v>
      </c>
      <c r="D665" s="62">
        <f>H640</f>
        <v>1932.7</v>
      </c>
      <c r="E665" s="17">
        <f>ROUND((C665/D665)/60,2)</f>
        <v>0</v>
      </c>
      <c r="F665" s="17">
        <f>D644</f>
        <v>10</v>
      </c>
      <c r="G665" s="16">
        <f>ROUND(E665*F665,2)</f>
        <v>0</v>
      </c>
    </row>
    <row r="666" spans="2:8" x14ac:dyDescent="0.3">
      <c r="B666" s="46" t="str">
        <f>B612</f>
        <v>Рентген</v>
      </c>
      <c r="C666" s="46">
        <f>C612</f>
        <v>0</v>
      </c>
      <c r="D666" s="62">
        <f>H641</f>
        <v>1506</v>
      </c>
      <c r="E666" s="17">
        <f>ROUND((C666/D666)/60,2)</f>
        <v>0</v>
      </c>
      <c r="F666" s="17">
        <f>D645</f>
        <v>15</v>
      </c>
      <c r="G666" s="16">
        <f>ROUND(E666*F666,2)</f>
        <v>0</v>
      </c>
      <c r="H666" s="38"/>
    </row>
    <row r="667" spans="2:8" ht="6" customHeight="1" x14ac:dyDescent="0.3"/>
    <row r="668" spans="2:8" x14ac:dyDescent="0.3">
      <c r="B668" s="12" t="s">
        <v>948</v>
      </c>
      <c r="C668" s="227"/>
      <c r="D668" s="12"/>
      <c r="E668" s="11">
        <f>G681</f>
        <v>3.45</v>
      </c>
      <c r="F668" s="12" t="s">
        <v>971</v>
      </c>
    </row>
    <row r="669" spans="2:8" ht="4.5" customHeight="1" x14ac:dyDescent="0.3">
      <c r="B669" s="22"/>
      <c r="C669" s="36"/>
      <c r="D669" s="22"/>
      <c r="E669" s="23"/>
    </row>
    <row r="670" spans="2:8" ht="27.6" x14ac:dyDescent="0.3">
      <c r="B670" s="14" t="s">
        <v>948</v>
      </c>
      <c r="C670" s="14" t="s">
        <v>1110</v>
      </c>
      <c r="D670" s="14" t="s">
        <v>516</v>
      </c>
      <c r="E670" s="14" t="s">
        <v>954</v>
      </c>
      <c r="F670" s="14" t="s">
        <v>930</v>
      </c>
      <c r="G670" s="14" t="s">
        <v>1111</v>
      </c>
    </row>
    <row r="671" spans="2:8" x14ac:dyDescent="0.3">
      <c r="B671" s="1009" t="str">
        <f>B640</f>
        <v>Лікар-рентгенолог</v>
      </c>
      <c r="C671" s="1010"/>
      <c r="D671" s="1010"/>
      <c r="E671" s="1010"/>
      <c r="F671" s="1010"/>
      <c r="G671" s="1011"/>
    </row>
    <row r="672" spans="2:8" x14ac:dyDescent="0.3">
      <c r="B672" s="17" t="s">
        <v>951</v>
      </c>
      <c r="C672" s="221">
        <f>C618</f>
        <v>12188.608008565312</v>
      </c>
      <c r="D672" s="17">
        <f>H640</f>
        <v>1932.7</v>
      </c>
      <c r="E672" s="17">
        <f>ROUND((C672/D672)/60,2)</f>
        <v>0.11</v>
      </c>
      <c r="F672" s="17">
        <f>D644</f>
        <v>10</v>
      </c>
      <c r="G672" s="16">
        <f>ROUND(E672*F672,2)</f>
        <v>1.1000000000000001</v>
      </c>
    </row>
    <row r="673" spans="2:7" x14ac:dyDescent="0.3">
      <c r="B673" s="17" t="s">
        <v>952</v>
      </c>
      <c r="C673" s="221">
        <f>C619</f>
        <v>53.149721627408987</v>
      </c>
      <c r="D673" s="17">
        <f>H640</f>
        <v>1932.7</v>
      </c>
      <c r="E673" s="17">
        <f>ROUND((C673/D673)/60,2)</f>
        <v>0</v>
      </c>
      <c r="F673" s="17">
        <f>D644</f>
        <v>10</v>
      </c>
      <c r="G673" s="16">
        <f>ROUND(E673*F673,2)</f>
        <v>0</v>
      </c>
    </row>
    <row r="674" spans="2:7" x14ac:dyDescent="0.3">
      <c r="B674" s="17" t="s">
        <v>953</v>
      </c>
      <c r="C674" s="221">
        <f>C620</f>
        <v>374.98368308351178</v>
      </c>
      <c r="D674" s="17">
        <f>H640</f>
        <v>1932.7</v>
      </c>
      <c r="E674" s="17">
        <f>ROUND((C674/D674)/60,2)</f>
        <v>0</v>
      </c>
      <c r="F674" s="17">
        <f>D644</f>
        <v>10</v>
      </c>
      <c r="G674" s="16">
        <f>ROUND(E674*F674,2)</f>
        <v>0</v>
      </c>
    </row>
    <row r="675" spans="2:7" x14ac:dyDescent="0.3">
      <c r="B675" s="17" t="s">
        <v>1109</v>
      </c>
      <c r="C675" s="221">
        <f>C621</f>
        <v>1686.0389293361886</v>
      </c>
      <c r="D675" s="17">
        <f>H640</f>
        <v>1932.7</v>
      </c>
      <c r="E675" s="17">
        <f>ROUND((C675/D675)/60,2)</f>
        <v>0.01</v>
      </c>
      <c r="F675" s="17">
        <f>D644</f>
        <v>10</v>
      </c>
      <c r="G675" s="16">
        <f>ROUND(E675*F675,2)</f>
        <v>0.1</v>
      </c>
    </row>
    <row r="676" spans="2:7" x14ac:dyDescent="0.3">
      <c r="B676" s="1009" t="str">
        <f>B641</f>
        <v>Рентгенолаборант</v>
      </c>
      <c r="C676" s="1010"/>
      <c r="D676" s="1010"/>
      <c r="E676" s="1010"/>
      <c r="F676" s="1010"/>
      <c r="G676" s="1011"/>
    </row>
    <row r="677" spans="2:7" x14ac:dyDescent="0.3">
      <c r="B677" s="17" t="s">
        <v>951</v>
      </c>
      <c r="C677" s="221">
        <f>C672</f>
        <v>12188.608008565312</v>
      </c>
      <c r="D677" s="17">
        <f>H641</f>
        <v>1506</v>
      </c>
      <c r="E677" s="17">
        <f>ROUND((C677/D677)/60,2)</f>
        <v>0.13</v>
      </c>
      <c r="F677" s="17">
        <f>D645</f>
        <v>15</v>
      </c>
      <c r="G677" s="16">
        <f>ROUND(E677*F677,2)</f>
        <v>1.95</v>
      </c>
    </row>
    <row r="678" spans="2:7" x14ac:dyDescent="0.3">
      <c r="B678" s="17" t="s">
        <v>952</v>
      </c>
      <c r="C678" s="221">
        <f>C673</f>
        <v>53.149721627408987</v>
      </c>
      <c r="D678" s="17">
        <f>H641</f>
        <v>1506</v>
      </c>
      <c r="E678" s="17">
        <f>ROUND((C678/D678)/60,2)</f>
        <v>0</v>
      </c>
      <c r="F678" s="17">
        <f>D645</f>
        <v>15</v>
      </c>
      <c r="G678" s="16">
        <f>ROUND(E678*F678,2)</f>
        <v>0</v>
      </c>
    </row>
    <row r="679" spans="2:7" x14ac:dyDescent="0.3">
      <c r="B679" s="17" t="s">
        <v>953</v>
      </c>
      <c r="C679" s="221">
        <f>C674</f>
        <v>374.98368308351178</v>
      </c>
      <c r="D679" s="17">
        <f>H641</f>
        <v>1506</v>
      </c>
      <c r="E679" s="17">
        <f>ROUND((C679/D679)/60,2)</f>
        <v>0</v>
      </c>
      <c r="F679" s="17">
        <f>D645</f>
        <v>15</v>
      </c>
      <c r="G679" s="16">
        <f>ROUND(E679*F679,2)</f>
        <v>0</v>
      </c>
    </row>
    <row r="680" spans="2:7" x14ac:dyDescent="0.3">
      <c r="B680" s="17" t="s">
        <v>1109</v>
      </c>
      <c r="C680" s="221">
        <f>C675</f>
        <v>1686.0389293361886</v>
      </c>
      <c r="D680" s="17">
        <f>H641</f>
        <v>1506</v>
      </c>
      <c r="E680" s="17">
        <f>ROUND((C680/D680)/60,2)</f>
        <v>0.02</v>
      </c>
      <c r="F680" s="17">
        <f>D645</f>
        <v>15</v>
      </c>
      <c r="G680" s="16">
        <f>ROUND(E680*F680,2)</f>
        <v>0.3</v>
      </c>
    </row>
    <row r="681" spans="2:7" x14ac:dyDescent="0.3">
      <c r="B681" s="1012" t="s">
        <v>957</v>
      </c>
      <c r="C681" s="1013"/>
      <c r="D681" s="1013"/>
      <c r="E681" s="1013"/>
      <c r="F681" s="1014"/>
      <c r="G681" s="18">
        <f>SUM(G672:G680)</f>
        <v>3.45</v>
      </c>
    </row>
    <row r="682" spans="2:7" ht="8.25" customHeight="1" x14ac:dyDescent="0.3"/>
    <row r="684" spans="2:7" x14ac:dyDescent="0.3">
      <c r="B684" s="1015" t="s">
        <v>959</v>
      </c>
      <c r="C684" s="1015"/>
      <c r="D684" s="1015"/>
      <c r="E684" s="1015"/>
      <c r="F684" s="1015"/>
      <c r="G684" s="32">
        <f>E637+E649+E662+E668</f>
        <v>45.040000000000006</v>
      </c>
    </row>
    <row r="685" spans="2:7" ht="12" customHeight="1" x14ac:dyDescent="0.3">
      <c r="B685" s="33"/>
      <c r="C685" s="33"/>
      <c r="D685" s="33"/>
      <c r="E685" s="33"/>
      <c r="F685" s="33"/>
      <c r="G685" s="34"/>
    </row>
    <row r="686" spans="2:7" x14ac:dyDescent="0.3">
      <c r="B686" s="1015" t="s">
        <v>960</v>
      </c>
      <c r="C686" s="1015"/>
      <c r="D686" s="1015"/>
      <c r="E686" s="1015"/>
      <c r="F686" s="1015"/>
      <c r="G686" s="32">
        <f>ROUND(G684,0)</f>
        <v>45</v>
      </c>
    </row>
    <row r="687" spans="2:7" x14ac:dyDescent="0.3">
      <c r="B687" s="33"/>
      <c r="C687" s="33"/>
      <c r="D687" s="33"/>
      <c r="E687" s="33"/>
      <c r="F687" s="33"/>
      <c r="G687" s="34"/>
    </row>
    <row r="689" spans="1:15" s="54" customFormat="1" ht="19.8" x14ac:dyDescent="0.4">
      <c r="A689" s="50" t="s">
        <v>636</v>
      </c>
      <c r="B689" s="1017" t="s">
        <v>681</v>
      </c>
      <c r="C689" s="1017"/>
      <c r="D689" s="1017"/>
      <c r="E689" s="52">
        <f>G739</f>
        <v>41</v>
      </c>
      <c r="F689" s="52" t="s">
        <v>971</v>
      </c>
      <c r="G689" s="53"/>
      <c r="H689" s="124"/>
      <c r="I689" s="125" t="s">
        <v>1128</v>
      </c>
      <c r="J689" s="132"/>
      <c r="K689" s="126"/>
      <c r="L689" s="126"/>
      <c r="M689" s="126"/>
      <c r="N689" s="126"/>
      <c r="O689" s="127"/>
    </row>
    <row r="690" spans="1:15" s="54" customFormat="1" ht="19.8" x14ac:dyDescent="0.4">
      <c r="A690" s="53"/>
      <c r="B690" s="53"/>
      <c r="C690" s="225"/>
      <c r="D690" s="53"/>
      <c r="E690" s="53"/>
      <c r="F690" s="53"/>
      <c r="G690" s="53"/>
      <c r="H690" s="53"/>
      <c r="I690" s="53"/>
      <c r="J690" s="132"/>
      <c r="K690" s="126"/>
      <c r="L690" s="126"/>
      <c r="M690" s="126"/>
      <c r="N690" s="126"/>
      <c r="O690" s="127"/>
    </row>
    <row r="691" spans="1:15" s="54" customFormat="1" ht="19.8" x14ac:dyDescent="0.4">
      <c r="A691" s="53"/>
      <c r="B691" s="1037" t="s">
        <v>932</v>
      </c>
      <c r="C691" s="1037"/>
      <c r="D691" s="68"/>
      <c r="E691" s="92">
        <f>E698+E701+E699</f>
        <v>31.78</v>
      </c>
      <c r="F691" s="93" t="s">
        <v>971</v>
      </c>
      <c r="G691" s="53"/>
      <c r="H691" s="53"/>
      <c r="I691" s="53"/>
      <c r="J691" s="132"/>
      <c r="K691" s="126"/>
      <c r="L691" s="126"/>
      <c r="M691" s="126"/>
      <c r="N691" s="126"/>
      <c r="O691" s="127"/>
    </row>
    <row r="693" spans="1:15" ht="27.6" x14ac:dyDescent="0.3">
      <c r="B693" s="13" t="s">
        <v>929</v>
      </c>
      <c r="C693" s="14" t="s">
        <v>928</v>
      </c>
      <c r="D693" s="14" t="s">
        <v>514</v>
      </c>
      <c r="E693" s="14" t="s">
        <v>515</v>
      </c>
      <c r="F693" s="14" t="s">
        <v>962</v>
      </c>
      <c r="G693" s="14" t="s">
        <v>926</v>
      </c>
      <c r="H693" s="14" t="s">
        <v>516</v>
      </c>
      <c r="I693" s="14" t="s">
        <v>961</v>
      </c>
    </row>
    <row r="694" spans="1:15" x14ac:dyDescent="0.3">
      <c r="B694" s="16" t="str">
        <f>B640</f>
        <v>Лікар-рентгенолог</v>
      </c>
      <c r="C694" s="78">
        <f>C640</f>
        <v>8463.5400000000009</v>
      </c>
      <c r="D694" s="16">
        <f>C694*12</f>
        <v>101562.48000000001</v>
      </c>
      <c r="E694" s="16">
        <f>E640</f>
        <v>7052.95</v>
      </c>
      <c r="F694" s="16">
        <f>F640</f>
        <v>3526.4749999999999</v>
      </c>
      <c r="G694" s="16">
        <f>D694+E694+F694</f>
        <v>112141.90500000001</v>
      </c>
      <c r="H694" s="17">
        <v>1932.7</v>
      </c>
      <c r="I694" s="16">
        <f>ROUND((G694/H694)/60,2)</f>
        <v>0.97</v>
      </c>
    </row>
    <row r="695" spans="1:15" x14ac:dyDescent="0.3">
      <c r="B695" s="16" t="str">
        <f>B641</f>
        <v>Рентгенолаборант</v>
      </c>
      <c r="C695" s="78">
        <f>C641</f>
        <v>7482.48</v>
      </c>
      <c r="D695" s="24">
        <f>C695*12</f>
        <v>89789.759999999995</v>
      </c>
      <c r="E695" s="16">
        <f>E641</f>
        <v>5755.75</v>
      </c>
      <c r="F695" s="16">
        <f>F641</f>
        <v>2877.875</v>
      </c>
      <c r="G695" s="16">
        <f>D695+E695+F695</f>
        <v>98423.384999999995</v>
      </c>
      <c r="H695" s="62">
        <v>1506</v>
      </c>
      <c r="I695" s="16">
        <f>ROUND((G695/H695)/60,2)</f>
        <v>1.0900000000000001</v>
      </c>
    </row>
    <row r="697" spans="1:15" ht="27.6" x14ac:dyDescent="0.3">
      <c r="B697" s="13" t="s">
        <v>929</v>
      </c>
      <c r="C697" s="14" t="s">
        <v>961</v>
      </c>
      <c r="D697" s="14" t="s">
        <v>930</v>
      </c>
      <c r="E697" s="14" t="s">
        <v>931</v>
      </c>
    </row>
    <row r="698" spans="1:15" x14ac:dyDescent="0.3">
      <c r="B698" s="15" t="str">
        <f>B694</f>
        <v>Лікар-рентгенолог</v>
      </c>
      <c r="C698" s="78">
        <f>I694</f>
        <v>0.97</v>
      </c>
      <c r="D698" s="17">
        <v>10</v>
      </c>
      <c r="E698" s="18">
        <f>ROUND(C698*D698,2)</f>
        <v>9.6999999999999993</v>
      </c>
    </row>
    <row r="699" spans="1:15" x14ac:dyDescent="0.3">
      <c r="B699" s="15" t="str">
        <f>B695</f>
        <v>Рентгенолаборант</v>
      </c>
      <c r="C699" s="78">
        <f>I695</f>
        <v>1.0900000000000001</v>
      </c>
      <c r="D699" s="17">
        <v>15</v>
      </c>
      <c r="E699" s="18">
        <f>ROUND(C699*D699,2)</f>
        <v>16.350000000000001</v>
      </c>
    </row>
    <row r="700" spans="1:15" x14ac:dyDescent="0.3">
      <c r="C700" s="19"/>
    </row>
    <row r="701" spans="1:15" x14ac:dyDescent="0.3">
      <c r="B701" s="17" t="s">
        <v>933</v>
      </c>
      <c r="C701" s="78">
        <f>E698+E699</f>
        <v>26.05</v>
      </c>
      <c r="D701" s="20">
        <v>0.22</v>
      </c>
      <c r="E701" s="21">
        <f>ROUND(C701*D701,2)</f>
        <v>5.73</v>
      </c>
    </row>
    <row r="703" spans="1:15" x14ac:dyDescent="0.3">
      <c r="B703" s="12" t="s">
        <v>946</v>
      </c>
      <c r="C703" s="227"/>
      <c r="D703" s="12"/>
      <c r="E703" s="11">
        <f>F713</f>
        <v>5.91</v>
      </c>
      <c r="F703" s="12" t="s">
        <v>971</v>
      </c>
    </row>
    <row r="705" spans="1:15" x14ac:dyDescent="0.3">
      <c r="B705" s="15" t="s">
        <v>966</v>
      </c>
      <c r="C705" s="73" t="s">
        <v>941</v>
      </c>
      <c r="D705" s="29">
        <v>1</v>
      </c>
      <c r="E705" s="30">
        <f>'МЕДИЧНІ М'!F115</f>
        <v>0.3</v>
      </c>
      <c r="F705" s="30">
        <f>ROUND(D705*E705,2)</f>
        <v>0.3</v>
      </c>
    </row>
    <row r="706" spans="1:15" s="184" customFormat="1" x14ac:dyDescent="0.3">
      <c r="A706" s="180"/>
      <c r="B706" s="185" t="s">
        <v>1021</v>
      </c>
      <c r="C706" s="186" t="s">
        <v>941</v>
      </c>
      <c r="D706" s="164">
        <v>0.5</v>
      </c>
      <c r="E706" s="164">
        <f>'МЕДИЧНІ М'!E181</f>
        <v>2</v>
      </c>
      <c r="F706" s="164">
        <f t="shared" ref="F706:F712" si="18">ROUND(D706*E706,2)</f>
        <v>1</v>
      </c>
      <c r="G706" s="180"/>
      <c r="H706" s="180"/>
      <c r="I706" s="180"/>
      <c r="J706" s="187"/>
      <c r="K706" s="189"/>
      <c r="L706" s="189"/>
      <c r="M706" s="189"/>
      <c r="N706" s="189"/>
      <c r="O706" s="188"/>
    </row>
    <row r="707" spans="1:15" x14ac:dyDescent="0.3">
      <c r="B707" s="15" t="s">
        <v>1216</v>
      </c>
      <c r="C707" s="73" t="s">
        <v>941</v>
      </c>
      <c r="D707" s="17">
        <v>0.1</v>
      </c>
      <c r="E707" s="16">
        <f>'МЕДИЧНІ М'!E113</f>
        <v>8</v>
      </c>
      <c r="F707" s="17">
        <f t="shared" si="18"/>
        <v>0.8</v>
      </c>
    </row>
    <row r="708" spans="1:15" ht="28.2" x14ac:dyDescent="0.3">
      <c r="B708" s="15" t="s">
        <v>1025</v>
      </c>
      <c r="C708" s="73" t="s">
        <v>941</v>
      </c>
      <c r="D708" s="17">
        <v>0.02</v>
      </c>
      <c r="E708" s="17">
        <f>'МЕДИЧНІ М'!F121</f>
        <v>54</v>
      </c>
      <c r="F708" s="17">
        <f t="shared" si="18"/>
        <v>1.08</v>
      </c>
    </row>
    <row r="709" spans="1:15" x14ac:dyDescent="0.3">
      <c r="B709" s="15" t="s">
        <v>1024</v>
      </c>
      <c r="C709" s="73" t="s">
        <v>941</v>
      </c>
      <c r="D709" s="17">
        <v>0.02</v>
      </c>
      <c r="E709" s="17">
        <f>'МЕДИЧНІ М'!F118</f>
        <v>97.3</v>
      </c>
      <c r="F709" s="17">
        <f t="shared" si="18"/>
        <v>1.95</v>
      </c>
    </row>
    <row r="710" spans="1:15" x14ac:dyDescent="0.3">
      <c r="B710" s="15" t="s">
        <v>964</v>
      </c>
      <c r="C710" s="73" t="s">
        <v>941</v>
      </c>
      <c r="D710" s="17">
        <v>0.1</v>
      </c>
      <c r="E710" s="16">
        <f>'МЕДИЧНІ М'!E119</f>
        <v>2.8</v>
      </c>
      <c r="F710" s="17">
        <f t="shared" si="18"/>
        <v>0.28000000000000003</v>
      </c>
    </row>
    <row r="711" spans="1:15" x14ac:dyDescent="0.3">
      <c r="B711" s="27" t="s">
        <v>942</v>
      </c>
      <c r="C711" s="28" t="s">
        <v>941</v>
      </c>
      <c r="D711" s="29">
        <v>0.01</v>
      </c>
      <c r="E711" s="29">
        <f>'МЕДИЧНІ М'!E120</f>
        <v>24.6</v>
      </c>
      <c r="F711" s="30">
        <f t="shared" si="18"/>
        <v>0.25</v>
      </c>
    </row>
    <row r="712" spans="1:15" x14ac:dyDescent="0.3">
      <c r="B712" s="27" t="s">
        <v>1124</v>
      </c>
      <c r="C712" s="28" t="s">
        <v>944</v>
      </c>
      <c r="D712" s="29">
        <v>0.5</v>
      </c>
      <c r="E712" s="29">
        <f>'МЕДИЧНІ М'!E114</f>
        <v>0.5</v>
      </c>
      <c r="F712" s="30">
        <f t="shared" si="18"/>
        <v>0.25</v>
      </c>
    </row>
    <row r="713" spans="1:15" x14ac:dyDescent="0.3">
      <c r="B713" s="1019" t="s">
        <v>945</v>
      </c>
      <c r="C713" s="1019"/>
      <c r="D713" s="1019"/>
      <c r="E713" s="1019"/>
      <c r="F713" s="89">
        <f>SUM(F705:F712)</f>
        <v>5.91</v>
      </c>
    </row>
    <row r="714" spans="1:15" ht="7.5" customHeight="1" x14ac:dyDescent="0.3"/>
    <row r="715" spans="1:15" x14ac:dyDescent="0.3">
      <c r="B715" s="12" t="s">
        <v>968</v>
      </c>
      <c r="C715" s="227"/>
      <c r="D715" s="12"/>
      <c r="E715" s="11">
        <f>SUM(G718:G719)</f>
        <v>0</v>
      </c>
      <c r="F715" s="12" t="s">
        <v>971</v>
      </c>
    </row>
    <row r="716" spans="1:15" ht="9.75" customHeight="1" x14ac:dyDescent="0.3">
      <c r="B716" s="22"/>
      <c r="C716" s="36"/>
      <c r="D716" s="22"/>
      <c r="E716" s="23"/>
      <c r="F716" s="22"/>
    </row>
    <row r="717" spans="1:15" ht="27.6" x14ac:dyDescent="0.3">
      <c r="B717" s="14" t="s">
        <v>513</v>
      </c>
      <c r="C717" s="14" t="s">
        <v>1108</v>
      </c>
      <c r="D717" s="14" t="s">
        <v>516</v>
      </c>
      <c r="E717" s="14" t="s">
        <v>970</v>
      </c>
      <c r="F717" s="14" t="s">
        <v>930</v>
      </c>
      <c r="G717" s="14" t="s">
        <v>961</v>
      </c>
    </row>
    <row r="718" spans="1:15" x14ac:dyDescent="0.3">
      <c r="B718" s="46" t="s">
        <v>1161</v>
      </c>
      <c r="C718" s="73">
        <f>C665</f>
        <v>0</v>
      </c>
      <c r="D718" s="62">
        <f>H694</f>
        <v>1932.7</v>
      </c>
      <c r="E718" s="17">
        <f>ROUND((C718/D718)/60,2)</f>
        <v>0</v>
      </c>
      <c r="F718" s="17">
        <f>D698</f>
        <v>10</v>
      </c>
      <c r="G718" s="16">
        <f>ROUND(E718*F718,2)</f>
        <v>0</v>
      </c>
    </row>
    <row r="719" spans="1:15" x14ac:dyDescent="0.3">
      <c r="B719" s="27" t="s">
        <v>1093</v>
      </c>
      <c r="C719" s="73">
        <f>C666</f>
        <v>0</v>
      </c>
      <c r="D719" s="62">
        <f>H695</f>
        <v>1506</v>
      </c>
      <c r="E719" s="17">
        <f>ROUND((C719/D719)/60,2)</f>
        <v>0</v>
      </c>
      <c r="F719" s="17">
        <f>D699</f>
        <v>15</v>
      </c>
      <c r="G719" s="16">
        <f>ROUND(E719*F719,2)</f>
        <v>0</v>
      </c>
      <c r="H719" s="38"/>
    </row>
    <row r="721" spans="2:7" x14ac:dyDescent="0.3">
      <c r="B721" s="12" t="s">
        <v>948</v>
      </c>
      <c r="C721" s="227"/>
      <c r="D721" s="12"/>
      <c r="E721" s="11">
        <f>G734</f>
        <v>3.45</v>
      </c>
      <c r="F721" s="12" t="s">
        <v>971</v>
      </c>
    </row>
    <row r="722" spans="2:7" x14ac:dyDescent="0.3">
      <c r="B722" s="22"/>
      <c r="C722" s="36"/>
      <c r="D722" s="22"/>
      <c r="E722" s="23"/>
    </row>
    <row r="723" spans="2:7" ht="27.6" x14ac:dyDescent="0.3">
      <c r="B723" s="14" t="s">
        <v>948</v>
      </c>
      <c r="C723" s="14" t="s">
        <v>1110</v>
      </c>
      <c r="D723" s="14" t="s">
        <v>516</v>
      </c>
      <c r="E723" s="14" t="s">
        <v>954</v>
      </c>
      <c r="F723" s="14" t="s">
        <v>930</v>
      </c>
      <c r="G723" s="14" t="s">
        <v>1111</v>
      </c>
    </row>
    <row r="724" spans="2:7" x14ac:dyDescent="0.3">
      <c r="B724" s="1009" t="str">
        <f>B694</f>
        <v>Лікар-рентгенолог</v>
      </c>
      <c r="C724" s="1010"/>
      <c r="D724" s="1010"/>
      <c r="E724" s="1010"/>
      <c r="F724" s="1010"/>
      <c r="G724" s="1011"/>
    </row>
    <row r="725" spans="2:7" x14ac:dyDescent="0.3">
      <c r="B725" s="17" t="s">
        <v>951</v>
      </c>
      <c r="C725" s="221">
        <f>C672</f>
        <v>12188.608008565312</v>
      </c>
      <c r="D725" s="17">
        <f>H694</f>
        <v>1932.7</v>
      </c>
      <c r="E725" s="17">
        <f>ROUND((C725/D725)/60,2)</f>
        <v>0.11</v>
      </c>
      <c r="F725" s="17">
        <f>D698</f>
        <v>10</v>
      </c>
      <c r="G725" s="16">
        <f>ROUND(E725*F725,2)</f>
        <v>1.1000000000000001</v>
      </c>
    </row>
    <row r="726" spans="2:7" x14ac:dyDescent="0.3">
      <c r="B726" s="17" t="s">
        <v>952</v>
      </c>
      <c r="C726" s="221">
        <f>C673</f>
        <v>53.149721627408987</v>
      </c>
      <c r="D726" s="17">
        <f>H694</f>
        <v>1932.7</v>
      </c>
      <c r="E726" s="17">
        <f>ROUND((C726/D726)/60,2)</f>
        <v>0</v>
      </c>
      <c r="F726" s="17">
        <f>D698</f>
        <v>10</v>
      </c>
      <c r="G726" s="16">
        <f>ROUND(E726*F726,2)</f>
        <v>0</v>
      </c>
    </row>
    <row r="727" spans="2:7" x14ac:dyDescent="0.3">
      <c r="B727" s="17" t="s">
        <v>953</v>
      </c>
      <c r="C727" s="221">
        <f>C674</f>
        <v>374.98368308351178</v>
      </c>
      <c r="D727" s="17">
        <f>H694</f>
        <v>1932.7</v>
      </c>
      <c r="E727" s="17">
        <f>ROUND((C727/D727)/60,2)</f>
        <v>0</v>
      </c>
      <c r="F727" s="17">
        <f>D698</f>
        <v>10</v>
      </c>
      <c r="G727" s="16">
        <f>ROUND(E727*F727,2)</f>
        <v>0</v>
      </c>
    </row>
    <row r="728" spans="2:7" x14ac:dyDescent="0.3">
      <c r="B728" s="17" t="s">
        <v>1109</v>
      </c>
      <c r="C728" s="221">
        <f>C675</f>
        <v>1686.0389293361886</v>
      </c>
      <c r="D728" s="17">
        <f>H694</f>
        <v>1932.7</v>
      </c>
      <c r="E728" s="17">
        <f>ROUND((C728/D728)/60,2)</f>
        <v>0.01</v>
      </c>
      <c r="F728" s="17">
        <f>D698</f>
        <v>10</v>
      </c>
      <c r="G728" s="16">
        <f>ROUND(E728*F728,2)</f>
        <v>0.1</v>
      </c>
    </row>
    <row r="729" spans="2:7" x14ac:dyDescent="0.3">
      <c r="B729" s="1009" t="str">
        <f>B695</f>
        <v>Рентгенолаборант</v>
      </c>
      <c r="C729" s="1010"/>
      <c r="D729" s="1010"/>
      <c r="E729" s="1010"/>
      <c r="F729" s="1010"/>
      <c r="G729" s="1011"/>
    </row>
    <row r="730" spans="2:7" x14ac:dyDescent="0.3">
      <c r="B730" s="17" t="s">
        <v>951</v>
      </c>
      <c r="C730" s="221">
        <f>C725</f>
        <v>12188.608008565312</v>
      </c>
      <c r="D730" s="17">
        <f>H695</f>
        <v>1506</v>
      </c>
      <c r="E730" s="17">
        <f>ROUND((C730/D730)/60,2)</f>
        <v>0.13</v>
      </c>
      <c r="F730" s="17">
        <f>D699</f>
        <v>15</v>
      </c>
      <c r="G730" s="16">
        <f>ROUND(E730*F730,2)</f>
        <v>1.95</v>
      </c>
    </row>
    <row r="731" spans="2:7" x14ac:dyDescent="0.3">
      <c r="B731" s="17" t="s">
        <v>952</v>
      </c>
      <c r="C731" s="221">
        <f>C726</f>
        <v>53.149721627408987</v>
      </c>
      <c r="D731" s="17">
        <f>H695</f>
        <v>1506</v>
      </c>
      <c r="E731" s="17">
        <f>ROUND((C731/D731)/60,2)</f>
        <v>0</v>
      </c>
      <c r="F731" s="17">
        <f>D699</f>
        <v>15</v>
      </c>
      <c r="G731" s="16">
        <f>ROUND(E731*F731,2)</f>
        <v>0</v>
      </c>
    </row>
    <row r="732" spans="2:7" x14ac:dyDescent="0.3">
      <c r="B732" s="17" t="s">
        <v>953</v>
      </c>
      <c r="C732" s="221">
        <f>C727</f>
        <v>374.98368308351178</v>
      </c>
      <c r="D732" s="17">
        <f>H695</f>
        <v>1506</v>
      </c>
      <c r="E732" s="17">
        <f>ROUND((C732/D732)/60,2)</f>
        <v>0</v>
      </c>
      <c r="F732" s="17">
        <f>D699</f>
        <v>15</v>
      </c>
      <c r="G732" s="16">
        <f>ROUND(E732*F732,2)</f>
        <v>0</v>
      </c>
    </row>
    <row r="733" spans="2:7" x14ac:dyDescent="0.3">
      <c r="B733" s="17" t="s">
        <v>1109</v>
      </c>
      <c r="C733" s="221">
        <f>C728</f>
        <v>1686.0389293361886</v>
      </c>
      <c r="D733" s="17">
        <f>H695</f>
        <v>1506</v>
      </c>
      <c r="E733" s="17">
        <f>ROUND((C733/D733)/60,2)</f>
        <v>0.02</v>
      </c>
      <c r="F733" s="17">
        <f>D699</f>
        <v>15</v>
      </c>
      <c r="G733" s="16">
        <f>ROUND(E733*F733,2)</f>
        <v>0.3</v>
      </c>
    </row>
    <row r="734" spans="2:7" x14ac:dyDescent="0.3">
      <c r="B734" s="1012" t="s">
        <v>957</v>
      </c>
      <c r="C734" s="1013"/>
      <c r="D734" s="1013"/>
      <c r="E734" s="1013"/>
      <c r="F734" s="1014"/>
      <c r="G734" s="18">
        <f>SUM(G725:G733)</f>
        <v>3.45</v>
      </c>
    </row>
    <row r="735" spans="2:7" ht="14.25" customHeight="1" x14ac:dyDescent="0.3"/>
    <row r="737" spans="1:15" x14ac:dyDescent="0.3">
      <c r="B737" s="1015" t="s">
        <v>959</v>
      </c>
      <c r="C737" s="1015"/>
      <c r="D737" s="1015"/>
      <c r="E737" s="1015"/>
      <c r="F737" s="1015"/>
      <c r="G737" s="32">
        <f>E691+E703+E715+E721</f>
        <v>41.14</v>
      </c>
    </row>
    <row r="738" spans="1:15" x14ac:dyDescent="0.3">
      <c r="B738" s="33"/>
      <c r="C738" s="33"/>
      <c r="D738" s="33"/>
      <c r="E738" s="33"/>
      <c r="F738" s="33"/>
      <c r="G738" s="34"/>
    </row>
    <row r="739" spans="1:15" x14ac:dyDescent="0.3">
      <c r="B739" s="1015" t="s">
        <v>960</v>
      </c>
      <c r="C739" s="1015"/>
      <c r="D739" s="1015"/>
      <c r="E739" s="1015"/>
      <c r="F739" s="1015"/>
      <c r="G739" s="32">
        <f>ROUND(G737,0)</f>
        <v>41</v>
      </c>
    </row>
    <row r="740" spans="1:15" x14ac:dyDescent="0.3">
      <c r="B740" s="33"/>
      <c r="C740" s="33"/>
      <c r="D740" s="33"/>
      <c r="E740" s="33"/>
      <c r="F740" s="33"/>
      <c r="G740" s="34"/>
    </row>
    <row r="741" spans="1:15" s="54" customFormat="1" ht="19.8" x14ac:dyDescent="0.4">
      <c r="A741" s="50" t="s">
        <v>638</v>
      </c>
      <c r="B741" s="1032" t="s">
        <v>683</v>
      </c>
      <c r="C741" s="1032"/>
      <c r="D741" s="1032"/>
      <c r="E741" s="52">
        <f>G792</f>
        <v>45</v>
      </c>
      <c r="F741" s="52" t="s">
        <v>971</v>
      </c>
      <c r="G741" s="53"/>
      <c r="H741" s="124"/>
      <c r="I741" s="125" t="s">
        <v>1023</v>
      </c>
      <c r="J741" s="132"/>
      <c r="K741" s="126"/>
      <c r="L741" s="126"/>
      <c r="M741" s="126"/>
      <c r="N741" s="126"/>
      <c r="O741" s="127"/>
    </row>
    <row r="743" spans="1:15" x14ac:dyDescent="0.3">
      <c r="B743" s="1018" t="s">
        <v>932</v>
      </c>
      <c r="C743" s="1018"/>
      <c r="D743" s="10"/>
      <c r="E743" s="11">
        <f>E750+E753+E751</f>
        <v>31.78</v>
      </c>
      <c r="F743" s="12" t="s">
        <v>971</v>
      </c>
    </row>
    <row r="745" spans="1:15" ht="27.6" x14ac:dyDescent="0.3">
      <c r="B745" s="13" t="s">
        <v>929</v>
      </c>
      <c r="C745" s="14" t="s">
        <v>928</v>
      </c>
      <c r="D745" s="14" t="s">
        <v>514</v>
      </c>
      <c r="E745" s="14" t="s">
        <v>515</v>
      </c>
      <c r="F745" s="14" t="s">
        <v>962</v>
      </c>
      <c r="G745" s="14" t="s">
        <v>926</v>
      </c>
      <c r="H745" s="14" t="s">
        <v>516</v>
      </c>
      <c r="I745" s="14" t="s">
        <v>961</v>
      </c>
    </row>
    <row r="746" spans="1:15" x14ac:dyDescent="0.3">
      <c r="B746" s="16" t="str">
        <f t="shared" ref="B746:F747" si="19">B694</f>
        <v>Лікар-рентгенолог</v>
      </c>
      <c r="C746" s="16">
        <f t="shared" si="19"/>
        <v>8463.5400000000009</v>
      </c>
      <c r="D746" s="16">
        <f t="shared" si="19"/>
        <v>101562.48000000001</v>
      </c>
      <c r="E746" s="16">
        <f t="shared" si="19"/>
        <v>7052.95</v>
      </c>
      <c r="F746" s="16">
        <f t="shared" si="19"/>
        <v>3526.4749999999999</v>
      </c>
      <c r="G746" s="16">
        <f>D746+E746+F746</f>
        <v>112141.90500000001</v>
      </c>
      <c r="H746" s="17">
        <v>1932.7</v>
      </c>
      <c r="I746" s="16">
        <f>ROUND((G746/H746)/60,2)</f>
        <v>0.97</v>
      </c>
    </row>
    <row r="747" spans="1:15" x14ac:dyDescent="0.3">
      <c r="B747" s="16" t="str">
        <f t="shared" si="19"/>
        <v>Рентгенолаборант</v>
      </c>
      <c r="C747" s="16">
        <f t="shared" si="19"/>
        <v>7482.48</v>
      </c>
      <c r="D747" s="16">
        <f t="shared" si="19"/>
        <v>89789.759999999995</v>
      </c>
      <c r="E747" s="16">
        <f t="shared" si="19"/>
        <v>5755.75</v>
      </c>
      <c r="F747" s="16">
        <f t="shared" si="19"/>
        <v>2877.875</v>
      </c>
      <c r="G747" s="16">
        <f>D747+E747+F747</f>
        <v>98423.384999999995</v>
      </c>
      <c r="H747" s="62">
        <v>1506</v>
      </c>
      <c r="I747" s="16">
        <f>ROUND((G747/H747)/60,2)</f>
        <v>1.0900000000000001</v>
      </c>
    </row>
    <row r="749" spans="1:15" ht="27.6" x14ac:dyDescent="0.3">
      <c r="B749" s="13" t="s">
        <v>929</v>
      </c>
      <c r="C749" s="14" t="s">
        <v>961</v>
      </c>
      <c r="D749" s="14" t="s">
        <v>930</v>
      </c>
      <c r="E749" s="14" t="s">
        <v>931</v>
      </c>
    </row>
    <row r="750" spans="1:15" x14ac:dyDescent="0.3">
      <c r="B750" s="15" t="str">
        <f>B746</f>
        <v>Лікар-рентгенолог</v>
      </c>
      <c r="C750" s="78">
        <f>I746</f>
        <v>0.97</v>
      </c>
      <c r="D750" s="17">
        <v>10</v>
      </c>
      <c r="E750" s="18">
        <f>ROUND(C750*D750,2)</f>
        <v>9.6999999999999993</v>
      </c>
    </row>
    <row r="751" spans="1:15" x14ac:dyDescent="0.3">
      <c r="B751" s="15" t="str">
        <f>B747</f>
        <v>Рентгенолаборант</v>
      </c>
      <c r="C751" s="78">
        <f>I747</f>
        <v>1.0900000000000001</v>
      </c>
      <c r="D751" s="17">
        <v>15</v>
      </c>
      <c r="E751" s="18">
        <f>ROUND(C751*D751,2)</f>
        <v>16.350000000000001</v>
      </c>
    </row>
    <row r="752" spans="1:15" x14ac:dyDescent="0.3">
      <c r="C752" s="19"/>
    </row>
    <row r="753" spans="1:15" x14ac:dyDescent="0.3">
      <c r="B753" s="17" t="s">
        <v>933</v>
      </c>
      <c r="C753" s="78">
        <f>E750+E751</f>
        <v>26.05</v>
      </c>
      <c r="D753" s="20">
        <v>0.22</v>
      </c>
      <c r="E753" s="21">
        <f>ROUND(C753*D753,2)</f>
        <v>5.73</v>
      </c>
    </row>
    <row r="754" spans="1:15" ht="7.5" customHeight="1" x14ac:dyDescent="0.3"/>
    <row r="755" spans="1:15" x14ac:dyDescent="0.3">
      <c r="B755" s="12" t="s">
        <v>946</v>
      </c>
      <c r="C755" s="227"/>
      <c r="D755" s="12"/>
      <c r="E755" s="11">
        <f>F766</f>
        <v>9.8099999999999987</v>
      </c>
      <c r="F755" s="12" t="s">
        <v>971</v>
      </c>
    </row>
    <row r="757" spans="1:15" x14ac:dyDescent="0.3">
      <c r="B757" s="27" t="s">
        <v>936</v>
      </c>
      <c r="C757" s="28" t="s">
        <v>937</v>
      </c>
      <c r="D757" s="29">
        <v>1</v>
      </c>
      <c r="E757" s="30">
        <f>'МЕДИЧНІ М'!F115</f>
        <v>0.3</v>
      </c>
      <c r="F757" s="30">
        <f>ROUND(D757*E757,2)</f>
        <v>0.3</v>
      </c>
    </row>
    <row r="758" spans="1:15" s="184" customFormat="1" x14ac:dyDescent="0.3">
      <c r="A758" s="180"/>
      <c r="B758" s="185" t="s">
        <v>1021</v>
      </c>
      <c r="C758" s="186" t="s">
        <v>941</v>
      </c>
      <c r="D758" s="164">
        <v>0.5</v>
      </c>
      <c r="E758" s="164">
        <f>'МЕДИЧНІ М'!E181</f>
        <v>2</v>
      </c>
      <c r="F758" s="164">
        <f t="shared" ref="F758:F765" si="20">ROUND(D758*E758,2)</f>
        <v>1</v>
      </c>
      <c r="G758" s="180"/>
      <c r="H758" s="180"/>
      <c r="I758" s="180"/>
      <c r="J758" s="187"/>
      <c r="K758" s="189"/>
      <c r="L758" s="189"/>
      <c r="M758" s="189"/>
      <c r="N758" s="189"/>
      <c r="O758" s="188"/>
    </row>
    <row r="759" spans="1:15" x14ac:dyDescent="0.3">
      <c r="B759" s="15" t="s">
        <v>1216</v>
      </c>
      <c r="C759" s="73" t="s">
        <v>941</v>
      </c>
      <c r="D759" s="17">
        <v>0.1</v>
      </c>
      <c r="E759" s="17">
        <f>'МЕДИЧНІ М'!F113</f>
        <v>8</v>
      </c>
      <c r="F759" s="17">
        <f t="shared" si="20"/>
        <v>0.8</v>
      </c>
    </row>
    <row r="760" spans="1:15" x14ac:dyDescent="0.3">
      <c r="B760" s="15" t="str">
        <f>'МЕДИЧНІ М'!B319</f>
        <v>Рентген 13 * 18 № 100</v>
      </c>
      <c r="C760" s="73" t="s">
        <v>941</v>
      </c>
      <c r="D760" s="17">
        <v>1</v>
      </c>
      <c r="E760" s="16">
        <f>'МЕДИЧНІ М'!F319</f>
        <v>3.9</v>
      </c>
      <c r="F760" s="17">
        <f t="shared" si="20"/>
        <v>3.9</v>
      </c>
    </row>
    <row r="761" spans="1:15" ht="28.2" x14ac:dyDescent="0.3">
      <c r="B761" s="15" t="s">
        <v>1025</v>
      </c>
      <c r="C761" s="73" t="s">
        <v>941</v>
      </c>
      <c r="D761" s="17">
        <v>0.02</v>
      </c>
      <c r="E761" s="17">
        <f>'МЕДИЧНІ М'!F121</f>
        <v>54</v>
      </c>
      <c r="F761" s="17">
        <f t="shared" si="20"/>
        <v>1.08</v>
      </c>
    </row>
    <row r="762" spans="1:15" x14ac:dyDescent="0.3">
      <c r="B762" s="15" t="s">
        <v>1024</v>
      </c>
      <c r="C762" s="73" t="s">
        <v>941</v>
      </c>
      <c r="D762" s="17">
        <v>0.02</v>
      </c>
      <c r="E762" s="17">
        <f>'МЕДИЧНІ М'!F118</f>
        <v>97.3</v>
      </c>
      <c r="F762" s="17">
        <f t="shared" si="20"/>
        <v>1.95</v>
      </c>
    </row>
    <row r="763" spans="1:15" x14ac:dyDescent="0.3">
      <c r="B763" s="15" t="s">
        <v>964</v>
      </c>
      <c r="C763" s="73" t="s">
        <v>941</v>
      </c>
      <c r="D763" s="17">
        <v>0.1</v>
      </c>
      <c r="E763" s="16">
        <f>'МЕДИЧНІ М'!E119</f>
        <v>2.8</v>
      </c>
      <c r="F763" s="17">
        <f t="shared" si="20"/>
        <v>0.28000000000000003</v>
      </c>
    </row>
    <row r="764" spans="1:15" x14ac:dyDescent="0.3">
      <c r="B764" s="27" t="s">
        <v>942</v>
      </c>
      <c r="C764" s="28" t="s">
        <v>941</v>
      </c>
      <c r="D764" s="29">
        <v>0.01</v>
      </c>
      <c r="E764" s="29">
        <f>'МЕДИЧНІ М'!E120</f>
        <v>24.6</v>
      </c>
      <c r="F764" s="30">
        <f t="shared" si="20"/>
        <v>0.25</v>
      </c>
    </row>
    <row r="765" spans="1:15" x14ac:dyDescent="0.3">
      <c r="B765" s="27" t="s">
        <v>1124</v>
      </c>
      <c r="C765" s="28" t="s">
        <v>944</v>
      </c>
      <c r="D765" s="29">
        <v>0.5</v>
      </c>
      <c r="E765" s="29">
        <f>'МЕДИЧНІ М'!E114</f>
        <v>0.5</v>
      </c>
      <c r="F765" s="30">
        <f t="shared" si="20"/>
        <v>0.25</v>
      </c>
    </row>
    <row r="766" spans="1:15" x14ac:dyDescent="0.3">
      <c r="B766" s="1019" t="s">
        <v>945</v>
      </c>
      <c r="C766" s="1019"/>
      <c r="D766" s="1019"/>
      <c r="E766" s="1019"/>
      <c r="F766" s="89">
        <f>SUM(F757:F765)</f>
        <v>9.8099999999999987</v>
      </c>
    </row>
    <row r="767" spans="1:15" ht="6.75" customHeight="1" x14ac:dyDescent="0.3"/>
    <row r="768" spans="1:15" x14ac:dyDescent="0.3">
      <c r="B768" s="12" t="s">
        <v>968</v>
      </c>
      <c r="C768" s="227"/>
      <c r="D768" s="12"/>
      <c r="E768" s="11">
        <f>SUM(G771:G772)</f>
        <v>0</v>
      </c>
      <c r="F768" s="12" t="s">
        <v>971</v>
      </c>
    </row>
    <row r="769" spans="2:8" x14ac:dyDescent="0.3">
      <c r="B769" s="22"/>
      <c r="C769" s="36"/>
      <c r="D769" s="22"/>
      <c r="E769" s="23"/>
      <c r="F769" s="22"/>
    </row>
    <row r="770" spans="2:8" ht="27.6" x14ac:dyDescent="0.3">
      <c r="B770" s="14" t="s">
        <v>513</v>
      </c>
      <c r="C770" s="14" t="s">
        <v>1108</v>
      </c>
      <c r="D770" s="14" t="s">
        <v>516</v>
      </c>
      <c r="E770" s="14" t="s">
        <v>970</v>
      </c>
      <c r="F770" s="14" t="s">
        <v>930</v>
      </c>
      <c r="G770" s="14" t="s">
        <v>961</v>
      </c>
    </row>
    <row r="771" spans="2:8" x14ac:dyDescent="0.3">
      <c r="B771" s="46" t="str">
        <f>B718</f>
        <v>Автоматизоване робоче місце, ПК</v>
      </c>
      <c r="C771" s="46">
        <f>C718</f>
        <v>0</v>
      </c>
      <c r="D771" s="62">
        <f>H746</f>
        <v>1932.7</v>
      </c>
      <c r="E771" s="17">
        <f>ROUND((C771/D771)/60,2)</f>
        <v>0</v>
      </c>
      <c r="F771" s="17">
        <f>D750</f>
        <v>10</v>
      </c>
      <c r="G771" s="16">
        <f>ROUND(E771*F771,2)</f>
        <v>0</v>
      </c>
    </row>
    <row r="772" spans="2:8" x14ac:dyDescent="0.3">
      <c r="B772" s="46" t="str">
        <f>B719</f>
        <v>Рентген</v>
      </c>
      <c r="C772" s="46">
        <f>C719</f>
        <v>0</v>
      </c>
      <c r="D772" s="62">
        <f>H747</f>
        <v>1506</v>
      </c>
      <c r="E772" s="17">
        <f>ROUND((C772/D772)/60,2)</f>
        <v>0</v>
      </c>
      <c r="F772" s="17">
        <f>D751</f>
        <v>15</v>
      </c>
      <c r="G772" s="16">
        <f>ROUND(E772*F772,2)</f>
        <v>0</v>
      </c>
      <c r="H772" s="38"/>
    </row>
    <row r="773" spans="2:8" ht="9.75" customHeight="1" x14ac:dyDescent="0.3"/>
    <row r="774" spans="2:8" x14ac:dyDescent="0.3">
      <c r="B774" s="12" t="s">
        <v>948</v>
      </c>
      <c r="C774" s="227"/>
      <c r="D774" s="12"/>
      <c r="E774" s="11">
        <f>G787</f>
        <v>3.45</v>
      </c>
      <c r="F774" s="12" t="s">
        <v>971</v>
      </c>
    </row>
    <row r="775" spans="2:8" ht="12.75" customHeight="1" x14ac:dyDescent="0.3">
      <c r="B775" s="22"/>
      <c r="C775" s="36"/>
      <c r="D775" s="22"/>
      <c r="E775" s="23"/>
    </row>
    <row r="776" spans="2:8" ht="27.6" x14ac:dyDescent="0.3">
      <c r="B776" s="14" t="s">
        <v>948</v>
      </c>
      <c r="C776" s="14" t="s">
        <v>1110</v>
      </c>
      <c r="D776" s="14" t="s">
        <v>516</v>
      </c>
      <c r="E776" s="14" t="s">
        <v>954</v>
      </c>
      <c r="F776" s="14" t="s">
        <v>930</v>
      </c>
      <c r="G776" s="14" t="s">
        <v>1111</v>
      </c>
    </row>
    <row r="777" spans="2:8" x14ac:dyDescent="0.3">
      <c r="B777" s="1009" t="str">
        <f>B746</f>
        <v>Лікар-рентгенолог</v>
      </c>
      <c r="C777" s="1010"/>
      <c r="D777" s="1010"/>
      <c r="E777" s="1010"/>
      <c r="F777" s="1010"/>
      <c r="G777" s="1011"/>
    </row>
    <row r="778" spans="2:8" x14ac:dyDescent="0.3">
      <c r="B778" s="17" t="s">
        <v>951</v>
      </c>
      <c r="C778" s="221">
        <f>C725</f>
        <v>12188.608008565312</v>
      </c>
      <c r="D778" s="17">
        <f>H746</f>
        <v>1932.7</v>
      </c>
      <c r="E778" s="17">
        <f>ROUND((C778/D778)/60,2)</f>
        <v>0.11</v>
      </c>
      <c r="F778" s="17">
        <f>D750</f>
        <v>10</v>
      </c>
      <c r="G778" s="16">
        <f>ROUND(E778*F778,2)</f>
        <v>1.1000000000000001</v>
      </c>
    </row>
    <row r="779" spans="2:8" x14ac:dyDescent="0.3">
      <c r="B779" s="17" t="s">
        <v>952</v>
      </c>
      <c r="C779" s="221">
        <f>C726</f>
        <v>53.149721627408987</v>
      </c>
      <c r="D779" s="17">
        <f>H746</f>
        <v>1932.7</v>
      </c>
      <c r="E779" s="17">
        <f>ROUND((C779/D779)/60,2)</f>
        <v>0</v>
      </c>
      <c r="F779" s="17">
        <f>D750</f>
        <v>10</v>
      </c>
      <c r="G779" s="16">
        <f>ROUND(E779*F779,2)</f>
        <v>0</v>
      </c>
    </row>
    <row r="780" spans="2:8" x14ac:dyDescent="0.3">
      <c r="B780" s="17" t="s">
        <v>953</v>
      </c>
      <c r="C780" s="221">
        <f>C727</f>
        <v>374.98368308351178</v>
      </c>
      <c r="D780" s="17">
        <f>H746</f>
        <v>1932.7</v>
      </c>
      <c r="E780" s="17">
        <f>ROUND((C780/D780)/60,2)</f>
        <v>0</v>
      </c>
      <c r="F780" s="17">
        <f>D750</f>
        <v>10</v>
      </c>
      <c r="G780" s="16">
        <f>ROUND(E780*F780,2)</f>
        <v>0</v>
      </c>
    </row>
    <row r="781" spans="2:8" x14ac:dyDescent="0.3">
      <c r="B781" s="17" t="s">
        <v>1109</v>
      </c>
      <c r="C781" s="221">
        <f>C728</f>
        <v>1686.0389293361886</v>
      </c>
      <c r="D781" s="17">
        <f>H746</f>
        <v>1932.7</v>
      </c>
      <c r="E781" s="17">
        <f>ROUND((C781/D781)/60,2)</f>
        <v>0.01</v>
      </c>
      <c r="F781" s="17">
        <f>D750</f>
        <v>10</v>
      </c>
      <c r="G781" s="16">
        <f>ROUND(E781*F781,2)</f>
        <v>0.1</v>
      </c>
    </row>
    <row r="782" spans="2:8" x14ac:dyDescent="0.3">
      <c r="B782" s="1009" t="str">
        <f>B747</f>
        <v>Рентгенолаборант</v>
      </c>
      <c r="C782" s="1010"/>
      <c r="D782" s="1010"/>
      <c r="E782" s="1010"/>
      <c r="F782" s="1010"/>
      <c r="G782" s="1011"/>
    </row>
    <row r="783" spans="2:8" x14ac:dyDescent="0.3">
      <c r="B783" s="17" t="s">
        <v>951</v>
      </c>
      <c r="C783" s="221">
        <f>C778</f>
        <v>12188.608008565312</v>
      </c>
      <c r="D783" s="17">
        <f>H747</f>
        <v>1506</v>
      </c>
      <c r="E783" s="17">
        <f>ROUND((C783/D783)/60,2)</f>
        <v>0.13</v>
      </c>
      <c r="F783" s="17">
        <f>D751</f>
        <v>15</v>
      </c>
      <c r="G783" s="16">
        <f>ROUND(E783*F783,2)</f>
        <v>1.95</v>
      </c>
    </row>
    <row r="784" spans="2:8" x14ac:dyDescent="0.3">
      <c r="B784" s="17" t="s">
        <v>952</v>
      </c>
      <c r="C784" s="221">
        <f>C779</f>
        <v>53.149721627408987</v>
      </c>
      <c r="D784" s="17">
        <f>H747</f>
        <v>1506</v>
      </c>
      <c r="E784" s="17">
        <f>ROUND((C784/D784)/60,2)</f>
        <v>0</v>
      </c>
      <c r="F784" s="17">
        <f>D751</f>
        <v>15</v>
      </c>
      <c r="G784" s="16">
        <f>ROUND(E784*F784,2)</f>
        <v>0</v>
      </c>
    </row>
    <row r="785" spans="1:15" x14ac:dyDescent="0.3">
      <c r="B785" s="17" t="s">
        <v>953</v>
      </c>
      <c r="C785" s="221">
        <f>C780</f>
        <v>374.98368308351178</v>
      </c>
      <c r="D785" s="17">
        <f>H747</f>
        <v>1506</v>
      </c>
      <c r="E785" s="17">
        <f>ROUND((C785/D785)/60,2)</f>
        <v>0</v>
      </c>
      <c r="F785" s="17">
        <f>D751</f>
        <v>15</v>
      </c>
      <c r="G785" s="16">
        <f>ROUND(E785*F785,2)</f>
        <v>0</v>
      </c>
    </row>
    <row r="786" spans="1:15" x14ac:dyDescent="0.3">
      <c r="B786" s="17" t="s">
        <v>1109</v>
      </c>
      <c r="C786" s="221">
        <f>C781</f>
        <v>1686.0389293361886</v>
      </c>
      <c r="D786" s="17">
        <f>H747</f>
        <v>1506</v>
      </c>
      <c r="E786" s="17">
        <f>ROUND((C786/D786)/60,2)</f>
        <v>0.02</v>
      </c>
      <c r="F786" s="17">
        <f>D751</f>
        <v>15</v>
      </c>
      <c r="G786" s="16">
        <f>ROUND(E786*F786,2)</f>
        <v>0.3</v>
      </c>
    </row>
    <row r="787" spans="1:15" x14ac:dyDescent="0.3">
      <c r="B787" s="1012" t="s">
        <v>957</v>
      </c>
      <c r="C787" s="1013"/>
      <c r="D787" s="1013"/>
      <c r="E787" s="1013"/>
      <c r="F787" s="1014"/>
      <c r="G787" s="18">
        <f>SUM(G778:G786)</f>
        <v>3.45</v>
      </c>
    </row>
    <row r="788" spans="1:15" ht="12" customHeight="1" x14ac:dyDescent="0.3"/>
    <row r="789" spans="1:15" ht="0.75" customHeight="1" x14ac:dyDescent="0.3"/>
    <row r="790" spans="1:15" x14ac:dyDescent="0.3">
      <c r="B790" s="1015" t="s">
        <v>959</v>
      </c>
      <c r="C790" s="1015"/>
      <c r="D790" s="1015"/>
      <c r="E790" s="1015"/>
      <c r="F790" s="1015"/>
      <c r="G790" s="32">
        <f>E743+E755+E768+E774</f>
        <v>45.040000000000006</v>
      </c>
    </row>
    <row r="791" spans="1:15" x14ac:dyDescent="0.3">
      <c r="B791" s="33"/>
      <c r="C791" s="33"/>
      <c r="D791" s="33"/>
      <c r="E791" s="33"/>
      <c r="F791" s="33"/>
      <c r="G791" s="34"/>
    </row>
    <row r="792" spans="1:15" s="54" customFormat="1" ht="19.8" x14ac:dyDescent="0.4">
      <c r="A792" s="53"/>
      <c r="B792" s="1051" t="s">
        <v>960</v>
      </c>
      <c r="C792" s="1051"/>
      <c r="D792" s="1051"/>
      <c r="E792" s="1051"/>
      <c r="F792" s="1051"/>
      <c r="G792" s="32">
        <f>ROUND(G790,0)</f>
        <v>45</v>
      </c>
      <c r="H792" s="53"/>
      <c r="I792" s="53"/>
      <c r="J792" s="132"/>
      <c r="K792" s="126"/>
      <c r="L792" s="126"/>
      <c r="M792" s="126"/>
      <c r="N792" s="126"/>
      <c r="O792" s="127"/>
    </row>
    <row r="793" spans="1:15" s="54" customFormat="1" ht="19.8" x14ac:dyDescent="0.4">
      <c r="A793" s="53"/>
      <c r="B793" s="53"/>
      <c r="C793" s="225"/>
      <c r="D793" s="53"/>
      <c r="E793" s="53"/>
      <c r="F793" s="53"/>
      <c r="G793" s="53"/>
      <c r="H793" s="53"/>
      <c r="I793" s="53"/>
      <c r="J793" s="132"/>
      <c r="K793" s="126"/>
      <c r="L793" s="126"/>
      <c r="M793" s="126"/>
      <c r="N793" s="126"/>
      <c r="O793" s="127"/>
    </row>
    <row r="794" spans="1:15" s="54" customFormat="1" ht="19.8" x14ac:dyDescent="0.4">
      <c r="A794" s="50" t="s">
        <v>638</v>
      </c>
      <c r="B794" s="1032" t="s">
        <v>683</v>
      </c>
      <c r="C794" s="1032"/>
      <c r="D794" s="1032"/>
      <c r="E794" s="52">
        <f>G846</f>
        <v>41</v>
      </c>
      <c r="F794" s="52" t="s">
        <v>971</v>
      </c>
      <c r="G794" s="53"/>
      <c r="H794" s="124"/>
      <c r="I794" s="125" t="s">
        <v>1128</v>
      </c>
      <c r="J794" s="132"/>
      <c r="K794" s="126"/>
      <c r="L794" s="126"/>
      <c r="M794" s="126"/>
      <c r="N794" s="126"/>
      <c r="O794" s="127"/>
    </row>
    <row r="796" spans="1:15" x14ac:dyDescent="0.3">
      <c r="B796" s="1018" t="s">
        <v>932</v>
      </c>
      <c r="C796" s="1018"/>
      <c r="D796" s="10"/>
      <c r="E796" s="11">
        <f>E803+E806+E804</f>
        <v>31.78</v>
      </c>
      <c r="F796" s="12" t="s">
        <v>971</v>
      </c>
    </row>
    <row r="798" spans="1:15" ht="27.6" x14ac:dyDescent="0.3">
      <c r="B798" s="13" t="s">
        <v>929</v>
      </c>
      <c r="C798" s="14" t="s">
        <v>928</v>
      </c>
      <c r="D798" s="14" t="s">
        <v>514</v>
      </c>
      <c r="E798" s="14" t="s">
        <v>515</v>
      </c>
      <c r="F798" s="14" t="s">
        <v>962</v>
      </c>
      <c r="G798" s="14" t="s">
        <v>926</v>
      </c>
      <c r="H798" s="14" t="s">
        <v>516</v>
      </c>
      <c r="I798" s="14" t="s">
        <v>961</v>
      </c>
    </row>
    <row r="799" spans="1:15" x14ac:dyDescent="0.3">
      <c r="B799" s="16" t="str">
        <f>B746</f>
        <v>Лікар-рентгенолог</v>
      </c>
      <c r="C799" s="78">
        <f>C746</f>
        <v>8463.5400000000009</v>
      </c>
      <c r="D799" s="16">
        <f>C799*12</f>
        <v>101562.48000000001</v>
      </c>
      <c r="E799" s="16">
        <f>E746</f>
        <v>7052.95</v>
      </c>
      <c r="F799" s="16">
        <f>F746</f>
        <v>3526.4749999999999</v>
      </c>
      <c r="G799" s="16">
        <f>D799+E799+F799</f>
        <v>112141.90500000001</v>
      </c>
      <c r="H799" s="17">
        <v>1932.7</v>
      </c>
      <c r="I799" s="16">
        <f>ROUND((G799/H799)/60,2)</f>
        <v>0.97</v>
      </c>
    </row>
    <row r="800" spans="1:15" x14ac:dyDescent="0.3">
      <c r="B800" s="16" t="str">
        <f>B747</f>
        <v>Рентгенолаборант</v>
      </c>
      <c r="C800" s="78">
        <f>C747</f>
        <v>7482.48</v>
      </c>
      <c r="D800" s="24">
        <f>C800*12</f>
        <v>89789.759999999995</v>
      </c>
      <c r="E800" s="16">
        <f>E747</f>
        <v>5755.75</v>
      </c>
      <c r="F800" s="16">
        <f>F747</f>
        <v>2877.875</v>
      </c>
      <c r="G800" s="16">
        <f>D800+E800+F800</f>
        <v>98423.384999999995</v>
      </c>
      <c r="H800" s="62">
        <v>1506</v>
      </c>
      <c r="I800" s="16">
        <f>ROUND((G800/H800)/60,2)</f>
        <v>1.0900000000000001</v>
      </c>
    </row>
    <row r="802" spans="1:15" ht="27.6" x14ac:dyDescent="0.3">
      <c r="B802" s="13" t="s">
        <v>929</v>
      </c>
      <c r="C802" s="14" t="s">
        <v>961</v>
      </c>
      <c r="D802" s="14" t="s">
        <v>930</v>
      </c>
      <c r="E802" s="14" t="s">
        <v>931</v>
      </c>
    </row>
    <row r="803" spans="1:15" x14ac:dyDescent="0.3">
      <c r="B803" s="15" t="str">
        <f>B799</f>
        <v>Лікар-рентгенолог</v>
      </c>
      <c r="C803" s="78">
        <f>I799</f>
        <v>0.97</v>
      </c>
      <c r="D803" s="17">
        <v>10</v>
      </c>
      <c r="E803" s="18">
        <f>ROUND(C803*D803,2)</f>
        <v>9.6999999999999993</v>
      </c>
    </row>
    <row r="804" spans="1:15" x14ac:dyDescent="0.3">
      <c r="B804" s="15" t="str">
        <f>B800</f>
        <v>Рентгенолаборант</v>
      </c>
      <c r="C804" s="78">
        <f>I800</f>
        <v>1.0900000000000001</v>
      </c>
      <c r="D804" s="17">
        <v>15</v>
      </c>
      <c r="E804" s="18">
        <f>ROUND(C804*D804,2)</f>
        <v>16.350000000000001</v>
      </c>
    </row>
    <row r="805" spans="1:15" x14ac:dyDescent="0.3">
      <c r="C805" s="19"/>
    </row>
    <row r="806" spans="1:15" x14ac:dyDescent="0.3">
      <c r="B806" s="17" t="s">
        <v>933</v>
      </c>
      <c r="C806" s="78">
        <f>E803+E804</f>
        <v>26.05</v>
      </c>
      <c r="D806" s="20">
        <v>0.22</v>
      </c>
      <c r="E806" s="21">
        <f>ROUND(C806*D806,2)</f>
        <v>5.73</v>
      </c>
    </row>
    <row r="808" spans="1:15" x14ac:dyDescent="0.3">
      <c r="B808" s="12" t="s">
        <v>946</v>
      </c>
      <c r="C808" s="227"/>
      <c r="D808" s="12"/>
      <c r="E808" s="11">
        <f>F818</f>
        <v>5.91</v>
      </c>
      <c r="F808" s="12" t="s">
        <v>971</v>
      </c>
    </row>
    <row r="810" spans="1:15" x14ac:dyDescent="0.3">
      <c r="B810" s="27" t="s">
        <v>936</v>
      </c>
      <c r="C810" s="28" t="s">
        <v>937</v>
      </c>
      <c r="D810" s="29">
        <v>1</v>
      </c>
      <c r="E810" s="30">
        <f>'МЕДИЧНІ М'!F115</f>
        <v>0.3</v>
      </c>
      <c r="F810" s="30">
        <f t="shared" ref="F810:F817" si="21">ROUND(D810*E810,2)</f>
        <v>0.3</v>
      </c>
    </row>
    <row r="811" spans="1:15" s="184" customFormat="1" x14ac:dyDescent="0.3">
      <c r="A811" s="180"/>
      <c r="B811" s="185" t="s">
        <v>1021</v>
      </c>
      <c r="C811" s="186" t="s">
        <v>941</v>
      </c>
      <c r="D811" s="164">
        <v>0.5</v>
      </c>
      <c r="E811" s="164">
        <f>'МЕДИЧНІ М'!E181</f>
        <v>2</v>
      </c>
      <c r="F811" s="164">
        <f t="shared" si="21"/>
        <v>1</v>
      </c>
      <c r="G811" s="180"/>
      <c r="H811" s="180"/>
      <c r="I811" s="180"/>
      <c r="J811" s="187"/>
      <c r="K811" s="189"/>
      <c r="L811" s="189"/>
      <c r="M811" s="189"/>
      <c r="N811" s="189"/>
      <c r="O811" s="188"/>
    </row>
    <row r="812" spans="1:15" x14ac:dyDescent="0.3">
      <c r="B812" s="15" t="s">
        <v>1216</v>
      </c>
      <c r="C812" s="73" t="s">
        <v>941</v>
      </c>
      <c r="D812" s="17">
        <v>0.1</v>
      </c>
      <c r="E812" s="16">
        <f>'МЕДИЧНІ М'!E113</f>
        <v>8</v>
      </c>
      <c r="F812" s="17">
        <f t="shared" si="21"/>
        <v>0.8</v>
      </c>
    </row>
    <row r="813" spans="1:15" ht="28.2" x14ac:dyDescent="0.3">
      <c r="B813" s="15" t="s">
        <v>1025</v>
      </c>
      <c r="C813" s="73" t="s">
        <v>941</v>
      </c>
      <c r="D813" s="17">
        <v>0.02</v>
      </c>
      <c r="E813" s="17">
        <f>'МЕДИЧНІ М'!F121</f>
        <v>54</v>
      </c>
      <c r="F813" s="17">
        <f t="shared" si="21"/>
        <v>1.08</v>
      </c>
    </row>
    <row r="814" spans="1:15" x14ac:dyDescent="0.3">
      <c r="B814" s="15" t="s">
        <v>1024</v>
      </c>
      <c r="C814" s="73" t="s">
        <v>941</v>
      </c>
      <c r="D814" s="17">
        <v>0.02</v>
      </c>
      <c r="E814" s="17">
        <f>'МЕДИЧНІ М'!F118</f>
        <v>97.3</v>
      </c>
      <c r="F814" s="17">
        <f t="shared" si="21"/>
        <v>1.95</v>
      </c>
    </row>
    <row r="815" spans="1:15" x14ac:dyDescent="0.3">
      <c r="B815" s="15" t="s">
        <v>964</v>
      </c>
      <c r="C815" s="73" t="s">
        <v>941</v>
      </c>
      <c r="D815" s="17">
        <v>0.1</v>
      </c>
      <c r="E815" s="16">
        <f>'МЕДИЧНІ М'!E119</f>
        <v>2.8</v>
      </c>
      <c r="F815" s="17">
        <f t="shared" si="21"/>
        <v>0.28000000000000003</v>
      </c>
    </row>
    <row r="816" spans="1:15" x14ac:dyDescent="0.3">
      <c r="B816" s="27" t="s">
        <v>942</v>
      </c>
      <c r="C816" s="28" t="s">
        <v>941</v>
      </c>
      <c r="D816" s="29">
        <v>0.01</v>
      </c>
      <c r="E816" s="29">
        <f>'МЕДИЧНІ М'!E120</f>
        <v>24.6</v>
      </c>
      <c r="F816" s="30">
        <f t="shared" si="21"/>
        <v>0.25</v>
      </c>
    </row>
    <row r="817" spans="2:8" x14ac:dyDescent="0.3">
      <c r="B817" s="27" t="s">
        <v>1124</v>
      </c>
      <c r="C817" s="28" t="s">
        <v>944</v>
      </c>
      <c r="D817" s="29">
        <v>0.5</v>
      </c>
      <c r="E817" s="29">
        <f>'МЕДИЧНІ М'!E114</f>
        <v>0.5</v>
      </c>
      <c r="F817" s="30">
        <f t="shared" si="21"/>
        <v>0.25</v>
      </c>
    </row>
    <row r="818" spans="2:8" x14ac:dyDescent="0.3">
      <c r="B818" s="1019" t="s">
        <v>945</v>
      </c>
      <c r="C818" s="1019"/>
      <c r="D818" s="1019"/>
      <c r="E818" s="1019"/>
      <c r="F818" s="89">
        <f>SUM(F810:F817)</f>
        <v>5.91</v>
      </c>
    </row>
    <row r="820" spans="2:8" x14ac:dyDescent="0.3">
      <c r="B820" s="12" t="s">
        <v>968</v>
      </c>
      <c r="C820" s="227"/>
      <c r="D820" s="12"/>
      <c r="E820" s="11">
        <f>SUM(G823:G824)</f>
        <v>0</v>
      </c>
      <c r="F820" s="12" t="s">
        <v>971</v>
      </c>
    </row>
    <row r="821" spans="2:8" x14ac:dyDescent="0.3">
      <c r="B821" s="22"/>
      <c r="C821" s="36"/>
      <c r="D821" s="22"/>
      <c r="E821" s="23"/>
      <c r="F821" s="22"/>
    </row>
    <row r="822" spans="2:8" ht="27.6" x14ac:dyDescent="0.3">
      <c r="B822" s="14" t="s">
        <v>513</v>
      </c>
      <c r="C822" s="14" t="s">
        <v>1108</v>
      </c>
      <c r="D822" s="14" t="s">
        <v>516</v>
      </c>
      <c r="E822" s="14" t="s">
        <v>970</v>
      </c>
      <c r="F822" s="14" t="s">
        <v>930</v>
      </c>
      <c r="G822" s="14" t="s">
        <v>961</v>
      </c>
    </row>
    <row r="823" spans="2:8" x14ac:dyDescent="0.3">
      <c r="B823" s="46" t="s">
        <v>1161</v>
      </c>
      <c r="C823" s="73">
        <f>C771</f>
        <v>0</v>
      </c>
      <c r="D823" s="62">
        <f>H799</f>
        <v>1932.7</v>
      </c>
      <c r="E823" s="17">
        <f>ROUND((C823/D823)/60,2)</f>
        <v>0</v>
      </c>
      <c r="F823" s="17">
        <f>D803</f>
        <v>10</v>
      </c>
      <c r="G823" s="16">
        <f>ROUND(E823*F823,2)</f>
        <v>0</v>
      </c>
    </row>
    <row r="824" spans="2:8" x14ac:dyDescent="0.3">
      <c r="B824" s="27" t="s">
        <v>1093</v>
      </c>
      <c r="C824" s="73">
        <f>C772</f>
        <v>0</v>
      </c>
      <c r="D824" s="62">
        <f>H800</f>
        <v>1506</v>
      </c>
      <c r="E824" s="17">
        <f>ROUND((C824/D824)/60,2)</f>
        <v>0</v>
      </c>
      <c r="F824" s="17">
        <f>D804</f>
        <v>15</v>
      </c>
      <c r="G824" s="16">
        <f>ROUND(E824*F824,2)</f>
        <v>0</v>
      </c>
      <c r="H824" s="38"/>
    </row>
    <row r="826" spans="2:8" x14ac:dyDescent="0.3">
      <c r="B826" s="12" t="s">
        <v>948</v>
      </c>
      <c r="C826" s="227"/>
      <c r="D826" s="12"/>
      <c r="E826" s="11">
        <f>G839</f>
        <v>3.45</v>
      </c>
      <c r="F826" s="12" t="s">
        <v>971</v>
      </c>
    </row>
    <row r="827" spans="2:8" x14ac:dyDescent="0.3">
      <c r="B827" s="22"/>
      <c r="C827" s="36"/>
      <c r="D827" s="22"/>
      <c r="E827" s="23"/>
    </row>
    <row r="828" spans="2:8" ht="27.6" x14ac:dyDescent="0.3">
      <c r="B828" s="14" t="s">
        <v>948</v>
      </c>
      <c r="C828" s="14" t="s">
        <v>1110</v>
      </c>
      <c r="D828" s="14" t="s">
        <v>516</v>
      </c>
      <c r="E828" s="14" t="s">
        <v>954</v>
      </c>
      <c r="F828" s="14" t="s">
        <v>930</v>
      </c>
      <c r="G828" s="14" t="s">
        <v>1111</v>
      </c>
    </row>
    <row r="829" spans="2:8" x14ac:dyDescent="0.3">
      <c r="B829" s="1009" t="str">
        <f>B799</f>
        <v>Лікар-рентгенолог</v>
      </c>
      <c r="C829" s="1010"/>
      <c r="D829" s="1010"/>
      <c r="E829" s="1010"/>
      <c r="F829" s="1010"/>
      <c r="G829" s="1011"/>
    </row>
    <row r="830" spans="2:8" x14ac:dyDescent="0.3">
      <c r="B830" s="17" t="s">
        <v>951</v>
      </c>
      <c r="C830" s="221">
        <f>C778</f>
        <v>12188.608008565312</v>
      </c>
      <c r="D830" s="17">
        <f>H799</f>
        <v>1932.7</v>
      </c>
      <c r="E830" s="17">
        <f>ROUND((C830/D830)/60,2)</f>
        <v>0.11</v>
      </c>
      <c r="F830" s="17">
        <f>D803</f>
        <v>10</v>
      </c>
      <c r="G830" s="16">
        <f>ROUND(E830*F830,2)</f>
        <v>1.1000000000000001</v>
      </c>
    </row>
    <row r="831" spans="2:8" x14ac:dyDescent="0.3">
      <c r="B831" s="17" t="s">
        <v>952</v>
      </c>
      <c r="C831" s="221">
        <f>C779</f>
        <v>53.149721627408987</v>
      </c>
      <c r="D831" s="17">
        <f>H799</f>
        <v>1932.7</v>
      </c>
      <c r="E831" s="17">
        <f>ROUND((C831/D831)/60,2)</f>
        <v>0</v>
      </c>
      <c r="F831" s="17">
        <f>D803</f>
        <v>10</v>
      </c>
      <c r="G831" s="16">
        <f>ROUND(E831*F831,2)</f>
        <v>0</v>
      </c>
    </row>
    <row r="832" spans="2:8" x14ac:dyDescent="0.3">
      <c r="B832" s="17" t="s">
        <v>953</v>
      </c>
      <c r="C832" s="221">
        <f>C780</f>
        <v>374.98368308351178</v>
      </c>
      <c r="D832" s="17">
        <f>H799</f>
        <v>1932.7</v>
      </c>
      <c r="E832" s="17">
        <f>ROUND((C832/D832)/60,2)</f>
        <v>0</v>
      </c>
      <c r="F832" s="17">
        <f>D803</f>
        <v>10</v>
      </c>
      <c r="G832" s="16">
        <f>ROUND(E832*F832,2)</f>
        <v>0</v>
      </c>
    </row>
    <row r="833" spans="1:15" x14ac:dyDescent="0.3">
      <c r="B833" s="17" t="s">
        <v>1109</v>
      </c>
      <c r="C833" s="221">
        <f>C781</f>
        <v>1686.0389293361886</v>
      </c>
      <c r="D833" s="17">
        <f>H799</f>
        <v>1932.7</v>
      </c>
      <c r="E833" s="17">
        <f>ROUND((C833/D833)/60,2)</f>
        <v>0.01</v>
      </c>
      <c r="F833" s="17">
        <f>D803</f>
        <v>10</v>
      </c>
      <c r="G833" s="16">
        <f>ROUND(E833*F833,2)</f>
        <v>0.1</v>
      </c>
    </row>
    <row r="834" spans="1:15" x14ac:dyDescent="0.3">
      <c r="B834" s="1009" t="str">
        <f>B800</f>
        <v>Рентгенолаборант</v>
      </c>
      <c r="C834" s="1010"/>
      <c r="D834" s="1010"/>
      <c r="E834" s="1010"/>
      <c r="F834" s="1010"/>
      <c r="G834" s="1011"/>
    </row>
    <row r="835" spans="1:15" x14ac:dyDescent="0.3">
      <c r="B835" s="17" t="s">
        <v>951</v>
      </c>
      <c r="C835" s="221">
        <f>C830</f>
        <v>12188.608008565312</v>
      </c>
      <c r="D835" s="17">
        <f>H800</f>
        <v>1506</v>
      </c>
      <c r="E835" s="17">
        <f>ROUND((C835/D835)/60,2)</f>
        <v>0.13</v>
      </c>
      <c r="F835" s="17">
        <f>D804</f>
        <v>15</v>
      </c>
      <c r="G835" s="16">
        <f>ROUND(E835*F835,2)</f>
        <v>1.95</v>
      </c>
    </row>
    <row r="836" spans="1:15" x14ac:dyDescent="0.3">
      <c r="B836" s="17" t="s">
        <v>952</v>
      </c>
      <c r="C836" s="221">
        <f>C831</f>
        <v>53.149721627408987</v>
      </c>
      <c r="D836" s="17">
        <f>H800</f>
        <v>1506</v>
      </c>
      <c r="E836" s="17">
        <f>ROUND((C836/D836)/60,2)</f>
        <v>0</v>
      </c>
      <c r="F836" s="17">
        <f>D804</f>
        <v>15</v>
      </c>
      <c r="G836" s="16">
        <f>ROUND(E836*F836,2)</f>
        <v>0</v>
      </c>
    </row>
    <row r="837" spans="1:15" x14ac:dyDescent="0.3">
      <c r="B837" s="17" t="s">
        <v>953</v>
      </c>
      <c r="C837" s="221">
        <f>C832</f>
        <v>374.98368308351178</v>
      </c>
      <c r="D837" s="17">
        <f>H800</f>
        <v>1506</v>
      </c>
      <c r="E837" s="17">
        <f>ROUND((C837/D837)/60,2)</f>
        <v>0</v>
      </c>
      <c r="F837" s="17">
        <f>D804</f>
        <v>15</v>
      </c>
      <c r="G837" s="16">
        <f>ROUND(E837*F837,2)</f>
        <v>0</v>
      </c>
    </row>
    <row r="838" spans="1:15" x14ac:dyDescent="0.3">
      <c r="B838" s="17" t="s">
        <v>1109</v>
      </c>
      <c r="C838" s="221">
        <f>C833</f>
        <v>1686.0389293361886</v>
      </c>
      <c r="D838" s="17">
        <f>H800</f>
        <v>1506</v>
      </c>
      <c r="E838" s="17">
        <f>ROUND((C838/D838)/60,2)</f>
        <v>0.02</v>
      </c>
      <c r="F838" s="17">
        <f>D804</f>
        <v>15</v>
      </c>
      <c r="G838" s="16">
        <f>ROUND(E838*F838,2)</f>
        <v>0.3</v>
      </c>
    </row>
    <row r="839" spans="1:15" x14ac:dyDescent="0.3">
      <c r="B839" s="1012" t="s">
        <v>957</v>
      </c>
      <c r="C839" s="1013"/>
      <c r="D839" s="1013"/>
      <c r="E839" s="1013"/>
      <c r="F839" s="1014"/>
      <c r="G839" s="18">
        <f>SUM(G830:G838)</f>
        <v>3.45</v>
      </c>
    </row>
    <row r="840" spans="1:15" ht="13.5" customHeight="1" x14ac:dyDescent="0.3"/>
    <row r="842" spans="1:15" x14ac:dyDescent="0.3">
      <c r="B842" s="1015" t="s">
        <v>959</v>
      </c>
      <c r="C842" s="1015"/>
      <c r="D842" s="1015"/>
      <c r="E842" s="1015"/>
      <c r="F842" s="1015"/>
      <c r="G842" s="32">
        <f>E796+E808+E820+E826</f>
        <v>41.14</v>
      </c>
    </row>
    <row r="843" spans="1:15" x14ac:dyDescent="0.3">
      <c r="B843" s="33"/>
      <c r="C843" s="33"/>
      <c r="D843" s="33"/>
      <c r="E843" s="33"/>
      <c r="F843" s="33"/>
      <c r="G843" s="34"/>
    </row>
    <row r="844" spans="1:15" x14ac:dyDescent="0.3">
      <c r="B844" s="1015" t="s">
        <v>960</v>
      </c>
      <c r="C844" s="1015"/>
      <c r="D844" s="1015"/>
      <c r="E844" s="1015"/>
      <c r="F844" s="1015"/>
      <c r="G844" s="32">
        <f>ROUND(G842,0)</f>
        <v>41</v>
      </c>
    </row>
    <row r="845" spans="1:15" ht="18.75" customHeight="1" x14ac:dyDescent="0.3">
      <c r="A845" s="111"/>
      <c r="B845" s="111"/>
      <c r="D845" s="111"/>
      <c r="E845" s="111"/>
      <c r="F845" s="111"/>
      <c r="G845" s="111"/>
      <c r="H845" s="111"/>
    </row>
    <row r="846" spans="1:15" s="54" customFormat="1" ht="19.8" x14ac:dyDescent="0.4">
      <c r="A846" s="53"/>
      <c r="B846" s="1051" t="s">
        <v>960</v>
      </c>
      <c r="C846" s="1051"/>
      <c r="D846" s="1051"/>
      <c r="E846" s="1051"/>
      <c r="F846" s="1051"/>
      <c r="G846" s="32">
        <f>ROUND(G844,0)</f>
        <v>41</v>
      </c>
      <c r="H846" s="53"/>
      <c r="I846" s="53"/>
      <c r="J846" s="132"/>
      <c r="K846" s="126"/>
      <c r="L846" s="126"/>
      <c r="M846" s="126"/>
      <c r="N846" s="126"/>
      <c r="O846" s="127"/>
    </row>
    <row r="847" spans="1:15" s="54" customFormat="1" ht="18.75" customHeight="1" x14ac:dyDescent="0.4">
      <c r="A847" s="153"/>
      <c r="B847" s="153"/>
      <c r="C847" s="225"/>
      <c r="D847" s="153"/>
      <c r="E847" s="153"/>
      <c r="F847" s="153"/>
      <c r="G847" s="153"/>
      <c r="H847" s="153"/>
      <c r="I847" s="53"/>
      <c r="J847" s="132"/>
      <c r="K847" s="126"/>
      <c r="L847" s="126"/>
      <c r="M847" s="126"/>
      <c r="N847" s="126"/>
      <c r="O847" s="127"/>
    </row>
    <row r="848" spans="1:15" s="54" customFormat="1" ht="19.8" x14ac:dyDescent="0.4">
      <c r="A848" s="50" t="s">
        <v>640</v>
      </c>
      <c r="B848" s="1032" t="s">
        <v>685</v>
      </c>
      <c r="C848" s="1032"/>
      <c r="D848" s="1032"/>
      <c r="E848" s="52">
        <f>G898</f>
        <v>34</v>
      </c>
      <c r="F848" s="52" t="s">
        <v>971</v>
      </c>
      <c r="G848" s="53"/>
      <c r="H848" s="124"/>
      <c r="I848" s="125"/>
      <c r="J848" s="132"/>
      <c r="K848" s="126"/>
      <c r="L848" s="126"/>
      <c r="M848" s="126"/>
      <c r="N848" s="126"/>
      <c r="O848" s="127"/>
    </row>
    <row r="850" spans="2:9" x14ac:dyDescent="0.3">
      <c r="B850" s="1018" t="s">
        <v>932</v>
      </c>
      <c r="C850" s="1018"/>
      <c r="D850" s="10"/>
      <c r="E850" s="11">
        <f>E857+E860+E858</f>
        <v>25.130000000000003</v>
      </c>
      <c r="F850" s="12" t="s">
        <v>971</v>
      </c>
    </row>
    <row r="852" spans="2:9" ht="27.6" x14ac:dyDescent="0.3">
      <c r="B852" s="13" t="s">
        <v>929</v>
      </c>
      <c r="C852" s="14" t="s">
        <v>928</v>
      </c>
      <c r="D852" s="14" t="s">
        <v>514</v>
      </c>
      <c r="E852" s="14" t="s">
        <v>515</v>
      </c>
      <c r="F852" s="14" t="s">
        <v>962</v>
      </c>
      <c r="G852" s="14" t="s">
        <v>926</v>
      </c>
      <c r="H852" s="14" t="s">
        <v>516</v>
      </c>
      <c r="I852" s="14" t="s">
        <v>961</v>
      </c>
    </row>
    <row r="853" spans="2:9" x14ac:dyDescent="0.3">
      <c r="B853" s="16" t="str">
        <f>B799</f>
        <v>Лікар-рентгенолог</v>
      </c>
      <c r="C853" s="78">
        <f>C799</f>
        <v>8463.5400000000009</v>
      </c>
      <c r="D853" s="16">
        <f>C853*12</f>
        <v>101562.48000000001</v>
      </c>
      <c r="E853" s="16">
        <f>E799</f>
        <v>7052.95</v>
      </c>
      <c r="F853" s="16">
        <f>F799</f>
        <v>3526.4749999999999</v>
      </c>
      <c r="G853" s="16">
        <f>D853+E853+F853</f>
        <v>112141.90500000001</v>
      </c>
      <c r="H853" s="17">
        <v>1932.7</v>
      </c>
      <c r="I853" s="16">
        <f>ROUND((G853/H853)/60,2)</f>
        <v>0.97</v>
      </c>
    </row>
    <row r="854" spans="2:9" x14ac:dyDescent="0.3">
      <c r="B854" s="16" t="str">
        <f>B800</f>
        <v>Рентгенолаборант</v>
      </c>
      <c r="C854" s="78">
        <f>C800</f>
        <v>7482.48</v>
      </c>
      <c r="D854" s="24">
        <f>C854*12</f>
        <v>89789.759999999995</v>
      </c>
      <c r="E854" s="16">
        <f>E800</f>
        <v>5755.75</v>
      </c>
      <c r="F854" s="16">
        <f>F800</f>
        <v>2877.875</v>
      </c>
      <c r="G854" s="16">
        <f>D854+E854+F854</f>
        <v>98423.384999999995</v>
      </c>
      <c r="H854" s="62">
        <v>1506</v>
      </c>
      <c r="I854" s="16">
        <f>ROUND((G854/H854)/60,2)</f>
        <v>1.0900000000000001</v>
      </c>
    </row>
    <row r="856" spans="2:9" ht="27.6" x14ac:dyDescent="0.3">
      <c r="B856" s="13" t="s">
        <v>929</v>
      </c>
      <c r="C856" s="14" t="s">
        <v>961</v>
      </c>
      <c r="D856" s="14" t="s">
        <v>930</v>
      </c>
      <c r="E856" s="14" t="s">
        <v>931</v>
      </c>
    </row>
    <row r="857" spans="2:9" x14ac:dyDescent="0.3">
      <c r="B857" s="15" t="str">
        <f>B853</f>
        <v>Лікар-рентгенолог</v>
      </c>
      <c r="C857" s="78">
        <f>I853</f>
        <v>0.97</v>
      </c>
      <c r="D857" s="17">
        <v>10</v>
      </c>
      <c r="E857" s="18">
        <f>ROUND(C857*D857,2)</f>
        <v>9.6999999999999993</v>
      </c>
    </row>
    <row r="858" spans="2:9" x14ac:dyDescent="0.3">
      <c r="B858" s="15" t="str">
        <f>B854</f>
        <v>Рентгенолаборант</v>
      </c>
      <c r="C858" s="78">
        <f>I854</f>
        <v>1.0900000000000001</v>
      </c>
      <c r="D858" s="17">
        <v>10</v>
      </c>
      <c r="E858" s="18">
        <f>ROUND(C858*D858,2)</f>
        <v>10.9</v>
      </c>
    </row>
    <row r="859" spans="2:9" x14ac:dyDescent="0.3">
      <c r="C859" s="19"/>
    </row>
    <row r="860" spans="2:9" x14ac:dyDescent="0.3">
      <c r="B860" s="17" t="s">
        <v>933</v>
      </c>
      <c r="C860" s="78">
        <f>E857+E858</f>
        <v>20.6</v>
      </c>
      <c r="D860" s="20">
        <v>0.22</v>
      </c>
      <c r="E860" s="21">
        <f>ROUND(C860*D860,2)</f>
        <v>4.53</v>
      </c>
    </row>
    <row r="862" spans="2:9" x14ac:dyDescent="0.3">
      <c r="B862" s="12" t="s">
        <v>946</v>
      </c>
      <c r="C862" s="227"/>
      <c r="D862" s="12"/>
      <c r="E862" s="11">
        <f>F872</f>
        <v>5.91</v>
      </c>
      <c r="F862" s="12" t="s">
        <v>971</v>
      </c>
    </row>
    <row r="864" spans="2:9" x14ac:dyDescent="0.3">
      <c r="B864" s="27" t="s">
        <v>936</v>
      </c>
      <c r="C864" s="28" t="s">
        <v>937</v>
      </c>
      <c r="D864" s="29">
        <v>1</v>
      </c>
      <c r="E864" s="30">
        <f>E810</f>
        <v>0.3</v>
      </c>
      <c r="F864" s="30">
        <f t="shared" ref="F864:F871" si="22">ROUND(D864*E864,2)</f>
        <v>0.3</v>
      </c>
    </row>
    <row r="865" spans="1:15" s="184" customFormat="1" x14ac:dyDescent="0.3">
      <c r="A865" s="180"/>
      <c r="B865" s="185" t="s">
        <v>1021</v>
      </c>
      <c r="C865" s="186" t="s">
        <v>941</v>
      </c>
      <c r="D865" s="164">
        <v>0.5</v>
      </c>
      <c r="E865" s="30">
        <f t="shared" ref="E865:E871" si="23">E811</f>
        <v>2</v>
      </c>
      <c r="F865" s="164">
        <f t="shared" si="22"/>
        <v>1</v>
      </c>
      <c r="G865" s="180"/>
      <c r="H865" s="180"/>
      <c r="I865" s="180"/>
      <c r="J865" s="187"/>
      <c r="K865" s="189"/>
      <c r="L865" s="189"/>
      <c r="M865" s="189"/>
      <c r="N865" s="189"/>
      <c r="O865" s="188"/>
    </row>
    <row r="866" spans="1:15" x14ac:dyDescent="0.3">
      <c r="B866" s="15" t="s">
        <v>1216</v>
      </c>
      <c r="C866" s="73" t="s">
        <v>941</v>
      </c>
      <c r="D866" s="17">
        <v>0.1</v>
      </c>
      <c r="E866" s="30">
        <f t="shared" si="23"/>
        <v>8</v>
      </c>
      <c r="F866" s="17">
        <f t="shared" si="22"/>
        <v>0.8</v>
      </c>
    </row>
    <row r="867" spans="1:15" ht="28.2" x14ac:dyDescent="0.3">
      <c r="B867" s="15" t="s">
        <v>1025</v>
      </c>
      <c r="C867" s="73" t="s">
        <v>941</v>
      </c>
      <c r="D867" s="17">
        <v>0.02</v>
      </c>
      <c r="E867" s="30">
        <f t="shared" si="23"/>
        <v>54</v>
      </c>
      <c r="F867" s="17">
        <f t="shared" si="22"/>
        <v>1.08</v>
      </c>
    </row>
    <row r="868" spans="1:15" x14ac:dyDescent="0.3">
      <c r="B868" s="15" t="s">
        <v>1024</v>
      </c>
      <c r="C868" s="73" t="s">
        <v>941</v>
      </c>
      <c r="D868" s="17">
        <v>0.02</v>
      </c>
      <c r="E868" s="30">
        <f t="shared" si="23"/>
        <v>97.3</v>
      </c>
      <c r="F868" s="17">
        <f t="shared" si="22"/>
        <v>1.95</v>
      </c>
    </row>
    <row r="869" spans="1:15" x14ac:dyDescent="0.3">
      <c r="B869" s="15" t="s">
        <v>964</v>
      </c>
      <c r="C869" s="73" t="s">
        <v>941</v>
      </c>
      <c r="D869" s="17">
        <v>0.1</v>
      </c>
      <c r="E869" s="30">
        <f t="shared" si="23"/>
        <v>2.8</v>
      </c>
      <c r="F869" s="17">
        <f t="shared" si="22"/>
        <v>0.28000000000000003</v>
      </c>
    </row>
    <row r="870" spans="1:15" x14ac:dyDescent="0.3">
      <c r="B870" s="27" t="s">
        <v>942</v>
      </c>
      <c r="C870" s="28" t="s">
        <v>941</v>
      </c>
      <c r="D870" s="29">
        <v>0.01</v>
      </c>
      <c r="E870" s="30">
        <f t="shared" si="23"/>
        <v>24.6</v>
      </c>
      <c r="F870" s="30">
        <f t="shared" si="22"/>
        <v>0.25</v>
      </c>
    </row>
    <row r="871" spans="1:15" x14ac:dyDescent="0.3">
      <c r="B871" s="27" t="s">
        <v>1124</v>
      </c>
      <c r="C871" s="28" t="s">
        <v>944</v>
      </c>
      <c r="D871" s="29">
        <v>0.5</v>
      </c>
      <c r="E871" s="30">
        <f t="shared" si="23"/>
        <v>0.5</v>
      </c>
      <c r="F871" s="30">
        <f t="shared" si="22"/>
        <v>0.25</v>
      </c>
    </row>
    <row r="872" spans="1:15" x14ac:dyDescent="0.3">
      <c r="B872" s="1019" t="s">
        <v>945</v>
      </c>
      <c r="C872" s="1019"/>
      <c r="D872" s="1019"/>
      <c r="E872" s="1019"/>
      <c r="F872" s="89">
        <f>SUM(F864:F871)</f>
        <v>5.91</v>
      </c>
    </row>
    <row r="874" spans="1:15" x14ac:dyDescent="0.3">
      <c r="B874" s="12" t="s">
        <v>968</v>
      </c>
      <c r="C874" s="227"/>
      <c r="D874" s="12"/>
      <c r="E874" s="11">
        <f>SUM(G877:G878)</f>
        <v>0</v>
      </c>
      <c r="F874" s="12" t="s">
        <v>971</v>
      </c>
    </row>
    <row r="875" spans="1:15" x14ac:dyDescent="0.3">
      <c r="B875" s="22"/>
      <c r="C875" s="36"/>
      <c r="D875" s="22"/>
      <c r="E875" s="23"/>
      <c r="F875" s="22"/>
    </row>
    <row r="876" spans="1:15" ht="27.6" x14ac:dyDescent="0.3">
      <c r="B876" s="14" t="s">
        <v>513</v>
      </c>
      <c r="C876" s="14" t="s">
        <v>1108</v>
      </c>
      <c r="D876" s="14" t="s">
        <v>516</v>
      </c>
      <c r="E876" s="14" t="s">
        <v>970</v>
      </c>
      <c r="F876" s="14" t="s">
        <v>930</v>
      </c>
      <c r="G876" s="14" t="s">
        <v>961</v>
      </c>
    </row>
    <row r="877" spans="1:15" x14ac:dyDescent="0.3">
      <c r="B877" s="46" t="s">
        <v>1161</v>
      </c>
      <c r="C877" s="73">
        <f>C823</f>
        <v>0</v>
      </c>
      <c r="D877" s="62">
        <f>H853</f>
        <v>1932.7</v>
      </c>
      <c r="E877" s="17">
        <f>ROUND((C877/D877)/60,2)</f>
        <v>0</v>
      </c>
      <c r="F877" s="17">
        <f>D857</f>
        <v>10</v>
      </c>
      <c r="G877" s="16">
        <f>ROUND(E877*F877,2)</f>
        <v>0</v>
      </c>
    </row>
    <row r="878" spans="1:15" x14ac:dyDescent="0.3">
      <c r="B878" s="27" t="s">
        <v>1093</v>
      </c>
      <c r="C878" s="73">
        <f>C824</f>
        <v>0</v>
      </c>
      <c r="D878" s="62">
        <f>H854</f>
        <v>1506</v>
      </c>
      <c r="E878" s="17">
        <f>ROUND((C878/D878)/60,2)</f>
        <v>0</v>
      </c>
      <c r="F878" s="17">
        <f>D858</f>
        <v>10</v>
      </c>
      <c r="G878" s="16">
        <f>ROUND(E878*F878,2)</f>
        <v>0</v>
      </c>
      <c r="H878" s="38"/>
    </row>
    <row r="880" spans="1:15" x14ac:dyDescent="0.3">
      <c r="B880" s="12" t="s">
        <v>948</v>
      </c>
      <c r="C880" s="227"/>
      <c r="D880" s="12"/>
      <c r="E880" s="11">
        <f>G893</f>
        <v>2.7</v>
      </c>
      <c r="F880" s="12" t="s">
        <v>971</v>
      </c>
    </row>
    <row r="881" spans="2:7" x14ac:dyDescent="0.3">
      <c r="B881" s="22"/>
      <c r="C881" s="36"/>
      <c r="D881" s="22"/>
      <c r="E881" s="23"/>
    </row>
    <row r="882" spans="2:7" ht="27.6" x14ac:dyDescent="0.3">
      <c r="B882" s="14" t="s">
        <v>948</v>
      </c>
      <c r="C882" s="14" t="s">
        <v>1110</v>
      </c>
      <c r="D882" s="14" t="s">
        <v>516</v>
      </c>
      <c r="E882" s="14" t="s">
        <v>954</v>
      </c>
      <c r="F882" s="14" t="s">
        <v>930</v>
      </c>
      <c r="G882" s="14" t="s">
        <v>1111</v>
      </c>
    </row>
    <row r="883" spans="2:7" x14ac:dyDescent="0.3">
      <c r="B883" s="1009" t="str">
        <f>B853</f>
        <v>Лікар-рентгенолог</v>
      </c>
      <c r="C883" s="1010"/>
      <c r="D883" s="1010"/>
      <c r="E883" s="1010"/>
      <c r="F883" s="1010"/>
      <c r="G883" s="1011"/>
    </row>
    <row r="884" spans="2:7" x14ac:dyDescent="0.3">
      <c r="B884" s="17" t="s">
        <v>951</v>
      </c>
      <c r="C884" s="221">
        <f>C830</f>
        <v>12188.608008565312</v>
      </c>
      <c r="D884" s="17">
        <f>H853</f>
        <v>1932.7</v>
      </c>
      <c r="E884" s="17">
        <f>ROUND((C884/D884)/60,2)</f>
        <v>0.11</v>
      </c>
      <c r="F884" s="17">
        <f>D857</f>
        <v>10</v>
      </c>
      <c r="G884" s="16">
        <f>ROUND(E884*F884,2)</f>
        <v>1.1000000000000001</v>
      </c>
    </row>
    <row r="885" spans="2:7" x14ac:dyDescent="0.3">
      <c r="B885" s="17" t="s">
        <v>952</v>
      </c>
      <c r="C885" s="221">
        <f>C831</f>
        <v>53.149721627408987</v>
      </c>
      <c r="D885" s="17">
        <f>H853</f>
        <v>1932.7</v>
      </c>
      <c r="E885" s="17">
        <f>ROUND((C885/D885)/60,2)</f>
        <v>0</v>
      </c>
      <c r="F885" s="17">
        <f>D857</f>
        <v>10</v>
      </c>
      <c r="G885" s="16">
        <f>ROUND(E885*F885,2)</f>
        <v>0</v>
      </c>
    </row>
    <row r="886" spans="2:7" x14ac:dyDescent="0.3">
      <c r="B886" s="17" t="s">
        <v>953</v>
      </c>
      <c r="C886" s="221">
        <f>C832</f>
        <v>374.98368308351178</v>
      </c>
      <c r="D886" s="17">
        <f>H853</f>
        <v>1932.7</v>
      </c>
      <c r="E886" s="17">
        <f>ROUND((C886/D886)/60,2)</f>
        <v>0</v>
      </c>
      <c r="F886" s="17">
        <f>D857</f>
        <v>10</v>
      </c>
      <c r="G886" s="16">
        <f>ROUND(E886*F886,2)</f>
        <v>0</v>
      </c>
    </row>
    <row r="887" spans="2:7" x14ac:dyDescent="0.3">
      <c r="B887" s="17" t="s">
        <v>1109</v>
      </c>
      <c r="C887" s="221">
        <f>C833</f>
        <v>1686.0389293361886</v>
      </c>
      <c r="D887" s="17">
        <f>H853</f>
        <v>1932.7</v>
      </c>
      <c r="E887" s="17">
        <f>ROUND((C887/D887)/60,2)</f>
        <v>0.01</v>
      </c>
      <c r="F887" s="17">
        <f>D857</f>
        <v>10</v>
      </c>
      <c r="G887" s="16">
        <f>ROUND(E887*F887,2)</f>
        <v>0.1</v>
      </c>
    </row>
    <row r="888" spans="2:7" x14ac:dyDescent="0.3">
      <c r="B888" s="1009" t="str">
        <f>B854</f>
        <v>Рентгенолаборант</v>
      </c>
      <c r="C888" s="1010"/>
      <c r="D888" s="1010"/>
      <c r="E888" s="1010"/>
      <c r="F888" s="1010"/>
      <c r="G888" s="1011"/>
    </row>
    <row r="889" spans="2:7" x14ac:dyDescent="0.3">
      <c r="B889" s="17" t="s">
        <v>951</v>
      </c>
      <c r="C889" s="221">
        <f>C884</f>
        <v>12188.608008565312</v>
      </c>
      <c r="D889" s="17">
        <f>H854</f>
        <v>1506</v>
      </c>
      <c r="E889" s="17">
        <f>ROUND((C889/D889)/60,2)</f>
        <v>0.13</v>
      </c>
      <c r="F889" s="17">
        <f>D858</f>
        <v>10</v>
      </c>
      <c r="G889" s="16">
        <f>ROUND(E889*F889,2)</f>
        <v>1.3</v>
      </c>
    </row>
    <row r="890" spans="2:7" x14ac:dyDescent="0.3">
      <c r="B890" s="17" t="s">
        <v>952</v>
      </c>
      <c r="C890" s="221">
        <f>C885</f>
        <v>53.149721627408987</v>
      </c>
      <c r="D890" s="17">
        <f>H854</f>
        <v>1506</v>
      </c>
      <c r="E890" s="17">
        <f>ROUND((C890/D890)/60,2)</f>
        <v>0</v>
      </c>
      <c r="F890" s="17">
        <f>D858</f>
        <v>10</v>
      </c>
      <c r="G890" s="16">
        <f>ROUND(E890*F890,2)</f>
        <v>0</v>
      </c>
    </row>
    <row r="891" spans="2:7" x14ac:dyDescent="0.3">
      <c r="B891" s="17" t="s">
        <v>953</v>
      </c>
      <c r="C891" s="221">
        <f>C886</f>
        <v>374.98368308351178</v>
      </c>
      <c r="D891" s="112">
        <f>H854</f>
        <v>1506</v>
      </c>
      <c r="E891" s="17">
        <f>ROUND((C891/D891)/60,2)</f>
        <v>0</v>
      </c>
      <c r="F891" s="17">
        <f>D858</f>
        <v>10</v>
      </c>
      <c r="G891" s="16">
        <f>ROUND(E891*F891,2)</f>
        <v>0</v>
      </c>
    </row>
    <row r="892" spans="2:7" x14ac:dyDescent="0.3">
      <c r="B892" s="17" t="s">
        <v>1109</v>
      </c>
      <c r="C892" s="221">
        <f>C887</f>
        <v>1686.0389293361886</v>
      </c>
      <c r="D892" s="112">
        <f>H854</f>
        <v>1506</v>
      </c>
      <c r="E892" s="17">
        <f>ROUND((C892/D892)/60,2)</f>
        <v>0.02</v>
      </c>
      <c r="F892" s="17">
        <f>D857</f>
        <v>10</v>
      </c>
      <c r="G892" s="16">
        <f>ROUND(E892*F892,2)</f>
        <v>0.2</v>
      </c>
    </row>
    <row r="893" spans="2:7" x14ac:dyDescent="0.3">
      <c r="B893" s="1012" t="s">
        <v>957</v>
      </c>
      <c r="C893" s="1013"/>
      <c r="D893" s="1013"/>
      <c r="E893" s="1013"/>
      <c r="F893" s="1014"/>
      <c r="G893" s="18">
        <f>SUM(G884:G892)</f>
        <v>2.7</v>
      </c>
    </row>
    <row r="896" spans="2:7" x14ac:dyDescent="0.3">
      <c r="B896" s="1015" t="s">
        <v>959</v>
      </c>
      <c r="C896" s="1015"/>
      <c r="D896" s="1015"/>
      <c r="E896" s="1015"/>
      <c r="F896" s="1015"/>
      <c r="G896" s="32">
        <f>E850+E862+E874+E880</f>
        <v>33.74</v>
      </c>
    </row>
    <row r="897" spans="1:15" x14ac:dyDescent="0.3">
      <c r="B897" s="33"/>
      <c r="C897" s="33"/>
      <c r="D897" s="33"/>
      <c r="E897" s="33"/>
      <c r="F897" s="33"/>
      <c r="G897" s="34"/>
    </row>
    <row r="898" spans="1:15" x14ac:dyDescent="0.3">
      <c r="B898" s="1015" t="s">
        <v>960</v>
      </c>
      <c r="C898" s="1015"/>
      <c r="D898" s="1015"/>
      <c r="E898" s="1015"/>
      <c r="F898" s="1015"/>
      <c r="G898" s="32">
        <f>ROUND(G896,0)</f>
        <v>34</v>
      </c>
    </row>
    <row r="901" spans="1:15" s="54" customFormat="1" ht="18.75" customHeight="1" x14ac:dyDescent="0.4">
      <c r="A901" s="50" t="s">
        <v>642</v>
      </c>
      <c r="B901" s="1032" t="s">
        <v>687</v>
      </c>
      <c r="C901" s="1032"/>
      <c r="D901" s="1032"/>
      <c r="E901" s="52">
        <f>G952</f>
        <v>61</v>
      </c>
      <c r="F901" s="52" t="s">
        <v>971</v>
      </c>
      <c r="G901" s="53"/>
      <c r="H901" s="124"/>
      <c r="I901" s="125" t="s">
        <v>1023</v>
      </c>
      <c r="J901" s="132"/>
      <c r="K901" s="126"/>
      <c r="L901" s="126"/>
      <c r="M901" s="126"/>
      <c r="N901" s="126"/>
      <c r="O901" s="127"/>
    </row>
    <row r="903" spans="1:15" x14ac:dyDescent="0.3">
      <c r="B903" s="1018" t="s">
        <v>932</v>
      </c>
      <c r="C903" s="1018"/>
      <c r="D903" s="10"/>
      <c r="E903" s="11">
        <f>E910+E913+E911</f>
        <v>31.78</v>
      </c>
      <c r="F903" s="12" t="s">
        <v>971</v>
      </c>
    </row>
    <row r="905" spans="1:15" ht="27.6" x14ac:dyDescent="0.3">
      <c r="B905" s="13" t="s">
        <v>929</v>
      </c>
      <c r="C905" s="14" t="s">
        <v>928</v>
      </c>
      <c r="D905" s="14" t="s">
        <v>514</v>
      </c>
      <c r="E905" s="14" t="s">
        <v>515</v>
      </c>
      <c r="F905" s="14" t="s">
        <v>962</v>
      </c>
      <c r="G905" s="14" t="s">
        <v>926</v>
      </c>
      <c r="H905" s="14" t="s">
        <v>516</v>
      </c>
      <c r="I905" s="14" t="s">
        <v>961</v>
      </c>
    </row>
    <row r="906" spans="1:15" x14ac:dyDescent="0.3">
      <c r="B906" s="16" t="str">
        <f t="shared" ref="B906:F907" si="24">B853</f>
        <v>Лікар-рентгенолог</v>
      </c>
      <c r="C906" s="16">
        <f t="shared" si="24"/>
        <v>8463.5400000000009</v>
      </c>
      <c r="D906" s="16">
        <f t="shared" si="24"/>
        <v>101562.48000000001</v>
      </c>
      <c r="E906" s="16">
        <f t="shared" si="24"/>
        <v>7052.95</v>
      </c>
      <c r="F906" s="16">
        <f t="shared" si="24"/>
        <v>3526.4749999999999</v>
      </c>
      <c r="G906" s="16">
        <f>D906+E906+F906</f>
        <v>112141.90500000001</v>
      </c>
      <c r="H906" s="17">
        <v>1932.7</v>
      </c>
      <c r="I906" s="16">
        <f>ROUND((G906/H906)/60,2)</f>
        <v>0.97</v>
      </c>
    </row>
    <row r="907" spans="1:15" x14ac:dyDescent="0.3">
      <c r="B907" s="16" t="str">
        <f t="shared" si="24"/>
        <v>Рентгенолаборант</v>
      </c>
      <c r="C907" s="16">
        <f t="shared" si="24"/>
        <v>7482.48</v>
      </c>
      <c r="D907" s="16">
        <f t="shared" si="24"/>
        <v>89789.759999999995</v>
      </c>
      <c r="E907" s="16">
        <f t="shared" si="24"/>
        <v>5755.75</v>
      </c>
      <c r="F907" s="16">
        <f t="shared" si="24"/>
        <v>2877.875</v>
      </c>
      <c r="G907" s="16">
        <f>D907+E907+F907</f>
        <v>98423.384999999995</v>
      </c>
      <c r="H907" s="62">
        <v>1506</v>
      </c>
      <c r="I907" s="16">
        <f>ROUND((G907/H907)/60,2)</f>
        <v>1.0900000000000001</v>
      </c>
    </row>
    <row r="909" spans="1:15" ht="27.6" x14ac:dyDescent="0.3">
      <c r="B909" s="13" t="s">
        <v>929</v>
      </c>
      <c r="C909" s="14" t="s">
        <v>961</v>
      </c>
      <c r="D909" s="14" t="s">
        <v>930</v>
      </c>
      <c r="E909" s="14" t="s">
        <v>931</v>
      </c>
    </row>
    <row r="910" spans="1:15" x14ac:dyDescent="0.3">
      <c r="B910" s="15" t="str">
        <f>B906</f>
        <v>Лікар-рентгенолог</v>
      </c>
      <c r="C910" s="78">
        <f>I906</f>
        <v>0.97</v>
      </c>
      <c r="D910" s="17">
        <v>10</v>
      </c>
      <c r="E910" s="18">
        <f>ROUND(C910*D910,2)</f>
        <v>9.6999999999999993</v>
      </c>
    </row>
    <row r="911" spans="1:15" x14ac:dyDescent="0.3">
      <c r="B911" s="15" t="str">
        <f>B907</f>
        <v>Рентгенолаборант</v>
      </c>
      <c r="C911" s="78">
        <f>I907</f>
        <v>1.0900000000000001</v>
      </c>
      <c r="D911" s="17">
        <v>15</v>
      </c>
      <c r="E911" s="18">
        <f>ROUND(C911*D911,2)</f>
        <v>16.350000000000001</v>
      </c>
    </row>
    <row r="912" spans="1:15" x14ac:dyDescent="0.3">
      <c r="C912" s="19"/>
    </row>
    <row r="913" spans="1:15" x14ac:dyDescent="0.3">
      <c r="B913" s="17" t="s">
        <v>933</v>
      </c>
      <c r="C913" s="78">
        <f>E910+E911</f>
        <v>26.05</v>
      </c>
      <c r="D913" s="20">
        <v>0.22</v>
      </c>
      <c r="E913" s="21">
        <f>ROUND(C913*D913,2)</f>
        <v>5.73</v>
      </c>
    </row>
    <row r="915" spans="1:15" x14ac:dyDescent="0.3">
      <c r="B915" s="12" t="s">
        <v>946</v>
      </c>
      <c r="C915" s="227"/>
      <c r="D915" s="12"/>
      <c r="E915" s="11">
        <f>F926</f>
        <v>25.81</v>
      </c>
      <c r="F915" s="12" t="s">
        <v>971</v>
      </c>
    </row>
    <row r="917" spans="1:15" x14ac:dyDescent="0.3">
      <c r="B917" s="27" t="s">
        <v>936</v>
      </c>
      <c r="C917" s="28" t="s">
        <v>937</v>
      </c>
      <c r="D917" s="29">
        <v>1</v>
      </c>
      <c r="E917" s="30">
        <f>'МЕДИЧНІ М'!F115</f>
        <v>0.3</v>
      </c>
      <c r="F917" s="30">
        <f>ROUND(D917*E917,2)</f>
        <v>0.3</v>
      </c>
    </row>
    <row r="918" spans="1:15" s="184" customFormat="1" x14ac:dyDescent="0.3">
      <c r="A918" s="180"/>
      <c r="B918" s="185" t="s">
        <v>1021</v>
      </c>
      <c r="C918" s="186" t="s">
        <v>941</v>
      </c>
      <c r="D918" s="164">
        <v>0.5</v>
      </c>
      <c r="E918" s="164">
        <f>'МЕДИЧНІ М'!E181</f>
        <v>2</v>
      </c>
      <c r="F918" s="164">
        <f t="shared" ref="F918:F925" si="25">ROUND(D918*E918,2)</f>
        <v>1</v>
      </c>
      <c r="G918" s="180"/>
      <c r="H918" s="180"/>
      <c r="I918" s="180"/>
      <c r="J918" s="187"/>
      <c r="K918" s="189"/>
      <c r="L918" s="189"/>
      <c r="M918" s="189"/>
      <c r="N918" s="189"/>
      <c r="O918" s="188"/>
    </row>
    <row r="919" spans="1:15" x14ac:dyDescent="0.3">
      <c r="B919" s="15" t="s">
        <v>1216</v>
      </c>
      <c r="C919" s="73" t="s">
        <v>941</v>
      </c>
      <c r="D919" s="17">
        <v>0.1</v>
      </c>
      <c r="E919" s="16">
        <f>'МЕДИЧНІ М'!E113</f>
        <v>8</v>
      </c>
      <c r="F919" s="17">
        <f t="shared" si="25"/>
        <v>0.8</v>
      </c>
    </row>
    <row r="920" spans="1:15" x14ac:dyDescent="0.3">
      <c r="B920" s="15" t="str">
        <f>'МЕДИЧНІ М'!B322</f>
        <v>Рентген 30 * 40 № 100</v>
      </c>
      <c r="C920" s="73" t="s">
        <v>941</v>
      </c>
      <c r="D920" s="17">
        <v>1</v>
      </c>
      <c r="E920" s="16">
        <f>'МЕДИЧНІ М'!F322</f>
        <v>19.899999999999999</v>
      </c>
      <c r="F920" s="17">
        <f t="shared" si="25"/>
        <v>19.899999999999999</v>
      </c>
    </row>
    <row r="921" spans="1:15" ht="28.2" x14ac:dyDescent="0.3">
      <c r="B921" s="15" t="s">
        <v>1025</v>
      </c>
      <c r="C921" s="73" t="s">
        <v>941</v>
      </c>
      <c r="D921" s="17">
        <v>0.02</v>
      </c>
      <c r="E921" s="17">
        <f>'МЕДИЧНІ М'!F121</f>
        <v>54</v>
      </c>
      <c r="F921" s="17">
        <f t="shared" si="25"/>
        <v>1.08</v>
      </c>
    </row>
    <row r="922" spans="1:15" x14ac:dyDescent="0.3">
      <c r="B922" s="15" t="s">
        <v>1024</v>
      </c>
      <c r="C922" s="73" t="s">
        <v>941</v>
      </c>
      <c r="D922" s="17">
        <v>0.02</v>
      </c>
      <c r="E922" s="17">
        <f>'МЕДИЧНІ М'!F118</f>
        <v>97.3</v>
      </c>
      <c r="F922" s="17">
        <f t="shared" si="25"/>
        <v>1.95</v>
      </c>
    </row>
    <row r="923" spans="1:15" x14ac:dyDescent="0.3">
      <c r="B923" s="15" t="s">
        <v>964</v>
      </c>
      <c r="C923" s="73" t="s">
        <v>941</v>
      </c>
      <c r="D923" s="17">
        <v>0.1</v>
      </c>
      <c r="E923" s="16">
        <f>'МЕДИЧНІ М'!E119</f>
        <v>2.8</v>
      </c>
      <c r="F923" s="17">
        <f t="shared" si="25"/>
        <v>0.28000000000000003</v>
      </c>
    </row>
    <row r="924" spans="1:15" x14ac:dyDescent="0.3">
      <c r="B924" s="27" t="s">
        <v>942</v>
      </c>
      <c r="C924" s="28" t="s">
        <v>941</v>
      </c>
      <c r="D924" s="29">
        <v>0.01</v>
      </c>
      <c r="E924" s="29">
        <f>'МЕДИЧНІ М'!E120</f>
        <v>24.6</v>
      </c>
      <c r="F924" s="30">
        <f t="shared" si="25"/>
        <v>0.25</v>
      </c>
    </row>
    <row r="925" spans="1:15" x14ac:dyDescent="0.3">
      <c r="B925" s="27" t="s">
        <v>1124</v>
      </c>
      <c r="C925" s="28" t="s">
        <v>944</v>
      </c>
      <c r="D925" s="29">
        <v>0.5</v>
      </c>
      <c r="E925" s="29">
        <f>'МЕДИЧНІ М'!E114</f>
        <v>0.5</v>
      </c>
      <c r="F925" s="30">
        <f t="shared" si="25"/>
        <v>0.25</v>
      </c>
    </row>
    <row r="926" spans="1:15" x14ac:dyDescent="0.3">
      <c r="B926" s="1019" t="s">
        <v>945</v>
      </c>
      <c r="C926" s="1019"/>
      <c r="D926" s="1019"/>
      <c r="E926" s="1019"/>
      <c r="F926" s="89">
        <f>SUM(F917:F925)</f>
        <v>25.81</v>
      </c>
    </row>
    <row r="927" spans="1:15" ht="6" customHeight="1" x14ac:dyDescent="0.3"/>
    <row r="928" spans="1:15" x14ac:dyDescent="0.3">
      <c r="B928" s="12" t="s">
        <v>968</v>
      </c>
      <c r="C928" s="227"/>
      <c r="D928" s="12"/>
      <c r="E928" s="11">
        <f>SUM(G931:G932)</f>
        <v>0</v>
      </c>
      <c r="F928" s="12" t="s">
        <v>971</v>
      </c>
    </row>
    <row r="929" spans="2:8" ht="9.75" customHeight="1" x14ac:dyDescent="0.3">
      <c r="B929" s="22"/>
      <c r="C929" s="36"/>
      <c r="D929" s="22"/>
      <c r="E929" s="23"/>
      <c r="F929" s="22"/>
    </row>
    <row r="930" spans="2:8" ht="27.6" x14ac:dyDescent="0.3">
      <c r="B930" s="14" t="s">
        <v>513</v>
      </c>
      <c r="C930" s="14" t="s">
        <v>1108</v>
      </c>
      <c r="D930" s="14" t="s">
        <v>516</v>
      </c>
      <c r="E930" s="14" t="s">
        <v>970</v>
      </c>
      <c r="F930" s="14" t="s">
        <v>930</v>
      </c>
      <c r="G930" s="14" t="s">
        <v>961</v>
      </c>
    </row>
    <row r="931" spans="2:8" x14ac:dyDescent="0.3">
      <c r="B931" s="46" t="str">
        <f>B877</f>
        <v>Автоматизоване робоче місце, ПК</v>
      </c>
      <c r="C931" s="46">
        <f>C877</f>
        <v>0</v>
      </c>
      <c r="D931" s="62">
        <f>H906</f>
        <v>1932.7</v>
      </c>
      <c r="E931" s="17">
        <f>ROUND((C931/D931)/60,2)</f>
        <v>0</v>
      </c>
      <c r="F931" s="17">
        <f>D910</f>
        <v>10</v>
      </c>
      <c r="G931" s="16">
        <f>ROUND(E931*F931,2)</f>
        <v>0</v>
      </c>
    </row>
    <row r="932" spans="2:8" x14ac:dyDescent="0.3">
      <c r="B932" s="46" t="str">
        <f>B878</f>
        <v>Рентген</v>
      </c>
      <c r="C932" s="46">
        <f>C878</f>
        <v>0</v>
      </c>
      <c r="D932" s="62">
        <f>H907</f>
        <v>1506</v>
      </c>
      <c r="E932" s="17">
        <f>ROUND((C932/D932)/60,2)</f>
        <v>0</v>
      </c>
      <c r="F932" s="17">
        <f>D911</f>
        <v>15</v>
      </c>
      <c r="G932" s="16">
        <f>ROUND(E932*F932,2)</f>
        <v>0</v>
      </c>
      <c r="H932" s="38"/>
    </row>
    <row r="933" spans="2:8" ht="6.75" customHeight="1" x14ac:dyDescent="0.3"/>
    <row r="934" spans="2:8" x14ac:dyDescent="0.3">
      <c r="B934" s="12" t="s">
        <v>948</v>
      </c>
      <c r="C934" s="227"/>
      <c r="D934" s="12"/>
      <c r="E934" s="11">
        <f>G947</f>
        <v>3.45</v>
      </c>
      <c r="F934" s="12" t="s">
        <v>971</v>
      </c>
    </row>
    <row r="935" spans="2:8" x14ac:dyDescent="0.3">
      <c r="B935" s="22"/>
      <c r="C935" s="36"/>
      <c r="D935" s="22"/>
      <c r="E935" s="23"/>
    </row>
    <row r="936" spans="2:8" ht="27.6" x14ac:dyDescent="0.3">
      <c r="B936" s="14" t="s">
        <v>948</v>
      </c>
      <c r="C936" s="14" t="s">
        <v>1110</v>
      </c>
      <c r="D936" s="14" t="s">
        <v>516</v>
      </c>
      <c r="E936" s="14" t="s">
        <v>954</v>
      </c>
      <c r="F936" s="14" t="s">
        <v>930</v>
      </c>
      <c r="G936" s="14" t="s">
        <v>1111</v>
      </c>
    </row>
    <row r="937" spans="2:8" x14ac:dyDescent="0.3">
      <c r="B937" s="1009" t="str">
        <f>B906</f>
        <v>Лікар-рентгенолог</v>
      </c>
      <c r="C937" s="1010"/>
      <c r="D937" s="1010"/>
      <c r="E937" s="1010"/>
      <c r="F937" s="1010"/>
      <c r="G937" s="1011"/>
    </row>
    <row r="938" spans="2:8" x14ac:dyDescent="0.3">
      <c r="B938" s="17" t="s">
        <v>951</v>
      </c>
      <c r="C938" s="221">
        <f>C884</f>
        <v>12188.608008565312</v>
      </c>
      <c r="D938" s="17">
        <f>H906</f>
        <v>1932.7</v>
      </c>
      <c r="E938" s="17">
        <f>ROUND((C938/D938)/60,2)</f>
        <v>0.11</v>
      </c>
      <c r="F938" s="17">
        <f>D910</f>
        <v>10</v>
      </c>
      <c r="G938" s="16">
        <f>ROUND(E938*F938,2)</f>
        <v>1.1000000000000001</v>
      </c>
    </row>
    <row r="939" spans="2:8" x14ac:dyDescent="0.3">
      <c r="B939" s="17" t="s">
        <v>952</v>
      </c>
      <c r="C939" s="221">
        <f>C885</f>
        <v>53.149721627408987</v>
      </c>
      <c r="D939" s="17">
        <f>H906</f>
        <v>1932.7</v>
      </c>
      <c r="E939" s="17">
        <f>ROUND((C939/D939)/60,2)</f>
        <v>0</v>
      </c>
      <c r="F939" s="17">
        <f>D910</f>
        <v>10</v>
      </c>
      <c r="G939" s="16">
        <f>ROUND(E939*F939,2)</f>
        <v>0</v>
      </c>
    </row>
    <row r="940" spans="2:8" x14ac:dyDescent="0.3">
      <c r="B940" s="17" t="s">
        <v>953</v>
      </c>
      <c r="C940" s="221">
        <f>C886</f>
        <v>374.98368308351178</v>
      </c>
      <c r="D940" s="17">
        <f>H906</f>
        <v>1932.7</v>
      </c>
      <c r="E940" s="17">
        <f>ROUND((C940/D940)/60,2)</f>
        <v>0</v>
      </c>
      <c r="F940" s="17">
        <f>D910</f>
        <v>10</v>
      </c>
      <c r="G940" s="16">
        <f>ROUND(E940*F940,2)</f>
        <v>0</v>
      </c>
    </row>
    <row r="941" spans="2:8" x14ac:dyDescent="0.3">
      <c r="B941" s="17" t="s">
        <v>1109</v>
      </c>
      <c r="C941" s="221">
        <f>C887</f>
        <v>1686.0389293361886</v>
      </c>
      <c r="D941" s="17">
        <f>H906</f>
        <v>1932.7</v>
      </c>
      <c r="E941" s="17">
        <f>ROUND((C941/D941)/60,2)</f>
        <v>0.01</v>
      </c>
      <c r="F941" s="17">
        <f>D910</f>
        <v>10</v>
      </c>
      <c r="G941" s="16">
        <f>ROUND(E941*F941,2)</f>
        <v>0.1</v>
      </c>
    </row>
    <row r="942" spans="2:8" x14ac:dyDescent="0.3">
      <c r="B942" s="1009" t="str">
        <f>B907</f>
        <v>Рентгенолаборант</v>
      </c>
      <c r="C942" s="1010"/>
      <c r="D942" s="1010"/>
      <c r="E942" s="1010"/>
      <c r="F942" s="1010"/>
      <c r="G942" s="1011"/>
    </row>
    <row r="943" spans="2:8" x14ac:dyDescent="0.3">
      <c r="B943" s="17" t="s">
        <v>951</v>
      </c>
      <c r="C943" s="221">
        <f>C938</f>
        <v>12188.608008565312</v>
      </c>
      <c r="D943" s="17">
        <f>H907</f>
        <v>1506</v>
      </c>
      <c r="E943" s="17">
        <f>ROUND((C943/D943)/60,2)</f>
        <v>0.13</v>
      </c>
      <c r="F943" s="17">
        <f>D911</f>
        <v>15</v>
      </c>
      <c r="G943" s="16">
        <f>ROUND(E943*F943,2)</f>
        <v>1.95</v>
      </c>
    </row>
    <row r="944" spans="2:8" x14ac:dyDescent="0.3">
      <c r="B944" s="17" t="s">
        <v>952</v>
      </c>
      <c r="C944" s="221">
        <f>C939</f>
        <v>53.149721627408987</v>
      </c>
      <c r="D944" s="17">
        <f>H907</f>
        <v>1506</v>
      </c>
      <c r="E944" s="17">
        <f>ROUND((C944/D944)/60,2)</f>
        <v>0</v>
      </c>
      <c r="F944" s="17">
        <f>D911</f>
        <v>15</v>
      </c>
      <c r="G944" s="16">
        <f>ROUND(E944*F944,2)</f>
        <v>0</v>
      </c>
    </row>
    <row r="945" spans="1:15" x14ac:dyDescent="0.3">
      <c r="B945" s="17" t="s">
        <v>953</v>
      </c>
      <c r="C945" s="221">
        <f>C940</f>
        <v>374.98368308351178</v>
      </c>
      <c r="D945" s="17">
        <f>H907</f>
        <v>1506</v>
      </c>
      <c r="E945" s="17">
        <f>ROUND((C945/D945)/60,2)</f>
        <v>0</v>
      </c>
      <c r="F945" s="17">
        <f>D911</f>
        <v>15</v>
      </c>
      <c r="G945" s="16">
        <f>ROUND(E945*F945,2)</f>
        <v>0</v>
      </c>
    </row>
    <row r="946" spans="1:15" x14ac:dyDescent="0.3">
      <c r="B946" s="17" t="s">
        <v>1109</v>
      </c>
      <c r="C946" s="221">
        <f>C941</f>
        <v>1686.0389293361886</v>
      </c>
      <c r="D946" s="17">
        <f>H907</f>
        <v>1506</v>
      </c>
      <c r="E946" s="17">
        <f>ROUND((C946/D946)/60,2)</f>
        <v>0.02</v>
      </c>
      <c r="F946" s="17">
        <f>D911</f>
        <v>15</v>
      </c>
      <c r="G946" s="16">
        <f>ROUND(E946*F946,2)</f>
        <v>0.3</v>
      </c>
    </row>
    <row r="947" spans="1:15" x14ac:dyDescent="0.3">
      <c r="B947" s="1012" t="s">
        <v>957</v>
      </c>
      <c r="C947" s="1013"/>
      <c r="D947" s="1013"/>
      <c r="E947" s="1013"/>
      <c r="F947" s="1014"/>
      <c r="G947" s="18">
        <f>SUM(G938:G946)</f>
        <v>3.45</v>
      </c>
    </row>
    <row r="950" spans="1:15" x14ac:dyDescent="0.3">
      <c r="B950" s="1015" t="s">
        <v>959</v>
      </c>
      <c r="C950" s="1015"/>
      <c r="D950" s="1015"/>
      <c r="E950" s="1015"/>
      <c r="F950" s="1015"/>
      <c r="G950" s="32">
        <f>E903+E915+E928+E934</f>
        <v>61.040000000000006</v>
      </c>
    </row>
    <row r="951" spans="1:15" ht="11.25" customHeight="1" x14ac:dyDescent="0.3">
      <c r="B951" s="33"/>
      <c r="C951" s="33"/>
      <c r="D951" s="33"/>
      <c r="E951" s="33"/>
      <c r="F951" s="33"/>
      <c r="G951" s="34"/>
    </row>
    <row r="952" spans="1:15" s="54" customFormat="1" ht="19.8" x14ac:dyDescent="0.4">
      <c r="A952" s="53"/>
      <c r="B952" s="1051" t="s">
        <v>960</v>
      </c>
      <c r="C952" s="1051"/>
      <c r="D952" s="1051"/>
      <c r="E952" s="1051"/>
      <c r="F952" s="1051"/>
      <c r="G952" s="32">
        <f>ROUND(G950,0)</f>
        <v>61</v>
      </c>
      <c r="H952" s="53"/>
      <c r="I952" s="53"/>
      <c r="J952" s="132"/>
      <c r="K952" s="126"/>
      <c r="L952" s="126"/>
      <c r="M952" s="126"/>
      <c r="N952" s="126"/>
      <c r="O952" s="127"/>
    </row>
    <row r="953" spans="1:15" s="54" customFormat="1" ht="19.8" x14ac:dyDescent="0.4">
      <c r="A953" s="53"/>
      <c r="B953" s="149"/>
      <c r="C953" s="149"/>
      <c r="D953" s="149"/>
      <c r="E953" s="149"/>
      <c r="F953" s="149"/>
      <c r="G953" s="152"/>
      <c r="H953" s="53"/>
      <c r="I953" s="53"/>
      <c r="J953" s="132"/>
      <c r="K953" s="126"/>
      <c r="L953" s="126"/>
      <c r="M953" s="126"/>
      <c r="N953" s="126"/>
      <c r="O953" s="127"/>
    </row>
    <row r="954" spans="1:15" s="54" customFormat="1" ht="18.75" customHeight="1" x14ac:dyDescent="0.4">
      <c r="A954" s="50" t="s">
        <v>642</v>
      </c>
      <c r="B954" s="1032" t="s">
        <v>687</v>
      </c>
      <c r="C954" s="1032"/>
      <c r="D954" s="1032"/>
      <c r="E954" s="52">
        <f>G1004</f>
        <v>41</v>
      </c>
      <c r="F954" s="52" t="s">
        <v>971</v>
      </c>
      <c r="G954" s="53"/>
      <c r="H954" s="124"/>
      <c r="I954" s="125" t="s">
        <v>1128</v>
      </c>
      <c r="J954" s="132"/>
      <c r="K954" s="126"/>
      <c r="L954" s="126"/>
      <c r="M954" s="126"/>
      <c r="N954" s="126"/>
      <c r="O954" s="127"/>
    </row>
    <row r="956" spans="1:15" ht="15" customHeight="1" x14ac:dyDescent="0.3">
      <c r="B956" s="1018" t="s">
        <v>932</v>
      </c>
      <c r="C956" s="1018"/>
      <c r="D956" s="10"/>
      <c r="E956" s="11">
        <f>E963+E966+E964</f>
        <v>31.78</v>
      </c>
      <c r="F956" s="12" t="s">
        <v>971</v>
      </c>
    </row>
    <row r="958" spans="1:15" ht="27.6" x14ac:dyDescent="0.3">
      <c r="B958" s="13" t="s">
        <v>929</v>
      </c>
      <c r="C958" s="14" t="s">
        <v>928</v>
      </c>
      <c r="D958" s="14" t="s">
        <v>514</v>
      </c>
      <c r="E958" s="14" t="s">
        <v>515</v>
      </c>
      <c r="F958" s="14" t="s">
        <v>962</v>
      </c>
      <c r="G958" s="14" t="s">
        <v>926</v>
      </c>
      <c r="H958" s="14" t="s">
        <v>516</v>
      </c>
      <c r="I958" s="14" t="s">
        <v>961</v>
      </c>
    </row>
    <row r="959" spans="1:15" x14ac:dyDescent="0.3">
      <c r="B959" s="16" t="str">
        <f>B906</f>
        <v>Лікар-рентгенолог</v>
      </c>
      <c r="C959" s="78">
        <f>C906</f>
        <v>8463.5400000000009</v>
      </c>
      <c r="D959" s="16">
        <f>C959*12</f>
        <v>101562.48000000001</v>
      </c>
      <c r="E959" s="16">
        <f>E906</f>
        <v>7052.95</v>
      </c>
      <c r="F959" s="16">
        <f>F906</f>
        <v>3526.4749999999999</v>
      </c>
      <c r="G959" s="16">
        <f>D959+E959+F959</f>
        <v>112141.90500000001</v>
      </c>
      <c r="H959" s="17">
        <v>1932.7</v>
      </c>
      <c r="I959" s="16">
        <f>ROUND((G959/H959)/60,2)</f>
        <v>0.97</v>
      </c>
    </row>
    <row r="960" spans="1:15" x14ac:dyDescent="0.3">
      <c r="B960" s="16" t="str">
        <f>B907</f>
        <v>Рентгенолаборант</v>
      </c>
      <c r="C960" s="78">
        <f>C907</f>
        <v>7482.48</v>
      </c>
      <c r="D960" s="24">
        <f>C960*12</f>
        <v>89789.759999999995</v>
      </c>
      <c r="E960" s="16">
        <f>E907</f>
        <v>5755.75</v>
      </c>
      <c r="F960" s="16">
        <f>F907</f>
        <v>2877.875</v>
      </c>
      <c r="G960" s="16">
        <f>D960+E960+F960</f>
        <v>98423.384999999995</v>
      </c>
      <c r="H960" s="62">
        <v>1506</v>
      </c>
      <c r="I960" s="16">
        <f>ROUND((G960/H960)/60,2)</f>
        <v>1.0900000000000001</v>
      </c>
    </row>
    <row r="962" spans="1:15" ht="27.6" x14ac:dyDescent="0.3">
      <c r="B962" s="13" t="s">
        <v>929</v>
      </c>
      <c r="C962" s="14" t="s">
        <v>961</v>
      </c>
      <c r="D962" s="14" t="s">
        <v>930</v>
      </c>
      <c r="E962" s="14" t="s">
        <v>931</v>
      </c>
    </row>
    <row r="963" spans="1:15" x14ac:dyDescent="0.3">
      <c r="B963" s="15" t="str">
        <f>B959</f>
        <v>Лікар-рентгенолог</v>
      </c>
      <c r="C963" s="78">
        <f>I959</f>
        <v>0.97</v>
      </c>
      <c r="D963" s="17">
        <v>10</v>
      </c>
      <c r="E963" s="18">
        <f>ROUND(C963*D963,2)</f>
        <v>9.6999999999999993</v>
      </c>
    </row>
    <row r="964" spans="1:15" x14ac:dyDescent="0.3">
      <c r="B964" s="15" t="str">
        <f>B960</f>
        <v>Рентгенолаборант</v>
      </c>
      <c r="C964" s="78">
        <f>I960</f>
        <v>1.0900000000000001</v>
      </c>
      <c r="D964" s="17">
        <v>15</v>
      </c>
      <c r="E964" s="18">
        <f>ROUND(C964*D964,2)</f>
        <v>16.350000000000001</v>
      </c>
    </row>
    <row r="965" spans="1:15" x14ac:dyDescent="0.3">
      <c r="C965" s="19"/>
    </row>
    <row r="966" spans="1:15" x14ac:dyDescent="0.3">
      <c r="B966" s="17" t="s">
        <v>933</v>
      </c>
      <c r="C966" s="78">
        <f>E963+E964</f>
        <v>26.05</v>
      </c>
      <c r="D966" s="20">
        <v>0.22</v>
      </c>
      <c r="E966" s="21">
        <f>ROUND(C966*D966,2)</f>
        <v>5.73</v>
      </c>
    </row>
    <row r="968" spans="1:15" x14ac:dyDescent="0.3">
      <c r="B968" s="12" t="s">
        <v>946</v>
      </c>
      <c r="C968" s="227"/>
      <c r="D968" s="12"/>
      <c r="E968" s="11">
        <f>F978</f>
        <v>5.91</v>
      </c>
      <c r="F968" s="12" t="s">
        <v>971</v>
      </c>
    </row>
    <row r="970" spans="1:15" x14ac:dyDescent="0.3">
      <c r="B970" s="27" t="s">
        <v>936</v>
      </c>
      <c r="C970" s="28" t="s">
        <v>937</v>
      </c>
      <c r="D970" s="29">
        <v>1</v>
      </c>
      <c r="E970" s="30">
        <f>'МЕДИЧНІ М'!F115</f>
        <v>0.3</v>
      </c>
      <c r="F970" s="30">
        <f t="shared" ref="F970:F977" si="26">ROUND(D970*E970,2)</f>
        <v>0.3</v>
      </c>
    </row>
    <row r="971" spans="1:15" s="184" customFormat="1" x14ac:dyDescent="0.3">
      <c r="A971" s="180"/>
      <c r="B971" s="185" t="s">
        <v>1021</v>
      </c>
      <c r="C971" s="186" t="s">
        <v>941</v>
      </c>
      <c r="D971" s="164">
        <v>0.5</v>
      </c>
      <c r="E971" s="164">
        <f>'МЕДИЧНІ М'!E181</f>
        <v>2</v>
      </c>
      <c r="F971" s="164">
        <f t="shared" si="26"/>
        <v>1</v>
      </c>
      <c r="G971" s="180"/>
      <c r="H971" s="180"/>
      <c r="I971" s="180"/>
      <c r="J971" s="187"/>
      <c r="K971" s="189"/>
      <c r="L971" s="189"/>
      <c r="M971" s="189"/>
      <c r="N971" s="189"/>
      <c r="O971" s="188"/>
    </row>
    <row r="972" spans="1:15" x14ac:dyDescent="0.3">
      <c r="B972" s="15" t="s">
        <v>1216</v>
      </c>
      <c r="C972" s="73" t="s">
        <v>941</v>
      </c>
      <c r="D972" s="17">
        <v>0.1</v>
      </c>
      <c r="E972" s="16">
        <f>'МЕДИЧНІ М'!E113</f>
        <v>8</v>
      </c>
      <c r="F972" s="17">
        <f t="shared" si="26"/>
        <v>0.8</v>
      </c>
    </row>
    <row r="973" spans="1:15" ht="28.2" x14ac:dyDescent="0.3">
      <c r="B973" s="15" t="s">
        <v>1025</v>
      </c>
      <c r="C973" s="73" t="s">
        <v>941</v>
      </c>
      <c r="D973" s="17">
        <v>0.02</v>
      </c>
      <c r="E973" s="17">
        <f>'МЕДИЧНІ М'!F121</f>
        <v>54</v>
      </c>
      <c r="F973" s="17">
        <f t="shared" si="26"/>
        <v>1.08</v>
      </c>
    </row>
    <row r="974" spans="1:15" x14ac:dyDescent="0.3">
      <c r="B974" s="15" t="s">
        <v>1024</v>
      </c>
      <c r="C974" s="73" t="s">
        <v>941</v>
      </c>
      <c r="D974" s="17">
        <v>0.02</v>
      </c>
      <c r="E974" s="17">
        <f>'МЕДИЧНІ М'!F118</f>
        <v>97.3</v>
      </c>
      <c r="F974" s="17">
        <f t="shared" si="26"/>
        <v>1.95</v>
      </c>
    </row>
    <row r="975" spans="1:15" x14ac:dyDescent="0.3">
      <c r="B975" s="15" t="s">
        <v>964</v>
      </c>
      <c r="C975" s="73" t="s">
        <v>941</v>
      </c>
      <c r="D975" s="17">
        <v>0.1</v>
      </c>
      <c r="E975" s="16">
        <f>'МЕДИЧНІ М'!E119</f>
        <v>2.8</v>
      </c>
      <c r="F975" s="17">
        <f t="shared" si="26"/>
        <v>0.28000000000000003</v>
      </c>
    </row>
    <row r="976" spans="1:15" x14ac:dyDescent="0.3">
      <c r="B976" s="27" t="s">
        <v>942</v>
      </c>
      <c r="C976" s="28" t="s">
        <v>941</v>
      </c>
      <c r="D976" s="29">
        <v>0.01</v>
      </c>
      <c r="E976" s="29">
        <f>'МЕДИЧНІ М'!E120</f>
        <v>24.6</v>
      </c>
      <c r="F976" s="30">
        <f t="shared" si="26"/>
        <v>0.25</v>
      </c>
    </row>
    <row r="977" spans="2:8" x14ac:dyDescent="0.3">
      <c r="B977" s="27" t="s">
        <v>1124</v>
      </c>
      <c r="C977" s="28" t="s">
        <v>944</v>
      </c>
      <c r="D977" s="29">
        <v>0.5</v>
      </c>
      <c r="E977" s="29">
        <f>'МЕДИЧНІ М'!E114</f>
        <v>0.5</v>
      </c>
      <c r="F977" s="30">
        <f t="shared" si="26"/>
        <v>0.25</v>
      </c>
    </row>
    <row r="978" spans="2:8" x14ac:dyDescent="0.3">
      <c r="B978" s="1019" t="s">
        <v>945</v>
      </c>
      <c r="C978" s="1019"/>
      <c r="D978" s="1019"/>
      <c r="E978" s="1019"/>
      <c r="F978" s="89">
        <f>SUM(F970:F977)</f>
        <v>5.91</v>
      </c>
    </row>
    <row r="980" spans="2:8" x14ac:dyDescent="0.3">
      <c r="B980" s="12" t="s">
        <v>968</v>
      </c>
      <c r="C980" s="227"/>
      <c r="D980" s="12"/>
      <c r="E980" s="11">
        <f>SUM(G983:G984)</f>
        <v>0</v>
      </c>
      <c r="F980" s="12" t="s">
        <v>971</v>
      </c>
    </row>
    <row r="981" spans="2:8" x14ac:dyDescent="0.3">
      <c r="B981" s="22"/>
      <c r="C981" s="36"/>
      <c r="D981" s="22"/>
      <c r="E981" s="23"/>
      <c r="F981" s="22"/>
    </row>
    <row r="982" spans="2:8" ht="27.6" x14ac:dyDescent="0.3">
      <c r="B982" s="14" t="s">
        <v>513</v>
      </c>
      <c r="C982" s="14" t="s">
        <v>1108</v>
      </c>
      <c r="D982" s="14" t="s">
        <v>516</v>
      </c>
      <c r="E982" s="14" t="s">
        <v>970</v>
      </c>
      <c r="F982" s="14" t="s">
        <v>930</v>
      </c>
      <c r="G982" s="14" t="s">
        <v>961</v>
      </c>
    </row>
    <row r="983" spans="2:8" x14ac:dyDescent="0.3">
      <c r="B983" s="46" t="s">
        <v>1161</v>
      </c>
      <c r="C983" s="78">
        <f>C931</f>
        <v>0</v>
      </c>
      <c r="D983" s="62">
        <f>H959</f>
        <v>1932.7</v>
      </c>
      <c r="E983" s="17">
        <f>ROUND((C983/D983)/60,2)</f>
        <v>0</v>
      </c>
      <c r="F983" s="17">
        <f>D963</f>
        <v>10</v>
      </c>
      <c r="G983" s="16">
        <f>ROUND(E983*F983,2)</f>
        <v>0</v>
      </c>
    </row>
    <row r="984" spans="2:8" x14ac:dyDescent="0.3">
      <c r="B984" s="27" t="s">
        <v>1093</v>
      </c>
      <c r="C984" s="78">
        <f>C932</f>
        <v>0</v>
      </c>
      <c r="D984" s="62">
        <f>H960</f>
        <v>1506</v>
      </c>
      <c r="E984" s="17">
        <f>ROUND((C984/D984)/60,2)</f>
        <v>0</v>
      </c>
      <c r="F984" s="17">
        <f>D964</f>
        <v>15</v>
      </c>
      <c r="G984" s="16">
        <f>ROUND(E984*F984,2)</f>
        <v>0</v>
      </c>
      <c r="H984" s="38"/>
    </row>
    <row r="986" spans="2:8" x14ac:dyDescent="0.3">
      <c r="B986" s="12" t="s">
        <v>948</v>
      </c>
      <c r="C986" s="227"/>
      <c r="D986" s="12"/>
      <c r="E986" s="11">
        <f>G999</f>
        <v>3.45</v>
      </c>
      <c r="F986" s="12" t="s">
        <v>971</v>
      </c>
    </row>
    <row r="987" spans="2:8" x14ac:dyDescent="0.3">
      <c r="B987" s="22"/>
      <c r="C987" s="36"/>
      <c r="D987" s="22"/>
      <c r="E987" s="23"/>
    </row>
    <row r="988" spans="2:8" ht="27.6" x14ac:dyDescent="0.3">
      <c r="B988" s="14" t="s">
        <v>948</v>
      </c>
      <c r="C988" s="14" t="s">
        <v>1110</v>
      </c>
      <c r="D988" s="14" t="s">
        <v>516</v>
      </c>
      <c r="E988" s="14" t="s">
        <v>954</v>
      </c>
      <c r="F988" s="14" t="s">
        <v>930</v>
      </c>
      <c r="G988" s="14" t="s">
        <v>1111</v>
      </c>
    </row>
    <row r="989" spans="2:8" x14ac:dyDescent="0.3">
      <c r="B989" s="1009" t="str">
        <f>B959</f>
        <v>Лікар-рентгенолог</v>
      </c>
      <c r="C989" s="1010"/>
      <c r="D989" s="1010"/>
      <c r="E989" s="1010"/>
      <c r="F989" s="1010"/>
      <c r="G989" s="1011"/>
    </row>
    <row r="990" spans="2:8" x14ac:dyDescent="0.3">
      <c r="B990" s="17" t="s">
        <v>951</v>
      </c>
      <c r="C990" s="221">
        <f>C938</f>
        <v>12188.608008565312</v>
      </c>
      <c r="D990" s="17">
        <f>H959</f>
        <v>1932.7</v>
      </c>
      <c r="E990" s="17">
        <f>ROUND((C990/D990)/60,2)</f>
        <v>0.11</v>
      </c>
      <c r="F990" s="17">
        <f>D963</f>
        <v>10</v>
      </c>
      <c r="G990" s="16">
        <f>ROUND(E990*F990,2)</f>
        <v>1.1000000000000001</v>
      </c>
    </row>
    <row r="991" spans="2:8" x14ac:dyDescent="0.3">
      <c r="B991" s="17" t="s">
        <v>952</v>
      </c>
      <c r="C991" s="221">
        <f>C939</f>
        <v>53.149721627408987</v>
      </c>
      <c r="D991" s="17">
        <f>H959</f>
        <v>1932.7</v>
      </c>
      <c r="E991" s="17">
        <f>ROUND((C991/D991)/60,2)</f>
        <v>0</v>
      </c>
      <c r="F991" s="17">
        <f>D963</f>
        <v>10</v>
      </c>
      <c r="G991" s="16">
        <f>ROUND(E991*F991,2)</f>
        <v>0</v>
      </c>
    </row>
    <row r="992" spans="2:8" x14ac:dyDescent="0.3">
      <c r="B992" s="17" t="s">
        <v>953</v>
      </c>
      <c r="C992" s="221">
        <f>C940</f>
        <v>374.98368308351178</v>
      </c>
      <c r="D992" s="17">
        <f>H959</f>
        <v>1932.7</v>
      </c>
      <c r="E992" s="17">
        <f>ROUND((C992/D992)/60,2)</f>
        <v>0</v>
      </c>
      <c r="F992" s="17">
        <f>D963</f>
        <v>10</v>
      </c>
      <c r="G992" s="16">
        <f>ROUND(E992*F992,2)</f>
        <v>0</v>
      </c>
    </row>
    <row r="993" spans="1:15" x14ac:dyDescent="0.3">
      <c r="B993" s="17" t="s">
        <v>1109</v>
      </c>
      <c r="C993" s="221">
        <f>C941</f>
        <v>1686.0389293361886</v>
      </c>
      <c r="D993" s="17">
        <f>H959</f>
        <v>1932.7</v>
      </c>
      <c r="E993" s="17">
        <f>ROUND((C993/D993)/60,2)</f>
        <v>0.01</v>
      </c>
      <c r="F993" s="17">
        <f>D963</f>
        <v>10</v>
      </c>
      <c r="G993" s="16">
        <f>ROUND(E993*F993,2)</f>
        <v>0.1</v>
      </c>
    </row>
    <row r="994" spans="1:15" x14ac:dyDescent="0.3">
      <c r="B994" s="1009" t="str">
        <f>B960</f>
        <v>Рентгенолаборант</v>
      </c>
      <c r="C994" s="1010"/>
      <c r="D994" s="1010"/>
      <c r="E994" s="1010"/>
      <c r="F994" s="1010"/>
      <c r="G994" s="1011"/>
    </row>
    <row r="995" spans="1:15" x14ac:dyDescent="0.3">
      <c r="B995" s="17" t="s">
        <v>951</v>
      </c>
      <c r="C995" s="221">
        <f>C990</f>
        <v>12188.608008565312</v>
      </c>
      <c r="D995" s="17">
        <f>H960</f>
        <v>1506</v>
      </c>
      <c r="E995" s="17">
        <f>ROUND((C995/D995)/60,2)</f>
        <v>0.13</v>
      </c>
      <c r="F995" s="17">
        <f>D964</f>
        <v>15</v>
      </c>
      <c r="G995" s="16">
        <f>ROUND(E995*F995,2)</f>
        <v>1.95</v>
      </c>
    </row>
    <row r="996" spans="1:15" x14ac:dyDescent="0.3">
      <c r="B996" s="17" t="s">
        <v>952</v>
      </c>
      <c r="C996" s="221">
        <f>C991</f>
        <v>53.149721627408987</v>
      </c>
      <c r="D996" s="17">
        <f>H960</f>
        <v>1506</v>
      </c>
      <c r="E996" s="17">
        <f>ROUND((C996/D996)/60,2)</f>
        <v>0</v>
      </c>
      <c r="F996" s="17">
        <f>D964</f>
        <v>15</v>
      </c>
      <c r="G996" s="16">
        <f>ROUND(E996*F996,2)</f>
        <v>0</v>
      </c>
    </row>
    <row r="997" spans="1:15" x14ac:dyDescent="0.3">
      <c r="B997" s="17" t="s">
        <v>953</v>
      </c>
      <c r="C997" s="221">
        <f>C992</f>
        <v>374.98368308351178</v>
      </c>
      <c r="D997" s="17">
        <f>H960</f>
        <v>1506</v>
      </c>
      <c r="E997" s="17">
        <f>ROUND((C997/D997)/60,2)</f>
        <v>0</v>
      </c>
      <c r="F997" s="17">
        <f>D964</f>
        <v>15</v>
      </c>
      <c r="G997" s="16">
        <f>ROUND(E997*F997,2)</f>
        <v>0</v>
      </c>
    </row>
    <row r="998" spans="1:15" x14ac:dyDescent="0.3">
      <c r="B998" s="17" t="s">
        <v>1109</v>
      </c>
      <c r="C998" s="221">
        <f>C993</f>
        <v>1686.0389293361886</v>
      </c>
      <c r="D998" s="17">
        <f>H960</f>
        <v>1506</v>
      </c>
      <c r="E998" s="17">
        <f>ROUND((C998/D998)/60,2)</f>
        <v>0.02</v>
      </c>
      <c r="F998" s="17">
        <f>D964</f>
        <v>15</v>
      </c>
      <c r="G998" s="16">
        <f>ROUND(E998*F998,2)</f>
        <v>0.3</v>
      </c>
    </row>
    <row r="999" spans="1:15" x14ac:dyDescent="0.3">
      <c r="B999" s="1012" t="s">
        <v>957</v>
      </c>
      <c r="C999" s="1013"/>
      <c r="D999" s="1013"/>
      <c r="E999" s="1013"/>
      <c r="F999" s="1014"/>
      <c r="G999" s="18">
        <f>SUM(G990:G998)</f>
        <v>3.45</v>
      </c>
    </row>
    <row r="1000" spans="1:15" ht="13.5" customHeight="1" x14ac:dyDescent="0.3"/>
    <row r="1002" spans="1:15" x14ac:dyDescent="0.3">
      <c r="B1002" s="1015" t="s">
        <v>959</v>
      </c>
      <c r="C1002" s="1015"/>
      <c r="D1002" s="1015"/>
      <c r="E1002" s="1015"/>
      <c r="F1002" s="1015"/>
      <c r="G1002" s="32">
        <f>E956+E968+E980+E986</f>
        <v>41.14</v>
      </c>
    </row>
    <row r="1003" spans="1:15" x14ac:dyDescent="0.3">
      <c r="B1003" s="33"/>
      <c r="C1003" s="33"/>
      <c r="D1003" s="33"/>
      <c r="E1003" s="33"/>
      <c r="F1003" s="33"/>
      <c r="G1003" s="34"/>
    </row>
    <row r="1004" spans="1:15" x14ac:dyDescent="0.3">
      <c r="B1004" s="1015" t="s">
        <v>960</v>
      </c>
      <c r="C1004" s="1015"/>
      <c r="D1004" s="1015"/>
      <c r="E1004" s="1015"/>
      <c r="F1004" s="1015"/>
      <c r="G1004" s="32">
        <f>ROUND(G1002,0)</f>
        <v>41</v>
      </c>
    </row>
    <row r="1006" spans="1:15" s="54" customFormat="1" ht="37.5" customHeight="1" x14ac:dyDescent="0.4">
      <c r="A1006" s="50" t="s">
        <v>644</v>
      </c>
      <c r="B1006" s="1032" t="s">
        <v>689</v>
      </c>
      <c r="C1006" s="1032"/>
      <c r="D1006" s="1032"/>
      <c r="E1006" s="52">
        <f>G1057</f>
        <v>81</v>
      </c>
      <c r="F1006" s="52" t="s">
        <v>971</v>
      </c>
      <c r="G1006" s="53"/>
      <c r="H1006" s="124"/>
      <c r="I1006" s="125" t="s">
        <v>1023</v>
      </c>
      <c r="J1006" s="132"/>
      <c r="K1006" s="126"/>
      <c r="L1006" s="126"/>
      <c r="M1006" s="126"/>
      <c r="N1006" s="126"/>
      <c r="O1006" s="127"/>
    </row>
    <row r="1008" spans="1:15" x14ac:dyDescent="0.3">
      <c r="B1008" s="1018" t="s">
        <v>932</v>
      </c>
      <c r="C1008" s="1018"/>
      <c r="D1008" s="10"/>
      <c r="E1008" s="11">
        <f>E1015+E1018+E1016</f>
        <v>31.78</v>
      </c>
      <c r="F1008" s="12" t="s">
        <v>971</v>
      </c>
    </row>
    <row r="1010" spans="1:15" ht="27.6" x14ac:dyDescent="0.3">
      <c r="B1010" s="13" t="s">
        <v>929</v>
      </c>
      <c r="C1010" s="14" t="s">
        <v>928</v>
      </c>
      <c r="D1010" s="14" t="s">
        <v>514</v>
      </c>
      <c r="E1010" s="14" t="s">
        <v>515</v>
      </c>
      <c r="F1010" s="14" t="s">
        <v>962</v>
      </c>
      <c r="G1010" s="14" t="s">
        <v>926</v>
      </c>
      <c r="H1010" s="14" t="s">
        <v>516</v>
      </c>
      <c r="I1010" s="14" t="s">
        <v>961</v>
      </c>
    </row>
    <row r="1011" spans="1:15" x14ac:dyDescent="0.3">
      <c r="B1011" s="16" t="str">
        <f t="shared" ref="B1011:F1012" si="27">B959</f>
        <v>Лікар-рентгенолог</v>
      </c>
      <c r="C1011" s="16">
        <f t="shared" si="27"/>
        <v>8463.5400000000009</v>
      </c>
      <c r="D1011" s="16">
        <f t="shared" si="27"/>
        <v>101562.48000000001</v>
      </c>
      <c r="E1011" s="16">
        <f t="shared" si="27"/>
        <v>7052.95</v>
      </c>
      <c r="F1011" s="16">
        <f t="shared" si="27"/>
        <v>3526.4749999999999</v>
      </c>
      <c r="G1011" s="16">
        <f>D1011+E1011+F1011</f>
        <v>112141.90500000001</v>
      </c>
      <c r="H1011" s="17">
        <v>1932.7</v>
      </c>
      <c r="I1011" s="16">
        <f>ROUND((G1011/H1011)/60,2)</f>
        <v>0.97</v>
      </c>
    </row>
    <row r="1012" spans="1:15" x14ac:dyDescent="0.3">
      <c r="B1012" s="16" t="str">
        <f t="shared" si="27"/>
        <v>Рентгенолаборант</v>
      </c>
      <c r="C1012" s="16">
        <f t="shared" si="27"/>
        <v>7482.48</v>
      </c>
      <c r="D1012" s="16">
        <f t="shared" si="27"/>
        <v>89789.759999999995</v>
      </c>
      <c r="E1012" s="16">
        <f t="shared" si="27"/>
        <v>5755.75</v>
      </c>
      <c r="F1012" s="16">
        <f t="shared" si="27"/>
        <v>2877.875</v>
      </c>
      <c r="G1012" s="16">
        <f>D1012+E1012+F1012</f>
        <v>98423.384999999995</v>
      </c>
      <c r="H1012" s="62">
        <v>1506</v>
      </c>
      <c r="I1012" s="16">
        <f>ROUND((G1012/H1012)/60,2)</f>
        <v>1.0900000000000001</v>
      </c>
    </row>
    <row r="1014" spans="1:15" ht="27.6" x14ac:dyDescent="0.3">
      <c r="B1014" s="13" t="s">
        <v>929</v>
      </c>
      <c r="C1014" s="14" t="s">
        <v>961</v>
      </c>
      <c r="D1014" s="14" t="s">
        <v>930</v>
      </c>
      <c r="E1014" s="14" t="s">
        <v>931</v>
      </c>
    </row>
    <row r="1015" spans="1:15" x14ac:dyDescent="0.3">
      <c r="B1015" s="15" t="str">
        <f>B1011</f>
        <v>Лікар-рентгенолог</v>
      </c>
      <c r="C1015" s="78">
        <f>I1011</f>
        <v>0.97</v>
      </c>
      <c r="D1015" s="17">
        <v>10</v>
      </c>
      <c r="E1015" s="18">
        <f>ROUND(C1015*D1015,2)</f>
        <v>9.6999999999999993</v>
      </c>
    </row>
    <row r="1016" spans="1:15" x14ac:dyDescent="0.3">
      <c r="B1016" s="15" t="str">
        <f>B1012</f>
        <v>Рентгенолаборант</v>
      </c>
      <c r="C1016" s="78">
        <f>I1012</f>
        <v>1.0900000000000001</v>
      </c>
      <c r="D1016" s="17">
        <v>15</v>
      </c>
      <c r="E1016" s="18">
        <f>ROUND(C1016*D1016,2)</f>
        <v>16.350000000000001</v>
      </c>
    </row>
    <row r="1017" spans="1:15" x14ac:dyDescent="0.3">
      <c r="C1017" s="19"/>
    </row>
    <row r="1018" spans="1:15" x14ac:dyDescent="0.3">
      <c r="B1018" s="17" t="s">
        <v>933</v>
      </c>
      <c r="C1018" s="78">
        <f>E1015+E1016</f>
        <v>26.05</v>
      </c>
      <c r="D1018" s="20">
        <v>0.22</v>
      </c>
      <c r="E1018" s="21">
        <f>ROUND(C1018*D1018,2)</f>
        <v>5.73</v>
      </c>
    </row>
    <row r="1020" spans="1:15" x14ac:dyDescent="0.3">
      <c r="B1020" s="12" t="s">
        <v>946</v>
      </c>
      <c r="C1020" s="227"/>
      <c r="D1020" s="12"/>
      <c r="E1020" s="11">
        <f>F1031</f>
        <v>45.71</v>
      </c>
      <c r="F1020" s="12" t="s">
        <v>971</v>
      </c>
    </row>
    <row r="1021" spans="1:15" ht="3" customHeight="1" x14ac:dyDescent="0.3"/>
    <row r="1022" spans="1:15" x14ac:dyDescent="0.3">
      <c r="B1022" s="27" t="s">
        <v>936</v>
      </c>
      <c r="C1022" s="28" t="s">
        <v>937</v>
      </c>
      <c r="D1022" s="29">
        <v>1</v>
      </c>
      <c r="E1022" s="30">
        <f>'МЕДИЧНІ М'!F115</f>
        <v>0.3</v>
      </c>
      <c r="F1022" s="30">
        <f>ROUND(D1022*E1022,2)</f>
        <v>0.3</v>
      </c>
    </row>
    <row r="1023" spans="1:15" s="184" customFormat="1" x14ac:dyDescent="0.3">
      <c r="A1023" s="180"/>
      <c r="B1023" s="185" t="s">
        <v>1021</v>
      </c>
      <c r="C1023" s="186" t="s">
        <v>941</v>
      </c>
      <c r="D1023" s="164">
        <v>0.5</v>
      </c>
      <c r="E1023" s="164">
        <f>'МЕДИЧНІ М'!E181</f>
        <v>2</v>
      </c>
      <c r="F1023" s="164">
        <f t="shared" ref="F1023:F1030" si="28">ROUND(D1023*E1023,2)</f>
        <v>1</v>
      </c>
      <c r="G1023" s="180"/>
      <c r="H1023" s="180"/>
      <c r="I1023" s="180"/>
      <c r="J1023" s="187"/>
      <c r="K1023" s="189"/>
      <c r="L1023" s="189"/>
      <c r="M1023" s="189"/>
      <c r="N1023" s="189"/>
      <c r="O1023" s="188"/>
    </row>
    <row r="1024" spans="1:15" x14ac:dyDescent="0.3">
      <c r="B1024" s="15" t="s">
        <v>1216</v>
      </c>
      <c r="C1024" s="73" t="s">
        <v>941</v>
      </c>
      <c r="D1024" s="17">
        <v>0.1</v>
      </c>
      <c r="E1024" s="16">
        <f>'МЕДИЧНІ М'!E113</f>
        <v>8</v>
      </c>
      <c r="F1024" s="17">
        <f t="shared" si="28"/>
        <v>0.8</v>
      </c>
    </row>
    <row r="1025" spans="2:8" x14ac:dyDescent="0.3">
      <c r="B1025" s="15" t="str">
        <f>'МЕДИЧНІ М'!B322</f>
        <v>Рентген 30 * 40 № 100</v>
      </c>
      <c r="C1025" s="73" t="s">
        <v>941</v>
      </c>
      <c r="D1025" s="17">
        <v>2</v>
      </c>
      <c r="E1025" s="16">
        <f>'МЕДИЧНІ М'!F322</f>
        <v>19.899999999999999</v>
      </c>
      <c r="F1025" s="17">
        <f t="shared" si="28"/>
        <v>39.799999999999997</v>
      </c>
    </row>
    <row r="1026" spans="2:8" ht="28.2" x14ac:dyDescent="0.3">
      <c r="B1026" s="15" t="s">
        <v>1025</v>
      </c>
      <c r="C1026" s="73" t="s">
        <v>941</v>
      </c>
      <c r="D1026" s="17">
        <v>0.02</v>
      </c>
      <c r="E1026" s="17">
        <f>'МЕДИЧНІ М'!F121</f>
        <v>54</v>
      </c>
      <c r="F1026" s="17">
        <f t="shared" si="28"/>
        <v>1.08</v>
      </c>
    </row>
    <row r="1027" spans="2:8" x14ac:dyDescent="0.3">
      <c r="B1027" s="15" t="s">
        <v>1024</v>
      </c>
      <c r="C1027" s="73" t="s">
        <v>941</v>
      </c>
      <c r="D1027" s="17">
        <v>0.02</v>
      </c>
      <c r="E1027" s="17">
        <f>'МЕДИЧНІ М'!F118</f>
        <v>97.3</v>
      </c>
      <c r="F1027" s="17">
        <f t="shared" si="28"/>
        <v>1.95</v>
      </c>
    </row>
    <row r="1028" spans="2:8" x14ac:dyDescent="0.3">
      <c r="B1028" s="15" t="s">
        <v>964</v>
      </c>
      <c r="C1028" s="73" t="s">
        <v>941</v>
      </c>
      <c r="D1028" s="17">
        <v>0.1</v>
      </c>
      <c r="E1028" s="16">
        <f>'МЕДИЧНІ М'!E119</f>
        <v>2.8</v>
      </c>
      <c r="F1028" s="17">
        <f t="shared" si="28"/>
        <v>0.28000000000000003</v>
      </c>
    </row>
    <row r="1029" spans="2:8" x14ac:dyDescent="0.3">
      <c r="B1029" s="27" t="s">
        <v>942</v>
      </c>
      <c r="C1029" s="28" t="s">
        <v>941</v>
      </c>
      <c r="D1029" s="29">
        <v>0.01</v>
      </c>
      <c r="E1029" s="29">
        <f>'МЕДИЧНІ М'!E120</f>
        <v>24.6</v>
      </c>
      <c r="F1029" s="30">
        <f t="shared" si="28"/>
        <v>0.25</v>
      </c>
    </row>
    <row r="1030" spans="2:8" x14ac:dyDescent="0.3">
      <c r="B1030" s="27" t="s">
        <v>1124</v>
      </c>
      <c r="C1030" s="28" t="s">
        <v>944</v>
      </c>
      <c r="D1030" s="29">
        <v>0.5</v>
      </c>
      <c r="E1030" s="29">
        <f>'МЕДИЧНІ М'!E114</f>
        <v>0.5</v>
      </c>
      <c r="F1030" s="30">
        <f t="shared" si="28"/>
        <v>0.25</v>
      </c>
    </row>
    <row r="1031" spans="2:8" x14ac:dyDescent="0.3">
      <c r="B1031" s="1019" t="s">
        <v>945</v>
      </c>
      <c r="C1031" s="1019"/>
      <c r="D1031" s="1019"/>
      <c r="E1031" s="1019"/>
      <c r="F1031" s="89">
        <f>SUM(F1022:F1030)</f>
        <v>45.71</v>
      </c>
    </row>
    <row r="1032" spans="2:8" ht="6" customHeight="1" x14ac:dyDescent="0.3"/>
    <row r="1033" spans="2:8" x14ac:dyDescent="0.3">
      <c r="B1033" s="12" t="s">
        <v>968</v>
      </c>
      <c r="C1033" s="227"/>
      <c r="D1033" s="12"/>
      <c r="E1033" s="11">
        <f>SUM(G1036:G1037)</f>
        <v>0</v>
      </c>
      <c r="F1033" s="12" t="s">
        <v>971</v>
      </c>
    </row>
    <row r="1034" spans="2:8" ht="7.5" customHeight="1" x14ac:dyDescent="0.3">
      <c r="B1034" s="22"/>
      <c r="C1034" s="36"/>
      <c r="D1034" s="22"/>
      <c r="E1034" s="23"/>
      <c r="F1034" s="22"/>
    </row>
    <row r="1035" spans="2:8" ht="27.6" x14ac:dyDescent="0.3">
      <c r="B1035" s="14" t="s">
        <v>513</v>
      </c>
      <c r="C1035" s="14" t="s">
        <v>1108</v>
      </c>
      <c r="D1035" s="14" t="s">
        <v>516</v>
      </c>
      <c r="E1035" s="14" t="s">
        <v>970</v>
      </c>
      <c r="F1035" s="14" t="s">
        <v>930</v>
      </c>
      <c r="G1035" s="14" t="s">
        <v>961</v>
      </c>
    </row>
    <row r="1036" spans="2:8" x14ac:dyDescent="0.3">
      <c r="B1036" s="46" t="str">
        <f>B983</f>
        <v>Автоматизоване робоче місце, ПК</v>
      </c>
      <c r="C1036" s="46">
        <f>C983</f>
        <v>0</v>
      </c>
      <c r="D1036" s="62">
        <f>H1011</f>
        <v>1932.7</v>
      </c>
      <c r="E1036" s="17">
        <f>ROUND((C1036/D1036)/60,2)</f>
        <v>0</v>
      </c>
      <c r="F1036" s="17">
        <f>D1015</f>
        <v>10</v>
      </c>
      <c r="G1036" s="16">
        <f>ROUND(E1036*F1036,2)</f>
        <v>0</v>
      </c>
    </row>
    <row r="1037" spans="2:8" x14ac:dyDescent="0.3">
      <c r="B1037" s="46" t="str">
        <f>B984</f>
        <v>Рентген</v>
      </c>
      <c r="C1037" s="46">
        <f>C984</f>
        <v>0</v>
      </c>
      <c r="D1037" s="62">
        <f>H1012</f>
        <v>1506</v>
      </c>
      <c r="E1037" s="17">
        <f>ROUND((C1037/D1037)/60,2)</f>
        <v>0</v>
      </c>
      <c r="F1037" s="17">
        <f>D1016</f>
        <v>15</v>
      </c>
      <c r="G1037" s="16">
        <f>ROUND(E1037*F1037,2)</f>
        <v>0</v>
      </c>
      <c r="H1037" s="38"/>
    </row>
    <row r="1038" spans="2:8" ht="9.75" customHeight="1" x14ac:dyDescent="0.3"/>
    <row r="1039" spans="2:8" x14ac:dyDescent="0.3">
      <c r="B1039" s="12" t="s">
        <v>948</v>
      </c>
      <c r="C1039" s="227"/>
      <c r="D1039" s="12"/>
      <c r="E1039" s="11">
        <f>G1052</f>
        <v>3.45</v>
      </c>
      <c r="F1039" s="12" t="s">
        <v>971</v>
      </c>
    </row>
    <row r="1040" spans="2:8" ht="9" customHeight="1" x14ac:dyDescent="0.3">
      <c r="B1040" s="22"/>
      <c r="C1040" s="36"/>
      <c r="D1040" s="22"/>
      <c r="E1040" s="23"/>
    </row>
    <row r="1041" spans="2:7" ht="27.6" x14ac:dyDescent="0.3">
      <c r="B1041" s="14" t="s">
        <v>948</v>
      </c>
      <c r="C1041" s="14" t="s">
        <v>1110</v>
      </c>
      <c r="D1041" s="14" t="s">
        <v>516</v>
      </c>
      <c r="E1041" s="14" t="s">
        <v>954</v>
      </c>
      <c r="F1041" s="14" t="s">
        <v>930</v>
      </c>
      <c r="G1041" s="14" t="s">
        <v>1111</v>
      </c>
    </row>
    <row r="1042" spans="2:7" x14ac:dyDescent="0.3">
      <c r="B1042" s="1009" t="str">
        <f>B1011</f>
        <v>Лікар-рентгенолог</v>
      </c>
      <c r="C1042" s="1010"/>
      <c r="D1042" s="1010"/>
      <c r="E1042" s="1010"/>
      <c r="F1042" s="1010"/>
      <c r="G1042" s="1011"/>
    </row>
    <row r="1043" spans="2:7" x14ac:dyDescent="0.3">
      <c r="B1043" s="17" t="s">
        <v>951</v>
      </c>
      <c r="C1043" s="221">
        <f>C990</f>
        <v>12188.608008565312</v>
      </c>
      <c r="D1043" s="17">
        <f>H1011</f>
        <v>1932.7</v>
      </c>
      <c r="E1043" s="17">
        <f>ROUND((C1043/D1043)/60,2)</f>
        <v>0.11</v>
      </c>
      <c r="F1043" s="17">
        <f>D1015</f>
        <v>10</v>
      </c>
      <c r="G1043" s="16">
        <f>ROUND(E1043*F1043,2)</f>
        <v>1.1000000000000001</v>
      </c>
    </row>
    <row r="1044" spans="2:7" x14ac:dyDescent="0.3">
      <c r="B1044" s="17" t="s">
        <v>952</v>
      </c>
      <c r="C1044" s="221">
        <f>C991</f>
        <v>53.149721627408987</v>
      </c>
      <c r="D1044" s="17">
        <f>H1011</f>
        <v>1932.7</v>
      </c>
      <c r="E1044" s="17">
        <f>ROUND((C1044/D1044)/60,2)</f>
        <v>0</v>
      </c>
      <c r="F1044" s="17">
        <f>D1015</f>
        <v>10</v>
      </c>
      <c r="G1044" s="16">
        <f>ROUND(E1044*F1044,2)</f>
        <v>0</v>
      </c>
    </row>
    <row r="1045" spans="2:7" x14ac:dyDescent="0.3">
      <c r="B1045" s="17" t="s">
        <v>953</v>
      </c>
      <c r="C1045" s="221">
        <f>C992</f>
        <v>374.98368308351178</v>
      </c>
      <c r="D1045" s="17">
        <f>H1011</f>
        <v>1932.7</v>
      </c>
      <c r="E1045" s="17">
        <f>ROUND((C1045/D1045)/60,2)</f>
        <v>0</v>
      </c>
      <c r="F1045" s="17">
        <f>D1015</f>
        <v>10</v>
      </c>
      <c r="G1045" s="16">
        <f>ROUND(E1045*F1045,2)</f>
        <v>0</v>
      </c>
    </row>
    <row r="1046" spans="2:7" x14ac:dyDescent="0.3">
      <c r="B1046" s="17" t="s">
        <v>1109</v>
      </c>
      <c r="C1046" s="221">
        <f>C993</f>
        <v>1686.0389293361886</v>
      </c>
      <c r="D1046" s="17">
        <f>H1011</f>
        <v>1932.7</v>
      </c>
      <c r="E1046" s="17">
        <f>ROUND((C1046/D1046)/60,2)</f>
        <v>0.01</v>
      </c>
      <c r="F1046" s="17">
        <f>D1015</f>
        <v>10</v>
      </c>
      <c r="G1046" s="16">
        <f>ROUND(E1046*F1046,2)</f>
        <v>0.1</v>
      </c>
    </row>
    <row r="1047" spans="2:7" x14ac:dyDescent="0.3">
      <c r="B1047" s="1009" t="str">
        <f>B1012</f>
        <v>Рентгенолаборант</v>
      </c>
      <c r="C1047" s="1010"/>
      <c r="D1047" s="1010"/>
      <c r="E1047" s="1010"/>
      <c r="F1047" s="1010"/>
      <c r="G1047" s="1011"/>
    </row>
    <row r="1048" spans="2:7" x14ac:dyDescent="0.3">
      <c r="B1048" s="17" t="s">
        <v>951</v>
      </c>
      <c r="C1048" s="221">
        <f>C1043</f>
        <v>12188.608008565312</v>
      </c>
      <c r="D1048" s="17">
        <f>H1012</f>
        <v>1506</v>
      </c>
      <c r="E1048" s="17">
        <f>ROUND((C1048/D1048)/60,2)</f>
        <v>0.13</v>
      </c>
      <c r="F1048" s="17">
        <f>D1016</f>
        <v>15</v>
      </c>
      <c r="G1048" s="16">
        <f>ROUND(E1048*F1048,2)</f>
        <v>1.95</v>
      </c>
    </row>
    <row r="1049" spans="2:7" x14ac:dyDescent="0.3">
      <c r="B1049" s="17" t="s">
        <v>952</v>
      </c>
      <c r="C1049" s="221">
        <f>C1044</f>
        <v>53.149721627408987</v>
      </c>
      <c r="D1049" s="17">
        <f>H1012</f>
        <v>1506</v>
      </c>
      <c r="E1049" s="17">
        <f>ROUND((C1049/D1049)/60,2)</f>
        <v>0</v>
      </c>
      <c r="F1049" s="17">
        <f>D1016</f>
        <v>15</v>
      </c>
      <c r="G1049" s="16">
        <f>ROUND(E1049*F1049,2)</f>
        <v>0</v>
      </c>
    </row>
    <row r="1050" spans="2:7" x14ac:dyDescent="0.3">
      <c r="B1050" s="17" t="s">
        <v>953</v>
      </c>
      <c r="C1050" s="221">
        <f>C1045</f>
        <v>374.98368308351178</v>
      </c>
      <c r="D1050" s="17">
        <f>H1012</f>
        <v>1506</v>
      </c>
      <c r="E1050" s="17">
        <f>ROUND((C1050/D1050)/60,2)</f>
        <v>0</v>
      </c>
      <c r="F1050" s="17">
        <f>D1016</f>
        <v>15</v>
      </c>
      <c r="G1050" s="16">
        <f>ROUND(E1050*F1050,2)</f>
        <v>0</v>
      </c>
    </row>
    <row r="1051" spans="2:7" x14ac:dyDescent="0.3">
      <c r="B1051" s="17" t="s">
        <v>1109</v>
      </c>
      <c r="C1051" s="221">
        <f>C1046</f>
        <v>1686.0389293361886</v>
      </c>
      <c r="D1051" s="17">
        <f>H1012</f>
        <v>1506</v>
      </c>
      <c r="E1051" s="17">
        <f>ROUND((C1051/D1051)/60,2)</f>
        <v>0.02</v>
      </c>
      <c r="F1051" s="17">
        <f>D1016</f>
        <v>15</v>
      </c>
      <c r="G1051" s="16">
        <f>ROUND(E1051*F1051,2)</f>
        <v>0.3</v>
      </c>
    </row>
    <row r="1052" spans="2:7" x14ac:dyDescent="0.3">
      <c r="B1052" s="1012" t="s">
        <v>957</v>
      </c>
      <c r="C1052" s="1013"/>
      <c r="D1052" s="1013"/>
      <c r="E1052" s="1013"/>
      <c r="F1052" s="1014"/>
      <c r="G1052" s="18">
        <f>SUM(G1043:G1051)</f>
        <v>3.45</v>
      </c>
    </row>
    <row r="1053" spans="2:7" ht="6.75" customHeight="1" x14ac:dyDescent="0.3"/>
    <row r="1055" spans="2:7" x14ac:dyDescent="0.3">
      <c r="B1055" s="1015" t="s">
        <v>959</v>
      </c>
      <c r="C1055" s="1015"/>
      <c r="D1055" s="1015"/>
      <c r="E1055" s="1015"/>
      <c r="F1055" s="1015"/>
      <c r="G1055" s="32">
        <f>E1008+E1020+E1033+E1039</f>
        <v>80.940000000000012</v>
      </c>
    </row>
    <row r="1056" spans="2:7" x14ac:dyDescent="0.3">
      <c r="B1056" s="33"/>
      <c r="C1056" s="33"/>
      <c r="D1056" s="33"/>
      <c r="E1056" s="33"/>
      <c r="F1056" s="33"/>
      <c r="G1056" s="34"/>
    </row>
    <row r="1057" spans="1:15" s="54" customFormat="1" ht="19.8" x14ac:dyDescent="0.4">
      <c r="A1057" s="53"/>
      <c r="B1057" s="1051" t="s">
        <v>960</v>
      </c>
      <c r="C1057" s="1051"/>
      <c r="D1057" s="1051"/>
      <c r="E1057" s="1051"/>
      <c r="F1057" s="1051"/>
      <c r="G1057" s="32">
        <f>ROUND(G1055,0)</f>
        <v>81</v>
      </c>
      <c r="H1057" s="53"/>
      <c r="I1057" s="53"/>
      <c r="J1057" s="132"/>
      <c r="K1057" s="126"/>
      <c r="L1057" s="126"/>
      <c r="M1057" s="126"/>
      <c r="N1057" s="126"/>
      <c r="O1057" s="127"/>
    </row>
    <row r="1058" spans="1:15" s="54" customFormat="1" ht="19.8" x14ac:dyDescent="0.4">
      <c r="A1058" s="53"/>
      <c r="B1058" s="53"/>
      <c r="C1058" s="225"/>
      <c r="D1058" s="53"/>
      <c r="E1058" s="53"/>
      <c r="F1058" s="53"/>
      <c r="G1058" s="53"/>
      <c r="H1058" s="53"/>
      <c r="I1058" s="53"/>
      <c r="J1058" s="132"/>
      <c r="K1058" s="126"/>
      <c r="L1058" s="126"/>
      <c r="M1058" s="126"/>
      <c r="N1058" s="126"/>
      <c r="O1058" s="127"/>
    </row>
    <row r="1059" spans="1:15" s="54" customFormat="1" ht="19.8" x14ac:dyDescent="0.4">
      <c r="A1059" s="53"/>
      <c r="B1059" s="53"/>
      <c r="C1059" s="225"/>
      <c r="D1059" s="53"/>
      <c r="E1059" s="53"/>
      <c r="F1059" s="53"/>
      <c r="G1059" s="53"/>
      <c r="H1059" s="53"/>
      <c r="I1059" s="53"/>
      <c r="J1059" s="132"/>
      <c r="K1059" s="126"/>
      <c r="L1059" s="126"/>
      <c r="M1059" s="126"/>
      <c r="N1059" s="126"/>
      <c r="O1059" s="127"/>
    </row>
    <row r="1060" spans="1:15" s="54" customFormat="1" ht="34.5" customHeight="1" x14ac:dyDescent="0.4">
      <c r="A1060" s="50" t="s">
        <v>644</v>
      </c>
      <c r="B1060" s="1032" t="s">
        <v>689</v>
      </c>
      <c r="C1060" s="1032"/>
      <c r="D1060" s="1032"/>
      <c r="E1060" s="52">
        <f>G1110</f>
        <v>41</v>
      </c>
      <c r="F1060" s="52" t="s">
        <v>971</v>
      </c>
      <c r="G1060" s="53"/>
      <c r="H1060" s="124"/>
      <c r="I1060" s="125" t="s">
        <v>1128</v>
      </c>
      <c r="J1060" s="132"/>
      <c r="K1060" s="126"/>
      <c r="L1060" s="126"/>
      <c r="M1060" s="126"/>
      <c r="N1060" s="126"/>
      <c r="O1060" s="127"/>
    </row>
    <row r="1062" spans="1:15" x14ac:dyDescent="0.3">
      <c r="B1062" s="1018" t="s">
        <v>932</v>
      </c>
      <c r="C1062" s="1018"/>
      <c r="D1062" s="10"/>
      <c r="E1062" s="11">
        <f>E1069+E1072+E1070</f>
        <v>31.78</v>
      </c>
      <c r="F1062" s="12" t="s">
        <v>971</v>
      </c>
    </row>
    <row r="1064" spans="1:15" ht="27.6" x14ac:dyDescent="0.3">
      <c r="B1064" s="13" t="s">
        <v>929</v>
      </c>
      <c r="C1064" s="14" t="s">
        <v>928</v>
      </c>
      <c r="D1064" s="14" t="s">
        <v>514</v>
      </c>
      <c r="E1064" s="14" t="s">
        <v>515</v>
      </c>
      <c r="F1064" s="14" t="s">
        <v>962</v>
      </c>
      <c r="G1064" s="14" t="s">
        <v>926</v>
      </c>
      <c r="H1064" s="14" t="s">
        <v>516</v>
      </c>
      <c r="I1064" s="14" t="s">
        <v>961</v>
      </c>
    </row>
    <row r="1065" spans="1:15" x14ac:dyDescent="0.3">
      <c r="B1065" s="16" t="str">
        <f>B1011</f>
        <v>Лікар-рентгенолог</v>
      </c>
      <c r="C1065" s="78">
        <f>C1011</f>
        <v>8463.5400000000009</v>
      </c>
      <c r="D1065" s="16">
        <f>C1065*12</f>
        <v>101562.48000000001</v>
      </c>
      <c r="E1065" s="16">
        <f>E1011</f>
        <v>7052.95</v>
      </c>
      <c r="F1065" s="16">
        <f>F1011</f>
        <v>3526.4749999999999</v>
      </c>
      <c r="G1065" s="16">
        <f>D1065+E1065+F1065</f>
        <v>112141.90500000001</v>
      </c>
      <c r="H1065" s="17">
        <v>1932.7</v>
      </c>
      <c r="I1065" s="16">
        <f>ROUND((G1065/H1065)/60,2)</f>
        <v>0.97</v>
      </c>
    </row>
    <row r="1066" spans="1:15" x14ac:dyDescent="0.3">
      <c r="B1066" s="16" t="str">
        <f>B1012</f>
        <v>Рентгенолаборант</v>
      </c>
      <c r="C1066" s="78">
        <f>C1012</f>
        <v>7482.48</v>
      </c>
      <c r="D1066" s="24">
        <f>C1066*12</f>
        <v>89789.759999999995</v>
      </c>
      <c r="E1066" s="16">
        <f>E1012</f>
        <v>5755.75</v>
      </c>
      <c r="F1066" s="16">
        <f>F1012</f>
        <v>2877.875</v>
      </c>
      <c r="G1066" s="16">
        <f>D1066+E1066+F1066</f>
        <v>98423.384999999995</v>
      </c>
      <c r="H1066" s="62">
        <v>1506</v>
      </c>
      <c r="I1066" s="16">
        <f>ROUND((G1066/H1066)/60,2)</f>
        <v>1.0900000000000001</v>
      </c>
    </row>
    <row r="1068" spans="1:15" ht="27.6" x14ac:dyDescent="0.3">
      <c r="B1068" s="13" t="s">
        <v>929</v>
      </c>
      <c r="C1068" s="14" t="s">
        <v>961</v>
      </c>
      <c r="D1068" s="14" t="s">
        <v>930</v>
      </c>
      <c r="E1068" s="14" t="s">
        <v>931</v>
      </c>
    </row>
    <row r="1069" spans="1:15" x14ac:dyDescent="0.3">
      <c r="B1069" s="15" t="str">
        <f>B1065</f>
        <v>Лікар-рентгенолог</v>
      </c>
      <c r="C1069" s="78">
        <f>I1065</f>
        <v>0.97</v>
      </c>
      <c r="D1069" s="17">
        <v>10</v>
      </c>
      <c r="E1069" s="18">
        <f>ROUND(C1069*D1069,2)</f>
        <v>9.6999999999999993</v>
      </c>
    </row>
    <row r="1070" spans="1:15" x14ac:dyDescent="0.3">
      <c r="B1070" s="15" t="str">
        <f>B1066</f>
        <v>Рентгенолаборант</v>
      </c>
      <c r="C1070" s="78">
        <f>I1066</f>
        <v>1.0900000000000001</v>
      </c>
      <c r="D1070" s="17">
        <v>15</v>
      </c>
      <c r="E1070" s="18">
        <f>ROUND(C1070*D1070,2)</f>
        <v>16.350000000000001</v>
      </c>
    </row>
    <row r="1071" spans="1:15" x14ac:dyDescent="0.3">
      <c r="C1071" s="19"/>
    </row>
    <row r="1072" spans="1:15" x14ac:dyDescent="0.3">
      <c r="B1072" s="17" t="s">
        <v>933</v>
      </c>
      <c r="C1072" s="78">
        <f>E1069+E1070</f>
        <v>26.05</v>
      </c>
      <c r="D1072" s="20">
        <v>0.22</v>
      </c>
      <c r="E1072" s="21">
        <f>ROUND(C1072*D1072,2)</f>
        <v>5.73</v>
      </c>
    </row>
    <row r="1073" spans="1:15" ht="11.25" customHeight="1" x14ac:dyDescent="0.3"/>
    <row r="1074" spans="1:15" x14ac:dyDescent="0.3">
      <c r="B1074" s="12" t="s">
        <v>946</v>
      </c>
      <c r="C1074" s="227"/>
      <c r="D1074" s="12"/>
      <c r="E1074" s="11">
        <f>F1084</f>
        <v>5.91</v>
      </c>
      <c r="F1074" s="12" t="s">
        <v>971</v>
      </c>
    </row>
    <row r="1075" spans="1:15" ht="7.5" customHeight="1" x14ac:dyDescent="0.3"/>
    <row r="1076" spans="1:15" x14ac:dyDescent="0.3">
      <c r="B1076" s="27" t="s">
        <v>936</v>
      </c>
      <c r="C1076" s="28" t="s">
        <v>937</v>
      </c>
      <c r="D1076" s="29">
        <v>1</v>
      </c>
      <c r="E1076" s="30">
        <f>'МЕДИЧНІ М'!F115</f>
        <v>0.3</v>
      </c>
      <c r="F1076" s="30">
        <f t="shared" ref="F1076:F1083" si="29">ROUND(D1076*E1076,2)</f>
        <v>0.3</v>
      </c>
    </row>
    <row r="1077" spans="1:15" s="184" customFormat="1" x14ac:dyDescent="0.3">
      <c r="A1077" s="180"/>
      <c r="B1077" s="185" t="s">
        <v>1021</v>
      </c>
      <c r="C1077" s="186" t="s">
        <v>941</v>
      </c>
      <c r="D1077" s="164">
        <v>0.5</v>
      </c>
      <c r="E1077" s="164">
        <f>'МЕДИЧНІ М'!E181</f>
        <v>2</v>
      </c>
      <c r="F1077" s="164">
        <f t="shared" si="29"/>
        <v>1</v>
      </c>
      <c r="G1077" s="180"/>
      <c r="H1077" s="180"/>
      <c r="I1077" s="180"/>
      <c r="J1077" s="187"/>
      <c r="K1077" s="189"/>
      <c r="L1077" s="189"/>
      <c r="M1077" s="189"/>
      <c r="N1077" s="189"/>
      <c r="O1077" s="188"/>
    </row>
    <row r="1078" spans="1:15" x14ac:dyDescent="0.3">
      <c r="B1078" s="15" t="s">
        <v>1216</v>
      </c>
      <c r="C1078" s="73" t="s">
        <v>941</v>
      </c>
      <c r="D1078" s="17">
        <v>0.1</v>
      </c>
      <c r="E1078" s="16">
        <f>'МЕДИЧНІ М'!E113</f>
        <v>8</v>
      </c>
      <c r="F1078" s="17">
        <f t="shared" si="29"/>
        <v>0.8</v>
      </c>
    </row>
    <row r="1079" spans="1:15" ht="28.2" x14ac:dyDescent="0.3">
      <c r="B1079" s="15" t="s">
        <v>1025</v>
      </c>
      <c r="C1079" s="73" t="s">
        <v>941</v>
      </c>
      <c r="D1079" s="17">
        <v>0.02</v>
      </c>
      <c r="E1079" s="17">
        <f>'МЕДИЧНІ М'!F121</f>
        <v>54</v>
      </c>
      <c r="F1079" s="17">
        <f t="shared" si="29"/>
        <v>1.08</v>
      </c>
    </row>
    <row r="1080" spans="1:15" x14ac:dyDescent="0.3">
      <c r="B1080" s="15" t="s">
        <v>1024</v>
      </c>
      <c r="C1080" s="73" t="s">
        <v>941</v>
      </c>
      <c r="D1080" s="17">
        <v>0.02</v>
      </c>
      <c r="E1080" s="17">
        <f>'МЕДИЧНІ М'!F118</f>
        <v>97.3</v>
      </c>
      <c r="F1080" s="17">
        <f t="shared" si="29"/>
        <v>1.95</v>
      </c>
    </row>
    <row r="1081" spans="1:15" x14ac:dyDescent="0.3">
      <c r="B1081" s="15" t="s">
        <v>964</v>
      </c>
      <c r="C1081" s="73" t="s">
        <v>941</v>
      </c>
      <c r="D1081" s="17">
        <v>0.1</v>
      </c>
      <c r="E1081" s="16">
        <f>'МЕДИЧНІ М'!E119</f>
        <v>2.8</v>
      </c>
      <c r="F1081" s="17">
        <f t="shared" si="29"/>
        <v>0.28000000000000003</v>
      </c>
    </row>
    <row r="1082" spans="1:15" x14ac:dyDescent="0.3">
      <c r="B1082" s="27" t="s">
        <v>942</v>
      </c>
      <c r="C1082" s="28" t="s">
        <v>941</v>
      </c>
      <c r="D1082" s="29">
        <v>0.01</v>
      </c>
      <c r="E1082" s="29">
        <f>'МЕДИЧНІ М'!E120</f>
        <v>24.6</v>
      </c>
      <c r="F1082" s="30">
        <f t="shared" si="29"/>
        <v>0.25</v>
      </c>
    </row>
    <row r="1083" spans="1:15" x14ac:dyDescent="0.3">
      <c r="B1083" s="27" t="s">
        <v>1124</v>
      </c>
      <c r="C1083" s="28" t="s">
        <v>944</v>
      </c>
      <c r="D1083" s="29">
        <v>0.5</v>
      </c>
      <c r="E1083" s="29">
        <f>'МЕДИЧНІ М'!E114</f>
        <v>0.5</v>
      </c>
      <c r="F1083" s="30">
        <f t="shared" si="29"/>
        <v>0.25</v>
      </c>
    </row>
    <row r="1084" spans="1:15" x14ac:dyDescent="0.3">
      <c r="B1084" s="1019" t="s">
        <v>945</v>
      </c>
      <c r="C1084" s="1019"/>
      <c r="D1084" s="1019"/>
      <c r="E1084" s="1019"/>
      <c r="F1084" s="89">
        <f>SUM(F1076:F1083)</f>
        <v>5.91</v>
      </c>
    </row>
    <row r="1086" spans="1:15" x14ac:dyDescent="0.3">
      <c r="B1086" s="12" t="s">
        <v>968</v>
      </c>
      <c r="C1086" s="227"/>
      <c r="D1086" s="12"/>
      <c r="E1086" s="11">
        <f>SUM(G1089:G1090)</f>
        <v>0</v>
      </c>
      <c r="F1086" s="12" t="s">
        <v>971</v>
      </c>
    </row>
    <row r="1087" spans="1:15" x14ac:dyDescent="0.3">
      <c r="B1087" s="22"/>
      <c r="C1087" s="36"/>
      <c r="D1087" s="22"/>
      <c r="E1087" s="23"/>
      <c r="F1087" s="22"/>
    </row>
    <row r="1088" spans="1:15" ht="27.6" x14ac:dyDescent="0.3">
      <c r="B1088" s="14" t="s">
        <v>513</v>
      </c>
      <c r="C1088" s="14" t="s">
        <v>1108</v>
      </c>
      <c r="D1088" s="14" t="s">
        <v>516</v>
      </c>
      <c r="E1088" s="14" t="s">
        <v>970</v>
      </c>
      <c r="F1088" s="14" t="s">
        <v>930</v>
      </c>
      <c r="G1088" s="14" t="s">
        <v>961</v>
      </c>
    </row>
    <row r="1089" spans="2:8" x14ac:dyDescent="0.3">
      <c r="B1089" s="46" t="s">
        <v>1161</v>
      </c>
      <c r="C1089" s="78">
        <f>C1036</f>
        <v>0</v>
      </c>
      <c r="D1089" s="62">
        <f>H1065</f>
        <v>1932.7</v>
      </c>
      <c r="E1089" s="17">
        <f>ROUND((C1089/D1089)/60,2)</f>
        <v>0</v>
      </c>
      <c r="F1089" s="17">
        <f>D1069</f>
        <v>10</v>
      </c>
      <c r="G1089" s="16">
        <f>ROUND(E1089*F1089,2)</f>
        <v>0</v>
      </c>
    </row>
    <row r="1090" spans="2:8" x14ac:dyDescent="0.3">
      <c r="B1090" s="27" t="s">
        <v>1093</v>
      </c>
      <c r="C1090" s="78">
        <f>C1037</f>
        <v>0</v>
      </c>
      <c r="D1090" s="62">
        <f>H1066</f>
        <v>1506</v>
      </c>
      <c r="E1090" s="17">
        <f>ROUND((C1090/D1090)/60,2)</f>
        <v>0</v>
      </c>
      <c r="F1090" s="17">
        <f>D1070</f>
        <v>15</v>
      </c>
      <c r="G1090" s="16">
        <f>ROUND(E1090*F1090,2)</f>
        <v>0</v>
      </c>
      <c r="H1090" s="38"/>
    </row>
    <row r="1092" spans="2:8" x14ac:dyDescent="0.3">
      <c r="B1092" s="12" t="s">
        <v>948</v>
      </c>
      <c r="C1092" s="227"/>
      <c r="D1092" s="12"/>
      <c r="E1092" s="11">
        <f>G1105</f>
        <v>3.45</v>
      </c>
      <c r="F1092" s="12" t="s">
        <v>971</v>
      </c>
    </row>
    <row r="1093" spans="2:8" x14ac:dyDescent="0.3">
      <c r="B1093" s="22"/>
      <c r="C1093" s="36"/>
      <c r="D1093" s="22"/>
      <c r="E1093" s="23"/>
    </row>
    <row r="1094" spans="2:8" ht="27.6" x14ac:dyDescent="0.3">
      <c r="B1094" s="14" t="s">
        <v>948</v>
      </c>
      <c r="C1094" s="14" t="s">
        <v>1110</v>
      </c>
      <c r="D1094" s="14" t="s">
        <v>516</v>
      </c>
      <c r="E1094" s="14" t="s">
        <v>954</v>
      </c>
      <c r="F1094" s="14" t="s">
        <v>930</v>
      </c>
      <c r="G1094" s="14" t="s">
        <v>1111</v>
      </c>
    </row>
    <row r="1095" spans="2:8" x14ac:dyDescent="0.3">
      <c r="B1095" s="1009" t="str">
        <f>B1065</f>
        <v>Лікар-рентгенолог</v>
      </c>
      <c r="C1095" s="1010"/>
      <c r="D1095" s="1010"/>
      <c r="E1095" s="1010"/>
      <c r="F1095" s="1010"/>
      <c r="G1095" s="1011"/>
    </row>
    <row r="1096" spans="2:8" x14ac:dyDescent="0.3">
      <c r="B1096" s="17" t="s">
        <v>951</v>
      </c>
      <c r="C1096" s="221">
        <f>C1043</f>
        <v>12188.608008565312</v>
      </c>
      <c r="D1096" s="17">
        <f>H1065</f>
        <v>1932.7</v>
      </c>
      <c r="E1096" s="17">
        <f>ROUND((C1096/D1096)/60,2)</f>
        <v>0.11</v>
      </c>
      <c r="F1096" s="17">
        <f>D1069</f>
        <v>10</v>
      </c>
      <c r="G1096" s="16">
        <f>ROUND(E1096*F1096,2)</f>
        <v>1.1000000000000001</v>
      </c>
    </row>
    <row r="1097" spans="2:8" x14ac:dyDescent="0.3">
      <c r="B1097" s="17" t="s">
        <v>952</v>
      </c>
      <c r="C1097" s="221">
        <f>C1044</f>
        <v>53.149721627408987</v>
      </c>
      <c r="D1097" s="17">
        <f>H1065</f>
        <v>1932.7</v>
      </c>
      <c r="E1097" s="17">
        <f>ROUND((C1097/D1097)/60,2)</f>
        <v>0</v>
      </c>
      <c r="F1097" s="17">
        <f>D1069</f>
        <v>10</v>
      </c>
      <c r="G1097" s="16">
        <f>ROUND(E1097*F1097,2)</f>
        <v>0</v>
      </c>
    </row>
    <row r="1098" spans="2:8" x14ac:dyDescent="0.3">
      <c r="B1098" s="17" t="s">
        <v>953</v>
      </c>
      <c r="C1098" s="221">
        <f>C1045</f>
        <v>374.98368308351178</v>
      </c>
      <c r="D1098" s="17">
        <f>H1065</f>
        <v>1932.7</v>
      </c>
      <c r="E1098" s="17">
        <f>ROUND((C1098/D1098)/60,2)</f>
        <v>0</v>
      </c>
      <c r="F1098" s="17">
        <f>D1069</f>
        <v>10</v>
      </c>
      <c r="G1098" s="16">
        <f>ROUND(E1098*F1098,2)</f>
        <v>0</v>
      </c>
    </row>
    <row r="1099" spans="2:8" x14ac:dyDescent="0.3">
      <c r="B1099" s="17" t="s">
        <v>1109</v>
      </c>
      <c r="C1099" s="221">
        <f>C1046</f>
        <v>1686.0389293361886</v>
      </c>
      <c r="D1099" s="17">
        <f>H1065</f>
        <v>1932.7</v>
      </c>
      <c r="E1099" s="17">
        <f>ROUND((C1099/D1099)/60,2)</f>
        <v>0.01</v>
      </c>
      <c r="F1099" s="17">
        <f>D1069</f>
        <v>10</v>
      </c>
      <c r="G1099" s="16">
        <f>ROUND(E1099*F1099,2)</f>
        <v>0.1</v>
      </c>
    </row>
    <row r="1100" spans="2:8" x14ac:dyDescent="0.3">
      <c r="B1100" s="1009" t="str">
        <f>B1066</f>
        <v>Рентгенолаборант</v>
      </c>
      <c r="C1100" s="1010"/>
      <c r="D1100" s="1010"/>
      <c r="E1100" s="1010"/>
      <c r="F1100" s="1010"/>
      <c r="G1100" s="1011"/>
    </row>
    <row r="1101" spans="2:8" x14ac:dyDescent="0.3">
      <c r="B1101" s="17" t="s">
        <v>951</v>
      </c>
      <c r="C1101" s="221">
        <f>C1096</f>
        <v>12188.608008565312</v>
      </c>
      <c r="D1101" s="17">
        <f>H1066</f>
        <v>1506</v>
      </c>
      <c r="E1101" s="17">
        <f>ROUND((C1101/D1101)/60,2)</f>
        <v>0.13</v>
      </c>
      <c r="F1101" s="17">
        <f>D1070</f>
        <v>15</v>
      </c>
      <c r="G1101" s="16">
        <f>ROUND(E1101*F1101,2)</f>
        <v>1.95</v>
      </c>
    </row>
    <row r="1102" spans="2:8" x14ac:dyDescent="0.3">
      <c r="B1102" s="17" t="s">
        <v>952</v>
      </c>
      <c r="C1102" s="221">
        <f>C1097</f>
        <v>53.149721627408987</v>
      </c>
      <c r="D1102" s="17">
        <f>H1066</f>
        <v>1506</v>
      </c>
      <c r="E1102" s="17">
        <f>ROUND((C1102/D1102)/60,2)</f>
        <v>0</v>
      </c>
      <c r="F1102" s="17">
        <f>D1070</f>
        <v>15</v>
      </c>
      <c r="G1102" s="16">
        <f>ROUND(E1102*F1102,2)</f>
        <v>0</v>
      </c>
    </row>
    <row r="1103" spans="2:8" x14ac:dyDescent="0.3">
      <c r="B1103" s="17" t="s">
        <v>953</v>
      </c>
      <c r="C1103" s="221">
        <f>C1098</f>
        <v>374.98368308351178</v>
      </c>
      <c r="D1103" s="17">
        <f>H1066</f>
        <v>1506</v>
      </c>
      <c r="E1103" s="17">
        <f>ROUND((C1103/D1103)/60,2)</f>
        <v>0</v>
      </c>
      <c r="F1103" s="17">
        <f>D1070</f>
        <v>15</v>
      </c>
      <c r="G1103" s="16">
        <f>ROUND(E1103*F1103,2)</f>
        <v>0</v>
      </c>
    </row>
    <row r="1104" spans="2:8" x14ac:dyDescent="0.3">
      <c r="B1104" s="17" t="s">
        <v>1109</v>
      </c>
      <c r="C1104" s="221">
        <f>C1099</f>
        <v>1686.0389293361886</v>
      </c>
      <c r="D1104" s="17">
        <f>H1066</f>
        <v>1506</v>
      </c>
      <c r="E1104" s="17">
        <f>ROUND((C1104/D1104)/60,2)</f>
        <v>0.02</v>
      </c>
      <c r="F1104" s="17">
        <f>D1070</f>
        <v>15</v>
      </c>
      <c r="G1104" s="16">
        <f>ROUND(E1104*F1104,2)</f>
        <v>0.3</v>
      </c>
    </row>
    <row r="1105" spans="1:15" x14ac:dyDescent="0.3">
      <c r="B1105" s="1012" t="s">
        <v>957</v>
      </c>
      <c r="C1105" s="1013"/>
      <c r="D1105" s="1013"/>
      <c r="E1105" s="1013"/>
      <c r="F1105" s="1014"/>
      <c r="G1105" s="18">
        <f>SUM(G1096:G1104)</f>
        <v>3.45</v>
      </c>
    </row>
    <row r="1107" spans="1:15" ht="3" customHeight="1" x14ac:dyDescent="0.3"/>
    <row r="1108" spans="1:15" x14ac:dyDescent="0.3">
      <c r="B1108" s="1015" t="s">
        <v>959</v>
      </c>
      <c r="C1108" s="1015"/>
      <c r="D1108" s="1015"/>
      <c r="E1108" s="1015"/>
      <c r="F1108" s="1015"/>
      <c r="G1108" s="32">
        <f>E1062+E1074+E1086+E1092</f>
        <v>41.14</v>
      </c>
    </row>
    <row r="1109" spans="1:15" x14ac:dyDescent="0.3">
      <c r="B1109" s="33"/>
      <c r="C1109" s="33"/>
      <c r="D1109" s="33"/>
      <c r="E1109" s="33"/>
      <c r="F1109" s="33"/>
      <c r="G1109" s="34"/>
    </row>
    <row r="1110" spans="1:15" x14ac:dyDescent="0.3">
      <c r="B1110" s="1015" t="s">
        <v>960</v>
      </c>
      <c r="C1110" s="1015"/>
      <c r="D1110" s="1015"/>
      <c r="E1110" s="1015"/>
      <c r="F1110" s="1015"/>
      <c r="G1110" s="32">
        <f>ROUND(G1108,0)</f>
        <v>41</v>
      </c>
    </row>
    <row r="1112" spans="1:15" s="54" customFormat="1" ht="37.5" customHeight="1" x14ac:dyDescent="0.4">
      <c r="A1112" s="50" t="s">
        <v>646</v>
      </c>
      <c r="B1112" s="1032" t="s">
        <v>691</v>
      </c>
      <c r="C1112" s="1032"/>
      <c r="D1112" s="1032"/>
      <c r="E1112" s="52">
        <f>G1163</f>
        <v>61</v>
      </c>
      <c r="F1112" s="52" t="s">
        <v>971</v>
      </c>
      <c r="G1112" s="53"/>
      <c r="H1112" s="124"/>
      <c r="I1112" s="125" t="s">
        <v>1023</v>
      </c>
      <c r="J1112" s="132"/>
      <c r="K1112" s="126"/>
      <c r="L1112" s="126"/>
      <c r="M1112" s="126"/>
      <c r="N1112" s="126"/>
      <c r="O1112" s="127"/>
    </row>
    <row r="1113" spans="1:15" ht="12" customHeight="1" x14ac:dyDescent="0.3"/>
    <row r="1114" spans="1:15" x14ac:dyDescent="0.3">
      <c r="B1114" s="1018" t="s">
        <v>932</v>
      </c>
      <c r="C1114" s="1018"/>
      <c r="D1114" s="10"/>
      <c r="E1114" s="11">
        <f>E1121+E1124+E1122</f>
        <v>31.78</v>
      </c>
      <c r="F1114" s="12" t="s">
        <v>971</v>
      </c>
    </row>
    <row r="1115" spans="1:15" ht="4.5" customHeight="1" x14ac:dyDescent="0.3"/>
    <row r="1116" spans="1:15" ht="27.6" x14ac:dyDescent="0.3">
      <c r="B1116" s="13" t="s">
        <v>929</v>
      </c>
      <c r="C1116" s="14" t="s">
        <v>928</v>
      </c>
      <c r="D1116" s="14" t="s">
        <v>514</v>
      </c>
      <c r="E1116" s="14" t="s">
        <v>515</v>
      </c>
      <c r="F1116" s="14" t="s">
        <v>962</v>
      </c>
      <c r="G1116" s="14" t="s">
        <v>926</v>
      </c>
      <c r="H1116" s="14" t="s">
        <v>516</v>
      </c>
      <c r="I1116" s="14" t="s">
        <v>961</v>
      </c>
    </row>
    <row r="1117" spans="1:15" x14ac:dyDescent="0.3">
      <c r="B1117" s="16" t="str">
        <f t="shared" ref="B1117:F1118" si="30">B1065</f>
        <v>Лікар-рентгенолог</v>
      </c>
      <c r="C1117" s="16">
        <f t="shared" si="30"/>
        <v>8463.5400000000009</v>
      </c>
      <c r="D1117" s="16">
        <f t="shared" si="30"/>
        <v>101562.48000000001</v>
      </c>
      <c r="E1117" s="16">
        <f t="shared" si="30"/>
        <v>7052.95</v>
      </c>
      <c r="F1117" s="16">
        <f t="shared" si="30"/>
        <v>3526.4749999999999</v>
      </c>
      <c r="G1117" s="16">
        <f>D1117+E1117+F1117</f>
        <v>112141.90500000001</v>
      </c>
      <c r="H1117" s="17">
        <v>1932.7</v>
      </c>
      <c r="I1117" s="16">
        <f>ROUND((G1117/H1117)/60,2)</f>
        <v>0.97</v>
      </c>
    </row>
    <row r="1118" spans="1:15" x14ac:dyDescent="0.3">
      <c r="B1118" s="16" t="str">
        <f t="shared" si="30"/>
        <v>Рентгенолаборант</v>
      </c>
      <c r="C1118" s="16">
        <f t="shared" si="30"/>
        <v>7482.48</v>
      </c>
      <c r="D1118" s="16">
        <f t="shared" si="30"/>
        <v>89789.759999999995</v>
      </c>
      <c r="E1118" s="16">
        <f t="shared" si="30"/>
        <v>5755.75</v>
      </c>
      <c r="F1118" s="16">
        <f t="shared" si="30"/>
        <v>2877.875</v>
      </c>
      <c r="G1118" s="16">
        <f>D1118+E1118+F1118</f>
        <v>98423.384999999995</v>
      </c>
      <c r="H1118" s="62">
        <v>1506</v>
      </c>
      <c r="I1118" s="16">
        <f>ROUND((G1118/H1118)/60,2)</f>
        <v>1.0900000000000001</v>
      </c>
    </row>
    <row r="1119" spans="1:15" ht="8.25" customHeight="1" x14ac:dyDescent="0.3"/>
    <row r="1120" spans="1:15" ht="27.6" x14ac:dyDescent="0.3">
      <c r="B1120" s="13" t="s">
        <v>929</v>
      </c>
      <c r="C1120" s="14" t="s">
        <v>961</v>
      </c>
      <c r="D1120" s="14" t="s">
        <v>930</v>
      </c>
      <c r="E1120" s="14" t="s">
        <v>931</v>
      </c>
    </row>
    <row r="1121" spans="1:15" x14ac:dyDescent="0.3">
      <c r="B1121" s="15" t="str">
        <f>B1117</f>
        <v>Лікар-рентгенолог</v>
      </c>
      <c r="C1121" s="78">
        <f>I1117</f>
        <v>0.97</v>
      </c>
      <c r="D1121" s="17">
        <v>10</v>
      </c>
      <c r="E1121" s="18">
        <f>ROUND(C1121*D1121,2)</f>
        <v>9.6999999999999993</v>
      </c>
    </row>
    <row r="1122" spans="1:15" x14ac:dyDescent="0.3">
      <c r="B1122" s="15" t="str">
        <f>B1118</f>
        <v>Рентгенолаборант</v>
      </c>
      <c r="C1122" s="78">
        <f>I1118</f>
        <v>1.0900000000000001</v>
      </c>
      <c r="D1122" s="17">
        <v>15</v>
      </c>
      <c r="E1122" s="18">
        <f>ROUND(C1122*D1122,2)</f>
        <v>16.350000000000001</v>
      </c>
    </row>
    <row r="1123" spans="1:15" x14ac:dyDescent="0.3">
      <c r="C1123" s="19"/>
    </row>
    <row r="1124" spans="1:15" x14ac:dyDescent="0.3">
      <c r="B1124" s="17" t="s">
        <v>933</v>
      </c>
      <c r="C1124" s="78">
        <f>E1121+E1122</f>
        <v>26.05</v>
      </c>
      <c r="D1124" s="20">
        <v>0.22</v>
      </c>
      <c r="E1124" s="21">
        <f>ROUND(C1124*D1124,2)</f>
        <v>5.73</v>
      </c>
    </row>
    <row r="1126" spans="1:15" x14ac:dyDescent="0.3">
      <c r="B1126" s="12" t="s">
        <v>946</v>
      </c>
      <c r="C1126" s="227"/>
      <c r="D1126" s="12"/>
      <c r="E1126" s="11">
        <f>F1137</f>
        <v>25.81</v>
      </c>
      <c r="F1126" s="12" t="s">
        <v>971</v>
      </c>
    </row>
    <row r="1128" spans="1:15" x14ac:dyDescent="0.3">
      <c r="B1128" s="27" t="s">
        <v>936</v>
      </c>
      <c r="C1128" s="28" t="s">
        <v>937</v>
      </c>
      <c r="D1128" s="29">
        <v>1</v>
      </c>
      <c r="E1128" s="30">
        <f>'МЕДИЧНІ М'!F115</f>
        <v>0.3</v>
      </c>
      <c r="F1128" s="29">
        <f>ROUND(D1128*E1128,2)</f>
        <v>0.3</v>
      </c>
    </row>
    <row r="1129" spans="1:15" s="184" customFormat="1" x14ac:dyDescent="0.3">
      <c r="A1129" s="180"/>
      <c r="B1129" s="185" t="s">
        <v>1021</v>
      </c>
      <c r="C1129" s="186" t="s">
        <v>941</v>
      </c>
      <c r="D1129" s="164">
        <v>0.5</v>
      </c>
      <c r="E1129" s="164">
        <f>'МЕДИЧНІ М'!E181</f>
        <v>2</v>
      </c>
      <c r="F1129" s="168">
        <f t="shared" ref="F1129:F1136" si="31">ROUND(D1129*E1129,2)</f>
        <v>1</v>
      </c>
      <c r="G1129" s="180"/>
      <c r="H1129" s="180"/>
      <c r="I1129" s="180"/>
      <c r="J1129" s="187"/>
      <c r="K1129" s="189"/>
      <c r="L1129" s="189"/>
      <c r="M1129" s="189"/>
      <c r="N1129" s="189"/>
      <c r="O1129" s="188"/>
    </row>
    <row r="1130" spans="1:15" x14ac:dyDescent="0.3">
      <c r="B1130" s="15" t="s">
        <v>1216</v>
      </c>
      <c r="C1130" s="73" t="s">
        <v>941</v>
      </c>
      <c r="D1130" s="17">
        <v>0.1</v>
      </c>
      <c r="E1130" s="16">
        <f>'МЕДИЧНІ М'!E113</f>
        <v>8</v>
      </c>
      <c r="F1130" s="16">
        <f t="shared" si="31"/>
        <v>0.8</v>
      </c>
    </row>
    <row r="1131" spans="1:15" x14ac:dyDescent="0.3">
      <c r="B1131" s="15" t="str">
        <f>'МЕДИЧНІ М'!B322</f>
        <v>Рентген 30 * 40 № 100</v>
      </c>
      <c r="C1131" s="73" t="s">
        <v>941</v>
      </c>
      <c r="D1131" s="17">
        <v>1</v>
      </c>
      <c r="E1131" s="16">
        <f>'МЕДИЧНІ М'!F322</f>
        <v>19.899999999999999</v>
      </c>
      <c r="F1131" s="16">
        <f t="shared" si="31"/>
        <v>19.899999999999999</v>
      </c>
    </row>
    <row r="1132" spans="1:15" ht="28.2" x14ac:dyDescent="0.3">
      <c r="B1132" s="15" t="s">
        <v>1025</v>
      </c>
      <c r="C1132" s="73" t="s">
        <v>941</v>
      </c>
      <c r="D1132" s="17">
        <v>0.02</v>
      </c>
      <c r="E1132" s="17">
        <f>'МЕДИЧНІ М'!F121</f>
        <v>54</v>
      </c>
      <c r="F1132" s="16">
        <f t="shared" si="31"/>
        <v>1.08</v>
      </c>
    </row>
    <row r="1133" spans="1:15" x14ac:dyDescent="0.3">
      <c r="B1133" s="15" t="s">
        <v>1024</v>
      </c>
      <c r="C1133" s="73" t="s">
        <v>941</v>
      </c>
      <c r="D1133" s="17">
        <v>0.02</v>
      </c>
      <c r="E1133" s="17">
        <f>'МЕДИЧНІ М'!F118</f>
        <v>97.3</v>
      </c>
      <c r="F1133" s="16">
        <f t="shared" si="31"/>
        <v>1.95</v>
      </c>
    </row>
    <row r="1134" spans="1:15" x14ac:dyDescent="0.3">
      <c r="B1134" s="15" t="s">
        <v>964</v>
      </c>
      <c r="C1134" s="73" t="s">
        <v>941</v>
      </c>
      <c r="D1134" s="17">
        <v>0.1</v>
      </c>
      <c r="E1134" s="16">
        <f>'МЕДИЧНІ М'!E119</f>
        <v>2.8</v>
      </c>
      <c r="F1134" s="16">
        <f t="shared" si="31"/>
        <v>0.28000000000000003</v>
      </c>
    </row>
    <row r="1135" spans="1:15" x14ac:dyDescent="0.3">
      <c r="B1135" s="27" t="s">
        <v>942</v>
      </c>
      <c r="C1135" s="28" t="s">
        <v>941</v>
      </c>
      <c r="D1135" s="29">
        <v>0.01</v>
      </c>
      <c r="E1135" s="29">
        <f>'МЕДИЧНІ М'!E120</f>
        <v>24.6</v>
      </c>
      <c r="F1135" s="30">
        <f t="shared" si="31"/>
        <v>0.25</v>
      </c>
    </row>
    <row r="1136" spans="1:15" x14ac:dyDescent="0.3">
      <c r="B1136" s="27" t="s">
        <v>1124</v>
      </c>
      <c r="C1136" s="28" t="s">
        <v>944</v>
      </c>
      <c r="D1136" s="29">
        <v>0.5</v>
      </c>
      <c r="E1136" s="29">
        <f>'МЕДИЧНІ М'!E114</f>
        <v>0.5</v>
      </c>
      <c r="F1136" s="29">
        <f t="shared" si="31"/>
        <v>0.25</v>
      </c>
    </row>
    <row r="1137" spans="2:8" x14ac:dyDescent="0.3">
      <c r="B1137" s="1019" t="s">
        <v>945</v>
      </c>
      <c r="C1137" s="1019"/>
      <c r="D1137" s="1019"/>
      <c r="E1137" s="1019"/>
      <c r="F1137" s="113">
        <f>SUM(F1128:F1136)</f>
        <v>25.81</v>
      </c>
    </row>
    <row r="1138" spans="2:8" ht="8.25" customHeight="1" x14ac:dyDescent="0.3"/>
    <row r="1139" spans="2:8" x14ac:dyDescent="0.3">
      <c r="B1139" s="12" t="s">
        <v>968</v>
      </c>
      <c r="C1139" s="227"/>
      <c r="D1139" s="12"/>
      <c r="E1139" s="11">
        <f>SUM(G1142:G1143)</f>
        <v>0</v>
      </c>
      <c r="F1139" s="12" t="s">
        <v>971</v>
      </c>
    </row>
    <row r="1140" spans="2:8" ht="6.75" customHeight="1" x14ac:dyDescent="0.3">
      <c r="B1140" s="22"/>
      <c r="C1140" s="36"/>
      <c r="D1140" s="22"/>
      <c r="E1140" s="23"/>
      <c r="F1140" s="22"/>
    </row>
    <row r="1141" spans="2:8" ht="27.6" x14ac:dyDescent="0.3">
      <c r="B1141" s="14" t="s">
        <v>513</v>
      </c>
      <c r="C1141" s="14" t="s">
        <v>1108</v>
      </c>
      <c r="D1141" s="14" t="s">
        <v>516</v>
      </c>
      <c r="E1141" s="14" t="s">
        <v>970</v>
      </c>
      <c r="F1141" s="14" t="s">
        <v>930</v>
      </c>
      <c r="G1141" s="14" t="s">
        <v>961</v>
      </c>
    </row>
    <row r="1142" spans="2:8" x14ac:dyDescent="0.3">
      <c r="B1142" s="46" t="str">
        <f>B1089</f>
        <v>Автоматизоване робоче місце, ПК</v>
      </c>
      <c r="C1142" s="46">
        <f>C1089</f>
        <v>0</v>
      </c>
      <c r="D1142" s="62">
        <f>H1117</f>
        <v>1932.7</v>
      </c>
      <c r="E1142" s="17">
        <f>ROUND((C1142/D1142)/60,2)</f>
        <v>0</v>
      </c>
      <c r="F1142" s="17">
        <f>D1121</f>
        <v>10</v>
      </c>
      <c r="G1142" s="16">
        <f>ROUND(E1142*F1142,2)</f>
        <v>0</v>
      </c>
    </row>
    <row r="1143" spans="2:8" x14ac:dyDescent="0.3">
      <c r="B1143" s="46" t="str">
        <f>B1090</f>
        <v>Рентген</v>
      </c>
      <c r="C1143" s="46">
        <f>C1090</f>
        <v>0</v>
      </c>
      <c r="D1143" s="62">
        <f>H1118</f>
        <v>1506</v>
      </c>
      <c r="E1143" s="17">
        <f>ROUND((C1143/D1143)/60,2)</f>
        <v>0</v>
      </c>
      <c r="F1143" s="17">
        <f>D1122</f>
        <v>15</v>
      </c>
      <c r="G1143" s="16">
        <f>ROUND(E1143*F1143,2)</f>
        <v>0</v>
      </c>
      <c r="H1143" s="38"/>
    </row>
    <row r="1144" spans="2:8" ht="6.75" customHeight="1" x14ac:dyDescent="0.3"/>
    <row r="1145" spans="2:8" x14ac:dyDescent="0.3">
      <c r="B1145" s="12" t="s">
        <v>948</v>
      </c>
      <c r="C1145" s="227"/>
      <c r="D1145" s="12"/>
      <c r="E1145" s="11">
        <f>G1158</f>
        <v>3.45</v>
      </c>
      <c r="F1145" s="12" t="s">
        <v>971</v>
      </c>
    </row>
    <row r="1146" spans="2:8" ht="5.25" customHeight="1" x14ac:dyDescent="0.3">
      <c r="B1146" s="22"/>
      <c r="C1146" s="36"/>
      <c r="D1146" s="22"/>
      <c r="E1146" s="23"/>
    </row>
    <row r="1147" spans="2:8" ht="41.4" x14ac:dyDescent="0.3">
      <c r="B1147" s="14" t="s">
        <v>948</v>
      </c>
      <c r="C1147" s="14" t="s">
        <v>955</v>
      </c>
      <c r="D1147" s="14" t="s">
        <v>516</v>
      </c>
      <c r="E1147" s="14" t="s">
        <v>954</v>
      </c>
      <c r="F1147" s="14" t="s">
        <v>930</v>
      </c>
      <c r="G1147" s="14" t="s">
        <v>956</v>
      </c>
    </row>
    <row r="1148" spans="2:8" x14ac:dyDescent="0.3">
      <c r="B1148" s="1009" t="str">
        <f>B1117</f>
        <v>Лікар-рентгенолог</v>
      </c>
      <c r="C1148" s="1010"/>
      <c r="D1148" s="1010"/>
      <c r="E1148" s="1010"/>
      <c r="F1148" s="1010"/>
      <c r="G1148" s="1011"/>
    </row>
    <row r="1149" spans="2:8" x14ac:dyDescent="0.3">
      <c r="B1149" s="17" t="s">
        <v>951</v>
      </c>
      <c r="C1149" s="221">
        <f>C1096</f>
        <v>12188.608008565312</v>
      </c>
      <c r="D1149" s="17">
        <f>H1117</f>
        <v>1932.7</v>
      </c>
      <c r="E1149" s="17">
        <f>ROUND((C1149/D1149)/60,2)</f>
        <v>0.11</v>
      </c>
      <c r="F1149" s="17">
        <f>D1121</f>
        <v>10</v>
      </c>
      <c r="G1149" s="16">
        <f>ROUND(E1149*F1149,2)</f>
        <v>1.1000000000000001</v>
      </c>
    </row>
    <row r="1150" spans="2:8" x14ac:dyDescent="0.3">
      <c r="B1150" s="17" t="s">
        <v>952</v>
      </c>
      <c r="C1150" s="221">
        <f>C1097</f>
        <v>53.149721627408987</v>
      </c>
      <c r="D1150" s="17">
        <f>H1117</f>
        <v>1932.7</v>
      </c>
      <c r="E1150" s="17">
        <f>ROUND((C1150/D1150)/60,2)</f>
        <v>0</v>
      </c>
      <c r="F1150" s="17">
        <f>D1121</f>
        <v>10</v>
      </c>
      <c r="G1150" s="16">
        <f>ROUND(E1150*F1150,2)</f>
        <v>0</v>
      </c>
    </row>
    <row r="1151" spans="2:8" x14ac:dyDescent="0.3">
      <c r="B1151" s="17" t="s">
        <v>953</v>
      </c>
      <c r="C1151" s="221">
        <f>C1098</f>
        <v>374.98368308351178</v>
      </c>
      <c r="D1151" s="17">
        <f>H1117</f>
        <v>1932.7</v>
      </c>
      <c r="E1151" s="17">
        <f>ROUND((C1151/D1151)/60,2)</f>
        <v>0</v>
      </c>
      <c r="F1151" s="17">
        <f>D1121</f>
        <v>10</v>
      </c>
      <c r="G1151" s="16">
        <f>ROUND(E1151*F1151,2)</f>
        <v>0</v>
      </c>
    </row>
    <row r="1152" spans="2:8" x14ac:dyDescent="0.3">
      <c r="B1152" s="17" t="s">
        <v>1109</v>
      </c>
      <c r="C1152" s="221">
        <f>C1099</f>
        <v>1686.0389293361886</v>
      </c>
      <c r="D1152" s="17">
        <f>H1117</f>
        <v>1932.7</v>
      </c>
      <c r="E1152" s="17">
        <f>ROUND((C1152/D1152)/60,2)</f>
        <v>0.01</v>
      </c>
      <c r="F1152" s="17">
        <f>D1121</f>
        <v>10</v>
      </c>
      <c r="G1152" s="16">
        <f>ROUND(E1152*F1152,2)</f>
        <v>0.1</v>
      </c>
    </row>
    <row r="1153" spans="1:15" x14ac:dyDescent="0.3">
      <c r="B1153" s="1009" t="str">
        <f>B1118</f>
        <v>Рентгенолаборант</v>
      </c>
      <c r="C1153" s="1010"/>
      <c r="D1153" s="1010"/>
      <c r="E1153" s="1010"/>
      <c r="F1153" s="1010"/>
      <c r="G1153" s="1011"/>
    </row>
    <row r="1154" spans="1:15" x14ac:dyDescent="0.3">
      <c r="B1154" s="17" t="s">
        <v>951</v>
      </c>
      <c r="C1154" s="221">
        <f>C1149</f>
        <v>12188.608008565312</v>
      </c>
      <c r="D1154" s="17">
        <f>H1118</f>
        <v>1506</v>
      </c>
      <c r="E1154" s="17">
        <f>ROUND((C1154/D1154)/60,2)</f>
        <v>0.13</v>
      </c>
      <c r="F1154" s="17">
        <f>D1122</f>
        <v>15</v>
      </c>
      <c r="G1154" s="16">
        <f>ROUND(E1154*F1154,2)</f>
        <v>1.95</v>
      </c>
    </row>
    <row r="1155" spans="1:15" x14ac:dyDescent="0.3">
      <c r="B1155" s="17" t="s">
        <v>952</v>
      </c>
      <c r="C1155" s="221">
        <f>C1150</f>
        <v>53.149721627408987</v>
      </c>
      <c r="D1155" s="17">
        <f>H1118</f>
        <v>1506</v>
      </c>
      <c r="E1155" s="17">
        <f>ROUND((C1155/D1155)/60,2)</f>
        <v>0</v>
      </c>
      <c r="F1155" s="17">
        <f>D1122</f>
        <v>15</v>
      </c>
      <c r="G1155" s="16">
        <f>ROUND(E1155*F1155,2)</f>
        <v>0</v>
      </c>
    </row>
    <row r="1156" spans="1:15" x14ac:dyDescent="0.3">
      <c r="B1156" s="17" t="s">
        <v>953</v>
      </c>
      <c r="C1156" s="221">
        <f>C1151</f>
        <v>374.98368308351178</v>
      </c>
      <c r="D1156" s="17">
        <f>H1118</f>
        <v>1506</v>
      </c>
      <c r="E1156" s="17">
        <f>ROUND((C1156/D1156)/60,2)</f>
        <v>0</v>
      </c>
      <c r="F1156" s="17">
        <f>D1122</f>
        <v>15</v>
      </c>
      <c r="G1156" s="16">
        <f>ROUND(E1156*F1156,2)</f>
        <v>0</v>
      </c>
    </row>
    <row r="1157" spans="1:15" x14ac:dyDescent="0.3">
      <c r="B1157" s="17" t="s">
        <v>1109</v>
      </c>
      <c r="C1157" s="221">
        <f>C1152</f>
        <v>1686.0389293361886</v>
      </c>
      <c r="D1157" s="17">
        <f>H1118</f>
        <v>1506</v>
      </c>
      <c r="E1157" s="17">
        <f>ROUND((C1157/D1157)/60,2)</f>
        <v>0.02</v>
      </c>
      <c r="F1157" s="17">
        <f>D1122</f>
        <v>15</v>
      </c>
      <c r="G1157" s="16">
        <f>ROUND(E1157*F1157,2)</f>
        <v>0.3</v>
      </c>
    </row>
    <row r="1158" spans="1:15" x14ac:dyDescent="0.3">
      <c r="B1158" s="1012" t="s">
        <v>957</v>
      </c>
      <c r="C1158" s="1013"/>
      <c r="D1158" s="1013"/>
      <c r="E1158" s="1013"/>
      <c r="F1158" s="1014"/>
      <c r="G1158" s="18">
        <f>SUM(G1149:G1157)</f>
        <v>3.45</v>
      </c>
    </row>
    <row r="1159" spans="1:15" ht="9.75" customHeight="1" x14ac:dyDescent="0.3"/>
    <row r="1161" spans="1:15" x14ac:dyDescent="0.3">
      <c r="B1161" s="1015" t="s">
        <v>959</v>
      </c>
      <c r="C1161" s="1015"/>
      <c r="D1161" s="1015"/>
      <c r="E1161" s="1015"/>
      <c r="F1161" s="1015"/>
      <c r="G1161" s="32">
        <f>E1114+E1126+E1139+E1145</f>
        <v>61.040000000000006</v>
      </c>
    </row>
    <row r="1162" spans="1:15" ht="15" customHeight="1" x14ac:dyDescent="0.3">
      <c r="B1162" s="33"/>
      <c r="C1162" s="33"/>
      <c r="D1162" s="33"/>
      <c r="E1162" s="33"/>
      <c r="F1162" s="33"/>
      <c r="G1162" s="34"/>
    </row>
    <row r="1163" spans="1:15" s="54" customFormat="1" ht="19.8" x14ac:dyDescent="0.4">
      <c r="A1163" s="53"/>
      <c r="B1163" s="1051" t="s">
        <v>960</v>
      </c>
      <c r="C1163" s="1051"/>
      <c r="D1163" s="1051"/>
      <c r="E1163" s="1051"/>
      <c r="F1163" s="1051"/>
      <c r="G1163" s="32">
        <f>ROUND(G1161,0)</f>
        <v>61</v>
      </c>
      <c r="H1163" s="53"/>
      <c r="I1163" s="53"/>
      <c r="J1163" s="132"/>
      <c r="K1163" s="126"/>
      <c r="L1163" s="126"/>
      <c r="M1163" s="126"/>
      <c r="N1163" s="126"/>
      <c r="O1163" s="127"/>
    </row>
    <row r="1164" spans="1:15" s="54" customFormat="1" ht="19.8" x14ac:dyDescent="0.4">
      <c r="A1164" s="53"/>
      <c r="B1164" s="53"/>
      <c r="C1164" s="225"/>
      <c r="D1164" s="53"/>
      <c r="E1164" s="53"/>
      <c r="F1164" s="53"/>
      <c r="G1164" s="53"/>
      <c r="H1164" s="53"/>
      <c r="I1164" s="53"/>
      <c r="J1164" s="132"/>
      <c r="K1164" s="126"/>
      <c r="L1164" s="126"/>
      <c r="M1164" s="126"/>
      <c r="N1164" s="126"/>
      <c r="O1164" s="127"/>
    </row>
    <row r="1165" spans="1:15" s="54" customFormat="1" ht="19.8" x14ac:dyDescent="0.4">
      <c r="A1165" s="50" t="s">
        <v>646</v>
      </c>
      <c r="B1165" s="1032" t="s">
        <v>691</v>
      </c>
      <c r="C1165" s="1032"/>
      <c r="D1165" s="1032"/>
      <c r="E1165" s="52">
        <f>G1215</f>
        <v>41</v>
      </c>
      <c r="F1165" s="52" t="s">
        <v>971</v>
      </c>
      <c r="G1165" s="53"/>
      <c r="H1165" s="124"/>
      <c r="I1165" s="125" t="s">
        <v>1128</v>
      </c>
      <c r="J1165" s="132"/>
      <c r="K1165" s="126"/>
      <c r="L1165" s="126"/>
      <c r="M1165" s="126"/>
      <c r="N1165" s="126"/>
      <c r="O1165" s="127"/>
    </row>
    <row r="1167" spans="1:15" x14ac:dyDescent="0.3">
      <c r="B1167" s="1018" t="s">
        <v>932</v>
      </c>
      <c r="C1167" s="1018"/>
      <c r="D1167" s="10"/>
      <c r="E1167" s="11">
        <f>E1174+E1177+E1175</f>
        <v>31.78</v>
      </c>
      <c r="F1167" s="12" t="s">
        <v>971</v>
      </c>
    </row>
    <row r="1169" spans="1:15" ht="27.6" x14ac:dyDescent="0.3">
      <c r="B1169" s="13" t="s">
        <v>929</v>
      </c>
      <c r="C1169" s="14" t="s">
        <v>928</v>
      </c>
      <c r="D1169" s="14" t="s">
        <v>514</v>
      </c>
      <c r="E1169" s="14" t="s">
        <v>515</v>
      </c>
      <c r="F1169" s="14" t="s">
        <v>962</v>
      </c>
      <c r="G1169" s="14" t="s">
        <v>926</v>
      </c>
      <c r="H1169" s="14" t="s">
        <v>516</v>
      </c>
      <c r="I1169" s="14" t="s">
        <v>961</v>
      </c>
    </row>
    <row r="1170" spans="1:15" x14ac:dyDescent="0.3">
      <c r="B1170" s="16" t="str">
        <f>B1117</f>
        <v>Лікар-рентгенолог</v>
      </c>
      <c r="C1170" s="78">
        <f>C1117</f>
        <v>8463.5400000000009</v>
      </c>
      <c r="D1170" s="16">
        <f>C1170*12</f>
        <v>101562.48000000001</v>
      </c>
      <c r="E1170" s="16">
        <f>E1117</f>
        <v>7052.95</v>
      </c>
      <c r="F1170" s="16">
        <f>F1117</f>
        <v>3526.4749999999999</v>
      </c>
      <c r="G1170" s="16">
        <f>D1170+E1170+F1170</f>
        <v>112141.90500000001</v>
      </c>
      <c r="H1170" s="17">
        <v>1932.7</v>
      </c>
      <c r="I1170" s="16">
        <f>ROUND((G1170/H1170)/60,2)</f>
        <v>0.97</v>
      </c>
    </row>
    <row r="1171" spans="1:15" x14ac:dyDescent="0.3">
      <c r="B1171" s="16" t="str">
        <f>B1118</f>
        <v>Рентгенолаборант</v>
      </c>
      <c r="C1171" s="78">
        <f>C1118</f>
        <v>7482.48</v>
      </c>
      <c r="D1171" s="24">
        <f>C1171*12</f>
        <v>89789.759999999995</v>
      </c>
      <c r="E1171" s="16">
        <f>E1118</f>
        <v>5755.75</v>
      </c>
      <c r="F1171" s="16">
        <f>F1118</f>
        <v>2877.875</v>
      </c>
      <c r="G1171" s="16">
        <f>D1171+E1171+F1171</f>
        <v>98423.384999999995</v>
      </c>
      <c r="H1171" s="62">
        <v>1506</v>
      </c>
      <c r="I1171" s="16">
        <f>ROUND((G1171/H1171)/60,2)</f>
        <v>1.0900000000000001</v>
      </c>
    </row>
    <row r="1173" spans="1:15" ht="27.6" x14ac:dyDescent="0.3">
      <c r="B1173" s="13" t="s">
        <v>929</v>
      </c>
      <c r="C1173" s="14" t="s">
        <v>961</v>
      </c>
      <c r="D1173" s="14" t="s">
        <v>930</v>
      </c>
      <c r="E1173" s="14" t="s">
        <v>931</v>
      </c>
    </row>
    <row r="1174" spans="1:15" x14ac:dyDescent="0.3">
      <c r="B1174" s="15" t="str">
        <f>B1170</f>
        <v>Лікар-рентгенолог</v>
      </c>
      <c r="C1174" s="78">
        <f>I1170</f>
        <v>0.97</v>
      </c>
      <c r="D1174" s="17">
        <v>10</v>
      </c>
      <c r="E1174" s="18">
        <f>ROUND(C1174*D1174,2)</f>
        <v>9.6999999999999993</v>
      </c>
    </row>
    <row r="1175" spans="1:15" x14ac:dyDescent="0.3">
      <c r="B1175" s="15" t="str">
        <f>B1171</f>
        <v>Рентгенолаборант</v>
      </c>
      <c r="C1175" s="78">
        <f>I1171</f>
        <v>1.0900000000000001</v>
      </c>
      <c r="D1175" s="17">
        <v>15</v>
      </c>
      <c r="E1175" s="18">
        <f>ROUND(C1175*D1175,2)</f>
        <v>16.350000000000001</v>
      </c>
    </row>
    <row r="1176" spans="1:15" x14ac:dyDescent="0.3">
      <c r="C1176" s="19"/>
    </row>
    <row r="1177" spans="1:15" x14ac:dyDescent="0.3">
      <c r="B1177" s="17" t="s">
        <v>933</v>
      </c>
      <c r="C1177" s="78">
        <f>E1174+E1175</f>
        <v>26.05</v>
      </c>
      <c r="D1177" s="20">
        <v>0.22</v>
      </c>
      <c r="E1177" s="21">
        <f>ROUND(C1177*D1177,2)</f>
        <v>5.73</v>
      </c>
    </row>
    <row r="1179" spans="1:15" x14ac:dyDescent="0.3">
      <c r="B1179" s="12" t="s">
        <v>946</v>
      </c>
      <c r="C1179" s="227"/>
      <c r="D1179" s="12"/>
      <c r="E1179" s="11">
        <f>F1189</f>
        <v>5.91</v>
      </c>
      <c r="F1179" s="12" t="s">
        <v>971</v>
      </c>
    </row>
    <row r="1181" spans="1:15" x14ac:dyDescent="0.3">
      <c r="B1181" s="27" t="s">
        <v>936</v>
      </c>
      <c r="C1181" s="28" t="s">
        <v>937</v>
      </c>
      <c r="D1181" s="29">
        <v>1</v>
      </c>
      <c r="E1181" s="30">
        <f>'МЕДИЧНІ М'!F115</f>
        <v>0.3</v>
      </c>
      <c r="F1181" s="30">
        <f t="shared" ref="F1181:F1188" si="32">ROUND(D1181*E1181,2)</f>
        <v>0.3</v>
      </c>
    </row>
    <row r="1182" spans="1:15" s="184" customFormat="1" x14ac:dyDescent="0.3">
      <c r="A1182" s="180"/>
      <c r="B1182" s="185" t="s">
        <v>1021</v>
      </c>
      <c r="C1182" s="186" t="s">
        <v>941</v>
      </c>
      <c r="D1182" s="164">
        <v>0.5</v>
      </c>
      <c r="E1182" s="164">
        <f>'МЕДИЧНІ М'!E181</f>
        <v>2</v>
      </c>
      <c r="F1182" s="164">
        <f t="shared" si="32"/>
        <v>1</v>
      </c>
      <c r="G1182" s="180"/>
      <c r="H1182" s="180"/>
      <c r="I1182" s="180"/>
      <c r="J1182" s="187"/>
      <c r="K1182" s="189"/>
      <c r="L1182" s="189"/>
      <c r="M1182" s="189"/>
      <c r="N1182" s="189"/>
      <c r="O1182" s="188"/>
    </row>
    <row r="1183" spans="1:15" x14ac:dyDescent="0.3">
      <c r="B1183" s="15" t="s">
        <v>1216</v>
      </c>
      <c r="C1183" s="73" t="s">
        <v>941</v>
      </c>
      <c r="D1183" s="17">
        <v>0.1</v>
      </c>
      <c r="E1183" s="16">
        <f>'МЕДИЧНІ М'!E113</f>
        <v>8</v>
      </c>
      <c r="F1183" s="17">
        <f t="shared" si="32"/>
        <v>0.8</v>
      </c>
    </row>
    <row r="1184" spans="1:15" ht="28.2" x14ac:dyDescent="0.3">
      <c r="B1184" s="15" t="s">
        <v>1025</v>
      </c>
      <c r="C1184" s="73" t="s">
        <v>941</v>
      </c>
      <c r="D1184" s="17">
        <v>0.02</v>
      </c>
      <c r="E1184" s="17">
        <f>'МЕДИЧНІ М'!F121</f>
        <v>54</v>
      </c>
      <c r="F1184" s="17">
        <f t="shared" si="32"/>
        <v>1.08</v>
      </c>
    </row>
    <row r="1185" spans="2:8" x14ac:dyDescent="0.3">
      <c r="B1185" s="15" t="s">
        <v>1024</v>
      </c>
      <c r="C1185" s="73" t="s">
        <v>941</v>
      </c>
      <c r="D1185" s="17">
        <v>0.02</v>
      </c>
      <c r="E1185" s="17">
        <f>'МЕДИЧНІ М'!F118</f>
        <v>97.3</v>
      </c>
      <c r="F1185" s="17">
        <f t="shared" si="32"/>
        <v>1.95</v>
      </c>
    </row>
    <row r="1186" spans="2:8" x14ac:dyDescent="0.3">
      <c r="B1186" s="15" t="s">
        <v>964</v>
      </c>
      <c r="C1186" s="73" t="s">
        <v>941</v>
      </c>
      <c r="D1186" s="17">
        <v>0.1</v>
      </c>
      <c r="E1186" s="16">
        <f>'МЕДИЧНІ М'!E119</f>
        <v>2.8</v>
      </c>
      <c r="F1186" s="17">
        <f t="shared" si="32"/>
        <v>0.28000000000000003</v>
      </c>
    </row>
    <row r="1187" spans="2:8" x14ac:dyDescent="0.3">
      <c r="B1187" s="27" t="s">
        <v>942</v>
      </c>
      <c r="C1187" s="28" t="s">
        <v>941</v>
      </c>
      <c r="D1187" s="29">
        <v>0.01</v>
      </c>
      <c r="E1187" s="29">
        <f>'МЕДИЧНІ М'!E120</f>
        <v>24.6</v>
      </c>
      <c r="F1187" s="30">
        <f t="shared" si="32"/>
        <v>0.25</v>
      </c>
    </row>
    <row r="1188" spans="2:8" x14ac:dyDescent="0.3">
      <c r="B1188" s="27" t="s">
        <v>1124</v>
      </c>
      <c r="C1188" s="28" t="s">
        <v>944</v>
      </c>
      <c r="D1188" s="29">
        <v>0.5</v>
      </c>
      <c r="E1188" s="29">
        <f>'МЕДИЧНІ М'!E114</f>
        <v>0.5</v>
      </c>
      <c r="F1188" s="30">
        <f t="shared" si="32"/>
        <v>0.25</v>
      </c>
    </row>
    <row r="1189" spans="2:8" x14ac:dyDescent="0.3">
      <c r="B1189" s="1019" t="s">
        <v>945</v>
      </c>
      <c r="C1189" s="1019"/>
      <c r="D1189" s="1019"/>
      <c r="E1189" s="1019"/>
      <c r="F1189" s="89">
        <f>SUM(F1181:F1188)</f>
        <v>5.91</v>
      </c>
    </row>
    <row r="1191" spans="2:8" x14ac:dyDescent="0.3">
      <c r="B1191" s="12" t="s">
        <v>968</v>
      </c>
      <c r="C1191" s="227"/>
      <c r="D1191" s="12"/>
      <c r="E1191" s="11">
        <f>SUM(G1194:G1195)</f>
        <v>0</v>
      </c>
      <c r="F1191" s="12" t="s">
        <v>971</v>
      </c>
    </row>
    <row r="1192" spans="2:8" x14ac:dyDescent="0.3">
      <c r="B1192" s="22"/>
      <c r="C1192" s="36"/>
      <c r="D1192" s="22"/>
      <c r="E1192" s="23"/>
      <c r="F1192" s="22"/>
    </row>
    <row r="1193" spans="2:8" ht="27.6" x14ac:dyDescent="0.3">
      <c r="B1193" s="14" t="s">
        <v>513</v>
      </c>
      <c r="C1193" s="14" t="s">
        <v>1108</v>
      </c>
      <c r="D1193" s="14" t="s">
        <v>516</v>
      </c>
      <c r="E1193" s="14" t="s">
        <v>970</v>
      </c>
      <c r="F1193" s="14" t="s">
        <v>930</v>
      </c>
      <c r="G1193" s="14" t="s">
        <v>961</v>
      </c>
    </row>
    <row r="1194" spans="2:8" x14ac:dyDescent="0.3">
      <c r="B1194" s="46" t="s">
        <v>1161</v>
      </c>
      <c r="C1194" s="78">
        <f>C1142</f>
        <v>0</v>
      </c>
      <c r="D1194" s="62">
        <f>H1170</f>
        <v>1932.7</v>
      </c>
      <c r="E1194" s="17">
        <f>ROUND((C1194/D1194)/60,2)</f>
        <v>0</v>
      </c>
      <c r="F1194" s="17">
        <f>D1174</f>
        <v>10</v>
      </c>
      <c r="G1194" s="16">
        <f>ROUND(E1194*F1194,2)</f>
        <v>0</v>
      </c>
    </row>
    <row r="1195" spans="2:8" x14ac:dyDescent="0.3">
      <c r="B1195" s="27" t="s">
        <v>1093</v>
      </c>
      <c r="C1195" s="78">
        <f>C1143</f>
        <v>0</v>
      </c>
      <c r="D1195" s="62">
        <f>H1171</f>
        <v>1506</v>
      </c>
      <c r="E1195" s="17">
        <f>ROUND((C1195/D1195)/60,2)</f>
        <v>0</v>
      </c>
      <c r="F1195" s="17">
        <f>D1175</f>
        <v>15</v>
      </c>
      <c r="G1195" s="16">
        <f>ROUND(E1195*F1195,2)</f>
        <v>0</v>
      </c>
      <c r="H1195" s="38"/>
    </row>
    <row r="1197" spans="2:8" x14ac:dyDescent="0.3">
      <c r="B1197" s="12" t="s">
        <v>948</v>
      </c>
      <c r="C1197" s="227"/>
      <c r="D1197" s="12"/>
      <c r="E1197" s="11">
        <f>G1210</f>
        <v>3.45</v>
      </c>
      <c r="F1197" s="12" t="s">
        <v>971</v>
      </c>
    </row>
    <row r="1198" spans="2:8" ht="9" customHeight="1" x14ac:dyDescent="0.3">
      <c r="B1198" s="22"/>
      <c r="C1198" s="36"/>
      <c r="D1198" s="22"/>
      <c r="E1198" s="23"/>
    </row>
    <row r="1199" spans="2:8" ht="41.4" x14ac:dyDescent="0.3">
      <c r="B1199" s="14" t="s">
        <v>948</v>
      </c>
      <c r="C1199" s="14" t="s">
        <v>955</v>
      </c>
      <c r="D1199" s="14" t="s">
        <v>516</v>
      </c>
      <c r="E1199" s="14" t="s">
        <v>954</v>
      </c>
      <c r="F1199" s="14" t="s">
        <v>930</v>
      </c>
      <c r="G1199" s="14" t="s">
        <v>956</v>
      </c>
    </row>
    <row r="1200" spans="2:8" x14ac:dyDescent="0.3">
      <c r="B1200" s="1009" t="str">
        <f>B1170</f>
        <v>Лікар-рентгенолог</v>
      </c>
      <c r="C1200" s="1010"/>
      <c r="D1200" s="1010"/>
      <c r="E1200" s="1010"/>
      <c r="F1200" s="1010"/>
      <c r="G1200" s="1011"/>
    </row>
    <row r="1201" spans="2:7" x14ac:dyDescent="0.3">
      <c r="B1201" s="17" t="s">
        <v>951</v>
      </c>
      <c r="C1201" s="221">
        <f>C1149</f>
        <v>12188.608008565312</v>
      </c>
      <c r="D1201" s="17">
        <f>H1170</f>
        <v>1932.7</v>
      </c>
      <c r="E1201" s="17">
        <f>ROUND((C1201/D1201)/60,2)</f>
        <v>0.11</v>
      </c>
      <c r="F1201" s="17">
        <f>D1174</f>
        <v>10</v>
      </c>
      <c r="G1201" s="16">
        <f>ROUND(E1201*F1201,2)</f>
        <v>1.1000000000000001</v>
      </c>
    </row>
    <row r="1202" spans="2:7" x14ac:dyDescent="0.3">
      <c r="B1202" s="17" t="s">
        <v>952</v>
      </c>
      <c r="C1202" s="221">
        <f>C1150</f>
        <v>53.149721627408987</v>
      </c>
      <c r="D1202" s="17">
        <f>H1170</f>
        <v>1932.7</v>
      </c>
      <c r="E1202" s="17">
        <f>ROUND((C1202/D1202)/60,2)</f>
        <v>0</v>
      </c>
      <c r="F1202" s="17">
        <f>D1174</f>
        <v>10</v>
      </c>
      <c r="G1202" s="16">
        <f>ROUND(E1202*F1202,2)</f>
        <v>0</v>
      </c>
    </row>
    <row r="1203" spans="2:7" x14ac:dyDescent="0.3">
      <c r="B1203" s="17" t="s">
        <v>953</v>
      </c>
      <c r="C1203" s="221">
        <f>C1151</f>
        <v>374.98368308351178</v>
      </c>
      <c r="D1203" s="17">
        <f>H1170</f>
        <v>1932.7</v>
      </c>
      <c r="E1203" s="17">
        <f>ROUND((C1203/D1203)/60,2)</f>
        <v>0</v>
      </c>
      <c r="F1203" s="17">
        <f>D1174</f>
        <v>10</v>
      </c>
      <c r="G1203" s="16">
        <f>ROUND(E1203*F1203,2)</f>
        <v>0</v>
      </c>
    </row>
    <row r="1204" spans="2:7" x14ac:dyDescent="0.3">
      <c r="B1204" s="17" t="s">
        <v>1109</v>
      </c>
      <c r="C1204" s="221">
        <f>C1152</f>
        <v>1686.0389293361886</v>
      </c>
      <c r="D1204" s="17">
        <f>H1170</f>
        <v>1932.7</v>
      </c>
      <c r="E1204" s="17">
        <f>ROUND((C1204/D1204)/60,2)</f>
        <v>0.01</v>
      </c>
      <c r="F1204" s="17">
        <f>D1174</f>
        <v>10</v>
      </c>
      <c r="G1204" s="16">
        <f>ROUND(E1204*F1204,2)</f>
        <v>0.1</v>
      </c>
    </row>
    <row r="1205" spans="2:7" x14ac:dyDescent="0.3">
      <c r="B1205" s="1009" t="str">
        <f>B1171</f>
        <v>Рентгенолаборант</v>
      </c>
      <c r="C1205" s="1010"/>
      <c r="D1205" s="1010"/>
      <c r="E1205" s="1010"/>
      <c r="F1205" s="1010"/>
      <c r="G1205" s="1011"/>
    </row>
    <row r="1206" spans="2:7" x14ac:dyDescent="0.3">
      <c r="B1206" s="17" t="s">
        <v>951</v>
      </c>
      <c r="C1206" s="221">
        <f>C1201</f>
        <v>12188.608008565312</v>
      </c>
      <c r="D1206" s="17">
        <f>H1171</f>
        <v>1506</v>
      </c>
      <c r="E1206" s="17">
        <f>ROUND((C1206/D1206)/60,2)</f>
        <v>0.13</v>
      </c>
      <c r="F1206" s="17">
        <f>D1175</f>
        <v>15</v>
      </c>
      <c r="G1206" s="16">
        <f>ROUND(E1206*F1206,2)</f>
        <v>1.95</v>
      </c>
    </row>
    <row r="1207" spans="2:7" x14ac:dyDescent="0.3">
      <c r="B1207" s="17" t="s">
        <v>952</v>
      </c>
      <c r="C1207" s="221">
        <f>C1202</f>
        <v>53.149721627408987</v>
      </c>
      <c r="D1207" s="17">
        <f>H1171</f>
        <v>1506</v>
      </c>
      <c r="E1207" s="17">
        <f>ROUND((C1207/D1207)/60,2)</f>
        <v>0</v>
      </c>
      <c r="F1207" s="17">
        <f>D1175</f>
        <v>15</v>
      </c>
      <c r="G1207" s="16">
        <f>ROUND(E1207*F1207,2)</f>
        <v>0</v>
      </c>
    </row>
    <row r="1208" spans="2:7" x14ac:dyDescent="0.3">
      <c r="B1208" s="17" t="s">
        <v>953</v>
      </c>
      <c r="C1208" s="221">
        <f>C1203</f>
        <v>374.98368308351178</v>
      </c>
      <c r="D1208" s="17">
        <f>H1171</f>
        <v>1506</v>
      </c>
      <c r="E1208" s="17">
        <f>ROUND((C1208/D1208)/60,2)</f>
        <v>0</v>
      </c>
      <c r="F1208" s="17">
        <f>D1175</f>
        <v>15</v>
      </c>
      <c r="G1208" s="16">
        <f>ROUND(E1208*F1208,2)</f>
        <v>0</v>
      </c>
    </row>
    <row r="1209" spans="2:7" x14ac:dyDescent="0.3">
      <c r="B1209" s="17" t="s">
        <v>1109</v>
      </c>
      <c r="C1209" s="221">
        <f>C1204</f>
        <v>1686.0389293361886</v>
      </c>
      <c r="D1209" s="17">
        <f>H1171</f>
        <v>1506</v>
      </c>
      <c r="E1209" s="17">
        <f>ROUND((C1209/D1209)/60,2)</f>
        <v>0.02</v>
      </c>
      <c r="F1209" s="17">
        <f>D1175</f>
        <v>15</v>
      </c>
      <c r="G1209" s="16">
        <f>ROUND(E1209*F1209,2)</f>
        <v>0.3</v>
      </c>
    </row>
    <row r="1210" spans="2:7" x14ac:dyDescent="0.3">
      <c r="B1210" s="1012" t="s">
        <v>957</v>
      </c>
      <c r="C1210" s="1013"/>
      <c r="D1210" s="1013"/>
      <c r="E1210" s="1013"/>
      <c r="F1210" s="1014"/>
      <c r="G1210" s="18">
        <f>SUM(G1201:G1209)</f>
        <v>3.45</v>
      </c>
    </row>
    <row r="1212" spans="2:7" ht="0.75" customHeight="1" x14ac:dyDescent="0.3"/>
    <row r="1213" spans="2:7" x14ac:dyDescent="0.3">
      <c r="B1213" s="1015" t="s">
        <v>959</v>
      </c>
      <c r="C1213" s="1015"/>
      <c r="D1213" s="1015"/>
      <c r="E1213" s="1015"/>
      <c r="F1213" s="1015"/>
      <c r="G1213" s="32">
        <f>E1167+E1179+E1191+E1197</f>
        <v>41.14</v>
      </c>
    </row>
    <row r="1214" spans="2:7" ht="12.75" customHeight="1" x14ac:dyDescent="0.3">
      <c r="B1214" s="33"/>
      <c r="C1214" s="33"/>
      <c r="D1214" s="33"/>
      <c r="E1214" s="33"/>
      <c r="F1214" s="33"/>
      <c r="G1214" s="34"/>
    </row>
    <row r="1215" spans="2:7" x14ac:dyDescent="0.3">
      <c r="B1215" s="1015" t="s">
        <v>960</v>
      </c>
      <c r="C1215" s="1015"/>
      <c r="D1215" s="1015"/>
      <c r="E1215" s="1015"/>
      <c r="F1215" s="1015"/>
      <c r="G1215" s="32">
        <f>ROUND(G1213,0)</f>
        <v>41</v>
      </c>
    </row>
    <row r="1217" spans="1:15" s="54" customFormat="1" ht="33.75" customHeight="1" x14ac:dyDescent="0.4">
      <c r="A1217" s="50" t="s">
        <v>648</v>
      </c>
      <c r="B1217" s="1032" t="s">
        <v>693</v>
      </c>
      <c r="C1217" s="1032"/>
      <c r="D1217" s="1032"/>
      <c r="E1217" s="52">
        <f>G1268</f>
        <v>81</v>
      </c>
      <c r="F1217" s="52" t="s">
        <v>971</v>
      </c>
      <c r="G1217" s="53"/>
      <c r="H1217" s="124"/>
      <c r="I1217" s="125" t="s">
        <v>1023</v>
      </c>
      <c r="J1217" s="132"/>
      <c r="K1217" s="126"/>
      <c r="L1217" s="126"/>
      <c r="M1217" s="126"/>
      <c r="N1217" s="126"/>
      <c r="O1217" s="127"/>
    </row>
    <row r="1219" spans="1:15" x14ac:dyDescent="0.3">
      <c r="B1219" s="1018" t="s">
        <v>932</v>
      </c>
      <c r="C1219" s="1018"/>
      <c r="D1219" s="10"/>
      <c r="E1219" s="11">
        <f>E1226+E1229+E1227</f>
        <v>31.78</v>
      </c>
      <c r="F1219" s="12" t="s">
        <v>971</v>
      </c>
    </row>
    <row r="1220" spans="1:15" ht="5.25" customHeight="1" x14ac:dyDescent="0.3"/>
    <row r="1221" spans="1:15" ht="27.6" x14ac:dyDescent="0.3">
      <c r="B1221" s="13" t="s">
        <v>929</v>
      </c>
      <c r="C1221" s="14" t="s">
        <v>928</v>
      </c>
      <c r="D1221" s="14" t="s">
        <v>514</v>
      </c>
      <c r="E1221" s="14" t="s">
        <v>515</v>
      </c>
      <c r="F1221" s="14" t="s">
        <v>962</v>
      </c>
      <c r="G1221" s="14" t="s">
        <v>926</v>
      </c>
      <c r="H1221" s="14" t="s">
        <v>516</v>
      </c>
      <c r="I1221" s="14" t="s">
        <v>961</v>
      </c>
    </row>
    <row r="1222" spans="1:15" x14ac:dyDescent="0.3">
      <c r="B1222" s="16" t="str">
        <f t="shared" ref="B1222:F1223" si="33">B1170</f>
        <v>Лікар-рентгенолог</v>
      </c>
      <c r="C1222" s="16">
        <f t="shared" si="33"/>
        <v>8463.5400000000009</v>
      </c>
      <c r="D1222" s="16">
        <f t="shared" si="33"/>
        <v>101562.48000000001</v>
      </c>
      <c r="E1222" s="16">
        <f t="shared" si="33"/>
        <v>7052.95</v>
      </c>
      <c r="F1222" s="16">
        <f t="shared" si="33"/>
        <v>3526.4749999999999</v>
      </c>
      <c r="G1222" s="16">
        <f>D1222+E1222+F1222</f>
        <v>112141.90500000001</v>
      </c>
      <c r="H1222" s="17">
        <v>1932.7</v>
      </c>
      <c r="I1222" s="16">
        <f>ROUND((G1222/H1222)/60,2)</f>
        <v>0.97</v>
      </c>
    </row>
    <row r="1223" spans="1:15" x14ac:dyDescent="0.3">
      <c r="B1223" s="16" t="str">
        <f t="shared" si="33"/>
        <v>Рентгенолаборант</v>
      </c>
      <c r="C1223" s="16">
        <f t="shared" si="33"/>
        <v>7482.48</v>
      </c>
      <c r="D1223" s="16">
        <f t="shared" si="33"/>
        <v>89789.759999999995</v>
      </c>
      <c r="E1223" s="16">
        <f t="shared" si="33"/>
        <v>5755.75</v>
      </c>
      <c r="F1223" s="16">
        <f t="shared" si="33"/>
        <v>2877.875</v>
      </c>
      <c r="G1223" s="16">
        <f>D1223+E1223+F1223</f>
        <v>98423.384999999995</v>
      </c>
      <c r="H1223" s="62">
        <v>1506</v>
      </c>
      <c r="I1223" s="16">
        <f>ROUND((G1223/H1223)/60,2)</f>
        <v>1.0900000000000001</v>
      </c>
    </row>
    <row r="1224" spans="1:15" ht="8.25" customHeight="1" x14ac:dyDescent="0.3"/>
    <row r="1225" spans="1:15" ht="27.6" x14ac:dyDescent="0.3">
      <c r="B1225" s="13" t="s">
        <v>929</v>
      </c>
      <c r="C1225" s="14" t="s">
        <v>961</v>
      </c>
      <c r="D1225" s="14" t="s">
        <v>930</v>
      </c>
      <c r="E1225" s="14" t="s">
        <v>931</v>
      </c>
    </row>
    <row r="1226" spans="1:15" x14ac:dyDescent="0.3">
      <c r="B1226" s="15" t="str">
        <f>B1222</f>
        <v>Лікар-рентгенолог</v>
      </c>
      <c r="C1226" s="78">
        <f>I1222</f>
        <v>0.97</v>
      </c>
      <c r="D1226" s="17">
        <v>10</v>
      </c>
      <c r="E1226" s="18">
        <f>ROUND(C1226*D1226,2)</f>
        <v>9.6999999999999993</v>
      </c>
    </row>
    <row r="1227" spans="1:15" x14ac:dyDescent="0.3">
      <c r="B1227" s="15" t="str">
        <f>B1223</f>
        <v>Рентгенолаборант</v>
      </c>
      <c r="C1227" s="78">
        <f>I1223</f>
        <v>1.0900000000000001</v>
      </c>
      <c r="D1227" s="17">
        <v>15</v>
      </c>
      <c r="E1227" s="18">
        <f>ROUND(C1227*D1227,2)</f>
        <v>16.350000000000001</v>
      </c>
    </row>
    <row r="1228" spans="1:15" x14ac:dyDescent="0.3">
      <c r="C1228" s="19"/>
    </row>
    <row r="1229" spans="1:15" x14ac:dyDescent="0.3">
      <c r="B1229" s="17" t="s">
        <v>933</v>
      </c>
      <c r="C1229" s="78">
        <f>E1226+E1227</f>
        <v>26.05</v>
      </c>
      <c r="D1229" s="20">
        <v>0.22</v>
      </c>
      <c r="E1229" s="21">
        <f>ROUND(C1229*D1229,2)</f>
        <v>5.73</v>
      </c>
    </row>
    <row r="1231" spans="1:15" x14ac:dyDescent="0.3">
      <c r="B1231" s="12" t="s">
        <v>946</v>
      </c>
      <c r="C1231" s="227"/>
      <c r="D1231" s="12"/>
      <c r="E1231" s="11">
        <f>F1242</f>
        <v>45.71</v>
      </c>
      <c r="F1231" s="12" t="s">
        <v>971</v>
      </c>
    </row>
    <row r="1232" spans="1:15" ht="9" customHeight="1" x14ac:dyDescent="0.3"/>
    <row r="1233" spans="1:15" x14ac:dyDescent="0.3">
      <c r="B1233" s="27" t="s">
        <v>936</v>
      </c>
      <c r="C1233" s="28" t="s">
        <v>937</v>
      </c>
      <c r="D1233" s="29">
        <v>1</v>
      </c>
      <c r="E1233" s="30">
        <f>'МЕДИЧНІ М'!F115</f>
        <v>0.3</v>
      </c>
      <c r="F1233" s="30">
        <f>ROUND(D1233*E1233,2)</f>
        <v>0.3</v>
      </c>
    </row>
    <row r="1234" spans="1:15" s="184" customFormat="1" x14ac:dyDescent="0.3">
      <c r="A1234" s="180"/>
      <c r="B1234" s="185" t="s">
        <v>1021</v>
      </c>
      <c r="C1234" s="186" t="s">
        <v>941</v>
      </c>
      <c r="D1234" s="164">
        <v>0.5</v>
      </c>
      <c r="E1234" s="164">
        <f>'МЕДИЧНІ М'!E181</f>
        <v>2</v>
      </c>
      <c r="F1234" s="164">
        <f t="shared" ref="F1234:F1241" si="34">ROUND(D1234*E1234,2)</f>
        <v>1</v>
      </c>
      <c r="G1234" s="180"/>
      <c r="H1234" s="180"/>
      <c r="I1234" s="180"/>
      <c r="J1234" s="187"/>
      <c r="K1234" s="189"/>
      <c r="L1234" s="189"/>
      <c r="M1234" s="189"/>
      <c r="N1234" s="189"/>
      <c r="O1234" s="188"/>
    </row>
    <row r="1235" spans="1:15" x14ac:dyDescent="0.3">
      <c r="B1235" s="15" t="s">
        <v>1216</v>
      </c>
      <c r="C1235" s="73" t="s">
        <v>941</v>
      </c>
      <c r="D1235" s="17">
        <v>0.1</v>
      </c>
      <c r="E1235" s="16">
        <f>'МЕДИЧНІ М'!E113</f>
        <v>8</v>
      </c>
      <c r="F1235" s="17">
        <f t="shared" si="34"/>
        <v>0.8</v>
      </c>
    </row>
    <row r="1236" spans="1:15" x14ac:dyDescent="0.3">
      <c r="B1236" s="15" t="str">
        <f>'МЕДИЧНІ М'!B322</f>
        <v>Рентген 30 * 40 № 100</v>
      </c>
      <c r="C1236" s="73" t="s">
        <v>941</v>
      </c>
      <c r="D1236" s="17">
        <v>2</v>
      </c>
      <c r="E1236" s="16">
        <f>'МЕДИЧНІ М'!F322</f>
        <v>19.899999999999999</v>
      </c>
      <c r="F1236" s="17">
        <f t="shared" si="34"/>
        <v>39.799999999999997</v>
      </c>
    </row>
    <row r="1237" spans="1:15" ht="28.2" x14ac:dyDescent="0.3">
      <c r="B1237" s="15" t="s">
        <v>1025</v>
      </c>
      <c r="C1237" s="73" t="s">
        <v>941</v>
      </c>
      <c r="D1237" s="17">
        <v>0.02</v>
      </c>
      <c r="E1237" s="17">
        <f>'МЕДИЧНІ М'!F121</f>
        <v>54</v>
      </c>
      <c r="F1237" s="17">
        <f t="shared" si="34"/>
        <v>1.08</v>
      </c>
    </row>
    <row r="1238" spans="1:15" x14ac:dyDescent="0.3">
      <c r="B1238" s="15" t="s">
        <v>1024</v>
      </c>
      <c r="C1238" s="73" t="s">
        <v>941</v>
      </c>
      <c r="D1238" s="17">
        <v>0.02</v>
      </c>
      <c r="E1238" s="17">
        <f>'МЕДИЧНІ М'!F118</f>
        <v>97.3</v>
      </c>
      <c r="F1238" s="17">
        <f t="shared" si="34"/>
        <v>1.95</v>
      </c>
    </row>
    <row r="1239" spans="1:15" x14ac:dyDescent="0.3">
      <c r="B1239" s="15" t="s">
        <v>964</v>
      </c>
      <c r="C1239" s="73" t="s">
        <v>941</v>
      </c>
      <c r="D1239" s="17">
        <v>0.1</v>
      </c>
      <c r="E1239" s="16">
        <f>'МЕДИЧНІ М'!E119</f>
        <v>2.8</v>
      </c>
      <c r="F1239" s="17">
        <f t="shared" si="34"/>
        <v>0.28000000000000003</v>
      </c>
    </row>
    <row r="1240" spans="1:15" x14ac:dyDescent="0.3">
      <c r="B1240" s="27" t="s">
        <v>942</v>
      </c>
      <c r="C1240" s="28" t="s">
        <v>941</v>
      </c>
      <c r="D1240" s="29">
        <v>0.01</v>
      </c>
      <c r="E1240" s="29">
        <f>'МЕДИЧНІ М'!E120</f>
        <v>24.6</v>
      </c>
      <c r="F1240" s="30">
        <f t="shared" si="34"/>
        <v>0.25</v>
      </c>
    </row>
    <row r="1241" spans="1:15" x14ac:dyDescent="0.3">
      <c r="B1241" s="27" t="s">
        <v>1124</v>
      </c>
      <c r="C1241" s="28" t="s">
        <v>944</v>
      </c>
      <c r="D1241" s="29">
        <v>0.5</v>
      </c>
      <c r="E1241" s="29">
        <f>'МЕДИЧНІ М'!E114</f>
        <v>0.5</v>
      </c>
      <c r="F1241" s="30">
        <f t="shared" si="34"/>
        <v>0.25</v>
      </c>
    </row>
    <row r="1242" spans="1:15" x14ac:dyDescent="0.3">
      <c r="B1242" s="1019" t="s">
        <v>945</v>
      </c>
      <c r="C1242" s="1019"/>
      <c r="D1242" s="1019"/>
      <c r="E1242" s="1019"/>
      <c r="F1242" s="89">
        <f>SUM(F1233:F1241)</f>
        <v>45.71</v>
      </c>
    </row>
    <row r="1243" spans="1:15" ht="8.25" customHeight="1" x14ac:dyDescent="0.3"/>
    <row r="1244" spans="1:15" x14ac:dyDescent="0.3">
      <c r="B1244" s="12" t="s">
        <v>968</v>
      </c>
      <c r="C1244" s="227"/>
      <c r="D1244" s="12"/>
      <c r="E1244" s="11">
        <f>SUM(G1247:G1248)</f>
        <v>0</v>
      </c>
      <c r="F1244" s="12" t="s">
        <v>971</v>
      </c>
    </row>
    <row r="1245" spans="1:15" ht="9" customHeight="1" x14ac:dyDescent="0.3">
      <c r="B1245" s="22"/>
      <c r="C1245" s="36"/>
      <c r="D1245" s="22"/>
      <c r="E1245" s="23"/>
      <c r="F1245" s="22"/>
    </row>
    <row r="1246" spans="1:15" ht="27.6" x14ac:dyDescent="0.3">
      <c r="B1246" s="14" t="s">
        <v>513</v>
      </c>
      <c r="C1246" s="14" t="s">
        <v>1108</v>
      </c>
      <c r="D1246" s="14" t="s">
        <v>516</v>
      </c>
      <c r="E1246" s="14" t="s">
        <v>970</v>
      </c>
      <c r="F1246" s="14" t="s">
        <v>930</v>
      </c>
      <c r="G1246" s="14" t="s">
        <v>961</v>
      </c>
    </row>
    <row r="1247" spans="1:15" x14ac:dyDescent="0.3">
      <c r="B1247" s="46" t="str">
        <f>B1194</f>
        <v>Автоматизоване робоче місце, ПК</v>
      </c>
      <c r="C1247" s="46">
        <f>C1194</f>
        <v>0</v>
      </c>
      <c r="D1247" s="62">
        <f>H1222</f>
        <v>1932.7</v>
      </c>
      <c r="E1247" s="17">
        <f>ROUND((C1247/D1247)/60,2)</f>
        <v>0</v>
      </c>
      <c r="F1247" s="17">
        <f>D1226</f>
        <v>10</v>
      </c>
      <c r="G1247" s="16">
        <f>ROUND(E1247*F1247,2)</f>
        <v>0</v>
      </c>
    </row>
    <row r="1248" spans="1:15" x14ac:dyDescent="0.3">
      <c r="B1248" s="46" t="str">
        <f>B1195</f>
        <v>Рентген</v>
      </c>
      <c r="C1248" s="46">
        <f>C1195</f>
        <v>0</v>
      </c>
      <c r="D1248" s="62">
        <f>H1223</f>
        <v>1506</v>
      </c>
      <c r="E1248" s="17">
        <f>ROUND((C1248/D1248)/60,2)</f>
        <v>0</v>
      </c>
      <c r="F1248" s="17">
        <f>D1227</f>
        <v>15</v>
      </c>
      <c r="G1248" s="16">
        <f>ROUND(E1248*F1248,2)</f>
        <v>0</v>
      </c>
      <c r="H1248" s="38"/>
    </row>
    <row r="1250" spans="2:7" x14ac:dyDescent="0.3">
      <c r="B1250" s="12" t="s">
        <v>948</v>
      </c>
      <c r="C1250" s="227"/>
      <c r="D1250" s="12"/>
      <c r="E1250" s="11">
        <f>G1263</f>
        <v>3.45</v>
      </c>
      <c r="F1250" s="12" t="s">
        <v>971</v>
      </c>
    </row>
    <row r="1251" spans="2:7" ht="9.75" customHeight="1" x14ac:dyDescent="0.3">
      <c r="B1251" s="22"/>
      <c r="C1251" s="36"/>
      <c r="D1251" s="22"/>
      <c r="E1251" s="23"/>
    </row>
    <row r="1252" spans="2:7" ht="27.6" x14ac:dyDescent="0.3">
      <c r="B1252" s="14" t="s">
        <v>948</v>
      </c>
      <c r="C1252" s="14" t="s">
        <v>1110</v>
      </c>
      <c r="D1252" s="14" t="s">
        <v>516</v>
      </c>
      <c r="E1252" s="14" t="s">
        <v>954</v>
      </c>
      <c r="F1252" s="14" t="s">
        <v>930</v>
      </c>
      <c r="G1252" s="14" t="s">
        <v>1111</v>
      </c>
    </row>
    <row r="1253" spans="2:7" x14ac:dyDescent="0.3">
      <c r="B1253" s="1009" t="str">
        <f>B1222</f>
        <v>Лікар-рентгенолог</v>
      </c>
      <c r="C1253" s="1010"/>
      <c r="D1253" s="1010"/>
      <c r="E1253" s="1010"/>
      <c r="F1253" s="1010"/>
      <c r="G1253" s="1011"/>
    </row>
    <row r="1254" spans="2:7" x14ac:dyDescent="0.3">
      <c r="B1254" s="17" t="s">
        <v>951</v>
      </c>
      <c r="C1254" s="221">
        <f>C1201</f>
        <v>12188.608008565312</v>
      </c>
      <c r="D1254" s="17">
        <f>H1222</f>
        <v>1932.7</v>
      </c>
      <c r="E1254" s="17">
        <f>ROUND((C1254/D1254)/60,2)</f>
        <v>0.11</v>
      </c>
      <c r="F1254" s="17">
        <f>D1226</f>
        <v>10</v>
      </c>
      <c r="G1254" s="16">
        <f>ROUND(E1254*F1254,2)</f>
        <v>1.1000000000000001</v>
      </c>
    </row>
    <row r="1255" spans="2:7" x14ac:dyDescent="0.3">
      <c r="B1255" s="17" t="s">
        <v>952</v>
      </c>
      <c r="C1255" s="221">
        <f>C1202</f>
        <v>53.149721627408987</v>
      </c>
      <c r="D1255" s="17">
        <f>H1222</f>
        <v>1932.7</v>
      </c>
      <c r="E1255" s="17">
        <f>ROUND((C1255/D1255)/60,2)</f>
        <v>0</v>
      </c>
      <c r="F1255" s="17">
        <f>D1226</f>
        <v>10</v>
      </c>
      <c r="G1255" s="16">
        <f>ROUND(E1255*F1255,2)</f>
        <v>0</v>
      </c>
    </row>
    <row r="1256" spans="2:7" x14ac:dyDescent="0.3">
      <c r="B1256" s="17" t="s">
        <v>953</v>
      </c>
      <c r="C1256" s="221">
        <f>C1203</f>
        <v>374.98368308351178</v>
      </c>
      <c r="D1256" s="17">
        <f>H1222</f>
        <v>1932.7</v>
      </c>
      <c r="E1256" s="17">
        <f>ROUND((C1256/D1256)/60,2)</f>
        <v>0</v>
      </c>
      <c r="F1256" s="17">
        <f>D1226</f>
        <v>10</v>
      </c>
      <c r="G1256" s="16">
        <f>ROUND(E1256*F1256,2)</f>
        <v>0</v>
      </c>
    </row>
    <row r="1257" spans="2:7" x14ac:dyDescent="0.3">
      <c r="B1257" s="17" t="s">
        <v>1109</v>
      </c>
      <c r="C1257" s="221">
        <f>C1204</f>
        <v>1686.0389293361886</v>
      </c>
      <c r="D1257" s="17">
        <f>H1222</f>
        <v>1932.7</v>
      </c>
      <c r="E1257" s="17">
        <f>ROUND((C1257/D1257)/60,2)</f>
        <v>0.01</v>
      </c>
      <c r="F1257" s="17">
        <f>D1226</f>
        <v>10</v>
      </c>
      <c r="G1257" s="16">
        <f>ROUND(E1257*F1257,2)</f>
        <v>0.1</v>
      </c>
    </row>
    <row r="1258" spans="2:7" x14ac:dyDescent="0.3">
      <c r="B1258" s="1009" t="str">
        <f>B1223</f>
        <v>Рентгенолаборант</v>
      </c>
      <c r="C1258" s="1010"/>
      <c r="D1258" s="1010"/>
      <c r="E1258" s="1010"/>
      <c r="F1258" s="1010"/>
      <c r="G1258" s="1011"/>
    </row>
    <row r="1259" spans="2:7" x14ac:dyDescent="0.3">
      <c r="B1259" s="17" t="s">
        <v>951</v>
      </c>
      <c r="C1259" s="221">
        <f>C1254</f>
        <v>12188.608008565312</v>
      </c>
      <c r="D1259" s="17">
        <f>H1223</f>
        <v>1506</v>
      </c>
      <c r="E1259" s="17">
        <f>ROUND((C1259/D1259)/60,2)</f>
        <v>0.13</v>
      </c>
      <c r="F1259" s="17">
        <f>D1227</f>
        <v>15</v>
      </c>
      <c r="G1259" s="16">
        <f>ROUND(E1259*F1259,2)</f>
        <v>1.95</v>
      </c>
    </row>
    <row r="1260" spans="2:7" x14ac:dyDescent="0.3">
      <c r="B1260" s="17" t="s">
        <v>952</v>
      </c>
      <c r="C1260" s="221">
        <f>C1255</f>
        <v>53.149721627408987</v>
      </c>
      <c r="D1260" s="17">
        <f>H1223</f>
        <v>1506</v>
      </c>
      <c r="E1260" s="17">
        <f>ROUND((C1260/D1260)/60,2)</f>
        <v>0</v>
      </c>
      <c r="F1260" s="17">
        <f>D1227</f>
        <v>15</v>
      </c>
      <c r="G1260" s="16">
        <f>ROUND(E1260*F1260,2)</f>
        <v>0</v>
      </c>
    </row>
    <row r="1261" spans="2:7" x14ac:dyDescent="0.3">
      <c r="B1261" s="17" t="s">
        <v>953</v>
      </c>
      <c r="C1261" s="221">
        <f>C1256</f>
        <v>374.98368308351178</v>
      </c>
      <c r="D1261" s="17">
        <f>H1223</f>
        <v>1506</v>
      </c>
      <c r="E1261" s="17">
        <f>ROUND((C1261/D1261)/60,2)</f>
        <v>0</v>
      </c>
      <c r="F1261" s="17">
        <f>D1227</f>
        <v>15</v>
      </c>
      <c r="G1261" s="16">
        <f>ROUND(E1261*F1261,2)</f>
        <v>0</v>
      </c>
    </row>
    <row r="1262" spans="2:7" x14ac:dyDescent="0.3">
      <c r="B1262" s="17" t="s">
        <v>1109</v>
      </c>
      <c r="C1262" s="221">
        <f>C1257</f>
        <v>1686.0389293361886</v>
      </c>
      <c r="D1262" s="17">
        <f>H1223</f>
        <v>1506</v>
      </c>
      <c r="E1262" s="17">
        <f>ROUND((C1262/D1262)/60,2)</f>
        <v>0.02</v>
      </c>
      <c r="F1262" s="17">
        <f>D1227</f>
        <v>15</v>
      </c>
      <c r="G1262" s="16">
        <f>ROUND(E1262*F1262,2)</f>
        <v>0.3</v>
      </c>
    </row>
    <row r="1263" spans="2:7" x14ac:dyDescent="0.3">
      <c r="B1263" s="1012" t="s">
        <v>957</v>
      </c>
      <c r="C1263" s="1013"/>
      <c r="D1263" s="1013"/>
      <c r="E1263" s="1013"/>
      <c r="F1263" s="1014"/>
      <c r="G1263" s="18">
        <f>SUM(G1254:G1262)</f>
        <v>3.45</v>
      </c>
    </row>
    <row r="1264" spans="2:7" ht="14.25" customHeight="1" x14ac:dyDescent="0.3"/>
    <row r="1266" spans="1:15" x14ac:dyDescent="0.3">
      <c r="B1266" s="1015" t="s">
        <v>959</v>
      </c>
      <c r="C1266" s="1015"/>
      <c r="D1266" s="1015"/>
      <c r="E1266" s="1015"/>
      <c r="F1266" s="1015"/>
      <c r="G1266" s="32">
        <f>E1219+E1231+E1244+E1250</f>
        <v>80.940000000000012</v>
      </c>
    </row>
    <row r="1267" spans="1:15" x14ac:dyDescent="0.3">
      <c r="B1267" s="33"/>
      <c r="C1267" s="33"/>
      <c r="D1267" s="33"/>
      <c r="E1267" s="33"/>
      <c r="F1267" s="33"/>
      <c r="G1267" s="34"/>
    </row>
    <row r="1268" spans="1:15" s="54" customFormat="1" ht="19.8" x14ac:dyDescent="0.4">
      <c r="A1268" s="53"/>
      <c r="B1268" s="1051" t="s">
        <v>960</v>
      </c>
      <c r="C1268" s="1051"/>
      <c r="D1268" s="1051"/>
      <c r="E1268" s="1051"/>
      <c r="F1268" s="1051"/>
      <c r="G1268" s="32">
        <f>ROUND(G1266,0)</f>
        <v>81</v>
      </c>
      <c r="H1268" s="53"/>
      <c r="I1268" s="53"/>
      <c r="J1268" s="132"/>
      <c r="K1268" s="126"/>
      <c r="L1268" s="126"/>
      <c r="M1268" s="126"/>
      <c r="N1268" s="126"/>
      <c r="O1268" s="127"/>
    </row>
    <row r="1269" spans="1:15" s="54" customFormat="1" ht="19.8" x14ac:dyDescent="0.4">
      <c r="A1269" s="53"/>
      <c r="B1269" s="53"/>
      <c r="C1269" s="225"/>
      <c r="D1269" s="53"/>
      <c r="E1269" s="53"/>
      <c r="F1269" s="53"/>
      <c r="G1269" s="53"/>
      <c r="H1269" s="53"/>
      <c r="I1269" s="53"/>
      <c r="J1269" s="132"/>
      <c r="K1269" s="126"/>
      <c r="L1269" s="126"/>
      <c r="M1269" s="126"/>
      <c r="N1269" s="126"/>
      <c r="O1269" s="127"/>
    </row>
    <row r="1270" spans="1:15" s="54" customFormat="1" ht="35.25" customHeight="1" x14ac:dyDescent="0.4">
      <c r="A1270" s="50" t="s">
        <v>648</v>
      </c>
      <c r="B1270" s="1032" t="s">
        <v>693</v>
      </c>
      <c r="C1270" s="1032"/>
      <c r="D1270" s="1032"/>
      <c r="E1270" s="52">
        <f>G1320</f>
        <v>41</v>
      </c>
      <c r="F1270" s="52" t="s">
        <v>971</v>
      </c>
      <c r="G1270" s="53"/>
      <c r="H1270" s="124"/>
      <c r="I1270" s="125" t="s">
        <v>1128</v>
      </c>
      <c r="J1270" s="132"/>
      <c r="K1270" s="126"/>
      <c r="L1270" s="126"/>
      <c r="M1270" s="126"/>
      <c r="N1270" s="126"/>
      <c r="O1270" s="127"/>
    </row>
    <row r="1272" spans="1:15" x14ac:dyDescent="0.3">
      <c r="B1272" s="1018" t="s">
        <v>932</v>
      </c>
      <c r="C1272" s="1018"/>
      <c r="D1272" s="10"/>
      <c r="E1272" s="11">
        <f>E1279+E1282+E1280</f>
        <v>31.78</v>
      </c>
      <c r="F1272" s="12" t="s">
        <v>971</v>
      </c>
    </row>
    <row r="1274" spans="1:15" ht="27.6" x14ac:dyDescent="0.3">
      <c r="B1274" s="13" t="s">
        <v>929</v>
      </c>
      <c r="C1274" s="14" t="s">
        <v>928</v>
      </c>
      <c r="D1274" s="14" t="s">
        <v>514</v>
      </c>
      <c r="E1274" s="14" t="s">
        <v>515</v>
      </c>
      <c r="F1274" s="14" t="s">
        <v>962</v>
      </c>
      <c r="G1274" s="14" t="s">
        <v>926</v>
      </c>
      <c r="H1274" s="14" t="s">
        <v>516</v>
      </c>
      <c r="I1274" s="14" t="s">
        <v>961</v>
      </c>
    </row>
    <row r="1275" spans="1:15" x14ac:dyDescent="0.3">
      <c r="B1275" s="16" t="str">
        <f>B1222</f>
        <v>Лікар-рентгенолог</v>
      </c>
      <c r="C1275" s="78">
        <f>C1222</f>
        <v>8463.5400000000009</v>
      </c>
      <c r="D1275" s="16">
        <f>C1275*12</f>
        <v>101562.48000000001</v>
      </c>
      <c r="E1275" s="16">
        <f>E1222</f>
        <v>7052.95</v>
      </c>
      <c r="F1275" s="16">
        <f>F1222</f>
        <v>3526.4749999999999</v>
      </c>
      <c r="G1275" s="16">
        <f>D1275+E1275+F1275</f>
        <v>112141.90500000001</v>
      </c>
      <c r="H1275" s="17">
        <v>1932.7</v>
      </c>
      <c r="I1275" s="16">
        <f>ROUND((G1275/H1275)/60,2)</f>
        <v>0.97</v>
      </c>
    </row>
    <row r="1276" spans="1:15" x14ac:dyDescent="0.3">
      <c r="B1276" s="16" t="str">
        <f>B1223</f>
        <v>Рентгенолаборант</v>
      </c>
      <c r="C1276" s="78">
        <f>C1223</f>
        <v>7482.48</v>
      </c>
      <c r="D1276" s="24">
        <f>C1276*12</f>
        <v>89789.759999999995</v>
      </c>
      <c r="E1276" s="16">
        <f>E1223</f>
        <v>5755.75</v>
      </c>
      <c r="F1276" s="16">
        <f>F1223</f>
        <v>2877.875</v>
      </c>
      <c r="G1276" s="16">
        <f>D1276+E1276+F1276</f>
        <v>98423.384999999995</v>
      </c>
      <c r="H1276" s="62">
        <v>1506</v>
      </c>
      <c r="I1276" s="16">
        <f>ROUND((G1276/H1276)/60,2)</f>
        <v>1.0900000000000001</v>
      </c>
    </row>
    <row r="1278" spans="1:15" ht="27.6" x14ac:dyDescent="0.3">
      <c r="B1278" s="13" t="s">
        <v>929</v>
      </c>
      <c r="C1278" s="14" t="s">
        <v>961</v>
      </c>
      <c r="D1278" s="14" t="s">
        <v>930</v>
      </c>
      <c r="E1278" s="14" t="s">
        <v>931</v>
      </c>
    </row>
    <row r="1279" spans="1:15" x14ac:dyDescent="0.3">
      <c r="B1279" s="15" t="str">
        <f>B1275</f>
        <v>Лікар-рентгенолог</v>
      </c>
      <c r="C1279" s="78">
        <f>I1275</f>
        <v>0.97</v>
      </c>
      <c r="D1279" s="17">
        <v>10</v>
      </c>
      <c r="E1279" s="18">
        <f>ROUND(C1279*D1279,2)</f>
        <v>9.6999999999999993</v>
      </c>
    </row>
    <row r="1280" spans="1:15" x14ac:dyDescent="0.3">
      <c r="B1280" s="15" t="str">
        <f>B1276</f>
        <v>Рентгенолаборант</v>
      </c>
      <c r="C1280" s="78">
        <f>I1276</f>
        <v>1.0900000000000001</v>
      </c>
      <c r="D1280" s="17">
        <v>15</v>
      </c>
      <c r="E1280" s="18">
        <f>ROUND(C1280*D1280,2)</f>
        <v>16.350000000000001</v>
      </c>
    </row>
    <row r="1281" spans="1:15" x14ac:dyDescent="0.3">
      <c r="C1281" s="19"/>
    </row>
    <row r="1282" spans="1:15" x14ac:dyDescent="0.3">
      <c r="B1282" s="17" t="s">
        <v>933</v>
      </c>
      <c r="C1282" s="78">
        <f>E1279+E1280</f>
        <v>26.05</v>
      </c>
      <c r="D1282" s="20">
        <v>0.22</v>
      </c>
      <c r="E1282" s="21">
        <f>ROUND(C1282*D1282,2)</f>
        <v>5.73</v>
      </c>
    </row>
    <row r="1284" spans="1:15" x14ac:dyDescent="0.3">
      <c r="B1284" s="12" t="s">
        <v>946</v>
      </c>
      <c r="C1284" s="227"/>
      <c r="D1284" s="12"/>
      <c r="E1284" s="11">
        <f>F1294</f>
        <v>5.91</v>
      </c>
      <c r="F1284" s="12" t="s">
        <v>971</v>
      </c>
    </row>
    <row r="1286" spans="1:15" x14ac:dyDescent="0.3">
      <c r="B1286" s="27" t="s">
        <v>936</v>
      </c>
      <c r="C1286" s="28" t="s">
        <v>937</v>
      </c>
      <c r="D1286" s="29">
        <v>1</v>
      </c>
      <c r="E1286" s="30">
        <f>'МЕДИЧНІ М'!F115</f>
        <v>0.3</v>
      </c>
      <c r="F1286" s="30">
        <f t="shared" ref="F1286:F1293" si="35">ROUND(D1286*E1286,2)</f>
        <v>0.3</v>
      </c>
    </row>
    <row r="1287" spans="1:15" s="184" customFormat="1" x14ac:dyDescent="0.3">
      <c r="A1287" s="180"/>
      <c r="B1287" s="185" t="s">
        <v>1021</v>
      </c>
      <c r="C1287" s="186" t="s">
        <v>941</v>
      </c>
      <c r="D1287" s="164">
        <v>0.5</v>
      </c>
      <c r="E1287" s="164">
        <f>'МЕДИЧНІ М'!E181</f>
        <v>2</v>
      </c>
      <c r="F1287" s="164">
        <f t="shared" si="35"/>
        <v>1</v>
      </c>
      <c r="G1287" s="180"/>
      <c r="H1287" s="180"/>
      <c r="I1287" s="180"/>
      <c r="J1287" s="187"/>
      <c r="K1287" s="189"/>
      <c r="L1287" s="189"/>
      <c r="M1287" s="189"/>
      <c r="N1287" s="189"/>
      <c r="O1287" s="188"/>
    </row>
    <row r="1288" spans="1:15" x14ac:dyDescent="0.3">
      <c r="B1288" s="15" t="s">
        <v>1216</v>
      </c>
      <c r="C1288" s="73" t="s">
        <v>941</v>
      </c>
      <c r="D1288" s="17">
        <v>0.1</v>
      </c>
      <c r="E1288" s="16">
        <f>'МЕДИЧНІ М'!E113</f>
        <v>8</v>
      </c>
      <c r="F1288" s="17">
        <f t="shared" si="35"/>
        <v>0.8</v>
      </c>
    </row>
    <row r="1289" spans="1:15" ht="28.2" x14ac:dyDescent="0.3">
      <c r="B1289" s="15" t="s">
        <v>1025</v>
      </c>
      <c r="C1289" s="73" t="s">
        <v>941</v>
      </c>
      <c r="D1289" s="17">
        <v>0.02</v>
      </c>
      <c r="E1289" s="17">
        <f>'МЕДИЧНІ М'!F121</f>
        <v>54</v>
      </c>
      <c r="F1289" s="17">
        <f t="shared" si="35"/>
        <v>1.08</v>
      </c>
    </row>
    <row r="1290" spans="1:15" x14ac:dyDescent="0.3">
      <c r="B1290" s="15" t="s">
        <v>1024</v>
      </c>
      <c r="C1290" s="73" t="s">
        <v>941</v>
      </c>
      <c r="D1290" s="17">
        <v>0.02</v>
      </c>
      <c r="E1290" s="17">
        <f>'МЕДИЧНІ М'!F118</f>
        <v>97.3</v>
      </c>
      <c r="F1290" s="17">
        <f t="shared" si="35"/>
        <v>1.95</v>
      </c>
    </row>
    <row r="1291" spans="1:15" x14ac:dyDescent="0.3">
      <c r="B1291" s="15" t="s">
        <v>964</v>
      </c>
      <c r="C1291" s="73" t="s">
        <v>941</v>
      </c>
      <c r="D1291" s="17">
        <v>0.1</v>
      </c>
      <c r="E1291" s="16">
        <f>'МЕДИЧНІ М'!E119</f>
        <v>2.8</v>
      </c>
      <c r="F1291" s="17">
        <f t="shared" si="35"/>
        <v>0.28000000000000003</v>
      </c>
    </row>
    <row r="1292" spans="1:15" x14ac:dyDescent="0.3">
      <c r="B1292" s="27" t="s">
        <v>942</v>
      </c>
      <c r="C1292" s="28" t="s">
        <v>941</v>
      </c>
      <c r="D1292" s="29">
        <v>0.01</v>
      </c>
      <c r="E1292" s="29">
        <f>'МЕДИЧНІ М'!E120</f>
        <v>24.6</v>
      </c>
      <c r="F1292" s="30">
        <f t="shared" si="35"/>
        <v>0.25</v>
      </c>
    </row>
    <row r="1293" spans="1:15" x14ac:dyDescent="0.3">
      <c r="B1293" s="27" t="s">
        <v>1124</v>
      </c>
      <c r="C1293" s="28" t="s">
        <v>944</v>
      </c>
      <c r="D1293" s="29">
        <v>0.5</v>
      </c>
      <c r="E1293" s="29">
        <f>'МЕДИЧНІ М'!E114</f>
        <v>0.5</v>
      </c>
      <c r="F1293" s="30">
        <f t="shared" si="35"/>
        <v>0.25</v>
      </c>
    </row>
    <row r="1294" spans="1:15" x14ac:dyDescent="0.3">
      <c r="B1294" s="1019" t="s">
        <v>945</v>
      </c>
      <c r="C1294" s="1019"/>
      <c r="D1294" s="1019"/>
      <c r="E1294" s="1019"/>
      <c r="F1294" s="89">
        <f>SUM(F1286:F1293)</f>
        <v>5.91</v>
      </c>
    </row>
    <row r="1296" spans="1:15" x14ac:dyDescent="0.3">
      <c r="B1296" s="12" t="s">
        <v>968</v>
      </c>
      <c r="C1296" s="227"/>
      <c r="D1296" s="12"/>
      <c r="E1296" s="11">
        <f>SUM(G1299:G1300)</f>
        <v>0</v>
      </c>
      <c r="F1296" s="12" t="s">
        <v>971</v>
      </c>
    </row>
    <row r="1297" spans="2:8" x14ac:dyDescent="0.3">
      <c r="B1297" s="22"/>
      <c r="C1297" s="36"/>
      <c r="D1297" s="22"/>
      <c r="E1297" s="23"/>
      <c r="F1297" s="22"/>
    </row>
    <row r="1298" spans="2:8" ht="27.6" x14ac:dyDescent="0.3">
      <c r="B1298" s="14" t="s">
        <v>513</v>
      </c>
      <c r="C1298" s="14" t="s">
        <v>1108</v>
      </c>
      <c r="D1298" s="14" t="s">
        <v>516</v>
      </c>
      <c r="E1298" s="14" t="s">
        <v>970</v>
      </c>
      <c r="F1298" s="14" t="s">
        <v>930</v>
      </c>
      <c r="G1298" s="14" t="s">
        <v>961</v>
      </c>
    </row>
    <row r="1299" spans="2:8" x14ac:dyDescent="0.3">
      <c r="B1299" s="46" t="s">
        <v>1161</v>
      </c>
      <c r="C1299" s="78">
        <f>C1247</f>
        <v>0</v>
      </c>
      <c r="D1299" s="62">
        <f>H1275</f>
        <v>1932.7</v>
      </c>
      <c r="E1299" s="17">
        <f>ROUND((C1299/D1299)/60,2)</f>
        <v>0</v>
      </c>
      <c r="F1299" s="17">
        <f>D1279</f>
        <v>10</v>
      </c>
      <c r="G1299" s="16">
        <f>ROUND(E1299*F1299,2)</f>
        <v>0</v>
      </c>
    </row>
    <row r="1300" spans="2:8" x14ac:dyDescent="0.3">
      <c r="B1300" s="27" t="s">
        <v>1093</v>
      </c>
      <c r="C1300" s="78">
        <f>C1248</f>
        <v>0</v>
      </c>
      <c r="D1300" s="62">
        <f>H1276</f>
        <v>1506</v>
      </c>
      <c r="E1300" s="17">
        <f>ROUND((C1300/D1300)/60,2)</f>
        <v>0</v>
      </c>
      <c r="F1300" s="17">
        <f>D1280</f>
        <v>15</v>
      </c>
      <c r="G1300" s="16">
        <f>ROUND(E1300*F1300,2)</f>
        <v>0</v>
      </c>
      <c r="H1300" s="38"/>
    </row>
    <row r="1302" spans="2:8" x14ac:dyDescent="0.3">
      <c r="B1302" s="12" t="s">
        <v>948</v>
      </c>
      <c r="C1302" s="227"/>
      <c r="D1302" s="12"/>
      <c r="E1302" s="11">
        <f>G1315</f>
        <v>3.45</v>
      </c>
      <c r="F1302" s="12" t="s">
        <v>971</v>
      </c>
    </row>
    <row r="1303" spans="2:8" x14ac:dyDescent="0.3">
      <c r="B1303" s="22"/>
      <c r="C1303" s="36"/>
      <c r="D1303" s="22"/>
      <c r="E1303" s="23"/>
    </row>
    <row r="1304" spans="2:8" ht="27.6" x14ac:dyDescent="0.3">
      <c r="B1304" s="14" t="s">
        <v>948</v>
      </c>
      <c r="C1304" s="14" t="s">
        <v>1110</v>
      </c>
      <c r="D1304" s="14" t="s">
        <v>516</v>
      </c>
      <c r="E1304" s="14" t="s">
        <v>954</v>
      </c>
      <c r="F1304" s="14" t="s">
        <v>930</v>
      </c>
      <c r="G1304" s="14" t="s">
        <v>1111</v>
      </c>
    </row>
    <row r="1305" spans="2:8" x14ac:dyDescent="0.3">
      <c r="B1305" s="1009" t="str">
        <f>B1275</f>
        <v>Лікар-рентгенолог</v>
      </c>
      <c r="C1305" s="1010"/>
      <c r="D1305" s="1010"/>
      <c r="E1305" s="1010"/>
      <c r="F1305" s="1010"/>
      <c r="G1305" s="1011"/>
    </row>
    <row r="1306" spans="2:8" x14ac:dyDescent="0.3">
      <c r="B1306" s="17" t="s">
        <v>951</v>
      </c>
      <c r="C1306" s="221">
        <f>C1254</f>
        <v>12188.608008565312</v>
      </c>
      <c r="D1306" s="17">
        <f>H1275</f>
        <v>1932.7</v>
      </c>
      <c r="E1306" s="17">
        <f>ROUND((C1306/D1306)/60,2)</f>
        <v>0.11</v>
      </c>
      <c r="F1306" s="17">
        <f>D1279</f>
        <v>10</v>
      </c>
      <c r="G1306" s="16">
        <f>ROUND(E1306*F1306,2)</f>
        <v>1.1000000000000001</v>
      </c>
    </row>
    <row r="1307" spans="2:8" x14ac:dyDescent="0.3">
      <c r="B1307" s="17" t="s">
        <v>952</v>
      </c>
      <c r="C1307" s="221">
        <f>C1255</f>
        <v>53.149721627408987</v>
      </c>
      <c r="D1307" s="17">
        <f>H1275</f>
        <v>1932.7</v>
      </c>
      <c r="E1307" s="17">
        <f>ROUND((C1307/D1307)/60,2)</f>
        <v>0</v>
      </c>
      <c r="F1307" s="17">
        <f>D1279</f>
        <v>10</v>
      </c>
      <c r="G1307" s="16">
        <f>ROUND(E1307*F1307,2)</f>
        <v>0</v>
      </c>
    </row>
    <row r="1308" spans="2:8" x14ac:dyDescent="0.3">
      <c r="B1308" s="17" t="s">
        <v>953</v>
      </c>
      <c r="C1308" s="221">
        <f>C1256</f>
        <v>374.98368308351178</v>
      </c>
      <c r="D1308" s="17">
        <f>H1275</f>
        <v>1932.7</v>
      </c>
      <c r="E1308" s="17">
        <f>ROUND((C1308/D1308)/60,2)</f>
        <v>0</v>
      </c>
      <c r="F1308" s="17">
        <f>D1279</f>
        <v>10</v>
      </c>
      <c r="G1308" s="16">
        <f>ROUND(E1308*F1308,2)</f>
        <v>0</v>
      </c>
    </row>
    <row r="1309" spans="2:8" x14ac:dyDescent="0.3">
      <c r="B1309" s="17" t="s">
        <v>1109</v>
      </c>
      <c r="C1309" s="221">
        <f>C1257</f>
        <v>1686.0389293361886</v>
      </c>
      <c r="D1309" s="17">
        <f>H1275</f>
        <v>1932.7</v>
      </c>
      <c r="E1309" s="17">
        <f>ROUND((C1309/D1309)/60,2)</f>
        <v>0.01</v>
      </c>
      <c r="F1309" s="17">
        <f>D1279</f>
        <v>10</v>
      </c>
      <c r="G1309" s="16">
        <f>ROUND(E1309*F1309,2)</f>
        <v>0.1</v>
      </c>
    </row>
    <row r="1310" spans="2:8" x14ac:dyDescent="0.3">
      <c r="B1310" s="1009" t="str">
        <f>B1276</f>
        <v>Рентгенолаборант</v>
      </c>
      <c r="C1310" s="1010"/>
      <c r="D1310" s="1010"/>
      <c r="E1310" s="1010"/>
      <c r="F1310" s="1010"/>
      <c r="G1310" s="1011"/>
    </row>
    <row r="1311" spans="2:8" x14ac:dyDescent="0.3">
      <c r="B1311" s="17" t="s">
        <v>951</v>
      </c>
      <c r="C1311" s="221">
        <f>C1306</f>
        <v>12188.608008565312</v>
      </c>
      <c r="D1311" s="17">
        <f>H1276</f>
        <v>1506</v>
      </c>
      <c r="E1311" s="17">
        <f>ROUND((C1311/D1311)/60,2)</f>
        <v>0.13</v>
      </c>
      <c r="F1311" s="17">
        <f>D1280</f>
        <v>15</v>
      </c>
      <c r="G1311" s="16">
        <f>ROUND(E1311*F1311,2)</f>
        <v>1.95</v>
      </c>
    </row>
    <row r="1312" spans="2:8" x14ac:dyDescent="0.3">
      <c r="B1312" s="17" t="s">
        <v>952</v>
      </c>
      <c r="C1312" s="221">
        <f>C1307</f>
        <v>53.149721627408987</v>
      </c>
      <c r="D1312" s="17">
        <f>H1276</f>
        <v>1506</v>
      </c>
      <c r="E1312" s="17">
        <f>ROUND((C1312/D1312)/60,2)</f>
        <v>0</v>
      </c>
      <c r="F1312" s="17">
        <f>D1280</f>
        <v>15</v>
      </c>
      <c r="G1312" s="16">
        <f>ROUND(E1312*F1312,2)</f>
        <v>0</v>
      </c>
    </row>
    <row r="1313" spans="1:15" x14ac:dyDescent="0.3">
      <c r="B1313" s="17" t="s">
        <v>953</v>
      </c>
      <c r="C1313" s="221">
        <f>C1308</f>
        <v>374.98368308351178</v>
      </c>
      <c r="D1313" s="17">
        <f>H1276</f>
        <v>1506</v>
      </c>
      <c r="E1313" s="17">
        <f>ROUND((C1313/D1313)/60,2)</f>
        <v>0</v>
      </c>
      <c r="F1313" s="17">
        <f>D1280</f>
        <v>15</v>
      </c>
      <c r="G1313" s="16">
        <f>ROUND(E1313*F1313,2)</f>
        <v>0</v>
      </c>
    </row>
    <row r="1314" spans="1:15" x14ac:dyDescent="0.3">
      <c r="B1314" s="17" t="s">
        <v>1109</v>
      </c>
      <c r="C1314" s="221">
        <f>C1309</f>
        <v>1686.0389293361886</v>
      </c>
      <c r="D1314" s="17">
        <f>H1276</f>
        <v>1506</v>
      </c>
      <c r="E1314" s="17">
        <f>ROUND((C1314/D1314)/60,2)</f>
        <v>0.02</v>
      </c>
      <c r="F1314" s="17">
        <f>D1280</f>
        <v>15</v>
      </c>
      <c r="G1314" s="16">
        <f>ROUND(E1314*F1314,2)</f>
        <v>0.3</v>
      </c>
    </row>
    <row r="1315" spans="1:15" x14ac:dyDescent="0.3">
      <c r="B1315" s="1012" t="s">
        <v>957</v>
      </c>
      <c r="C1315" s="1013"/>
      <c r="D1315" s="1013"/>
      <c r="E1315" s="1013"/>
      <c r="F1315" s="1014"/>
      <c r="G1315" s="18">
        <f>SUM(G1306:G1314)</f>
        <v>3.45</v>
      </c>
    </row>
    <row r="1317" spans="1:15" ht="0.75" customHeight="1" x14ac:dyDescent="0.3"/>
    <row r="1318" spans="1:15" x14ac:dyDescent="0.3">
      <c r="B1318" s="1015" t="s">
        <v>959</v>
      </c>
      <c r="C1318" s="1015"/>
      <c r="D1318" s="1015"/>
      <c r="E1318" s="1015"/>
      <c r="F1318" s="1015"/>
      <c r="G1318" s="32">
        <f>E1272+E1284+E1296+E1302</f>
        <v>41.14</v>
      </c>
    </row>
    <row r="1319" spans="1:15" x14ac:dyDescent="0.3">
      <c r="B1319" s="33"/>
      <c r="C1319" s="33"/>
      <c r="D1319" s="33"/>
      <c r="E1319" s="33"/>
      <c r="F1319" s="33"/>
      <c r="G1319" s="34"/>
    </row>
    <row r="1320" spans="1:15" x14ac:dyDescent="0.3">
      <c r="B1320" s="1015" t="s">
        <v>960</v>
      </c>
      <c r="C1320" s="1015"/>
      <c r="D1320" s="1015"/>
      <c r="E1320" s="1015"/>
      <c r="F1320" s="1015"/>
      <c r="G1320" s="32">
        <f>ROUND(G1318,0)</f>
        <v>41</v>
      </c>
    </row>
    <row r="1322" spans="1:15" s="54" customFormat="1" ht="19.8" x14ac:dyDescent="0.4">
      <c r="A1322" s="50" t="s">
        <v>650</v>
      </c>
      <c r="B1322" s="1032" t="s">
        <v>695</v>
      </c>
      <c r="C1322" s="1032"/>
      <c r="D1322" s="1032"/>
      <c r="E1322" s="52">
        <f>G1373</f>
        <v>121</v>
      </c>
      <c r="F1322" s="52" t="s">
        <v>971</v>
      </c>
      <c r="G1322" s="53"/>
      <c r="H1322" s="124"/>
      <c r="I1322" s="125" t="s">
        <v>1023</v>
      </c>
      <c r="J1322" s="132"/>
      <c r="K1322" s="126"/>
      <c r="L1322" s="126"/>
      <c r="M1322" s="126"/>
      <c r="N1322" s="126"/>
      <c r="O1322" s="127"/>
    </row>
    <row r="1324" spans="1:15" x14ac:dyDescent="0.3">
      <c r="B1324" s="1018" t="s">
        <v>932</v>
      </c>
      <c r="C1324" s="1018"/>
      <c r="D1324" s="10"/>
      <c r="E1324" s="11">
        <f>E1331+E1334+E1332</f>
        <v>31.78</v>
      </c>
      <c r="F1324" s="12" t="s">
        <v>971</v>
      </c>
    </row>
    <row r="1326" spans="1:15" ht="27.6" x14ac:dyDescent="0.3">
      <c r="B1326" s="13" t="s">
        <v>929</v>
      </c>
      <c r="C1326" s="14" t="s">
        <v>928</v>
      </c>
      <c r="D1326" s="14" t="s">
        <v>514</v>
      </c>
      <c r="E1326" s="14" t="s">
        <v>515</v>
      </c>
      <c r="F1326" s="14" t="s">
        <v>962</v>
      </c>
      <c r="G1326" s="14" t="s">
        <v>926</v>
      </c>
      <c r="H1326" s="14" t="s">
        <v>516</v>
      </c>
      <c r="I1326" s="14" t="s">
        <v>961</v>
      </c>
    </row>
    <row r="1327" spans="1:15" x14ac:dyDescent="0.3">
      <c r="B1327" s="16" t="str">
        <f t="shared" ref="B1327:F1328" si="36">B1275</f>
        <v>Лікар-рентгенолог</v>
      </c>
      <c r="C1327" s="16">
        <f t="shared" si="36"/>
        <v>8463.5400000000009</v>
      </c>
      <c r="D1327" s="16">
        <f t="shared" si="36"/>
        <v>101562.48000000001</v>
      </c>
      <c r="E1327" s="16">
        <f t="shared" si="36"/>
        <v>7052.95</v>
      </c>
      <c r="F1327" s="16">
        <f t="shared" si="36"/>
        <v>3526.4749999999999</v>
      </c>
      <c r="G1327" s="16">
        <f>D1327+E1327+F1327</f>
        <v>112141.90500000001</v>
      </c>
      <c r="H1327" s="17">
        <v>1932.7</v>
      </c>
      <c r="I1327" s="16">
        <f>ROUND((G1327/H1327)/60,2)</f>
        <v>0.97</v>
      </c>
    </row>
    <row r="1328" spans="1:15" x14ac:dyDescent="0.3">
      <c r="B1328" s="16" t="str">
        <f t="shared" si="36"/>
        <v>Рентгенолаборант</v>
      </c>
      <c r="C1328" s="16">
        <f t="shared" si="36"/>
        <v>7482.48</v>
      </c>
      <c r="D1328" s="16">
        <f t="shared" si="36"/>
        <v>89789.759999999995</v>
      </c>
      <c r="E1328" s="16">
        <f t="shared" si="36"/>
        <v>5755.75</v>
      </c>
      <c r="F1328" s="16">
        <f t="shared" si="36"/>
        <v>2877.875</v>
      </c>
      <c r="G1328" s="16">
        <f>D1328+E1328+F1328</f>
        <v>98423.384999999995</v>
      </c>
      <c r="H1328" s="62">
        <v>1506</v>
      </c>
      <c r="I1328" s="16">
        <f>ROUND((G1328/H1328)/60,2)</f>
        <v>1.0900000000000001</v>
      </c>
    </row>
    <row r="1330" spans="1:15" ht="27.6" x14ac:dyDescent="0.3">
      <c r="B1330" s="13" t="s">
        <v>929</v>
      </c>
      <c r="C1330" s="14" t="s">
        <v>961</v>
      </c>
      <c r="D1330" s="14" t="s">
        <v>930</v>
      </c>
      <c r="E1330" s="14" t="s">
        <v>931</v>
      </c>
    </row>
    <row r="1331" spans="1:15" x14ac:dyDescent="0.3">
      <c r="B1331" s="15" t="str">
        <f>B1327</f>
        <v>Лікар-рентгенолог</v>
      </c>
      <c r="C1331" s="78">
        <f>I1327</f>
        <v>0.97</v>
      </c>
      <c r="D1331" s="17">
        <v>10</v>
      </c>
      <c r="E1331" s="18">
        <f>ROUND(C1331*D1331,2)</f>
        <v>9.6999999999999993</v>
      </c>
    </row>
    <row r="1332" spans="1:15" x14ac:dyDescent="0.3">
      <c r="B1332" s="15" t="str">
        <f>B1328</f>
        <v>Рентгенолаборант</v>
      </c>
      <c r="C1332" s="78">
        <f>I1328</f>
        <v>1.0900000000000001</v>
      </c>
      <c r="D1332" s="17">
        <v>15</v>
      </c>
      <c r="E1332" s="18">
        <f>ROUND(C1332*D1332,2)</f>
        <v>16.350000000000001</v>
      </c>
    </row>
    <row r="1333" spans="1:15" x14ac:dyDescent="0.3">
      <c r="C1333" s="19"/>
    </row>
    <row r="1334" spans="1:15" x14ac:dyDescent="0.3">
      <c r="B1334" s="17" t="s">
        <v>933</v>
      </c>
      <c r="C1334" s="78">
        <f>E1331+E1332</f>
        <v>26.05</v>
      </c>
      <c r="D1334" s="20">
        <v>0.22</v>
      </c>
      <c r="E1334" s="21">
        <f>ROUND(C1334*D1334,2)</f>
        <v>5.73</v>
      </c>
    </row>
    <row r="1335" spans="1:15" ht="8.25" customHeight="1" x14ac:dyDescent="0.3"/>
    <row r="1336" spans="1:15" x14ac:dyDescent="0.3">
      <c r="B1336" s="12" t="s">
        <v>946</v>
      </c>
      <c r="C1336" s="227"/>
      <c r="D1336" s="12"/>
      <c r="E1336" s="11">
        <f>F1347</f>
        <v>85.509999999999991</v>
      </c>
      <c r="F1336" s="12" t="s">
        <v>971</v>
      </c>
    </row>
    <row r="1337" spans="1:15" ht="9.75" customHeight="1" x14ac:dyDescent="0.3"/>
    <row r="1338" spans="1:15" x14ac:dyDescent="0.3">
      <c r="B1338" s="27" t="s">
        <v>936</v>
      </c>
      <c r="C1338" s="28" t="s">
        <v>937</v>
      </c>
      <c r="D1338" s="29">
        <v>1</v>
      </c>
      <c r="E1338" s="30">
        <f>'МЕДИЧНІ М'!F115</f>
        <v>0.3</v>
      </c>
      <c r="F1338" s="30">
        <f>ROUND(D1338*E1338,2)</f>
        <v>0.3</v>
      </c>
    </row>
    <row r="1339" spans="1:15" s="184" customFormat="1" x14ac:dyDescent="0.3">
      <c r="A1339" s="180"/>
      <c r="B1339" s="185" t="s">
        <v>1021</v>
      </c>
      <c r="C1339" s="186" t="s">
        <v>941</v>
      </c>
      <c r="D1339" s="164">
        <v>0.5</v>
      </c>
      <c r="E1339" s="164">
        <f>'МЕДИЧНІ М'!E181</f>
        <v>2</v>
      </c>
      <c r="F1339" s="164">
        <f t="shared" ref="F1339:F1346" si="37">ROUND(D1339*E1339,2)</f>
        <v>1</v>
      </c>
      <c r="G1339" s="180"/>
      <c r="H1339" s="180"/>
      <c r="I1339" s="180"/>
      <c r="J1339" s="187"/>
      <c r="K1339" s="189"/>
      <c r="L1339" s="189"/>
      <c r="M1339" s="189"/>
      <c r="N1339" s="189"/>
      <c r="O1339" s="188"/>
    </row>
    <row r="1340" spans="1:15" x14ac:dyDescent="0.3">
      <c r="B1340" s="15" t="s">
        <v>1216</v>
      </c>
      <c r="C1340" s="73" t="s">
        <v>941</v>
      </c>
      <c r="D1340" s="17">
        <v>0.1</v>
      </c>
      <c r="E1340" s="16">
        <f>'МЕДИЧНІ М'!E113</f>
        <v>8</v>
      </c>
      <c r="F1340" s="17">
        <f t="shared" si="37"/>
        <v>0.8</v>
      </c>
    </row>
    <row r="1341" spans="1:15" x14ac:dyDescent="0.3">
      <c r="B1341" s="15" t="str">
        <f>'МЕДИЧНІ М'!B322</f>
        <v>Рентген 30 * 40 № 100</v>
      </c>
      <c r="C1341" s="73" t="s">
        <v>941</v>
      </c>
      <c r="D1341" s="17">
        <v>4</v>
      </c>
      <c r="E1341" s="16">
        <f>'МЕДИЧНІ М'!F322</f>
        <v>19.899999999999999</v>
      </c>
      <c r="F1341" s="17">
        <f t="shared" si="37"/>
        <v>79.599999999999994</v>
      </c>
    </row>
    <row r="1342" spans="1:15" ht="28.2" x14ac:dyDescent="0.3">
      <c r="B1342" s="15" t="s">
        <v>1025</v>
      </c>
      <c r="C1342" s="73" t="s">
        <v>941</v>
      </c>
      <c r="D1342" s="17">
        <v>0.02</v>
      </c>
      <c r="E1342" s="17">
        <f>'МЕДИЧНІ М'!F121</f>
        <v>54</v>
      </c>
      <c r="F1342" s="17">
        <f t="shared" si="37"/>
        <v>1.08</v>
      </c>
    </row>
    <row r="1343" spans="1:15" x14ac:dyDescent="0.3">
      <c r="B1343" s="15" t="s">
        <v>1024</v>
      </c>
      <c r="C1343" s="73" t="s">
        <v>941</v>
      </c>
      <c r="D1343" s="17">
        <v>0.02</v>
      </c>
      <c r="E1343" s="17">
        <f>'МЕДИЧНІ М'!F118</f>
        <v>97.3</v>
      </c>
      <c r="F1343" s="17">
        <f t="shared" si="37"/>
        <v>1.95</v>
      </c>
    </row>
    <row r="1344" spans="1:15" x14ac:dyDescent="0.3">
      <c r="B1344" s="15" t="s">
        <v>964</v>
      </c>
      <c r="C1344" s="73" t="s">
        <v>941</v>
      </c>
      <c r="D1344" s="17">
        <v>0.1</v>
      </c>
      <c r="E1344" s="16">
        <f>'МЕДИЧНІ М'!E119</f>
        <v>2.8</v>
      </c>
      <c r="F1344" s="17">
        <f t="shared" si="37"/>
        <v>0.28000000000000003</v>
      </c>
    </row>
    <row r="1345" spans="2:8" x14ac:dyDescent="0.3">
      <c r="B1345" s="27" t="s">
        <v>942</v>
      </c>
      <c r="C1345" s="28" t="s">
        <v>941</v>
      </c>
      <c r="D1345" s="29">
        <v>0.01</v>
      </c>
      <c r="E1345" s="29">
        <f>'МЕДИЧНІ М'!E120</f>
        <v>24.6</v>
      </c>
      <c r="F1345" s="30">
        <f t="shared" si="37"/>
        <v>0.25</v>
      </c>
    </row>
    <row r="1346" spans="2:8" x14ac:dyDescent="0.3">
      <c r="B1346" s="27" t="s">
        <v>1124</v>
      </c>
      <c r="C1346" s="28" t="s">
        <v>944</v>
      </c>
      <c r="D1346" s="29">
        <v>0.5</v>
      </c>
      <c r="E1346" s="29">
        <f>'МЕДИЧНІ М'!E114</f>
        <v>0.5</v>
      </c>
      <c r="F1346" s="30">
        <f t="shared" si="37"/>
        <v>0.25</v>
      </c>
    </row>
    <row r="1347" spans="2:8" x14ac:dyDescent="0.3">
      <c r="B1347" s="1019" t="s">
        <v>945</v>
      </c>
      <c r="C1347" s="1019"/>
      <c r="D1347" s="1019"/>
      <c r="E1347" s="1019"/>
      <c r="F1347" s="89">
        <f>SUM(F1338:F1346)</f>
        <v>85.509999999999991</v>
      </c>
    </row>
    <row r="1348" spans="2:8" ht="9.75" customHeight="1" x14ac:dyDescent="0.3"/>
    <row r="1349" spans="2:8" x14ac:dyDescent="0.3">
      <c r="B1349" s="12" t="s">
        <v>968</v>
      </c>
      <c r="C1349" s="227"/>
      <c r="D1349" s="12"/>
      <c r="E1349" s="11">
        <f>SUM(G1352:G1353)</f>
        <v>0</v>
      </c>
      <c r="F1349" s="12" t="s">
        <v>971</v>
      </c>
    </row>
    <row r="1350" spans="2:8" x14ac:dyDescent="0.3">
      <c r="B1350" s="22"/>
      <c r="C1350" s="36"/>
      <c r="D1350" s="22"/>
      <c r="E1350" s="23"/>
      <c r="F1350" s="22"/>
    </row>
    <row r="1351" spans="2:8" ht="27.6" x14ac:dyDescent="0.3">
      <c r="B1351" s="14" t="s">
        <v>513</v>
      </c>
      <c r="C1351" s="14" t="s">
        <v>1108</v>
      </c>
      <c r="D1351" s="14" t="s">
        <v>516</v>
      </c>
      <c r="E1351" s="14" t="s">
        <v>970</v>
      </c>
      <c r="F1351" s="14" t="s">
        <v>930</v>
      </c>
      <c r="G1351" s="14" t="s">
        <v>961</v>
      </c>
    </row>
    <row r="1352" spans="2:8" x14ac:dyDescent="0.3">
      <c r="B1352" s="46" t="str">
        <f>B1299</f>
        <v>Автоматизоване робоче місце, ПК</v>
      </c>
      <c r="C1352" s="46">
        <f>C1299</f>
        <v>0</v>
      </c>
      <c r="D1352" s="62">
        <f>H1327</f>
        <v>1932.7</v>
      </c>
      <c r="E1352" s="17">
        <f>ROUND((C1352/D1352)/60,2)</f>
        <v>0</v>
      </c>
      <c r="F1352" s="17">
        <f>D1331</f>
        <v>10</v>
      </c>
      <c r="G1352" s="16">
        <f>ROUND(E1352*F1352,2)</f>
        <v>0</v>
      </c>
    </row>
    <row r="1353" spans="2:8" x14ac:dyDescent="0.3">
      <c r="B1353" s="46" t="str">
        <f>B1300</f>
        <v>Рентген</v>
      </c>
      <c r="C1353" s="46">
        <f>C1300</f>
        <v>0</v>
      </c>
      <c r="D1353" s="62">
        <f>H1328</f>
        <v>1506</v>
      </c>
      <c r="E1353" s="17">
        <f>ROUND((C1353/D1353)/60,2)</f>
        <v>0</v>
      </c>
      <c r="F1353" s="17">
        <f>D1332</f>
        <v>15</v>
      </c>
      <c r="G1353" s="16">
        <f>ROUND(E1353*F1353,2)</f>
        <v>0</v>
      </c>
      <c r="H1353" s="38"/>
    </row>
    <row r="1355" spans="2:8" x14ac:dyDescent="0.3">
      <c r="B1355" s="12" t="s">
        <v>948</v>
      </c>
      <c r="C1355" s="227"/>
      <c r="D1355" s="12"/>
      <c r="E1355" s="11">
        <f>G1368</f>
        <v>3.45</v>
      </c>
      <c r="F1355" s="12" t="s">
        <v>971</v>
      </c>
    </row>
    <row r="1356" spans="2:8" ht="7.5" customHeight="1" x14ac:dyDescent="0.3">
      <c r="B1356" s="22"/>
      <c r="C1356" s="36"/>
      <c r="D1356" s="22"/>
      <c r="E1356" s="23"/>
    </row>
    <row r="1357" spans="2:8" ht="27.6" x14ac:dyDescent="0.3">
      <c r="B1357" s="14" t="s">
        <v>948</v>
      </c>
      <c r="C1357" s="14" t="s">
        <v>1110</v>
      </c>
      <c r="D1357" s="14" t="s">
        <v>516</v>
      </c>
      <c r="E1357" s="14" t="s">
        <v>954</v>
      </c>
      <c r="F1357" s="14" t="s">
        <v>930</v>
      </c>
      <c r="G1357" s="14" t="s">
        <v>1111</v>
      </c>
    </row>
    <row r="1358" spans="2:8" x14ac:dyDescent="0.3">
      <c r="B1358" s="1009" t="str">
        <f>B1327</f>
        <v>Лікар-рентгенолог</v>
      </c>
      <c r="C1358" s="1010"/>
      <c r="D1358" s="1010"/>
      <c r="E1358" s="1010"/>
      <c r="F1358" s="1010"/>
      <c r="G1358" s="1011"/>
    </row>
    <row r="1359" spans="2:8" x14ac:dyDescent="0.3">
      <c r="B1359" s="17" t="s">
        <v>951</v>
      </c>
      <c r="C1359" s="221">
        <f>C1306</f>
        <v>12188.608008565312</v>
      </c>
      <c r="D1359" s="17">
        <f>H1327</f>
        <v>1932.7</v>
      </c>
      <c r="E1359" s="17">
        <f>ROUND((C1359/D1359)/60,2)</f>
        <v>0.11</v>
      </c>
      <c r="F1359" s="17">
        <f>D1331</f>
        <v>10</v>
      </c>
      <c r="G1359" s="16">
        <f>ROUND(E1359*F1359,2)</f>
        <v>1.1000000000000001</v>
      </c>
    </row>
    <row r="1360" spans="2:8" x14ac:dyDescent="0.3">
      <c r="B1360" s="17" t="s">
        <v>952</v>
      </c>
      <c r="C1360" s="221">
        <f>C1307</f>
        <v>53.149721627408987</v>
      </c>
      <c r="D1360" s="17">
        <f>H1327</f>
        <v>1932.7</v>
      </c>
      <c r="E1360" s="17">
        <f>ROUND((C1360/D1360)/60,2)</f>
        <v>0</v>
      </c>
      <c r="F1360" s="17">
        <f>D1331</f>
        <v>10</v>
      </c>
      <c r="G1360" s="16">
        <f>ROUND(E1360*F1360,2)</f>
        <v>0</v>
      </c>
    </row>
    <row r="1361" spans="1:15" x14ac:dyDescent="0.3">
      <c r="B1361" s="17" t="s">
        <v>953</v>
      </c>
      <c r="C1361" s="221">
        <f>C1308</f>
        <v>374.98368308351178</v>
      </c>
      <c r="D1361" s="17">
        <f>H1327</f>
        <v>1932.7</v>
      </c>
      <c r="E1361" s="17">
        <f>ROUND((C1361/D1361)/60,2)</f>
        <v>0</v>
      </c>
      <c r="F1361" s="17">
        <f>D1331</f>
        <v>10</v>
      </c>
      <c r="G1361" s="16">
        <f>ROUND(E1361*F1361,2)</f>
        <v>0</v>
      </c>
    </row>
    <row r="1362" spans="1:15" x14ac:dyDescent="0.3">
      <c r="B1362" s="17" t="s">
        <v>1109</v>
      </c>
      <c r="C1362" s="221">
        <f>C1309</f>
        <v>1686.0389293361886</v>
      </c>
      <c r="D1362" s="17">
        <f>H1327</f>
        <v>1932.7</v>
      </c>
      <c r="E1362" s="17">
        <f>ROUND((C1362/D1362)/60,2)</f>
        <v>0.01</v>
      </c>
      <c r="F1362" s="17">
        <f>D1331</f>
        <v>10</v>
      </c>
      <c r="G1362" s="16">
        <f>ROUND(E1362*F1362,2)</f>
        <v>0.1</v>
      </c>
    </row>
    <row r="1363" spans="1:15" x14ac:dyDescent="0.3">
      <c r="B1363" s="1009" t="str">
        <f>B1328</f>
        <v>Рентгенолаборант</v>
      </c>
      <c r="C1363" s="1010"/>
      <c r="D1363" s="1010"/>
      <c r="E1363" s="1010"/>
      <c r="F1363" s="1010"/>
      <c r="G1363" s="1011"/>
    </row>
    <row r="1364" spans="1:15" x14ac:dyDescent="0.3">
      <c r="B1364" s="17" t="s">
        <v>951</v>
      </c>
      <c r="C1364" s="221">
        <f>C1359</f>
        <v>12188.608008565312</v>
      </c>
      <c r="D1364" s="17">
        <f>H1328</f>
        <v>1506</v>
      </c>
      <c r="E1364" s="17">
        <f>ROUND((C1364/D1364)/60,2)</f>
        <v>0.13</v>
      </c>
      <c r="F1364" s="17">
        <f>D1332</f>
        <v>15</v>
      </c>
      <c r="G1364" s="16">
        <f>ROUND(E1364*F1364,2)</f>
        <v>1.95</v>
      </c>
    </row>
    <row r="1365" spans="1:15" x14ac:dyDescent="0.3">
      <c r="B1365" s="17" t="s">
        <v>952</v>
      </c>
      <c r="C1365" s="221">
        <f>C1360</f>
        <v>53.149721627408987</v>
      </c>
      <c r="D1365" s="17">
        <f>H1328</f>
        <v>1506</v>
      </c>
      <c r="E1365" s="17">
        <f>ROUND((C1365/D1365)/60,2)</f>
        <v>0</v>
      </c>
      <c r="F1365" s="17">
        <f>D1332</f>
        <v>15</v>
      </c>
      <c r="G1365" s="16">
        <f>ROUND(E1365*F1365,2)</f>
        <v>0</v>
      </c>
    </row>
    <row r="1366" spans="1:15" x14ac:dyDescent="0.3">
      <c r="B1366" s="17" t="s">
        <v>953</v>
      </c>
      <c r="C1366" s="221">
        <f>C1361</f>
        <v>374.98368308351178</v>
      </c>
      <c r="D1366" s="17">
        <f>H1328</f>
        <v>1506</v>
      </c>
      <c r="E1366" s="17">
        <f>ROUND((C1366/D1366)/60,2)</f>
        <v>0</v>
      </c>
      <c r="F1366" s="17">
        <f>D1332</f>
        <v>15</v>
      </c>
      <c r="G1366" s="16">
        <f>ROUND(E1366*F1366,2)</f>
        <v>0</v>
      </c>
    </row>
    <row r="1367" spans="1:15" x14ac:dyDescent="0.3">
      <c r="B1367" s="17" t="s">
        <v>1109</v>
      </c>
      <c r="C1367" s="221">
        <f>C1362</f>
        <v>1686.0389293361886</v>
      </c>
      <c r="D1367" s="17">
        <f>H1328</f>
        <v>1506</v>
      </c>
      <c r="E1367" s="17">
        <f>ROUND((C1367/D1367)/60,2)</f>
        <v>0.02</v>
      </c>
      <c r="F1367" s="17">
        <f>D1332</f>
        <v>15</v>
      </c>
      <c r="G1367" s="16">
        <f>ROUND(E1367*F1367,2)</f>
        <v>0.3</v>
      </c>
    </row>
    <row r="1368" spans="1:15" x14ac:dyDescent="0.3">
      <c r="B1368" s="1012" t="s">
        <v>957</v>
      </c>
      <c r="C1368" s="1013"/>
      <c r="D1368" s="1013"/>
      <c r="E1368" s="1013"/>
      <c r="F1368" s="1014"/>
      <c r="G1368" s="18">
        <f>SUM(G1359:G1367)</f>
        <v>3.45</v>
      </c>
    </row>
    <row r="1369" spans="1:15" ht="13.5" customHeight="1" x14ac:dyDescent="0.3"/>
    <row r="1370" spans="1:15" ht="2.25" customHeight="1" x14ac:dyDescent="0.3"/>
    <row r="1371" spans="1:15" x14ac:dyDescent="0.3">
      <c r="B1371" s="1015" t="s">
        <v>959</v>
      </c>
      <c r="C1371" s="1015"/>
      <c r="D1371" s="1015"/>
      <c r="E1371" s="1015"/>
      <c r="F1371" s="1015"/>
      <c r="G1371" s="32">
        <f>E1324+E1336+E1349+E1355</f>
        <v>120.74</v>
      </c>
    </row>
    <row r="1372" spans="1:15" x14ac:dyDescent="0.3">
      <c r="B1372" s="33"/>
      <c r="C1372" s="33"/>
      <c r="D1372" s="33"/>
      <c r="E1372" s="33"/>
      <c r="F1372" s="33"/>
      <c r="G1372" s="34"/>
    </row>
    <row r="1373" spans="1:15" s="54" customFormat="1" ht="19.8" x14ac:dyDescent="0.4">
      <c r="A1373" s="53"/>
      <c r="B1373" s="1051" t="s">
        <v>960</v>
      </c>
      <c r="C1373" s="1051"/>
      <c r="D1373" s="1051"/>
      <c r="E1373" s="1051"/>
      <c r="F1373" s="1051"/>
      <c r="G1373" s="32">
        <f>ROUND(G1371,0)</f>
        <v>121</v>
      </c>
      <c r="H1373" s="53"/>
      <c r="I1373" s="53"/>
      <c r="J1373" s="132"/>
      <c r="K1373" s="126"/>
      <c r="L1373" s="126"/>
      <c r="M1373" s="126"/>
      <c r="N1373" s="126"/>
      <c r="O1373" s="127"/>
    </row>
    <row r="1374" spans="1:15" s="54" customFormat="1" ht="19.8" x14ac:dyDescent="0.4">
      <c r="A1374" s="53"/>
      <c r="B1374" s="53"/>
      <c r="C1374" s="225"/>
      <c r="D1374" s="53"/>
      <c r="E1374" s="53"/>
      <c r="F1374" s="53"/>
      <c r="G1374" s="53"/>
      <c r="H1374" s="53"/>
      <c r="I1374" s="53"/>
      <c r="J1374" s="132"/>
      <c r="K1374" s="126"/>
      <c r="L1374" s="126"/>
      <c r="M1374" s="126"/>
      <c r="N1374" s="126"/>
      <c r="O1374" s="127"/>
    </row>
    <row r="1375" spans="1:15" s="54" customFormat="1" ht="19.8" x14ac:dyDescent="0.4">
      <c r="A1375" s="50" t="s">
        <v>650</v>
      </c>
      <c r="B1375" s="1032" t="s">
        <v>695</v>
      </c>
      <c r="C1375" s="1032"/>
      <c r="D1375" s="1032"/>
      <c r="E1375" s="52">
        <f>G1425</f>
        <v>41</v>
      </c>
      <c r="F1375" s="52" t="s">
        <v>971</v>
      </c>
      <c r="G1375" s="53"/>
      <c r="H1375" s="124"/>
      <c r="I1375" s="125" t="s">
        <v>1128</v>
      </c>
      <c r="J1375" s="132"/>
      <c r="K1375" s="126"/>
      <c r="L1375" s="126"/>
      <c r="M1375" s="126"/>
      <c r="N1375" s="126"/>
      <c r="O1375" s="127"/>
    </row>
    <row r="1377" spans="1:15" x14ac:dyDescent="0.3">
      <c r="B1377" s="1018" t="s">
        <v>932</v>
      </c>
      <c r="C1377" s="1018"/>
      <c r="D1377" s="10"/>
      <c r="E1377" s="11">
        <f>E1384+E1387+E1385</f>
        <v>31.78</v>
      </c>
      <c r="F1377" s="12" t="s">
        <v>971</v>
      </c>
    </row>
    <row r="1379" spans="1:15" ht="27.6" x14ac:dyDescent="0.3">
      <c r="B1379" s="13" t="s">
        <v>929</v>
      </c>
      <c r="C1379" s="14" t="s">
        <v>928</v>
      </c>
      <c r="D1379" s="14" t="s">
        <v>514</v>
      </c>
      <c r="E1379" s="14" t="s">
        <v>515</v>
      </c>
      <c r="F1379" s="14" t="s">
        <v>962</v>
      </c>
      <c r="G1379" s="14" t="s">
        <v>926</v>
      </c>
      <c r="H1379" s="14" t="s">
        <v>516</v>
      </c>
      <c r="I1379" s="14" t="s">
        <v>961</v>
      </c>
    </row>
    <row r="1380" spans="1:15" x14ac:dyDescent="0.3">
      <c r="B1380" s="16" t="str">
        <f>B1327</f>
        <v>Лікар-рентгенолог</v>
      </c>
      <c r="C1380" s="78">
        <f>C1327</f>
        <v>8463.5400000000009</v>
      </c>
      <c r="D1380" s="16">
        <f>C1380*12</f>
        <v>101562.48000000001</v>
      </c>
      <c r="E1380" s="16">
        <f>E1327</f>
        <v>7052.95</v>
      </c>
      <c r="F1380" s="16">
        <f>F1327</f>
        <v>3526.4749999999999</v>
      </c>
      <c r="G1380" s="16">
        <f>D1380+E1380+F1380</f>
        <v>112141.90500000001</v>
      </c>
      <c r="H1380" s="17">
        <v>1932.7</v>
      </c>
      <c r="I1380" s="16">
        <f>ROUND((G1380/H1380)/60,2)</f>
        <v>0.97</v>
      </c>
    </row>
    <row r="1381" spans="1:15" x14ac:dyDescent="0.3">
      <c r="B1381" s="16" t="str">
        <f>B1328</f>
        <v>Рентгенолаборант</v>
      </c>
      <c r="C1381" s="78">
        <f>C1328</f>
        <v>7482.48</v>
      </c>
      <c r="D1381" s="24">
        <f>C1381*12</f>
        <v>89789.759999999995</v>
      </c>
      <c r="E1381" s="16">
        <f>E1328</f>
        <v>5755.75</v>
      </c>
      <c r="F1381" s="16">
        <f>F1328</f>
        <v>2877.875</v>
      </c>
      <c r="G1381" s="16">
        <f>D1381+E1381+F1381</f>
        <v>98423.384999999995</v>
      </c>
      <c r="H1381" s="62">
        <v>1506</v>
      </c>
      <c r="I1381" s="16">
        <f>ROUND((G1381/H1381)/60,2)</f>
        <v>1.0900000000000001</v>
      </c>
    </row>
    <row r="1383" spans="1:15" ht="27.6" x14ac:dyDescent="0.3">
      <c r="B1383" s="13" t="s">
        <v>929</v>
      </c>
      <c r="C1383" s="14" t="s">
        <v>961</v>
      </c>
      <c r="D1383" s="14" t="s">
        <v>930</v>
      </c>
      <c r="E1383" s="14" t="s">
        <v>931</v>
      </c>
    </row>
    <row r="1384" spans="1:15" x14ac:dyDescent="0.3">
      <c r="B1384" s="15" t="str">
        <f>B1380</f>
        <v>Лікар-рентгенолог</v>
      </c>
      <c r="C1384" s="78">
        <f>I1380</f>
        <v>0.97</v>
      </c>
      <c r="D1384" s="17">
        <v>10</v>
      </c>
      <c r="E1384" s="18">
        <f>ROUND(C1384*D1384,2)</f>
        <v>9.6999999999999993</v>
      </c>
    </row>
    <row r="1385" spans="1:15" x14ac:dyDescent="0.3">
      <c r="B1385" s="15" t="str">
        <f>B1381</f>
        <v>Рентгенолаборант</v>
      </c>
      <c r="C1385" s="78">
        <f>I1381</f>
        <v>1.0900000000000001</v>
      </c>
      <c r="D1385" s="17">
        <v>15</v>
      </c>
      <c r="E1385" s="18">
        <f>ROUND(C1385*D1385,2)</f>
        <v>16.350000000000001</v>
      </c>
    </row>
    <row r="1386" spans="1:15" x14ac:dyDescent="0.3">
      <c r="C1386" s="19"/>
    </row>
    <row r="1387" spans="1:15" x14ac:dyDescent="0.3">
      <c r="B1387" s="17" t="s">
        <v>933</v>
      </c>
      <c r="C1387" s="78">
        <f>E1384+E1385</f>
        <v>26.05</v>
      </c>
      <c r="D1387" s="20">
        <v>0.22</v>
      </c>
      <c r="E1387" s="21">
        <f>ROUND(C1387*D1387,2)</f>
        <v>5.73</v>
      </c>
    </row>
    <row r="1389" spans="1:15" x14ac:dyDescent="0.3">
      <c r="B1389" s="12" t="s">
        <v>946</v>
      </c>
      <c r="C1389" s="227"/>
      <c r="D1389" s="12"/>
      <c r="E1389" s="11">
        <f>F1399</f>
        <v>5.91</v>
      </c>
      <c r="F1389" s="12" t="s">
        <v>971</v>
      </c>
    </row>
    <row r="1391" spans="1:15" x14ac:dyDescent="0.3">
      <c r="B1391" s="27" t="s">
        <v>936</v>
      </c>
      <c r="C1391" s="28" t="s">
        <v>937</v>
      </c>
      <c r="D1391" s="29">
        <v>1</v>
      </c>
      <c r="E1391" s="30">
        <f>'МЕДИЧНІ М'!F115</f>
        <v>0.3</v>
      </c>
      <c r="F1391" s="30">
        <f t="shared" ref="F1391:F1398" si="38">ROUND(D1391*E1391,2)</f>
        <v>0.3</v>
      </c>
    </row>
    <row r="1392" spans="1:15" s="184" customFormat="1" x14ac:dyDescent="0.3">
      <c r="A1392" s="180"/>
      <c r="B1392" s="185" t="s">
        <v>1021</v>
      </c>
      <c r="C1392" s="186" t="s">
        <v>941</v>
      </c>
      <c r="D1392" s="164">
        <v>0.5</v>
      </c>
      <c r="E1392" s="164">
        <f>'МЕДИЧНІ М'!E181</f>
        <v>2</v>
      </c>
      <c r="F1392" s="164">
        <f t="shared" si="38"/>
        <v>1</v>
      </c>
      <c r="G1392" s="180"/>
      <c r="H1392" s="180"/>
      <c r="I1392" s="180"/>
      <c r="J1392" s="187"/>
      <c r="K1392" s="189"/>
      <c r="L1392" s="189"/>
      <c r="M1392" s="189"/>
      <c r="N1392" s="189"/>
      <c r="O1392" s="188"/>
    </row>
    <row r="1393" spans="2:8" x14ac:dyDescent="0.3">
      <c r="B1393" s="15" t="s">
        <v>1216</v>
      </c>
      <c r="C1393" s="73" t="s">
        <v>941</v>
      </c>
      <c r="D1393" s="17">
        <v>0.1</v>
      </c>
      <c r="E1393" s="16">
        <f>'МЕДИЧНІ М'!E113</f>
        <v>8</v>
      </c>
      <c r="F1393" s="17">
        <f t="shared" si="38"/>
        <v>0.8</v>
      </c>
    </row>
    <row r="1394" spans="2:8" ht="28.2" x14ac:dyDescent="0.3">
      <c r="B1394" s="15" t="s">
        <v>1025</v>
      </c>
      <c r="C1394" s="73" t="s">
        <v>941</v>
      </c>
      <c r="D1394" s="17">
        <v>0.02</v>
      </c>
      <c r="E1394" s="17">
        <f>'МЕДИЧНІ М'!F121</f>
        <v>54</v>
      </c>
      <c r="F1394" s="17">
        <f t="shared" si="38"/>
        <v>1.08</v>
      </c>
    </row>
    <row r="1395" spans="2:8" x14ac:dyDescent="0.3">
      <c r="B1395" s="15" t="s">
        <v>1024</v>
      </c>
      <c r="C1395" s="73" t="s">
        <v>941</v>
      </c>
      <c r="D1395" s="17">
        <v>0.02</v>
      </c>
      <c r="E1395" s="17">
        <f>'МЕДИЧНІ М'!F118</f>
        <v>97.3</v>
      </c>
      <c r="F1395" s="17">
        <f t="shared" si="38"/>
        <v>1.95</v>
      </c>
    </row>
    <row r="1396" spans="2:8" x14ac:dyDescent="0.3">
      <c r="B1396" s="15" t="s">
        <v>964</v>
      </c>
      <c r="C1396" s="73" t="s">
        <v>941</v>
      </c>
      <c r="D1396" s="17">
        <v>0.1</v>
      </c>
      <c r="E1396" s="16">
        <f>'МЕДИЧНІ М'!E119</f>
        <v>2.8</v>
      </c>
      <c r="F1396" s="17">
        <f t="shared" si="38"/>
        <v>0.28000000000000003</v>
      </c>
    </row>
    <row r="1397" spans="2:8" x14ac:dyDescent="0.3">
      <c r="B1397" s="27" t="s">
        <v>942</v>
      </c>
      <c r="C1397" s="28" t="s">
        <v>941</v>
      </c>
      <c r="D1397" s="29">
        <v>0.01</v>
      </c>
      <c r="E1397" s="29">
        <f>'МЕДИЧНІ М'!E120</f>
        <v>24.6</v>
      </c>
      <c r="F1397" s="30">
        <f t="shared" si="38"/>
        <v>0.25</v>
      </c>
    </row>
    <row r="1398" spans="2:8" x14ac:dyDescent="0.3">
      <c r="B1398" s="27" t="s">
        <v>1124</v>
      </c>
      <c r="C1398" s="28" t="s">
        <v>944</v>
      </c>
      <c r="D1398" s="29">
        <v>0.5</v>
      </c>
      <c r="E1398" s="29">
        <f>'МЕДИЧНІ М'!E114</f>
        <v>0.5</v>
      </c>
      <c r="F1398" s="30">
        <f t="shared" si="38"/>
        <v>0.25</v>
      </c>
    </row>
    <row r="1399" spans="2:8" x14ac:dyDescent="0.3">
      <c r="B1399" s="1019" t="s">
        <v>945</v>
      </c>
      <c r="C1399" s="1019"/>
      <c r="D1399" s="1019"/>
      <c r="E1399" s="1019"/>
      <c r="F1399" s="89">
        <f>SUM(F1391:F1398)</f>
        <v>5.91</v>
      </c>
    </row>
    <row r="1401" spans="2:8" x14ac:dyDescent="0.3">
      <c r="B1401" s="12" t="s">
        <v>968</v>
      </c>
      <c r="C1401" s="227"/>
      <c r="D1401" s="12"/>
      <c r="E1401" s="11">
        <f>SUM(G1404:G1405)</f>
        <v>0</v>
      </c>
      <c r="F1401" s="12" t="s">
        <v>971</v>
      </c>
    </row>
    <row r="1402" spans="2:8" x14ac:dyDescent="0.3">
      <c r="B1402" s="22"/>
      <c r="C1402" s="36"/>
      <c r="D1402" s="22"/>
      <c r="E1402" s="23"/>
      <c r="F1402" s="22"/>
    </row>
    <row r="1403" spans="2:8" ht="27.6" x14ac:dyDescent="0.3">
      <c r="B1403" s="14" t="s">
        <v>513</v>
      </c>
      <c r="C1403" s="14" t="s">
        <v>1108</v>
      </c>
      <c r="D1403" s="14" t="s">
        <v>516</v>
      </c>
      <c r="E1403" s="14" t="s">
        <v>970</v>
      </c>
      <c r="F1403" s="14" t="s">
        <v>930</v>
      </c>
      <c r="G1403" s="14" t="s">
        <v>961</v>
      </c>
    </row>
    <row r="1404" spans="2:8" x14ac:dyDescent="0.3">
      <c r="B1404" s="46" t="s">
        <v>1161</v>
      </c>
      <c r="C1404" s="78">
        <f>C1352</f>
        <v>0</v>
      </c>
      <c r="D1404" s="62">
        <f>H1380</f>
        <v>1932.7</v>
      </c>
      <c r="E1404" s="17">
        <f>ROUND((C1404/D1404)/60,2)</f>
        <v>0</v>
      </c>
      <c r="F1404" s="17">
        <f>D1384</f>
        <v>10</v>
      </c>
      <c r="G1404" s="16">
        <f>ROUND(E1404*F1404,2)</f>
        <v>0</v>
      </c>
    </row>
    <row r="1405" spans="2:8" x14ac:dyDescent="0.3">
      <c r="B1405" s="27" t="s">
        <v>1093</v>
      </c>
      <c r="C1405" s="78">
        <f>C1353</f>
        <v>0</v>
      </c>
      <c r="D1405" s="62">
        <f>H1381</f>
        <v>1506</v>
      </c>
      <c r="E1405" s="17">
        <f>ROUND((C1405/D1405)/60,2)</f>
        <v>0</v>
      </c>
      <c r="F1405" s="17">
        <f>D1385</f>
        <v>15</v>
      </c>
      <c r="G1405" s="16">
        <f>ROUND(E1405*F1405,2)</f>
        <v>0</v>
      </c>
      <c r="H1405" s="38"/>
    </row>
    <row r="1407" spans="2:8" x14ac:dyDescent="0.3">
      <c r="B1407" s="12" t="s">
        <v>948</v>
      </c>
      <c r="C1407" s="227"/>
      <c r="D1407" s="12"/>
      <c r="E1407" s="11">
        <f>G1420</f>
        <v>3.45</v>
      </c>
      <c r="F1407" s="12" t="s">
        <v>971</v>
      </c>
    </row>
    <row r="1408" spans="2:8" x14ac:dyDescent="0.3">
      <c r="B1408" s="22"/>
      <c r="C1408" s="36"/>
      <c r="D1408" s="22"/>
      <c r="E1408" s="23"/>
    </row>
    <row r="1409" spans="2:7" ht="27.6" x14ac:dyDescent="0.3">
      <c r="B1409" s="14" t="s">
        <v>948</v>
      </c>
      <c r="C1409" s="14" t="s">
        <v>1110</v>
      </c>
      <c r="D1409" s="14" t="s">
        <v>516</v>
      </c>
      <c r="E1409" s="14" t="s">
        <v>954</v>
      </c>
      <c r="F1409" s="14" t="s">
        <v>930</v>
      </c>
      <c r="G1409" s="14" t="s">
        <v>1111</v>
      </c>
    </row>
    <row r="1410" spans="2:7" x14ac:dyDescent="0.3">
      <c r="B1410" s="1009" t="str">
        <f>B1380</f>
        <v>Лікар-рентгенолог</v>
      </c>
      <c r="C1410" s="1010"/>
      <c r="D1410" s="1010"/>
      <c r="E1410" s="1010"/>
      <c r="F1410" s="1010"/>
      <c r="G1410" s="1011"/>
    </row>
    <row r="1411" spans="2:7" x14ac:dyDescent="0.3">
      <c r="B1411" s="17" t="s">
        <v>951</v>
      </c>
      <c r="C1411" s="221">
        <f>C1359</f>
        <v>12188.608008565312</v>
      </c>
      <c r="D1411" s="17">
        <f>H1380</f>
        <v>1932.7</v>
      </c>
      <c r="E1411" s="17">
        <f>ROUND((C1411/D1411)/60,2)</f>
        <v>0.11</v>
      </c>
      <c r="F1411" s="17">
        <f>D1384</f>
        <v>10</v>
      </c>
      <c r="G1411" s="16">
        <f>ROUND(E1411*F1411,2)</f>
        <v>1.1000000000000001</v>
      </c>
    </row>
    <row r="1412" spans="2:7" x14ac:dyDescent="0.3">
      <c r="B1412" s="17" t="s">
        <v>952</v>
      </c>
      <c r="C1412" s="221">
        <f>C1360</f>
        <v>53.149721627408987</v>
      </c>
      <c r="D1412" s="17">
        <f>H1380</f>
        <v>1932.7</v>
      </c>
      <c r="E1412" s="17">
        <f>ROUND((C1412/D1412)/60,2)</f>
        <v>0</v>
      </c>
      <c r="F1412" s="17">
        <f>D1384</f>
        <v>10</v>
      </c>
      <c r="G1412" s="16">
        <f>ROUND(E1412*F1412,2)</f>
        <v>0</v>
      </c>
    </row>
    <row r="1413" spans="2:7" x14ac:dyDescent="0.3">
      <c r="B1413" s="17" t="s">
        <v>953</v>
      </c>
      <c r="C1413" s="221">
        <f>C1361</f>
        <v>374.98368308351178</v>
      </c>
      <c r="D1413" s="17">
        <f>H1380</f>
        <v>1932.7</v>
      </c>
      <c r="E1413" s="17">
        <f>ROUND((C1413/D1413)/60,2)</f>
        <v>0</v>
      </c>
      <c r="F1413" s="17">
        <f>D1384</f>
        <v>10</v>
      </c>
      <c r="G1413" s="16">
        <f>ROUND(E1413*F1413,2)</f>
        <v>0</v>
      </c>
    </row>
    <row r="1414" spans="2:7" x14ac:dyDescent="0.3">
      <c r="B1414" s="17" t="s">
        <v>1109</v>
      </c>
      <c r="C1414" s="221">
        <f>C1362</f>
        <v>1686.0389293361886</v>
      </c>
      <c r="D1414" s="17">
        <f>H1380</f>
        <v>1932.7</v>
      </c>
      <c r="E1414" s="17">
        <f>ROUND((C1414/D1414)/60,2)</f>
        <v>0.01</v>
      </c>
      <c r="F1414" s="17">
        <f>D1384</f>
        <v>10</v>
      </c>
      <c r="G1414" s="16">
        <f>ROUND(E1414*F1414,2)</f>
        <v>0.1</v>
      </c>
    </row>
    <row r="1415" spans="2:7" x14ac:dyDescent="0.3">
      <c r="B1415" s="1009" t="str">
        <f>B1381</f>
        <v>Рентгенолаборант</v>
      </c>
      <c r="C1415" s="1010"/>
      <c r="D1415" s="1010"/>
      <c r="E1415" s="1010"/>
      <c r="F1415" s="1010"/>
      <c r="G1415" s="1011"/>
    </row>
    <row r="1416" spans="2:7" x14ac:dyDescent="0.3">
      <c r="B1416" s="17" t="s">
        <v>951</v>
      </c>
      <c r="C1416" s="221">
        <f>C1411</f>
        <v>12188.608008565312</v>
      </c>
      <c r="D1416" s="17">
        <f>H1381</f>
        <v>1506</v>
      </c>
      <c r="E1416" s="17">
        <f>ROUND((C1416/D1416)/60,2)</f>
        <v>0.13</v>
      </c>
      <c r="F1416" s="17">
        <f>D1385</f>
        <v>15</v>
      </c>
      <c r="G1416" s="16">
        <f>ROUND(E1416*F1416,2)</f>
        <v>1.95</v>
      </c>
    </row>
    <row r="1417" spans="2:7" x14ac:dyDescent="0.3">
      <c r="B1417" s="17" t="s">
        <v>952</v>
      </c>
      <c r="C1417" s="221">
        <f>C1412</f>
        <v>53.149721627408987</v>
      </c>
      <c r="D1417" s="17">
        <f>H1381</f>
        <v>1506</v>
      </c>
      <c r="E1417" s="17">
        <f>ROUND((C1417/D1417)/60,2)</f>
        <v>0</v>
      </c>
      <c r="F1417" s="17">
        <f>D1385</f>
        <v>15</v>
      </c>
      <c r="G1417" s="16">
        <f>ROUND(E1417*F1417,2)</f>
        <v>0</v>
      </c>
    </row>
    <row r="1418" spans="2:7" x14ac:dyDescent="0.3">
      <c r="B1418" s="17" t="s">
        <v>953</v>
      </c>
      <c r="C1418" s="221">
        <f>C1413</f>
        <v>374.98368308351178</v>
      </c>
      <c r="D1418" s="17">
        <f>H1381</f>
        <v>1506</v>
      </c>
      <c r="E1418" s="17">
        <f>ROUND((C1418/D1418)/60,2)</f>
        <v>0</v>
      </c>
      <c r="F1418" s="17">
        <f>D1385</f>
        <v>15</v>
      </c>
      <c r="G1418" s="16">
        <f>ROUND(E1418*F1418,2)</f>
        <v>0</v>
      </c>
    </row>
    <row r="1419" spans="2:7" x14ac:dyDescent="0.3">
      <c r="B1419" s="17" t="s">
        <v>1109</v>
      </c>
      <c r="C1419" s="221">
        <f>C1414</f>
        <v>1686.0389293361886</v>
      </c>
      <c r="D1419" s="17">
        <f>H1381</f>
        <v>1506</v>
      </c>
      <c r="E1419" s="17">
        <f>ROUND((C1419/D1419)/60,2)</f>
        <v>0.02</v>
      </c>
      <c r="F1419" s="17">
        <f>D1385</f>
        <v>15</v>
      </c>
      <c r="G1419" s="16">
        <f>ROUND(E1419*F1419,2)</f>
        <v>0.3</v>
      </c>
    </row>
    <row r="1420" spans="2:7" x14ac:dyDescent="0.3">
      <c r="B1420" s="1012" t="s">
        <v>957</v>
      </c>
      <c r="C1420" s="1013"/>
      <c r="D1420" s="1013"/>
      <c r="E1420" s="1013"/>
      <c r="F1420" s="1014"/>
      <c r="G1420" s="18">
        <f>SUM(G1411:G1419)</f>
        <v>3.45</v>
      </c>
    </row>
    <row r="1422" spans="2:7" ht="0.75" customHeight="1" x14ac:dyDescent="0.3"/>
    <row r="1423" spans="2:7" x14ac:dyDescent="0.3">
      <c r="B1423" s="1015" t="s">
        <v>959</v>
      </c>
      <c r="C1423" s="1015"/>
      <c r="D1423" s="1015"/>
      <c r="E1423" s="1015"/>
      <c r="F1423" s="1015"/>
      <c r="G1423" s="32">
        <f>E1377+E1389+E1401+E1407</f>
        <v>41.14</v>
      </c>
    </row>
    <row r="1424" spans="2:7" x14ac:dyDescent="0.3">
      <c r="B1424" s="33"/>
      <c r="C1424" s="33"/>
      <c r="D1424" s="33"/>
      <c r="E1424" s="33"/>
      <c r="F1424" s="33"/>
      <c r="G1424" s="34"/>
    </row>
    <row r="1425" spans="1:15" x14ac:dyDescent="0.3">
      <c r="B1425" s="1015" t="s">
        <v>960</v>
      </c>
      <c r="C1425" s="1015"/>
      <c r="D1425" s="1015"/>
      <c r="E1425" s="1015"/>
      <c r="F1425" s="1015"/>
      <c r="G1425" s="32">
        <f>ROUND(G1423,0)</f>
        <v>41</v>
      </c>
    </row>
    <row r="1427" spans="1:15" s="54" customFormat="1" ht="19.8" x14ac:dyDescent="0.4">
      <c r="A1427" s="1016" t="s">
        <v>958</v>
      </c>
      <c r="B1427" s="1016"/>
      <c r="C1427" s="1016"/>
      <c r="D1427" s="1016"/>
      <c r="E1427" s="1016"/>
      <c r="F1427" s="1016"/>
      <c r="G1427" s="1016"/>
      <c r="H1427" s="1016"/>
      <c r="I1427" s="1016"/>
      <c r="J1427" s="132"/>
      <c r="K1427" s="126"/>
      <c r="L1427" s="126"/>
      <c r="M1427" s="126"/>
      <c r="N1427" s="126"/>
      <c r="O1427" s="127"/>
    </row>
    <row r="1428" spans="1:15" s="54" customFormat="1" ht="19.8" x14ac:dyDescent="0.4">
      <c r="A1428" s="53"/>
      <c r="B1428" s="53"/>
      <c r="C1428" s="225"/>
      <c r="D1428" s="53"/>
      <c r="E1428" s="53"/>
      <c r="F1428" s="53"/>
      <c r="G1428" s="53"/>
      <c r="H1428" s="53"/>
      <c r="I1428" s="53"/>
      <c r="J1428" s="132"/>
      <c r="K1428" s="126"/>
      <c r="L1428" s="126"/>
      <c r="M1428" s="126"/>
      <c r="N1428" s="126"/>
      <c r="O1428" s="127"/>
    </row>
    <row r="1429" spans="1:15" s="54" customFormat="1" ht="18.75" customHeight="1" x14ac:dyDescent="0.4">
      <c r="A1429" s="50" t="s">
        <v>652</v>
      </c>
      <c r="B1429" s="1032" t="s">
        <v>697</v>
      </c>
      <c r="C1429" s="1032"/>
      <c r="D1429" s="1032"/>
      <c r="E1429" s="52">
        <f>G1480</f>
        <v>101</v>
      </c>
      <c r="F1429" s="52" t="s">
        <v>971</v>
      </c>
      <c r="G1429" s="53"/>
      <c r="H1429" s="124"/>
      <c r="I1429" s="125" t="s">
        <v>1023</v>
      </c>
      <c r="J1429" s="132"/>
      <c r="K1429" s="126"/>
      <c r="L1429" s="126"/>
      <c r="M1429" s="126"/>
      <c r="N1429" s="126"/>
      <c r="O1429" s="127"/>
    </row>
    <row r="1431" spans="1:15" x14ac:dyDescent="0.3">
      <c r="B1431" s="1018" t="s">
        <v>932</v>
      </c>
      <c r="C1431" s="1018"/>
      <c r="D1431" s="10"/>
      <c r="E1431" s="11">
        <f>E1438+E1441+E1439</f>
        <v>31.78</v>
      </c>
      <c r="F1431" s="12" t="s">
        <v>971</v>
      </c>
    </row>
    <row r="1433" spans="1:15" ht="27.6" x14ac:dyDescent="0.3">
      <c r="B1433" s="13" t="s">
        <v>929</v>
      </c>
      <c r="C1433" s="14" t="s">
        <v>928</v>
      </c>
      <c r="D1433" s="14" t="s">
        <v>514</v>
      </c>
      <c r="E1433" s="14" t="s">
        <v>515</v>
      </c>
      <c r="F1433" s="14" t="s">
        <v>962</v>
      </c>
      <c r="G1433" s="14" t="s">
        <v>926</v>
      </c>
      <c r="H1433" s="14" t="s">
        <v>516</v>
      </c>
      <c r="I1433" s="14" t="s">
        <v>961</v>
      </c>
    </row>
    <row r="1434" spans="1:15" x14ac:dyDescent="0.3">
      <c r="B1434" s="16" t="str">
        <f t="shared" ref="B1434:F1435" si="39">B1380</f>
        <v>Лікар-рентгенолог</v>
      </c>
      <c r="C1434" s="16">
        <f t="shared" si="39"/>
        <v>8463.5400000000009</v>
      </c>
      <c r="D1434" s="16">
        <f t="shared" si="39"/>
        <v>101562.48000000001</v>
      </c>
      <c r="E1434" s="16">
        <f t="shared" si="39"/>
        <v>7052.95</v>
      </c>
      <c r="F1434" s="16">
        <f t="shared" si="39"/>
        <v>3526.4749999999999</v>
      </c>
      <c r="G1434" s="16">
        <f>D1434+E1434+F1434</f>
        <v>112141.90500000001</v>
      </c>
      <c r="H1434" s="17">
        <v>1932.7</v>
      </c>
      <c r="I1434" s="16">
        <f>ROUND((G1434/H1434)/60,2)</f>
        <v>0.97</v>
      </c>
    </row>
    <row r="1435" spans="1:15" x14ac:dyDescent="0.3">
      <c r="B1435" s="16" t="str">
        <f t="shared" si="39"/>
        <v>Рентгенолаборант</v>
      </c>
      <c r="C1435" s="16">
        <f t="shared" si="39"/>
        <v>7482.48</v>
      </c>
      <c r="D1435" s="16">
        <f t="shared" si="39"/>
        <v>89789.759999999995</v>
      </c>
      <c r="E1435" s="16">
        <f t="shared" si="39"/>
        <v>5755.75</v>
      </c>
      <c r="F1435" s="16">
        <f t="shared" si="39"/>
        <v>2877.875</v>
      </c>
      <c r="G1435" s="16">
        <f>D1435+E1435+F1435</f>
        <v>98423.384999999995</v>
      </c>
      <c r="H1435" s="62">
        <v>1506</v>
      </c>
      <c r="I1435" s="16">
        <f>ROUND((G1435/H1435)/60,2)</f>
        <v>1.0900000000000001</v>
      </c>
    </row>
    <row r="1437" spans="1:15" ht="27.6" x14ac:dyDescent="0.3">
      <c r="B1437" s="13" t="s">
        <v>929</v>
      </c>
      <c r="C1437" s="14" t="s">
        <v>961</v>
      </c>
      <c r="D1437" s="14" t="s">
        <v>930</v>
      </c>
      <c r="E1437" s="14" t="s">
        <v>931</v>
      </c>
    </row>
    <row r="1438" spans="1:15" x14ac:dyDescent="0.3">
      <c r="B1438" s="15" t="str">
        <f>B1434</f>
        <v>Лікар-рентгенолог</v>
      </c>
      <c r="C1438" s="78">
        <f>I1434</f>
        <v>0.97</v>
      </c>
      <c r="D1438" s="17">
        <v>10</v>
      </c>
      <c r="E1438" s="18">
        <f>ROUND(C1438*D1438,2)</f>
        <v>9.6999999999999993</v>
      </c>
    </row>
    <row r="1439" spans="1:15" x14ac:dyDescent="0.3">
      <c r="B1439" s="15" t="str">
        <f>B1435</f>
        <v>Рентгенолаборант</v>
      </c>
      <c r="C1439" s="78">
        <f>I1435</f>
        <v>1.0900000000000001</v>
      </c>
      <c r="D1439" s="17">
        <v>15</v>
      </c>
      <c r="E1439" s="18">
        <f>ROUND(C1439*D1439,2)</f>
        <v>16.350000000000001</v>
      </c>
    </row>
    <row r="1440" spans="1:15" x14ac:dyDescent="0.3">
      <c r="C1440" s="19"/>
    </row>
    <row r="1441" spans="1:15" x14ac:dyDescent="0.3">
      <c r="B1441" s="17" t="s">
        <v>933</v>
      </c>
      <c r="C1441" s="78">
        <f>E1438+E1439</f>
        <v>26.05</v>
      </c>
      <c r="D1441" s="20">
        <v>0.22</v>
      </c>
      <c r="E1441" s="21">
        <f>ROUND(C1441*D1441,2)</f>
        <v>5.73</v>
      </c>
    </row>
    <row r="1442" spans="1:15" ht="9" customHeight="1" x14ac:dyDescent="0.3"/>
    <row r="1443" spans="1:15" x14ac:dyDescent="0.3">
      <c r="B1443" s="12" t="s">
        <v>946</v>
      </c>
      <c r="C1443" s="227"/>
      <c r="D1443" s="12"/>
      <c r="E1443" s="11">
        <f>F1454</f>
        <v>65.61</v>
      </c>
      <c r="F1443" s="12" t="s">
        <v>971</v>
      </c>
    </row>
    <row r="1444" spans="1:15" ht="6.75" customHeight="1" x14ac:dyDescent="0.3"/>
    <row r="1445" spans="1:15" x14ac:dyDescent="0.3">
      <c r="B1445" s="27" t="s">
        <v>936</v>
      </c>
      <c r="C1445" s="28" t="s">
        <v>937</v>
      </c>
      <c r="D1445" s="29">
        <v>1</v>
      </c>
      <c r="E1445" s="30">
        <f>'МЕДИЧНІ М'!F115</f>
        <v>0.3</v>
      </c>
      <c r="F1445" s="30">
        <f>ROUND(D1445*E1445,2)</f>
        <v>0.3</v>
      </c>
    </row>
    <row r="1446" spans="1:15" s="184" customFormat="1" x14ac:dyDescent="0.3">
      <c r="A1446" s="180"/>
      <c r="B1446" s="185" t="s">
        <v>1021</v>
      </c>
      <c r="C1446" s="186" t="s">
        <v>941</v>
      </c>
      <c r="D1446" s="164">
        <v>0.5</v>
      </c>
      <c r="E1446" s="164">
        <f>'МЕДИЧНІ М'!E181</f>
        <v>2</v>
      </c>
      <c r="F1446" s="164">
        <f t="shared" ref="F1446:F1453" si="40">ROUND(D1446*E1446,2)</f>
        <v>1</v>
      </c>
      <c r="G1446" s="180"/>
      <c r="H1446" s="180"/>
      <c r="I1446" s="180"/>
      <c r="J1446" s="187"/>
      <c r="K1446" s="189"/>
      <c r="L1446" s="189"/>
      <c r="M1446" s="189"/>
      <c r="N1446" s="189"/>
      <c r="O1446" s="188"/>
    </row>
    <row r="1447" spans="1:15" x14ac:dyDescent="0.3">
      <c r="B1447" s="15" t="s">
        <v>1216</v>
      </c>
      <c r="C1447" s="73" t="s">
        <v>941</v>
      </c>
      <c r="D1447" s="17">
        <v>0.1</v>
      </c>
      <c r="E1447" s="16">
        <f>'МЕДИЧНІ М'!E113</f>
        <v>8</v>
      </c>
      <c r="F1447" s="17">
        <f t="shared" si="40"/>
        <v>0.8</v>
      </c>
    </row>
    <row r="1448" spans="1:15" x14ac:dyDescent="0.3">
      <c r="B1448" s="15" t="str">
        <f>'МЕДИЧНІ М'!B322</f>
        <v>Рентген 30 * 40 № 100</v>
      </c>
      <c r="C1448" s="73" t="s">
        <v>941</v>
      </c>
      <c r="D1448" s="17">
        <v>3</v>
      </c>
      <c r="E1448" s="16">
        <f>'МЕДИЧНІ М'!F322</f>
        <v>19.899999999999999</v>
      </c>
      <c r="F1448" s="17">
        <f t="shared" si="40"/>
        <v>59.7</v>
      </c>
    </row>
    <row r="1449" spans="1:15" ht="28.2" x14ac:dyDescent="0.3">
      <c r="B1449" s="15" t="s">
        <v>1025</v>
      </c>
      <c r="C1449" s="73" t="s">
        <v>941</v>
      </c>
      <c r="D1449" s="17">
        <v>0.02</v>
      </c>
      <c r="E1449" s="17">
        <f>'МЕДИЧНІ М'!F121</f>
        <v>54</v>
      </c>
      <c r="F1449" s="17">
        <f t="shared" si="40"/>
        <v>1.08</v>
      </c>
    </row>
    <row r="1450" spans="1:15" x14ac:dyDescent="0.3">
      <c r="B1450" s="15" t="s">
        <v>1024</v>
      </c>
      <c r="C1450" s="73" t="s">
        <v>941</v>
      </c>
      <c r="D1450" s="17">
        <v>0.02</v>
      </c>
      <c r="E1450" s="17">
        <f>'МЕДИЧНІ М'!F118</f>
        <v>97.3</v>
      </c>
      <c r="F1450" s="17">
        <f t="shared" si="40"/>
        <v>1.95</v>
      </c>
    </row>
    <row r="1451" spans="1:15" x14ac:dyDescent="0.3">
      <c r="B1451" s="15" t="s">
        <v>964</v>
      </c>
      <c r="C1451" s="73" t="s">
        <v>941</v>
      </c>
      <c r="D1451" s="17">
        <v>0.1</v>
      </c>
      <c r="E1451" s="16">
        <f>'МЕДИЧНІ М'!E119</f>
        <v>2.8</v>
      </c>
      <c r="F1451" s="17">
        <f t="shared" si="40"/>
        <v>0.28000000000000003</v>
      </c>
    </row>
    <row r="1452" spans="1:15" x14ac:dyDescent="0.3">
      <c r="B1452" s="27" t="s">
        <v>942</v>
      </c>
      <c r="C1452" s="28" t="s">
        <v>941</v>
      </c>
      <c r="D1452" s="29">
        <v>0.01</v>
      </c>
      <c r="E1452" s="29">
        <f>'МЕДИЧНІ М'!E120</f>
        <v>24.6</v>
      </c>
      <c r="F1452" s="30">
        <f t="shared" si="40"/>
        <v>0.25</v>
      </c>
    </row>
    <row r="1453" spans="1:15" x14ac:dyDescent="0.3">
      <c r="B1453" s="27" t="s">
        <v>1124</v>
      </c>
      <c r="C1453" s="28" t="s">
        <v>944</v>
      </c>
      <c r="D1453" s="29">
        <v>0.5</v>
      </c>
      <c r="E1453" s="29">
        <f>'МЕДИЧНІ М'!E114</f>
        <v>0.5</v>
      </c>
      <c r="F1453" s="30">
        <f t="shared" si="40"/>
        <v>0.25</v>
      </c>
    </row>
    <row r="1454" spans="1:15" x14ac:dyDescent="0.3">
      <c r="B1454" s="1019" t="s">
        <v>945</v>
      </c>
      <c r="C1454" s="1019"/>
      <c r="D1454" s="1019"/>
      <c r="E1454" s="1019"/>
      <c r="F1454" s="89">
        <f>SUM(F1445:F1453)</f>
        <v>65.61</v>
      </c>
    </row>
    <row r="1455" spans="1:15" ht="7.5" customHeight="1" x14ac:dyDescent="0.3"/>
    <row r="1456" spans="1:15" x14ac:dyDescent="0.3">
      <c r="B1456" s="12" t="s">
        <v>968</v>
      </c>
      <c r="C1456" s="227"/>
      <c r="D1456" s="12"/>
      <c r="E1456" s="11">
        <f>SUM(G1459:G1460)</f>
        <v>0</v>
      </c>
      <c r="F1456" s="12" t="s">
        <v>971</v>
      </c>
    </row>
    <row r="1457" spans="2:8" ht="7.5" customHeight="1" x14ac:dyDescent="0.3">
      <c r="B1457" s="22"/>
      <c r="C1457" s="36"/>
      <c r="D1457" s="22"/>
      <c r="E1457" s="23"/>
      <c r="F1457" s="22"/>
    </row>
    <row r="1458" spans="2:8" ht="27.6" x14ac:dyDescent="0.3">
      <c r="B1458" s="14" t="s">
        <v>513</v>
      </c>
      <c r="C1458" s="14" t="s">
        <v>1108</v>
      </c>
      <c r="D1458" s="14" t="s">
        <v>516</v>
      </c>
      <c r="E1458" s="14" t="s">
        <v>970</v>
      </c>
      <c r="F1458" s="14" t="s">
        <v>930</v>
      </c>
      <c r="G1458" s="14" t="s">
        <v>961</v>
      </c>
    </row>
    <row r="1459" spans="2:8" x14ac:dyDescent="0.3">
      <c r="B1459" s="46" t="str">
        <f>B1404</f>
        <v>Автоматизоване робоче місце, ПК</v>
      </c>
      <c r="C1459" s="46">
        <f>C1404</f>
        <v>0</v>
      </c>
      <c r="D1459" s="62">
        <f>H1434</f>
        <v>1932.7</v>
      </c>
      <c r="E1459" s="17">
        <f>ROUND((C1459/D1459)/60,2)</f>
        <v>0</v>
      </c>
      <c r="F1459" s="17">
        <f>D1438</f>
        <v>10</v>
      </c>
      <c r="G1459" s="16">
        <f>ROUND(E1459*F1459,2)</f>
        <v>0</v>
      </c>
    </row>
    <row r="1460" spans="2:8" x14ac:dyDescent="0.3">
      <c r="B1460" s="46" t="str">
        <f>B1405</f>
        <v>Рентген</v>
      </c>
      <c r="C1460" s="46">
        <f>C1405</f>
        <v>0</v>
      </c>
      <c r="D1460" s="62">
        <f>H1435</f>
        <v>1506</v>
      </c>
      <c r="E1460" s="17">
        <f>ROUND((C1460/D1460)/60,2)</f>
        <v>0</v>
      </c>
      <c r="F1460" s="17">
        <f>D1439</f>
        <v>15</v>
      </c>
      <c r="G1460" s="16">
        <f>ROUND(E1460*F1460,2)</f>
        <v>0</v>
      </c>
      <c r="H1460" s="38"/>
    </row>
    <row r="1462" spans="2:8" x14ac:dyDescent="0.3">
      <c r="B1462" s="12" t="s">
        <v>948</v>
      </c>
      <c r="C1462" s="227"/>
      <c r="D1462" s="12"/>
      <c r="E1462" s="11">
        <f>G1475</f>
        <v>3.45</v>
      </c>
      <c r="F1462" s="12" t="s">
        <v>971</v>
      </c>
    </row>
    <row r="1463" spans="2:8" ht="6.75" customHeight="1" x14ac:dyDescent="0.3">
      <c r="B1463" s="22"/>
      <c r="C1463" s="36"/>
      <c r="D1463" s="22"/>
      <c r="E1463" s="23"/>
    </row>
    <row r="1464" spans="2:8" ht="27.6" x14ac:dyDescent="0.3">
      <c r="B1464" s="14" t="s">
        <v>948</v>
      </c>
      <c r="C1464" s="14" t="s">
        <v>1110</v>
      </c>
      <c r="D1464" s="14" t="s">
        <v>516</v>
      </c>
      <c r="E1464" s="14" t="s">
        <v>954</v>
      </c>
      <c r="F1464" s="14" t="s">
        <v>930</v>
      </c>
      <c r="G1464" s="14" t="s">
        <v>1111</v>
      </c>
    </row>
    <row r="1465" spans="2:8" x14ac:dyDescent="0.3">
      <c r="B1465" s="1009" t="str">
        <f>B1434</f>
        <v>Лікар-рентгенолог</v>
      </c>
      <c r="C1465" s="1010"/>
      <c r="D1465" s="1010"/>
      <c r="E1465" s="1010"/>
      <c r="F1465" s="1010"/>
      <c r="G1465" s="1011"/>
    </row>
    <row r="1466" spans="2:8" x14ac:dyDescent="0.3">
      <c r="B1466" s="17" t="s">
        <v>951</v>
      </c>
      <c r="C1466" s="221">
        <f>C1411</f>
        <v>12188.608008565312</v>
      </c>
      <c r="D1466" s="17">
        <f>H1434</f>
        <v>1932.7</v>
      </c>
      <c r="E1466" s="17">
        <f>ROUND((C1466/D1466)/60,2)</f>
        <v>0.11</v>
      </c>
      <c r="F1466" s="17">
        <f>D1438</f>
        <v>10</v>
      </c>
      <c r="G1466" s="16">
        <f>ROUND(E1466*F1466,2)</f>
        <v>1.1000000000000001</v>
      </c>
    </row>
    <row r="1467" spans="2:8" x14ac:dyDescent="0.3">
      <c r="B1467" s="17" t="s">
        <v>952</v>
      </c>
      <c r="C1467" s="221">
        <f>C1412</f>
        <v>53.149721627408987</v>
      </c>
      <c r="D1467" s="17">
        <f>H1434</f>
        <v>1932.7</v>
      </c>
      <c r="E1467" s="17">
        <f>ROUND((C1467/D1467)/60,2)</f>
        <v>0</v>
      </c>
      <c r="F1467" s="17">
        <f>D1438</f>
        <v>10</v>
      </c>
      <c r="G1467" s="16">
        <f>ROUND(E1467*F1467,2)</f>
        <v>0</v>
      </c>
    </row>
    <row r="1468" spans="2:8" x14ac:dyDescent="0.3">
      <c r="B1468" s="17" t="s">
        <v>953</v>
      </c>
      <c r="C1468" s="221">
        <f>C1413</f>
        <v>374.98368308351178</v>
      </c>
      <c r="D1468" s="17">
        <f>H1434</f>
        <v>1932.7</v>
      </c>
      <c r="E1468" s="17">
        <f>ROUND((C1468/D1468)/60,2)</f>
        <v>0</v>
      </c>
      <c r="F1468" s="17">
        <f>D1438</f>
        <v>10</v>
      </c>
      <c r="G1468" s="16">
        <f>ROUND(E1468*F1468,2)</f>
        <v>0</v>
      </c>
    </row>
    <row r="1469" spans="2:8" x14ac:dyDescent="0.3">
      <c r="B1469" s="17" t="s">
        <v>1109</v>
      </c>
      <c r="C1469" s="221">
        <f>C1414</f>
        <v>1686.0389293361886</v>
      </c>
      <c r="D1469" s="17">
        <f>H1434</f>
        <v>1932.7</v>
      </c>
      <c r="E1469" s="17">
        <f>ROUND((C1469/D1469)/60,2)</f>
        <v>0.01</v>
      </c>
      <c r="F1469" s="17">
        <f>D1438</f>
        <v>10</v>
      </c>
      <c r="G1469" s="16">
        <f>ROUND(E1469*F1469,2)</f>
        <v>0.1</v>
      </c>
    </row>
    <row r="1470" spans="2:8" x14ac:dyDescent="0.3">
      <c r="B1470" s="1009" t="str">
        <f>B1435</f>
        <v>Рентгенолаборант</v>
      </c>
      <c r="C1470" s="1010"/>
      <c r="D1470" s="1010"/>
      <c r="E1470" s="1010"/>
      <c r="F1470" s="1010"/>
      <c r="G1470" s="1011"/>
    </row>
    <row r="1471" spans="2:8" x14ac:dyDescent="0.3">
      <c r="B1471" s="17" t="s">
        <v>951</v>
      </c>
      <c r="C1471" s="221">
        <f>C1466</f>
        <v>12188.608008565312</v>
      </c>
      <c r="D1471" s="17">
        <f>H1435</f>
        <v>1506</v>
      </c>
      <c r="E1471" s="17">
        <f>ROUND((C1471/D1471)/60,2)</f>
        <v>0.13</v>
      </c>
      <c r="F1471" s="17">
        <f>D1439</f>
        <v>15</v>
      </c>
      <c r="G1471" s="16">
        <f>ROUND(E1471*F1471,2)</f>
        <v>1.95</v>
      </c>
    </row>
    <row r="1472" spans="2:8" x14ac:dyDescent="0.3">
      <c r="B1472" s="17" t="s">
        <v>952</v>
      </c>
      <c r="C1472" s="221">
        <f>C1467</f>
        <v>53.149721627408987</v>
      </c>
      <c r="D1472" s="17">
        <f>H1435</f>
        <v>1506</v>
      </c>
      <c r="E1472" s="17">
        <f>ROUND((C1472/D1472)/60,2)</f>
        <v>0</v>
      </c>
      <c r="F1472" s="17">
        <f>D1439</f>
        <v>15</v>
      </c>
      <c r="G1472" s="16">
        <f>ROUND(E1472*F1472,2)</f>
        <v>0</v>
      </c>
    </row>
    <row r="1473" spans="1:15" x14ac:dyDescent="0.3">
      <c r="B1473" s="17" t="s">
        <v>953</v>
      </c>
      <c r="C1473" s="221">
        <f>C1468</f>
        <v>374.98368308351178</v>
      </c>
      <c r="D1473" s="17">
        <f>H1435</f>
        <v>1506</v>
      </c>
      <c r="E1473" s="17">
        <f>ROUND((C1473/D1473)/60,2)</f>
        <v>0</v>
      </c>
      <c r="F1473" s="17">
        <f>D1439</f>
        <v>15</v>
      </c>
      <c r="G1473" s="16">
        <f>ROUND(E1473*F1473,2)</f>
        <v>0</v>
      </c>
    </row>
    <row r="1474" spans="1:15" x14ac:dyDescent="0.3">
      <c r="B1474" s="17" t="s">
        <v>1109</v>
      </c>
      <c r="C1474" s="221">
        <f>C1469</f>
        <v>1686.0389293361886</v>
      </c>
      <c r="D1474" s="17">
        <f>H1435</f>
        <v>1506</v>
      </c>
      <c r="E1474" s="17">
        <f>ROUND((C1474/D1474)/60,2)</f>
        <v>0.02</v>
      </c>
      <c r="F1474" s="17">
        <f>D1439</f>
        <v>15</v>
      </c>
      <c r="G1474" s="16">
        <f>ROUND(E1474*F1474,2)</f>
        <v>0.3</v>
      </c>
    </row>
    <row r="1475" spans="1:15" x14ac:dyDescent="0.3">
      <c r="B1475" s="1012" t="s">
        <v>957</v>
      </c>
      <c r="C1475" s="1013"/>
      <c r="D1475" s="1013"/>
      <c r="E1475" s="1013"/>
      <c r="F1475" s="1014"/>
      <c r="G1475" s="18">
        <f>SUM(G1466:G1474)</f>
        <v>3.45</v>
      </c>
    </row>
    <row r="1476" spans="1:15" ht="12" customHeight="1" x14ac:dyDescent="0.3"/>
    <row r="1478" spans="1:15" x14ac:dyDescent="0.3">
      <c r="B1478" s="1015" t="s">
        <v>959</v>
      </c>
      <c r="C1478" s="1015"/>
      <c r="D1478" s="1015"/>
      <c r="E1478" s="1015"/>
      <c r="F1478" s="1015"/>
      <c r="G1478" s="32">
        <f>E1431+E1443+E1456+E1462</f>
        <v>100.84</v>
      </c>
    </row>
    <row r="1479" spans="1:15" x14ac:dyDescent="0.3">
      <c r="B1479" s="33"/>
      <c r="C1479" s="33"/>
      <c r="D1479" s="33"/>
      <c r="E1479" s="33"/>
      <c r="F1479" s="33"/>
      <c r="G1479" s="34"/>
    </row>
    <row r="1480" spans="1:15" s="54" customFormat="1" ht="19.8" x14ac:dyDescent="0.4">
      <c r="A1480" s="53"/>
      <c r="B1480" s="1051" t="s">
        <v>960</v>
      </c>
      <c r="C1480" s="1051"/>
      <c r="D1480" s="1051"/>
      <c r="E1480" s="1051"/>
      <c r="F1480" s="1051"/>
      <c r="G1480" s="32">
        <f>ROUND(G1478,0)</f>
        <v>101</v>
      </c>
      <c r="H1480" s="53"/>
      <c r="I1480" s="53"/>
      <c r="J1480" s="132"/>
      <c r="K1480" s="126"/>
      <c r="L1480" s="126"/>
      <c r="M1480" s="126"/>
      <c r="N1480" s="126"/>
      <c r="O1480" s="127"/>
    </row>
    <row r="1481" spans="1:15" s="54" customFormat="1" ht="19.8" x14ac:dyDescent="0.4">
      <c r="A1481" s="53"/>
      <c r="B1481" s="53"/>
      <c r="C1481" s="225"/>
      <c r="D1481" s="53"/>
      <c r="E1481" s="53"/>
      <c r="F1481" s="53"/>
      <c r="G1481" s="53"/>
      <c r="H1481" s="53"/>
      <c r="I1481" s="53"/>
      <c r="J1481" s="132"/>
      <c r="K1481" s="126"/>
      <c r="L1481" s="126"/>
      <c r="M1481" s="126"/>
      <c r="N1481" s="126"/>
      <c r="O1481" s="127"/>
    </row>
    <row r="1482" spans="1:15" s="54" customFormat="1" ht="19.8" x14ac:dyDescent="0.4">
      <c r="A1482" s="50" t="s">
        <v>652</v>
      </c>
      <c r="B1482" s="1032" t="s">
        <v>697</v>
      </c>
      <c r="C1482" s="1032"/>
      <c r="D1482" s="1032"/>
      <c r="E1482" s="52">
        <f>G1532</f>
        <v>41</v>
      </c>
      <c r="F1482" s="52" t="s">
        <v>971</v>
      </c>
      <c r="G1482" s="53"/>
      <c r="H1482" s="124"/>
      <c r="I1482" s="125" t="s">
        <v>1128</v>
      </c>
      <c r="J1482" s="132"/>
      <c r="K1482" s="126"/>
      <c r="L1482" s="126"/>
      <c r="M1482" s="126"/>
      <c r="N1482" s="126"/>
      <c r="O1482" s="127"/>
    </row>
    <row r="1484" spans="1:15" x14ac:dyDescent="0.3">
      <c r="B1484" s="1018" t="s">
        <v>932</v>
      </c>
      <c r="C1484" s="1018"/>
      <c r="D1484" s="10"/>
      <c r="E1484" s="11">
        <f>E1491+E1494+E1492</f>
        <v>31.78</v>
      </c>
      <c r="F1484" s="12" t="s">
        <v>971</v>
      </c>
    </row>
    <row r="1486" spans="1:15" ht="27.6" x14ac:dyDescent="0.3">
      <c r="B1486" s="13" t="s">
        <v>929</v>
      </c>
      <c r="C1486" s="14" t="s">
        <v>928</v>
      </c>
      <c r="D1486" s="14" t="s">
        <v>514</v>
      </c>
      <c r="E1486" s="14" t="s">
        <v>515</v>
      </c>
      <c r="F1486" s="14" t="s">
        <v>962</v>
      </c>
      <c r="G1486" s="14" t="s">
        <v>926</v>
      </c>
      <c r="H1486" s="14" t="s">
        <v>516</v>
      </c>
      <c r="I1486" s="14" t="s">
        <v>961</v>
      </c>
    </row>
    <row r="1487" spans="1:15" x14ac:dyDescent="0.3">
      <c r="B1487" s="16" t="str">
        <f>B1434</f>
        <v>Лікар-рентгенолог</v>
      </c>
      <c r="C1487" s="78">
        <f>C1434</f>
        <v>8463.5400000000009</v>
      </c>
      <c r="D1487" s="16">
        <f>C1487*12</f>
        <v>101562.48000000001</v>
      </c>
      <c r="E1487" s="16">
        <f>E1434</f>
        <v>7052.95</v>
      </c>
      <c r="F1487" s="16">
        <f>F1434</f>
        <v>3526.4749999999999</v>
      </c>
      <c r="G1487" s="16">
        <f>D1487+E1487+F1487</f>
        <v>112141.90500000001</v>
      </c>
      <c r="H1487" s="17">
        <v>1932.7</v>
      </c>
      <c r="I1487" s="16">
        <f>ROUND((G1487/H1487)/60,2)</f>
        <v>0.97</v>
      </c>
    </row>
    <row r="1488" spans="1:15" x14ac:dyDescent="0.3">
      <c r="B1488" s="16" t="str">
        <f>B1435</f>
        <v>Рентгенолаборант</v>
      </c>
      <c r="C1488" s="78">
        <f>C1435</f>
        <v>7482.48</v>
      </c>
      <c r="D1488" s="24">
        <f>C1488*12</f>
        <v>89789.759999999995</v>
      </c>
      <c r="E1488" s="16">
        <f>E1435</f>
        <v>5755.75</v>
      </c>
      <c r="F1488" s="16">
        <f>F1435</f>
        <v>2877.875</v>
      </c>
      <c r="G1488" s="16">
        <f>D1488+E1488+F1488</f>
        <v>98423.384999999995</v>
      </c>
      <c r="H1488" s="62">
        <v>1506</v>
      </c>
      <c r="I1488" s="16">
        <f>ROUND((G1488/H1488)/60,2)</f>
        <v>1.0900000000000001</v>
      </c>
    </row>
    <row r="1490" spans="1:15" ht="27.6" x14ac:dyDescent="0.3">
      <c r="B1490" s="13" t="s">
        <v>929</v>
      </c>
      <c r="C1490" s="14" t="s">
        <v>961</v>
      </c>
      <c r="D1490" s="14" t="s">
        <v>930</v>
      </c>
      <c r="E1490" s="14" t="s">
        <v>931</v>
      </c>
    </row>
    <row r="1491" spans="1:15" x14ac:dyDescent="0.3">
      <c r="B1491" s="15" t="str">
        <f>B1487</f>
        <v>Лікар-рентгенолог</v>
      </c>
      <c r="C1491" s="78">
        <f>I1487</f>
        <v>0.97</v>
      </c>
      <c r="D1491" s="17">
        <v>10</v>
      </c>
      <c r="E1491" s="18">
        <f>ROUND(C1491*D1491,2)</f>
        <v>9.6999999999999993</v>
      </c>
    </row>
    <row r="1492" spans="1:15" x14ac:dyDescent="0.3">
      <c r="B1492" s="15" t="str">
        <f>B1488</f>
        <v>Рентгенолаборант</v>
      </c>
      <c r="C1492" s="78">
        <f>I1488</f>
        <v>1.0900000000000001</v>
      </c>
      <c r="D1492" s="17">
        <v>15</v>
      </c>
      <c r="E1492" s="18">
        <f>ROUND(C1492*D1492,2)</f>
        <v>16.350000000000001</v>
      </c>
    </row>
    <row r="1493" spans="1:15" x14ac:dyDescent="0.3">
      <c r="C1493" s="19"/>
    </row>
    <row r="1494" spans="1:15" x14ac:dyDescent="0.3">
      <c r="B1494" s="17" t="s">
        <v>933</v>
      </c>
      <c r="C1494" s="78">
        <f>E1491+E1492</f>
        <v>26.05</v>
      </c>
      <c r="D1494" s="20">
        <v>0.22</v>
      </c>
      <c r="E1494" s="21">
        <f>ROUND(C1494*D1494,2)</f>
        <v>5.73</v>
      </c>
    </row>
    <row r="1496" spans="1:15" x14ac:dyDescent="0.3">
      <c r="B1496" s="12" t="s">
        <v>946</v>
      </c>
      <c r="C1496" s="227"/>
      <c r="D1496" s="12"/>
      <c r="E1496" s="11">
        <f>F1506</f>
        <v>5.91</v>
      </c>
      <c r="F1496" s="12" t="s">
        <v>971</v>
      </c>
    </row>
    <row r="1498" spans="1:15" x14ac:dyDescent="0.3">
      <c r="B1498" s="27" t="s">
        <v>936</v>
      </c>
      <c r="C1498" s="28" t="s">
        <v>937</v>
      </c>
      <c r="D1498" s="29">
        <v>1</v>
      </c>
      <c r="E1498" s="30">
        <f>'МЕДИЧНІ М'!F115</f>
        <v>0.3</v>
      </c>
      <c r="F1498" s="30">
        <f t="shared" ref="F1498:F1505" si="41">ROUND(D1498*E1498,2)</f>
        <v>0.3</v>
      </c>
    </row>
    <row r="1499" spans="1:15" s="184" customFormat="1" x14ac:dyDescent="0.3">
      <c r="A1499" s="180"/>
      <c r="B1499" s="185" t="s">
        <v>1021</v>
      </c>
      <c r="C1499" s="186" t="s">
        <v>941</v>
      </c>
      <c r="D1499" s="164">
        <v>0.5</v>
      </c>
      <c r="E1499" s="164">
        <f>'МЕДИЧНІ М'!E181</f>
        <v>2</v>
      </c>
      <c r="F1499" s="164">
        <f t="shared" si="41"/>
        <v>1</v>
      </c>
      <c r="G1499" s="180"/>
      <c r="H1499" s="180"/>
      <c r="I1499" s="180"/>
      <c r="J1499" s="187"/>
      <c r="K1499" s="189"/>
      <c r="L1499" s="189"/>
      <c r="M1499" s="189"/>
      <c r="N1499" s="189"/>
      <c r="O1499" s="188"/>
    </row>
    <row r="1500" spans="1:15" x14ac:dyDescent="0.3">
      <c r="B1500" s="15" t="s">
        <v>1216</v>
      </c>
      <c r="C1500" s="73" t="s">
        <v>941</v>
      </c>
      <c r="D1500" s="17">
        <v>0.1</v>
      </c>
      <c r="E1500" s="16">
        <f>'МЕДИЧНІ М'!E113</f>
        <v>8</v>
      </c>
      <c r="F1500" s="17">
        <f t="shared" si="41"/>
        <v>0.8</v>
      </c>
    </row>
    <row r="1501" spans="1:15" ht="28.2" x14ac:dyDescent="0.3">
      <c r="B1501" s="15" t="s">
        <v>1025</v>
      </c>
      <c r="C1501" s="73" t="s">
        <v>941</v>
      </c>
      <c r="D1501" s="17">
        <v>0.02</v>
      </c>
      <c r="E1501" s="17">
        <f>'МЕДИЧНІ М'!F121</f>
        <v>54</v>
      </c>
      <c r="F1501" s="17">
        <f t="shared" si="41"/>
        <v>1.08</v>
      </c>
    </row>
    <row r="1502" spans="1:15" x14ac:dyDescent="0.3">
      <c r="B1502" s="15" t="s">
        <v>1024</v>
      </c>
      <c r="C1502" s="73" t="s">
        <v>941</v>
      </c>
      <c r="D1502" s="17">
        <v>0.02</v>
      </c>
      <c r="E1502" s="17">
        <f>'МЕДИЧНІ М'!F118</f>
        <v>97.3</v>
      </c>
      <c r="F1502" s="17">
        <f t="shared" si="41"/>
        <v>1.95</v>
      </c>
    </row>
    <row r="1503" spans="1:15" x14ac:dyDescent="0.3">
      <c r="B1503" s="15" t="s">
        <v>964</v>
      </c>
      <c r="C1503" s="73" t="s">
        <v>941</v>
      </c>
      <c r="D1503" s="17">
        <v>0.1</v>
      </c>
      <c r="E1503" s="16">
        <f>'МЕДИЧНІ М'!E119</f>
        <v>2.8</v>
      </c>
      <c r="F1503" s="17">
        <f t="shared" si="41"/>
        <v>0.28000000000000003</v>
      </c>
    </row>
    <row r="1504" spans="1:15" x14ac:dyDescent="0.3">
      <c r="B1504" s="27" t="s">
        <v>942</v>
      </c>
      <c r="C1504" s="28" t="s">
        <v>941</v>
      </c>
      <c r="D1504" s="29">
        <v>0.01</v>
      </c>
      <c r="E1504" s="29">
        <f>'МЕДИЧНІ М'!E120</f>
        <v>24.6</v>
      </c>
      <c r="F1504" s="30">
        <f t="shared" si="41"/>
        <v>0.25</v>
      </c>
    </row>
    <row r="1505" spans="2:8" x14ac:dyDescent="0.3">
      <c r="B1505" s="27" t="s">
        <v>1124</v>
      </c>
      <c r="C1505" s="28" t="s">
        <v>944</v>
      </c>
      <c r="D1505" s="29">
        <v>0.5</v>
      </c>
      <c r="E1505" s="29">
        <f>'МЕДИЧНІ М'!E114</f>
        <v>0.5</v>
      </c>
      <c r="F1505" s="30">
        <f t="shared" si="41"/>
        <v>0.25</v>
      </c>
    </row>
    <row r="1506" spans="2:8" x14ac:dyDescent="0.3">
      <c r="B1506" s="1019" t="s">
        <v>945</v>
      </c>
      <c r="C1506" s="1019"/>
      <c r="D1506" s="1019"/>
      <c r="E1506" s="1019"/>
      <c r="F1506" s="89">
        <f>SUM(F1498:F1505)</f>
        <v>5.91</v>
      </c>
    </row>
    <row r="1508" spans="2:8" x14ac:dyDescent="0.3">
      <c r="B1508" s="12" t="s">
        <v>968</v>
      </c>
      <c r="C1508" s="227"/>
      <c r="D1508" s="12"/>
      <c r="E1508" s="11">
        <f>SUM(G1511:G1512)</f>
        <v>0</v>
      </c>
      <c r="F1508" s="12" t="s">
        <v>971</v>
      </c>
    </row>
    <row r="1509" spans="2:8" x14ac:dyDescent="0.3">
      <c r="B1509" s="22"/>
      <c r="C1509" s="36"/>
      <c r="D1509" s="22"/>
      <c r="E1509" s="23"/>
      <c r="F1509" s="22"/>
    </row>
    <row r="1510" spans="2:8" ht="27.6" x14ac:dyDescent="0.3">
      <c r="B1510" s="14" t="s">
        <v>513</v>
      </c>
      <c r="C1510" s="14" t="s">
        <v>1108</v>
      </c>
      <c r="D1510" s="14" t="s">
        <v>516</v>
      </c>
      <c r="E1510" s="14" t="s">
        <v>970</v>
      </c>
      <c r="F1510" s="14" t="s">
        <v>930</v>
      </c>
      <c r="G1510" s="14" t="s">
        <v>961</v>
      </c>
    </row>
    <row r="1511" spans="2:8" x14ac:dyDescent="0.3">
      <c r="B1511" s="46" t="s">
        <v>1161</v>
      </c>
      <c r="C1511" s="78">
        <f>C1459</f>
        <v>0</v>
      </c>
      <c r="D1511" s="62">
        <f>H1487</f>
        <v>1932.7</v>
      </c>
      <c r="E1511" s="17">
        <f>ROUND((C1511/D1511)/60,2)</f>
        <v>0</v>
      </c>
      <c r="F1511" s="17">
        <f>D1491</f>
        <v>10</v>
      </c>
      <c r="G1511" s="16">
        <f>ROUND(E1511*F1511,2)</f>
        <v>0</v>
      </c>
    </row>
    <row r="1512" spans="2:8" x14ac:dyDescent="0.3">
      <c r="B1512" s="27" t="s">
        <v>1093</v>
      </c>
      <c r="C1512" s="78">
        <f>C1460</f>
        <v>0</v>
      </c>
      <c r="D1512" s="62">
        <f>H1488</f>
        <v>1506</v>
      </c>
      <c r="E1512" s="17">
        <f>ROUND((C1512/D1512)/60,2)</f>
        <v>0</v>
      </c>
      <c r="F1512" s="17">
        <f>D1492</f>
        <v>15</v>
      </c>
      <c r="G1512" s="16">
        <f>ROUND(E1512*F1512,2)</f>
        <v>0</v>
      </c>
      <c r="H1512" s="38"/>
    </row>
    <row r="1514" spans="2:8" x14ac:dyDescent="0.3">
      <c r="B1514" s="12" t="s">
        <v>948</v>
      </c>
      <c r="C1514" s="227"/>
      <c r="D1514" s="12"/>
      <c r="E1514" s="11">
        <f>G1527</f>
        <v>3.45</v>
      </c>
      <c r="F1514" s="12" t="s">
        <v>971</v>
      </c>
    </row>
    <row r="1515" spans="2:8" x14ac:dyDescent="0.3">
      <c r="B1515" s="22"/>
      <c r="C1515" s="36"/>
      <c r="D1515" s="22"/>
      <c r="E1515" s="23"/>
    </row>
    <row r="1516" spans="2:8" ht="27.6" x14ac:dyDescent="0.3">
      <c r="B1516" s="14" t="s">
        <v>948</v>
      </c>
      <c r="C1516" s="14" t="s">
        <v>1110</v>
      </c>
      <c r="D1516" s="14" t="s">
        <v>516</v>
      </c>
      <c r="E1516" s="14" t="s">
        <v>954</v>
      </c>
      <c r="F1516" s="14" t="s">
        <v>930</v>
      </c>
      <c r="G1516" s="14" t="s">
        <v>1111</v>
      </c>
    </row>
    <row r="1517" spans="2:8" x14ac:dyDescent="0.3">
      <c r="B1517" s="1009" t="str">
        <f>B1487</f>
        <v>Лікар-рентгенолог</v>
      </c>
      <c r="C1517" s="1010"/>
      <c r="D1517" s="1010"/>
      <c r="E1517" s="1010"/>
      <c r="F1517" s="1010"/>
      <c r="G1517" s="1011"/>
    </row>
    <row r="1518" spans="2:8" x14ac:dyDescent="0.3">
      <c r="B1518" s="17" t="s">
        <v>951</v>
      </c>
      <c r="C1518" s="221">
        <f>C1466</f>
        <v>12188.608008565312</v>
      </c>
      <c r="D1518" s="17">
        <f>H1487</f>
        <v>1932.7</v>
      </c>
      <c r="E1518" s="17">
        <f>ROUND((C1518/D1518)/60,2)</f>
        <v>0.11</v>
      </c>
      <c r="F1518" s="17">
        <f>D1491</f>
        <v>10</v>
      </c>
      <c r="G1518" s="16">
        <f>ROUND(E1518*F1518,2)</f>
        <v>1.1000000000000001</v>
      </c>
    </row>
    <row r="1519" spans="2:8" x14ac:dyDescent="0.3">
      <c r="B1519" s="17" t="s">
        <v>952</v>
      </c>
      <c r="C1519" s="221">
        <f>C1467</f>
        <v>53.149721627408987</v>
      </c>
      <c r="D1519" s="17">
        <f>H1487</f>
        <v>1932.7</v>
      </c>
      <c r="E1519" s="17">
        <f>ROUND((C1519/D1519)/60,2)</f>
        <v>0</v>
      </c>
      <c r="F1519" s="17">
        <f>D1491</f>
        <v>10</v>
      </c>
      <c r="G1519" s="16">
        <f>ROUND(E1519*F1519,2)</f>
        <v>0</v>
      </c>
    </row>
    <row r="1520" spans="2:8" x14ac:dyDescent="0.3">
      <c r="B1520" s="17" t="s">
        <v>953</v>
      </c>
      <c r="C1520" s="221">
        <f>C1468</f>
        <v>374.98368308351178</v>
      </c>
      <c r="D1520" s="17">
        <f>H1487</f>
        <v>1932.7</v>
      </c>
      <c r="E1520" s="17">
        <f>ROUND((C1520/D1520)/60,2)</f>
        <v>0</v>
      </c>
      <c r="F1520" s="17">
        <f>D1491</f>
        <v>10</v>
      </c>
      <c r="G1520" s="16">
        <f>ROUND(E1520*F1520,2)</f>
        <v>0</v>
      </c>
    </row>
    <row r="1521" spans="1:15" x14ac:dyDescent="0.3">
      <c r="B1521" s="17" t="s">
        <v>1109</v>
      </c>
      <c r="C1521" s="221">
        <f>C1469</f>
        <v>1686.0389293361886</v>
      </c>
      <c r="D1521" s="17">
        <f>H1487</f>
        <v>1932.7</v>
      </c>
      <c r="E1521" s="17">
        <f>ROUND((C1521/D1521)/60,2)</f>
        <v>0.01</v>
      </c>
      <c r="F1521" s="17">
        <f>D1491</f>
        <v>10</v>
      </c>
      <c r="G1521" s="16">
        <f>ROUND(E1521*F1521,2)</f>
        <v>0.1</v>
      </c>
    </row>
    <row r="1522" spans="1:15" x14ac:dyDescent="0.3">
      <c r="B1522" s="1009" t="str">
        <f>B1488</f>
        <v>Рентгенолаборант</v>
      </c>
      <c r="C1522" s="1010"/>
      <c r="D1522" s="1010"/>
      <c r="E1522" s="1010"/>
      <c r="F1522" s="1010"/>
      <c r="G1522" s="1011"/>
    </row>
    <row r="1523" spans="1:15" x14ac:dyDescent="0.3">
      <c r="B1523" s="17" t="s">
        <v>951</v>
      </c>
      <c r="C1523" s="221">
        <f>C1518</f>
        <v>12188.608008565312</v>
      </c>
      <c r="D1523" s="17">
        <f>H1488</f>
        <v>1506</v>
      </c>
      <c r="E1523" s="17">
        <f>ROUND((C1523/D1523)/60,2)</f>
        <v>0.13</v>
      </c>
      <c r="F1523" s="17">
        <f>D1492</f>
        <v>15</v>
      </c>
      <c r="G1523" s="16">
        <f>ROUND(E1523*F1523,2)</f>
        <v>1.95</v>
      </c>
    </row>
    <row r="1524" spans="1:15" x14ac:dyDescent="0.3">
      <c r="B1524" s="17" t="s">
        <v>952</v>
      </c>
      <c r="C1524" s="221">
        <f>C1519</f>
        <v>53.149721627408987</v>
      </c>
      <c r="D1524" s="17">
        <f>H1488</f>
        <v>1506</v>
      </c>
      <c r="E1524" s="17">
        <f>ROUND((C1524/D1524)/60,2)</f>
        <v>0</v>
      </c>
      <c r="F1524" s="17">
        <f>D1492</f>
        <v>15</v>
      </c>
      <c r="G1524" s="16">
        <f>ROUND(E1524*F1524,2)</f>
        <v>0</v>
      </c>
    </row>
    <row r="1525" spans="1:15" x14ac:dyDescent="0.3">
      <c r="B1525" s="17" t="s">
        <v>953</v>
      </c>
      <c r="C1525" s="221">
        <f>C1520</f>
        <v>374.98368308351178</v>
      </c>
      <c r="D1525" s="17">
        <f>H1488</f>
        <v>1506</v>
      </c>
      <c r="E1525" s="17">
        <f>ROUND((C1525/D1525)/60,2)</f>
        <v>0</v>
      </c>
      <c r="F1525" s="17">
        <f>D1492</f>
        <v>15</v>
      </c>
      <c r="G1525" s="16">
        <f>ROUND(E1525*F1525,2)</f>
        <v>0</v>
      </c>
    </row>
    <row r="1526" spans="1:15" x14ac:dyDescent="0.3">
      <c r="B1526" s="17" t="s">
        <v>1109</v>
      </c>
      <c r="C1526" s="221">
        <f>C1521</f>
        <v>1686.0389293361886</v>
      </c>
      <c r="D1526" s="17">
        <f>H1488</f>
        <v>1506</v>
      </c>
      <c r="E1526" s="17">
        <f>ROUND((C1526/D1526)/60,2)</f>
        <v>0.02</v>
      </c>
      <c r="F1526" s="17">
        <f>D1492</f>
        <v>15</v>
      </c>
      <c r="G1526" s="16">
        <f>ROUND(E1526*F1526,2)</f>
        <v>0.3</v>
      </c>
    </row>
    <row r="1527" spans="1:15" x14ac:dyDescent="0.3">
      <c r="B1527" s="1012" t="s">
        <v>957</v>
      </c>
      <c r="C1527" s="1013"/>
      <c r="D1527" s="1013"/>
      <c r="E1527" s="1013"/>
      <c r="F1527" s="1014"/>
      <c r="G1527" s="18">
        <f>SUM(G1518:G1526)</f>
        <v>3.45</v>
      </c>
    </row>
    <row r="1529" spans="1:15" ht="0.75" customHeight="1" x14ac:dyDescent="0.3"/>
    <row r="1530" spans="1:15" x14ac:dyDescent="0.3">
      <c r="B1530" s="1015" t="s">
        <v>959</v>
      </c>
      <c r="C1530" s="1015"/>
      <c r="D1530" s="1015"/>
      <c r="E1530" s="1015"/>
      <c r="F1530" s="1015"/>
      <c r="G1530" s="32">
        <f>E1484+E1496+E1508+E1514</f>
        <v>41.14</v>
      </c>
    </row>
    <row r="1531" spans="1:15" x14ac:dyDescent="0.3">
      <c r="B1531" s="33"/>
      <c r="C1531" s="33"/>
      <c r="D1531" s="33"/>
      <c r="E1531" s="33"/>
      <c r="F1531" s="33"/>
      <c r="G1531" s="34"/>
    </row>
    <row r="1532" spans="1:15" x14ac:dyDescent="0.3">
      <c r="B1532" s="1015" t="s">
        <v>960</v>
      </c>
      <c r="C1532" s="1015"/>
      <c r="D1532" s="1015"/>
      <c r="E1532" s="1015"/>
      <c r="F1532" s="1015"/>
      <c r="G1532" s="32">
        <f>ROUND(G1530,0)</f>
        <v>41</v>
      </c>
    </row>
    <row r="1534" spans="1:15" s="54" customFormat="1" ht="19.8" x14ac:dyDescent="0.4">
      <c r="A1534" s="50" t="s">
        <v>654</v>
      </c>
      <c r="B1534" s="1032" t="s">
        <v>699</v>
      </c>
      <c r="C1534" s="1032"/>
      <c r="D1534" s="1032"/>
      <c r="E1534" s="52">
        <f>G1585</f>
        <v>61</v>
      </c>
      <c r="F1534" s="52" t="s">
        <v>971</v>
      </c>
      <c r="G1534" s="53"/>
      <c r="H1534" s="124"/>
      <c r="I1534" s="125" t="s">
        <v>1023</v>
      </c>
      <c r="J1534" s="132"/>
      <c r="K1534" s="126"/>
      <c r="L1534" s="126"/>
      <c r="M1534" s="126"/>
      <c r="N1534" s="126"/>
      <c r="O1534" s="127"/>
    </row>
    <row r="1536" spans="1:15" x14ac:dyDescent="0.3">
      <c r="B1536" s="1018" t="s">
        <v>932</v>
      </c>
      <c r="C1536" s="1018"/>
      <c r="D1536" s="10"/>
      <c r="E1536" s="11">
        <f>E1543+E1546+E1544</f>
        <v>31.78</v>
      </c>
      <c r="F1536" s="12" t="s">
        <v>971</v>
      </c>
    </row>
    <row r="1538" spans="1:15" ht="27.6" x14ac:dyDescent="0.3">
      <c r="B1538" s="13" t="s">
        <v>929</v>
      </c>
      <c r="C1538" s="14" t="s">
        <v>928</v>
      </c>
      <c r="D1538" s="14" t="s">
        <v>514</v>
      </c>
      <c r="E1538" s="14" t="s">
        <v>515</v>
      </c>
      <c r="F1538" s="14" t="s">
        <v>962</v>
      </c>
      <c r="G1538" s="14" t="s">
        <v>926</v>
      </c>
      <c r="H1538" s="14" t="s">
        <v>516</v>
      </c>
      <c r="I1538" s="14" t="s">
        <v>961</v>
      </c>
    </row>
    <row r="1539" spans="1:15" x14ac:dyDescent="0.3">
      <c r="B1539" s="16" t="str">
        <f t="shared" ref="B1539:F1540" si="42">B1487</f>
        <v>Лікар-рентгенолог</v>
      </c>
      <c r="C1539" s="16">
        <f t="shared" si="42"/>
        <v>8463.5400000000009</v>
      </c>
      <c r="D1539" s="16">
        <f t="shared" si="42"/>
        <v>101562.48000000001</v>
      </c>
      <c r="E1539" s="16">
        <f t="shared" si="42"/>
        <v>7052.95</v>
      </c>
      <c r="F1539" s="16">
        <f t="shared" si="42"/>
        <v>3526.4749999999999</v>
      </c>
      <c r="G1539" s="16">
        <f>D1539+E1539+F1539</f>
        <v>112141.90500000001</v>
      </c>
      <c r="H1539" s="17">
        <v>1932.7</v>
      </c>
      <c r="I1539" s="16">
        <f>ROUND((G1539/H1539)/60,2)</f>
        <v>0.97</v>
      </c>
    </row>
    <row r="1540" spans="1:15" x14ac:dyDescent="0.3">
      <c r="B1540" s="16" t="str">
        <f t="shared" si="42"/>
        <v>Рентгенолаборант</v>
      </c>
      <c r="C1540" s="16">
        <f t="shared" si="42"/>
        <v>7482.48</v>
      </c>
      <c r="D1540" s="16">
        <f t="shared" si="42"/>
        <v>89789.759999999995</v>
      </c>
      <c r="E1540" s="16">
        <f t="shared" si="42"/>
        <v>5755.75</v>
      </c>
      <c r="F1540" s="16">
        <f t="shared" si="42"/>
        <v>2877.875</v>
      </c>
      <c r="G1540" s="16">
        <f>D1540+E1540+F1540</f>
        <v>98423.384999999995</v>
      </c>
      <c r="H1540" s="62">
        <v>1506</v>
      </c>
      <c r="I1540" s="16">
        <f>ROUND((G1540/H1540)/60,2)</f>
        <v>1.0900000000000001</v>
      </c>
    </row>
    <row r="1542" spans="1:15" ht="27.6" x14ac:dyDescent="0.3">
      <c r="B1542" s="13" t="s">
        <v>929</v>
      </c>
      <c r="C1542" s="14" t="s">
        <v>961</v>
      </c>
      <c r="D1542" s="14" t="s">
        <v>930</v>
      </c>
      <c r="E1542" s="14" t="s">
        <v>931</v>
      </c>
    </row>
    <row r="1543" spans="1:15" x14ac:dyDescent="0.3">
      <c r="B1543" s="15" t="str">
        <f>B1539</f>
        <v>Лікар-рентгенолог</v>
      </c>
      <c r="C1543" s="78">
        <f>I1539</f>
        <v>0.97</v>
      </c>
      <c r="D1543" s="17">
        <v>10</v>
      </c>
      <c r="E1543" s="18">
        <f>ROUND(C1543*D1543,2)</f>
        <v>9.6999999999999993</v>
      </c>
    </row>
    <row r="1544" spans="1:15" x14ac:dyDescent="0.3">
      <c r="B1544" s="15" t="str">
        <f>B1540</f>
        <v>Рентгенолаборант</v>
      </c>
      <c r="C1544" s="78">
        <f>I1540</f>
        <v>1.0900000000000001</v>
      </c>
      <c r="D1544" s="17">
        <v>15</v>
      </c>
      <c r="E1544" s="18">
        <f>ROUND(C1544*D1544,2)</f>
        <v>16.350000000000001</v>
      </c>
    </row>
    <row r="1545" spans="1:15" x14ac:dyDescent="0.3">
      <c r="C1545" s="19"/>
    </row>
    <row r="1546" spans="1:15" x14ac:dyDescent="0.3">
      <c r="B1546" s="17" t="s">
        <v>933</v>
      </c>
      <c r="C1546" s="78">
        <f>E1543+E1544</f>
        <v>26.05</v>
      </c>
      <c r="D1546" s="20">
        <v>0.22</v>
      </c>
      <c r="E1546" s="21">
        <f>ROUND(C1546*D1546,2)</f>
        <v>5.73</v>
      </c>
    </row>
    <row r="1548" spans="1:15" x14ac:dyDescent="0.3">
      <c r="B1548" s="12" t="s">
        <v>946</v>
      </c>
      <c r="C1548" s="227"/>
      <c r="D1548" s="12"/>
      <c r="E1548" s="11">
        <f>F1559</f>
        <v>25.81</v>
      </c>
      <c r="F1548" s="12" t="s">
        <v>971</v>
      </c>
    </row>
    <row r="1550" spans="1:15" x14ac:dyDescent="0.3">
      <c r="B1550" s="27" t="s">
        <v>936</v>
      </c>
      <c r="C1550" s="28" t="s">
        <v>937</v>
      </c>
      <c r="D1550" s="29">
        <v>1</v>
      </c>
      <c r="E1550" s="30">
        <f>'МЕДИЧНІ М'!F115</f>
        <v>0.3</v>
      </c>
      <c r="F1550" s="30">
        <f>ROUND(D1550*E1550,2)</f>
        <v>0.3</v>
      </c>
    </row>
    <row r="1551" spans="1:15" s="184" customFormat="1" x14ac:dyDescent="0.3">
      <c r="A1551" s="180"/>
      <c r="B1551" s="185" t="s">
        <v>1021</v>
      </c>
      <c r="C1551" s="186" t="s">
        <v>941</v>
      </c>
      <c r="D1551" s="164">
        <v>0.5</v>
      </c>
      <c r="E1551" s="164">
        <f>'МЕДИЧНІ М'!E181</f>
        <v>2</v>
      </c>
      <c r="F1551" s="164">
        <f t="shared" ref="F1551:F1558" si="43">ROUND(D1551*E1551,2)</f>
        <v>1</v>
      </c>
      <c r="G1551" s="180"/>
      <c r="H1551" s="180"/>
      <c r="I1551" s="180"/>
      <c r="J1551" s="187"/>
      <c r="K1551" s="189"/>
      <c r="L1551" s="189"/>
      <c r="M1551" s="189"/>
      <c r="N1551" s="189"/>
      <c r="O1551" s="188"/>
    </row>
    <row r="1552" spans="1:15" x14ac:dyDescent="0.3">
      <c r="B1552" s="15" t="s">
        <v>1216</v>
      </c>
      <c r="C1552" s="73" t="s">
        <v>941</v>
      </c>
      <c r="D1552" s="17">
        <v>0.1</v>
      </c>
      <c r="E1552" s="16">
        <f>'МЕДИЧНІ М'!E113</f>
        <v>8</v>
      </c>
      <c r="F1552" s="17">
        <f t="shared" si="43"/>
        <v>0.8</v>
      </c>
    </row>
    <row r="1553" spans="2:8" x14ac:dyDescent="0.3">
      <c r="B1553" s="15" t="str">
        <f>'МЕДИЧНІ М'!B322</f>
        <v>Рентген 30 * 40 № 100</v>
      </c>
      <c r="C1553" s="73" t="s">
        <v>941</v>
      </c>
      <c r="D1553" s="17">
        <v>1</v>
      </c>
      <c r="E1553" s="16">
        <f>'МЕДИЧНІ М'!F322</f>
        <v>19.899999999999999</v>
      </c>
      <c r="F1553" s="17">
        <f t="shared" si="43"/>
        <v>19.899999999999999</v>
      </c>
    </row>
    <row r="1554" spans="2:8" ht="28.2" x14ac:dyDescent="0.3">
      <c r="B1554" s="15" t="s">
        <v>1025</v>
      </c>
      <c r="C1554" s="73" t="s">
        <v>941</v>
      </c>
      <c r="D1554" s="17">
        <v>0.02</v>
      </c>
      <c r="E1554" s="17">
        <f>'МЕДИЧНІ М'!F121</f>
        <v>54</v>
      </c>
      <c r="F1554" s="17">
        <f t="shared" si="43"/>
        <v>1.08</v>
      </c>
    </row>
    <row r="1555" spans="2:8" x14ac:dyDescent="0.3">
      <c r="B1555" s="15" t="s">
        <v>1024</v>
      </c>
      <c r="C1555" s="73" t="s">
        <v>941</v>
      </c>
      <c r="D1555" s="17">
        <v>0.02</v>
      </c>
      <c r="E1555" s="17">
        <f>'МЕДИЧНІ М'!F118</f>
        <v>97.3</v>
      </c>
      <c r="F1555" s="17">
        <f t="shared" si="43"/>
        <v>1.95</v>
      </c>
    </row>
    <row r="1556" spans="2:8" x14ac:dyDescent="0.3">
      <c r="B1556" s="15" t="s">
        <v>964</v>
      </c>
      <c r="C1556" s="73" t="s">
        <v>941</v>
      </c>
      <c r="D1556" s="17">
        <v>0.1</v>
      </c>
      <c r="E1556" s="16">
        <f>'МЕДИЧНІ М'!E119</f>
        <v>2.8</v>
      </c>
      <c r="F1556" s="17">
        <f t="shared" si="43"/>
        <v>0.28000000000000003</v>
      </c>
    </row>
    <row r="1557" spans="2:8" x14ac:dyDescent="0.3">
      <c r="B1557" s="27" t="s">
        <v>942</v>
      </c>
      <c r="C1557" s="28" t="s">
        <v>941</v>
      </c>
      <c r="D1557" s="29">
        <v>0.01</v>
      </c>
      <c r="E1557" s="29">
        <f>'МЕДИЧНІ М'!E120</f>
        <v>24.6</v>
      </c>
      <c r="F1557" s="30">
        <f t="shared" si="43"/>
        <v>0.25</v>
      </c>
    </row>
    <row r="1558" spans="2:8" x14ac:dyDescent="0.3">
      <c r="B1558" s="27" t="s">
        <v>1124</v>
      </c>
      <c r="C1558" s="28" t="s">
        <v>944</v>
      </c>
      <c r="D1558" s="29">
        <v>0.5</v>
      </c>
      <c r="E1558" s="29">
        <f>'МЕДИЧНІ М'!E114</f>
        <v>0.5</v>
      </c>
      <c r="F1558" s="30">
        <f t="shared" si="43"/>
        <v>0.25</v>
      </c>
    </row>
    <row r="1559" spans="2:8" x14ac:dyDescent="0.3">
      <c r="B1559" s="1019" t="s">
        <v>945</v>
      </c>
      <c r="C1559" s="1019"/>
      <c r="D1559" s="1019"/>
      <c r="E1559" s="1019"/>
      <c r="F1559" s="89">
        <f>SUM(F1550:F1558)</f>
        <v>25.81</v>
      </c>
    </row>
    <row r="1560" spans="2:8" ht="4.5" customHeight="1" x14ac:dyDescent="0.3"/>
    <row r="1561" spans="2:8" x14ac:dyDescent="0.3">
      <c r="B1561" s="12" t="s">
        <v>968</v>
      </c>
      <c r="C1561" s="227"/>
      <c r="D1561" s="12"/>
      <c r="E1561" s="11">
        <f>SUM(G1564:G1565)</f>
        <v>0</v>
      </c>
      <c r="F1561" s="12" t="s">
        <v>971</v>
      </c>
    </row>
    <row r="1562" spans="2:8" ht="8.25" customHeight="1" x14ac:dyDescent="0.3">
      <c r="B1562" s="22"/>
      <c r="C1562" s="36"/>
      <c r="D1562" s="22"/>
      <c r="E1562" s="23"/>
      <c r="F1562" s="22"/>
    </row>
    <row r="1563" spans="2:8" ht="27.6" x14ac:dyDescent="0.3">
      <c r="B1563" s="14" t="s">
        <v>513</v>
      </c>
      <c r="C1563" s="14" t="s">
        <v>1108</v>
      </c>
      <c r="D1563" s="14" t="s">
        <v>516</v>
      </c>
      <c r="E1563" s="14" t="s">
        <v>970</v>
      </c>
      <c r="F1563" s="14" t="s">
        <v>930</v>
      </c>
      <c r="G1563" s="14" t="s">
        <v>961</v>
      </c>
    </row>
    <row r="1564" spans="2:8" x14ac:dyDescent="0.3">
      <c r="B1564" s="46" t="str">
        <f>B1511</f>
        <v>Автоматизоване робоче місце, ПК</v>
      </c>
      <c r="C1564" s="46">
        <f>C1511</f>
        <v>0</v>
      </c>
      <c r="D1564" s="62">
        <f>H1539</f>
        <v>1932.7</v>
      </c>
      <c r="E1564" s="17">
        <f>ROUND((C1564/D1564)/60,2)</f>
        <v>0</v>
      </c>
      <c r="F1564" s="17">
        <f>D1543</f>
        <v>10</v>
      </c>
      <c r="G1564" s="16">
        <f>ROUND(E1564*F1564,2)</f>
        <v>0</v>
      </c>
    </row>
    <row r="1565" spans="2:8" x14ac:dyDescent="0.3">
      <c r="B1565" s="46" t="str">
        <f>B1512</f>
        <v>Рентген</v>
      </c>
      <c r="C1565" s="46">
        <f>C1512</f>
        <v>0</v>
      </c>
      <c r="D1565" s="62">
        <f>H1540</f>
        <v>1506</v>
      </c>
      <c r="E1565" s="17">
        <f>ROUND((C1565/D1565)/60,2)</f>
        <v>0</v>
      </c>
      <c r="F1565" s="17">
        <f>D1544</f>
        <v>15</v>
      </c>
      <c r="G1565" s="16">
        <f>ROUND(E1565*F1565,2)</f>
        <v>0</v>
      </c>
      <c r="H1565" s="38"/>
    </row>
    <row r="1566" spans="2:8" ht="4.5" customHeight="1" x14ac:dyDescent="0.3"/>
    <row r="1567" spans="2:8" x14ac:dyDescent="0.3">
      <c r="B1567" s="12" t="s">
        <v>948</v>
      </c>
      <c r="C1567" s="227"/>
      <c r="D1567" s="12"/>
      <c r="E1567" s="11">
        <f>G1580</f>
        <v>3.45</v>
      </c>
      <c r="F1567" s="12" t="s">
        <v>971</v>
      </c>
    </row>
    <row r="1568" spans="2:8" x14ac:dyDescent="0.3">
      <c r="B1568" s="22"/>
      <c r="C1568" s="36"/>
      <c r="D1568" s="22"/>
      <c r="E1568" s="23"/>
    </row>
    <row r="1569" spans="2:7" ht="27.6" x14ac:dyDescent="0.3">
      <c r="B1569" s="14" t="s">
        <v>948</v>
      </c>
      <c r="C1569" s="14" t="s">
        <v>1110</v>
      </c>
      <c r="D1569" s="14" t="s">
        <v>516</v>
      </c>
      <c r="E1569" s="14" t="s">
        <v>954</v>
      </c>
      <c r="F1569" s="14" t="s">
        <v>930</v>
      </c>
      <c r="G1569" s="14" t="s">
        <v>1111</v>
      </c>
    </row>
    <row r="1570" spans="2:7" x14ac:dyDescent="0.3">
      <c r="B1570" s="1009" t="str">
        <f>B1539</f>
        <v>Лікар-рентгенолог</v>
      </c>
      <c r="C1570" s="1010"/>
      <c r="D1570" s="1010"/>
      <c r="E1570" s="1010"/>
      <c r="F1570" s="1010"/>
      <c r="G1570" s="1011"/>
    </row>
    <row r="1571" spans="2:7" x14ac:dyDescent="0.3">
      <c r="B1571" s="17" t="s">
        <v>951</v>
      </c>
      <c r="C1571" s="221">
        <f>C1518</f>
        <v>12188.608008565312</v>
      </c>
      <c r="D1571" s="17">
        <f>H1539</f>
        <v>1932.7</v>
      </c>
      <c r="E1571" s="17">
        <f>ROUND((C1571/D1571)/60,2)</f>
        <v>0.11</v>
      </c>
      <c r="F1571" s="17">
        <f>D1543</f>
        <v>10</v>
      </c>
      <c r="G1571" s="16">
        <f>ROUND(E1571*F1571,2)</f>
        <v>1.1000000000000001</v>
      </c>
    </row>
    <row r="1572" spans="2:7" x14ac:dyDescent="0.3">
      <c r="B1572" s="17" t="s">
        <v>952</v>
      </c>
      <c r="C1572" s="221">
        <f>C1519</f>
        <v>53.149721627408987</v>
      </c>
      <c r="D1572" s="17">
        <f>H1539</f>
        <v>1932.7</v>
      </c>
      <c r="E1572" s="17">
        <f>ROUND((C1572/D1572)/60,2)</f>
        <v>0</v>
      </c>
      <c r="F1572" s="17">
        <f>D1543</f>
        <v>10</v>
      </c>
      <c r="G1572" s="16">
        <f>ROUND(E1572*F1572,2)</f>
        <v>0</v>
      </c>
    </row>
    <row r="1573" spans="2:7" x14ac:dyDescent="0.3">
      <c r="B1573" s="17" t="s">
        <v>953</v>
      </c>
      <c r="C1573" s="221">
        <f>C1520</f>
        <v>374.98368308351178</v>
      </c>
      <c r="D1573" s="17">
        <f>H1539</f>
        <v>1932.7</v>
      </c>
      <c r="E1573" s="17">
        <f>ROUND((C1573/D1573)/60,2)</f>
        <v>0</v>
      </c>
      <c r="F1573" s="17">
        <f>D1543</f>
        <v>10</v>
      </c>
      <c r="G1573" s="16">
        <f>ROUND(E1573*F1573,2)</f>
        <v>0</v>
      </c>
    </row>
    <row r="1574" spans="2:7" x14ac:dyDescent="0.3">
      <c r="B1574" s="17" t="s">
        <v>1109</v>
      </c>
      <c r="C1574" s="221">
        <f>C1521</f>
        <v>1686.0389293361886</v>
      </c>
      <c r="D1574" s="17">
        <f>H1539</f>
        <v>1932.7</v>
      </c>
      <c r="E1574" s="17">
        <f>ROUND((C1574/D1574)/60,2)</f>
        <v>0.01</v>
      </c>
      <c r="F1574" s="17">
        <f>D1543</f>
        <v>10</v>
      </c>
      <c r="G1574" s="16">
        <f>ROUND(E1574*F1574,2)</f>
        <v>0.1</v>
      </c>
    </row>
    <row r="1575" spans="2:7" x14ac:dyDescent="0.3">
      <c r="B1575" s="1009" t="str">
        <f>B1540</f>
        <v>Рентгенолаборант</v>
      </c>
      <c r="C1575" s="1010"/>
      <c r="D1575" s="1010"/>
      <c r="E1575" s="1010"/>
      <c r="F1575" s="1010"/>
      <c r="G1575" s="1011"/>
    </row>
    <row r="1576" spans="2:7" x14ac:dyDescent="0.3">
      <c r="B1576" s="17" t="s">
        <v>951</v>
      </c>
      <c r="C1576" s="221">
        <f>C1571</f>
        <v>12188.608008565312</v>
      </c>
      <c r="D1576" s="17">
        <f>H1540</f>
        <v>1506</v>
      </c>
      <c r="E1576" s="17">
        <f>ROUND((C1576/D1576)/60,2)</f>
        <v>0.13</v>
      </c>
      <c r="F1576" s="17">
        <f>D1544</f>
        <v>15</v>
      </c>
      <c r="G1576" s="16">
        <f>ROUND(E1576*F1576,2)</f>
        <v>1.95</v>
      </c>
    </row>
    <row r="1577" spans="2:7" x14ac:dyDescent="0.3">
      <c r="B1577" s="17" t="s">
        <v>952</v>
      </c>
      <c r="C1577" s="221">
        <f>C1572</f>
        <v>53.149721627408987</v>
      </c>
      <c r="D1577" s="17">
        <f>H1540</f>
        <v>1506</v>
      </c>
      <c r="E1577" s="17">
        <f>ROUND((C1577/D1577)/60,2)</f>
        <v>0</v>
      </c>
      <c r="F1577" s="17">
        <f>D1544</f>
        <v>15</v>
      </c>
      <c r="G1577" s="16">
        <f>ROUND(E1577*F1577,2)</f>
        <v>0</v>
      </c>
    </row>
    <row r="1578" spans="2:7" x14ac:dyDescent="0.3">
      <c r="B1578" s="17" t="s">
        <v>953</v>
      </c>
      <c r="C1578" s="221">
        <f>C1573</f>
        <v>374.98368308351178</v>
      </c>
      <c r="D1578" s="17">
        <f>H1540</f>
        <v>1506</v>
      </c>
      <c r="E1578" s="17">
        <f>ROUND((C1578/D1578)/60,2)</f>
        <v>0</v>
      </c>
      <c r="F1578" s="17">
        <f>D1544</f>
        <v>15</v>
      </c>
      <c r="G1578" s="16">
        <f>ROUND(E1578*F1578,2)</f>
        <v>0</v>
      </c>
    </row>
    <row r="1579" spans="2:7" x14ac:dyDescent="0.3">
      <c r="B1579" s="17" t="s">
        <v>1109</v>
      </c>
      <c r="C1579" s="221">
        <f>C1574</f>
        <v>1686.0389293361886</v>
      </c>
      <c r="D1579" s="17">
        <f>H1540</f>
        <v>1506</v>
      </c>
      <c r="E1579" s="17">
        <f>ROUND((C1579/D1579)/60,2)</f>
        <v>0.02</v>
      </c>
      <c r="F1579" s="17">
        <f>D1544</f>
        <v>15</v>
      </c>
      <c r="G1579" s="16">
        <f>ROUND(E1579*F1579,2)</f>
        <v>0.3</v>
      </c>
    </row>
    <row r="1580" spans="2:7" x14ac:dyDescent="0.3">
      <c r="B1580" s="1012" t="s">
        <v>957</v>
      </c>
      <c r="C1580" s="1013"/>
      <c r="D1580" s="1013"/>
      <c r="E1580" s="1013"/>
      <c r="F1580" s="1014"/>
      <c r="G1580" s="18">
        <f>SUM(G1571:G1579)</f>
        <v>3.45</v>
      </c>
    </row>
    <row r="1581" spans="2:7" ht="9" customHeight="1" x14ac:dyDescent="0.3"/>
    <row r="1583" spans="2:7" x14ac:dyDescent="0.3">
      <c r="B1583" s="1015" t="s">
        <v>959</v>
      </c>
      <c r="C1583" s="1015"/>
      <c r="D1583" s="1015"/>
      <c r="E1583" s="1015"/>
      <c r="F1583" s="1015"/>
      <c r="G1583" s="32">
        <f>E1536+E1548+E1561+E1567</f>
        <v>61.040000000000006</v>
      </c>
    </row>
    <row r="1584" spans="2:7" ht="12.75" customHeight="1" x14ac:dyDescent="0.3">
      <c r="B1584" s="33"/>
      <c r="C1584" s="33"/>
      <c r="D1584" s="33"/>
      <c r="E1584" s="33"/>
      <c r="F1584" s="33"/>
      <c r="G1584" s="34"/>
    </row>
    <row r="1585" spans="1:15" s="54" customFormat="1" ht="19.8" x14ac:dyDescent="0.4">
      <c r="A1585" s="53"/>
      <c r="B1585" s="1051" t="s">
        <v>960</v>
      </c>
      <c r="C1585" s="1051"/>
      <c r="D1585" s="1051"/>
      <c r="E1585" s="1051"/>
      <c r="F1585" s="1051"/>
      <c r="G1585" s="32">
        <f>ROUND(G1583,0)</f>
        <v>61</v>
      </c>
      <c r="H1585" s="53"/>
      <c r="I1585" s="53"/>
      <c r="J1585" s="132"/>
      <c r="K1585" s="126"/>
      <c r="L1585" s="126"/>
      <c r="M1585" s="126"/>
      <c r="N1585" s="126"/>
      <c r="O1585" s="127"/>
    </row>
    <row r="1586" spans="1:15" s="54" customFormat="1" ht="19.8" x14ac:dyDescent="0.4">
      <c r="A1586" s="53"/>
      <c r="B1586" s="53"/>
      <c r="C1586" s="225"/>
      <c r="D1586" s="53"/>
      <c r="E1586" s="53"/>
      <c r="F1586" s="53"/>
      <c r="G1586" s="53"/>
      <c r="H1586" s="53"/>
      <c r="I1586" s="53"/>
      <c r="J1586" s="132"/>
      <c r="K1586" s="126"/>
      <c r="L1586" s="126"/>
      <c r="M1586" s="126"/>
      <c r="N1586" s="126"/>
      <c r="O1586" s="127"/>
    </row>
    <row r="1587" spans="1:15" s="54" customFormat="1" ht="19.8" x14ac:dyDescent="0.4">
      <c r="A1587" s="50" t="s">
        <v>654</v>
      </c>
      <c r="B1587" s="1032" t="s">
        <v>699</v>
      </c>
      <c r="C1587" s="1032"/>
      <c r="D1587" s="1032"/>
      <c r="E1587" s="52">
        <f>G1637</f>
        <v>41</v>
      </c>
      <c r="F1587" s="52" t="s">
        <v>971</v>
      </c>
      <c r="G1587" s="53"/>
      <c r="H1587" s="124"/>
      <c r="I1587" s="125" t="s">
        <v>1128</v>
      </c>
      <c r="J1587" s="132"/>
      <c r="K1587" s="126"/>
      <c r="L1587" s="126"/>
      <c r="M1587" s="126"/>
      <c r="N1587" s="126"/>
      <c r="O1587" s="127"/>
    </row>
    <row r="1589" spans="1:15" x14ac:dyDescent="0.3">
      <c r="B1589" s="1018" t="s">
        <v>932</v>
      </c>
      <c r="C1589" s="1018"/>
      <c r="D1589" s="10"/>
      <c r="E1589" s="11">
        <f>E1596+E1599+E1597</f>
        <v>31.78</v>
      </c>
      <c r="F1589" s="12" t="s">
        <v>971</v>
      </c>
    </row>
    <row r="1591" spans="1:15" ht="27.6" x14ac:dyDescent="0.3">
      <c r="B1591" s="13" t="s">
        <v>929</v>
      </c>
      <c r="C1591" s="14" t="s">
        <v>928</v>
      </c>
      <c r="D1591" s="14" t="s">
        <v>514</v>
      </c>
      <c r="E1591" s="14" t="s">
        <v>515</v>
      </c>
      <c r="F1591" s="14" t="s">
        <v>962</v>
      </c>
      <c r="G1591" s="14" t="s">
        <v>926</v>
      </c>
      <c r="H1591" s="14" t="s">
        <v>516</v>
      </c>
      <c r="I1591" s="14" t="s">
        <v>961</v>
      </c>
    </row>
    <row r="1592" spans="1:15" x14ac:dyDescent="0.3">
      <c r="B1592" s="16" t="str">
        <f>B1539</f>
        <v>Лікар-рентгенолог</v>
      </c>
      <c r="C1592" s="78">
        <f>C1539</f>
        <v>8463.5400000000009</v>
      </c>
      <c r="D1592" s="16">
        <f>C1592*12</f>
        <v>101562.48000000001</v>
      </c>
      <c r="E1592" s="16">
        <f>E1539</f>
        <v>7052.95</v>
      </c>
      <c r="F1592" s="16">
        <f>F1539</f>
        <v>3526.4749999999999</v>
      </c>
      <c r="G1592" s="16">
        <f>D1592+E1592+F1592</f>
        <v>112141.90500000001</v>
      </c>
      <c r="H1592" s="17">
        <v>1932.7</v>
      </c>
      <c r="I1592" s="16">
        <f>ROUND((G1592/H1592)/60,2)</f>
        <v>0.97</v>
      </c>
    </row>
    <row r="1593" spans="1:15" x14ac:dyDescent="0.3">
      <c r="B1593" s="16" t="str">
        <f>B1540</f>
        <v>Рентгенолаборант</v>
      </c>
      <c r="C1593" s="78">
        <f>C1540</f>
        <v>7482.48</v>
      </c>
      <c r="D1593" s="24">
        <f>C1593*12</f>
        <v>89789.759999999995</v>
      </c>
      <c r="E1593" s="16">
        <f>E1540</f>
        <v>5755.75</v>
      </c>
      <c r="F1593" s="16">
        <f>F1540</f>
        <v>2877.875</v>
      </c>
      <c r="G1593" s="16">
        <f>D1593+E1593+F1593</f>
        <v>98423.384999999995</v>
      </c>
      <c r="H1593" s="62">
        <v>1506</v>
      </c>
      <c r="I1593" s="16">
        <f>ROUND((G1593/H1593)/60,2)</f>
        <v>1.0900000000000001</v>
      </c>
    </row>
    <row r="1595" spans="1:15" ht="27.6" x14ac:dyDescent="0.3">
      <c r="B1595" s="13" t="s">
        <v>929</v>
      </c>
      <c r="C1595" s="14" t="s">
        <v>961</v>
      </c>
      <c r="D1595" s="14" t="s">
        <v>930</v>
      </c>
      <c r="E1595" s="14" t="s">
        <v>931</v>
      </c>
    </row>
    <row r="1596" spans="1:15" x14ac:dyDescent="0.3">
      <c r="B1596" s="15" t="str">
        <f>B1592</f>
        <v>Лікар-рентгенолог</v>
      </c>
      <c r="C1596" s="78">
        <f>I1592</f>
        <v>0.97</v>
      </c>
      <c r="D1596" s="17">
        <v>10</v>
      </c>
      <c r="E1596" s="18">
        <f>ROUND(C1596*D1596,2)</f>
        <v>9.6999999999999993</v>
      </c>
    </row>
    <row r="1597" spans="1:15" x14ac:dyDescent="0.3">
      <c r="B1597" s="15" t="str">
        <f>B1593</f>
        <v>Рентгенолаборант</v>
      </c>
      <c r="C1597" s="78">
        <f>I1593</f>
        <v>1.0900000000000001</v>
      </c>
      <c r="D1597" s="17">
        <v>15</v>
      </c>
      <c r="E1597" s="18">
        <f>ROUND(C1597*D1597,2)</f>
        <v>16.350000000000001</v>
      </c>
    </row>
    <row r="1598" spans="1:15" x14ac:dyDescent="0.3">
      <c r="C1598" s="19"/>
    </row>
    <row r="1599" spans="1:15" x14ac:dyDescent="0.3">
      <c r="B1599" s="17" t="s">
        <v>933</v>
      </c>
      <c r="C1599" s="78">
        <f>E1596+E1597</f>
        <v>26.05</v>
      </c>
      <c r="D1599" s="20">
        <v>0.22</v>
      </c>
      <c r="E1599" s="21">
        <f>ROUND(C1599*D1599,2)</f>
        <v>5.73</v>
      </c>
    </row>
    <row r="1601" spans="1:15" x14ac:dyDescent="0.3">
      <c r="B1601" s="12" t="s">
        <v>946</v>
      </c>
      <c r="C1601" s="227"/>
      <c r="D1601" s="12"/>
      <c r="E1601" s="11">
        <f>F1611</f>
        <v>5.91</v>
      </c>
      <c r="F1601" s="12" t="s">
        <v>971</v>
      </c>
    </row>
    <row r="1603" spans="1:15" x14ac:dyDescent="0.3">
      <c r="B1603" s="27" t="s">
        <v>936</v>
      </c>
      <c r="C1603" s="28" t="s">
        <v>937</v>
      </c>
      <c r="D1603" s="29">
        <v>1</v>
      </c>
      <c r="E1603" s="30">
        <f>'МЕДИЧНІ М'!F115</f>
        <v>0.3</v>
      </c>
      <c r="F1603" s="30">
        <f t="shared" ref="F1603:F1610" si="44">ROUND(D1603*E1603,2)</f>
        <v>0.3</v>
      </c>
    </row>
    <row r="1604" spans="1:15" s="184" customFormat="1" x14ac:dyDescent="0.3">
      <c r="A1604" s="180"/>
      <c r="B1604" s="185" t="s">
        <v>1021</v>
      </c>
      <c r="C1604" s="186" t="s">
        <v>941</v>
      </c>
      <c r="D1604" s="164">
        <v>0.5</v>
      </c>
      <c r="E1604" s="164">
        <f>'МЕДИЧНІ М'!E181</f>
        <v>2</v>
      </c>
      <c r="F1604" s="164">
        <f t="shared" si="44"/>
        <v>1</v>
      </c>
      <c r="G1604" s="180"/>
      <c r="H1604" s="180"/>
      <c r="I1604" s="180"/>
      <c r="J1604" s="187"/>
      <c r="K1604" s="189"/>
      <c r="L1604" s="189"/>
      <c r="M1604" s="189"/>
      <c r="N1604" s="189"/>
      <c r="O1604" s="188"/>
    </row>
    <row r="1605" spans="1:15" x14ac:dyDescent="0.3">
      <c r="B1605" s="15" t="s">
        <v>1216</v>
      </c>
      <c r="C1605" s="73" t="s">
        <v>941</v>
      </c>
      <c r="D1605" s="17">
        <v>0.1</v>
      </c>
      <c r="E1605" s="16">
        <f>'МЕДИЧНІ М'!E113</f>
        <v>8</v>
      </c>
      <c r="F1605" s="17">
        <f t="shared" si="44"/>
        <v>0.8</v>
      </c>
    </row>
    <row r="1606" spans="1:15" ht="28.2" x14ac:dyDescent="0.3">
      <c r="B1606" s="15" t="s">
        <v>1025</v>
      </c>
      <c r="C1606" s="73" t="s">
        <v>941</v>
      </c>
      <c r="D1606" s="17">
        <v>0.02</v>
      </c>
      <c r="E1606" s="17">
        <f>'МЕДИЧНІ М'!F121</f>
        <v>54</v>
      </c>
      <c r="F1606" s="17">
        <f t="shared" si="44"/>
        <v>1.08</v>
      </c>
    </row>
    <row r="1607" spans="1:15" x14ac:dyDescent="0.3">
      <c r="B1607" s="15" t="s">
        <v>1024</v>
      </c>
      <c r="C1607" s="73" t="s">
        <v>941</v>
      </c>
      <c r="D1607" s="17">
        <v>0.02</v>
      </c>
      <c r="E1607" s="17">
        <f>'МЕДИЧНІ М'!F118</f>
        <v>97.3</v>
      </c>
      <c r="F1607" s="17">
        <f t="shared" si="44"/>
        <v>1.95</v>
      </c>
    </row>
    <row r="1608" spans="1:15" x14ac:dyDescent="0.3">
      <c r="B1608" s="15" t="s">
        <v>964</v>
      </c>
      <c r="C1608" s="73" t="s">
        <v>941</v>
      </c>
      <c r="D1608" s="17">
        <v>0.1</v>
      </c>
      <c r="E1608" s="16">
        <f>'МЕДИЧНІ М'!E119</f>
        <v>2.8</v>
      </c>
      <c r="F1608" s="17">
        <f t="shared" si="44"/>
        <v>0.28000000000000003</v>
      </c>
    </row>
    <row r="1609" spans="1:15" x14ac:dyDescent="0.3">
      <c r="B1609" s="27" t="s">
        <v>942</v>
      </c>
      <c r="C1609" s="28" t="s">
        <v>941</v>
      </c>
      <c r="D1609" s="29">
        <v>0.01</v>
      </c>
      <c r="E1609" s="29">
        <f>'МЕДИЧНІ М'!E120</f>
        <v>24.6</v>
      </c>
      <c r="F1609" s="30">
        <f t="shared" si="44"/>
        <v>0.25</v>
      </c>
    </row>
    <row r="1610" spans="1:15" x14ac:dyDescent="0.3">
      <c r="B1610" s="27" t="s">
        <v>1124</v>
      </c>
      <c r="C1610" s="28" t="s">
        <v>944</v>
      </c>
      <c r="D1610" s="29">
        <v>0.5</v>
      </c>
      <c r="E1610" s="29">
        <f>'МЕДИЧНІ М'!E114</f>
        <v>0.5</v>
      </c>
      <c r="F1610" s="30">
        <f t="shared" si="44"/>
        <v>0.25</v>
      </c>
    </row>
    <row r="1611" spans="1:15" x14ac:dyDescent="0.3">
      <c r="B1611" s="1019" t="s">
        <v>945</v>
      </c>
      <c r="C1611" s="1019"/>
      <c r="D1611" s="1019"/>
      <c r="E1611" s="1019"/>
      <c r="F1611" s="89">
        <f>SUM(F1603:F1610)</f>
        <v>5.91</v>
      </c>
    </row>
    <row r="1613" spans="1:15" x14ac:dyDescent="0.3">
      <c r="B1613" s="12" t="s">
        <v>968</v>
      </c>
      <c r="C1613" s="227"/>
      <c r="D1613" s="12"/>
      <c r="E1613" s="11">
        <f>SUM(G1616:G1617)</f>
        <v>0</v>
      </c>
      <c r="F1613" s="12" t="s">
        <v>971</v>
      </c>
    </row>
    <row r="1614" spans="1:15" x14ac:dyDescent="0.3">
      <c r="B1614" s="22"/>
      <c r="C1614" s="36"/>
      <c r="D1614" s="22"/>
      <c r="E1614" s="23"/>
      <c r="F1614" s="22"/>
    </row>
    <row r="1615" spans="1:15" ht="27.6" x14ac:dyDescent="0.3">
      <c r="B1615" s="14" t="s">
        <v>513</v>
      </c>
      <c r="C1615" s="14" t="s">
        <v>1108</v>
      </c>
      <c r="D1615" s="14" t="s">
        <v>516</v>
      </c>
      <c r="E1615" s="14" t="s">
        <v>970</v>
      </c>
      <c r="F1615" s="14" t="s">
        <v>930</v>
      </c>
      <c r="G1615" s="14" t="s">
        <v>961</v>
      </c>
    </row>
    <row r="1616" spans="1:15" x14ac:dyDescent="0.3">
      <c r="B1616" s="46" t="s">
        <v>1161</v>
      </c>
      <c r="C1616" s="78">
        <f>C1564</f>
        <v>0</v>
      </c>
      <c r="D1616" s="62">
        <f>H1592</f>
        <v>1932.7</v>
      </c>
      <c r="E1616" s="17">
        <f>ROUND((C1616/D1616)/60,2)</f>
        <v>0</v>
      </c>
      <c r="F1616" s="17">
        <f>D1596</f>
        <v>10</v>
      </c>
      <c r="G1616" s="16">
        <f>ROUND(E1616*F1616,2)</f>
        <v>0</v>
      </c>
    </row>
    <row r="1617" spans="2:8" x14ac:dyDescent="0.3">
      <c r="B1617" s="27" t="s">
        <v>1093</v>
      </c>
      <c r="C1617" s="78">
        <f>C1565</f>
        <v>0</v>
      </c>
      <c r="D1617" s="62">
        <f>H1593</f>
        <v>1506</v>
      </c>
      <c r="E1617" s="17">
        <f>ROUND((C1617/D1617)/60,2)</f>
        <v>0</v>
      </c>
      <c r="F1617" s="17">
        <f>D1597</f>
        <v>15</v>
      </c>
      <c r="G1617" s="16">
        <f>ROUND(E1617*F1617,2)</f>
        <v>0</v>
      </c>
      <c r="H1617" s="38"/>
    </row>
    <row r="1619" spans="2:8" x14ac:dyDescent="0.3">
      <c r="B1619" s="12" t="s">
        <v>948</v>
      </c>
      <c r="C1619" s="227"/>
      <c r="D1619" s="12"/>
      <c r="E1619" s="11">
        <f>G1632</f>
        <v>3.45</v>
      </c>
      <c r="F1619" s="12" t="s">
        <v>971</v>
      </c>
    </row>
    <row r="1620" spans="2:8" x14ac:dyDescent="0.3">
      <c r="B1620" s="22"/>
      <c r="C1620" s="36"/>
      <c r="D1620" s="22"/>
      <c r="E1620" s="23"/>
    </row>
    <row r="1621" spans="2:8" ht="27.6" x14ac:dyDescent="0.3">
      <c r="B1621" s="14" t="s">
        <v>948</v>
      </c>
      <c r="C1621" s="14" t="s">
        <v>1110</v>
      </c>
      <c r="D1621" s="14" t="s">
        <v>516</v>
      </c>
      <c r="E1621" s="14" t="s">
        <v>954</v>
      </c>
      <c r="F1621" s="14" t="s">
        <v>930</v>
      </c>
      <c r="G1621" s="14" t="s">
        <v>1111</v>
      </c>
    </row>
    <row r="1622" spans="2:8" x14ac:dyDescent="0.3">
      <c r="B1622" s="1009" t="str">
        <f>B1592</f>
        <v>Лікар-рентгенолог</v>
      </c>
      <c r="C1622" s="1010"/>
      <c r="D1622" s="1010"/>
      <c r="E1622" s="1010"/>
      <c r="F1622" s="1010"/>
      <c r="G1622" s="1011"/>
    </row>
    <row r="1623" spans="2:8" x14ac:dyDescent="0.3">
      <c r="B1623" s="17" t="s">
        <v>951</v>
      </c>
      <c r="C1623" s="221">
        <f>C1571</f>
        <v>12188.608008565312</v>
      </c>
      <c r="D1623" s="17">
        <f>H1592</f>
        <v>1932.7</v>
      </c>
      <c r="E1623" s="17">
        <f>ROUND((C1623/D1623)/60,2)</f>
        <v>0.11</v>
      </c>
      <c r="F1623" s="17">
        <f>D1596</f>
        <v>10</v>
      </c>
      <c r="G1623" s="16">
        <f>ROUND(E1623*F1623,2)</f>
        <v>1.1000000000000001</v>
      </c>
    </row>
    <row r="1624" spans="2:8" x14ac:dyDescent="0.3">
      <c r="B1624" s="17" t="s">
        <v>952</v>
      </c>
      <c r="C1624" s="221">
        <f>C1572</f>
        <v>53.149721627408987</v>
      </c>
      <c r="D1624" s="17">
        <f>H1592</f>
        <v>1932.7</v>
      </c>
      <c r="E1624" s="17">
        <f>ROUND((C1624/D1624)/60,2)</f>
        <v>0</v>
      </c>
      <c r="F1624" s="17">
        <f>D1596</f>
        <v>10</v>
      </c>
      <c r="G1624" s="16">
        <f>ROUND(E1624*F1624,2)</f>
        <v>0</v>
      </c>
    </row>
    <row r="1625" spans="2:8" x14ac:dyDescent="0.3">
      <c r="B1625" s="17" t="s">
        <v>953</v>
      </c>
      <c r="C1625" s="221">
        <f>C1573</f>
        <v>374.98368308351178</v>
      </c>
      <c r="D1625" s="17">
        <f>H1592</f>
        <v>1932.7</v>
      </c>
      <c r="E1625" s="17">
        <f>ROUND((C1625/D1625)/60,2)</f>
        <v>0</v>
      </c>
      <c r="F1625" s="17">
        <f>D1596</f>
        <v>10</v>
      </c>
      <c r="G1625" s="16">
        <f>ROUND(E1625*F1625,2)</f>
        <v>0</v>
      </c>
    </row>
    <row r="1626" spans="2:8" x14ac:dyDescent="0.3">
      <c r="B1626" s="17" t="s">
        <v>1109</v>
      </c>
      <c r="C1626" s="221">
        <f>C1574</f>
        <v>1686.0389293361886</v>
      </c>
      <c r="D1626" s="17">
        <f>H1592</f>
        <v>1932.7</v>
      </c>
      <c r="E1626" s="17">
        <f>ROUND((C1626/D1626)/60,2)</f>
        <v>0.01</v>
      </c>
      <c r="F1626" s="17">
        <f>D1596</f>
        <v>10</v>
      </c>
      <c r="G1626" s="16">
        <f>ROUND(E1626*F1626,2)</f>
        <v>0.1</v>
      </c>
    </row>
    <row r="1627" spans="2:8" x14ac:dyDescent="0.3">
      <c r="B1627" s="1009" t="str">
        <f>B1593</f>
        <v>Рентгенолаборант</v>
      </c>
      <c r="C1627" s="1010"/>
      <c r="D1627" s="1010"/>
      <c r="E1627" s="1010"/>
      <c r="F1627" s="1010"/>
      <c r="G1627" s="1011"/>
    </row>
    <row r="1628" spans="2:8" x14ac:dyDescent="0.3">
      <c r="B1628" s="17" t="s">
        <v>951</v>
      </c>
      <c r="C1628" s="221">
        <f>C1623</f>
        <v>12188.608008565312</v>
      </c>
      <c r="D1628" s="17">
        <f>H1593</f>
        <v>1506</v>
      </c>
      <c r="E1628" s="17">
        <f>ROUND((C1628/D1628)/60,2)</f>
        <v>0.13</v>
      </c>
      <c r="F1628" s="17">
        <f>D1597</f>
        <v>15</v>
      </c>
      <c r="G1628" s="16">
        <f>ROUND(E1628*F1628,2)</f>
        <v>1.95</v>
      </c>
    </row>
    <row r="1629" spans="2:8" x14ac:dyDescent="0.3">
      <c r="B1629" s="17" t="s">
        <v>952</v>
      </c>
      <c r="C1629" s="221">
        <f>C1624</f>
        <v>53.149721627408987</v>
      </c>
      <c r="D1629" s="17">
        <f>H1593</f>
        <v>1506</v>
      </c>
      <c r="E1629" s="17">
        <f>ROUND((C1629/D1629)/60,2)</f>
        <v>0</v>
      </c>
      <c r="F1629" s="17">
        <f>D1597</f>
        <v>15</v>
      </c>
      <c r="G1629" s="16">
        <f>ROUND(E1629*F1629,2)</f>
        <v>0</v>
      </c>
    </row>
    <row r="1630" spans="2:8" x14ac:dyDescent="0.3">
      <c r="B1630" s="17" t="s">
        <v>953</v>
      </c>
      <c r="C1630" s="221">
        <f>C1625</f>
        <v>374.98368308351178</v>
      </c>
      <c r="D1630" s="17">
        <f>H1593</f>
        <v>1506</v>
      </c>
      <c r="E1630" s="17">
        <f>ROUND((C1630/D1630)/60,2)</f>
        <v>0</v>
      </c>
      <c r="F1630" s="17">
        <f>D1597</f>
        <v>15</v>
      </c>
      <c r="G1630" s="16">
        <f>ROUND(E1630*F1630,2)</f>
        <v>0</v>
      </c>
    </row>
    <row r="1631" spans="2:8" x14ac:dyDescent="0.3">
      <c r="B1631" s="17" t="s">
        <v>1109</v>
      </c>
      <c r="C1631" s="221">
        <f>C1626</f>
        <v>1686.0389293361886</v>
      </c>
      <c r="D1631" s="17">
        <f>H1593</f>
        <v>1506</v>
      </c>
      <c r="E1631" s="17">
        <f>ROUND((C1631/D1631)/60,2)</f>
        <v>0.02</v>
      </c>
      <c r="F1631" s="17">
        <f>D1597</f>
        <v>15</v>
      </c>
      <c r="G1631" s="16">
        <f>ROUND(E1631*F1631,2)</f>
        <v>0.3</v>
      </c>
    </row>
    <row r="1632" spans="2:8" x14ac:dyDescent="0.3">
      <c r="B1632" s="1012" t="s">
        <v>957</v>
      </c>
      <c r="C1632" s="1013"/>
      <c r="D1632" s="1013"/>
      <c r="E1632" s="1013"/>
      <c r="F1632" s="1014"/>
      <c r="G1632" s="18">
        <f>SUM(G1623:G1631)</f>
        <v>3.45</v>
      </c>
    </row>
    <row r="1634" spans="1:15" ht="0.75" customHeight="1" x14ac:dyDescent="0.3"/>
    <row r="1635" spans="1:15" x14ac:dyDescent="0.3">
      <c r="B1635" s="1015" t="s">
        <v>959</v>
      </c>
      <c r="C1635" s="1015"/>
      <c r="D1635" s="1015"/>
      <c r="E1635" s="1015"/>
      <c r="F1635" s="1015"/>
      <c r="G1635" s="32">
        <f>E1589+E1601+E1613+E1619</f>
        <v>41.14</v>
      </c>
    </row>
    <row r="1636" spans="1:15" x14ac:dyDescent="0.3">
      <c r="B1636" s="33"/>
      <c r="C1636" s="33"/>
      <c r="D1636" s="33"/>
      <c r="E1636" s="33"/>
      <c r="F1636" s="33"/>
      <c r="G1636" s="34"/>
    </row>
    <row r="1637" spans="1:15" x14ac:dyDescent="0.3">
      <c r="B1637" s="1015" t="s">
        <v>960</v>
      </c>
      <c r="C1637" s="1015"/>
      <c r="D1637" s="1015"/>
      <c r="E1637" s="1015"/>
      <c r="F1637" s="1015"/>
      <c r="G1637" s="32">
        <f>ROUND(G1635,0)</f>
        <v>41</v>
      </c>
    </row>
    <row r="1639" spans="1:15" s="54" customFormat="1" ht="19.8" x14ac:dyDescent="0.4">
      <c r="A1639" s="50" t="s">
        <v>656</v>
      </c>
      <c r="B1639" s="1032" t="s">
        <v>700</v>
      </c>
      <c r="C1639" s="1032"/>
      <c r="D1639" s="1032"/>
      <c r="E1639" s="52">
        <f>G1690</f>
        <v>101</v>
      </c>
      <c r="F1639" s="52" t="s">
        <v>971</v>
      </c>
      <c r="G1639" s="53"/>
      <c r="H1639" s="124"/>
      <c r="I1639" s="125" t="s">
        <v>1023</v>
      </c>
      <c r="J1639" s="132"/>
      <c r="K1639" s="126"/>
      <c r="L1639" s="126"/>
      <c r="M1639" s="126"/>
      <c r="N1639" s="126"/>
      <c r="O1639" s="127"/>
    </row>
    <row r="1640" spans="1:15" ht="9.75" customHeight="1" x14ac:dyDescent="0.3"/>
    <row r="1641" spans="1:15" x14ac:dyDescent="0.3">
      <c r="B1641" s="1018" t="s">
        <v>932</v>
      </c>
      <c r="C1641" s="1018"/>
      <c r="D1641" s="10"/>
      <c r="E1641" s="11">
        <f>E1648+E1651+E1649</f>
        <v>31.78</v>
      </c>
      <c r="F1641" s="12" t="s">
        <v>971</v>
      </c>
    </row>
    <row r="1642" spans="1:15" ht="12" customHeight="1" x14ac:dyDescent="0.3"/>
    <row r="1643" spans="1:15" ht="27.6" x14ac:dyDescent="0.3">
      <c r="B1643" s="13" t="s">
        <v>929</v>
      </c>
      <c r="C1643" s="14" t="s">
        <v>928</v>
      </c>
      <c r="D1643" s="14" t="s">
        <v>514</v>
      </c>
      <c r="E1643" s="14" t="s">
        <v>515</v>
      </c>
      <c r="F1643" s="14" t="s">
        <v>962</v>
      </c>
      <c r="G1643" s="14" t="s">
        <v>926</v>
      </c>
      <c r="H1643" s="14" t="s">
        <v>516</v>
      </c>
      <c r="I1643" s="14" t="s">
        <v>961</v>
      </c>
    </row>
    <row r="1644" spans="1:15" x14ac:dyDescent="0.3">
      <c r="B1644" s="16" t="str">
        <f t="shared" ref="B1644:F1645" si="45">B1592</f>
        <v>Лікар-рентгенолог</v>
      </c>
      <c r="C1644" s="16">
        <f t="shared" si="45"/>
        <v>8463.5400000000009</v>
      </c>
      <c r="D1644" s="16">
        <f t="shared" si="45"/>
        <v>101562.48000000001</v>
      </c>
      <c r="E1644" s="16">
        <f t="shared" si="45"/>
        <v>7052.95</v>
      </c>
      <c r="F1644" s="16">
        <f t="shared" si="45"/>
        <v>3526.4749999999999</v>
      </c>
      <c r="G1644" s="16">
        <f>D1644+E1644+F1644</f>
        <v>112141.90500000001</v>
      </c>
      <c r="H1644" s="17">
        <v>1932.7</v>
      </c>
      <c r="I1644" s="16">
        <f>ROUND((G1644/H1644)/60,2)</f>
        <v>0.97</v>
      </c>
    </row>
    <row r="1645" spans="1:15" x14ac:dyDescent="0.3">
      <c r="B1645" s="16" t="str">
        <f t="shared" si="45"/>
        <v>Рентгенолаборант</v>
      </c>
      <c r="C1645" s="16">
        <f t="shared" si="45"/>
        <v>7482.48</v>
      </c>
      <c r="D1645" s="16">
        <f t="shared" si="45"/>
        <v>89789.759999999995</v>
      </c>
      <c r="E1645" s="16">
        <f t="shared" si="45"/>
        <v>5755.75</v>
      </c>
      <c r="F1645" s="16">
        <f t="shared" si="45"/>
        <v>2877.875</v>
      </c>
      <c r="G1645" s="16">
        <f>D1645+E1645+F1645</f>
        <v>98423.384999999995</v>
      </c>
      <c r="H1645" s="62">
        <v>1506</v>
      </c>
      <c r="I1645" s="16">
        <f>ROUND((G1645/H1645)/60,2)</f>
        <v>1.0900000000000001</v>
      </c>
    </row>
    <row r="1646" spans="1:15" ht="9.75" customHeight="1" x14ac:dyDescent="0.3"/>
    <row r="1647" spans="1:15" ht="27.6" x14ac:dyDescent="0.3">
      <c r="B1647" s="13" t="s">
        <v>929</v>
      </c>
      <c r="C1647" s="14" t="s">
        <v>961</v>
      </c>
      <c r="D1647" s="14" t="s">
        <v>930</v>
      </c>
      <c r="E1647" s="14" t="s">
        <v>931</v>
      </c>
    </row>
    <row r="1648" spans="1:15" x14ac:dyDescent="0.3">
      <c r="B1648" s="15" t="str">
        <f>B1644</f>
        <v>Лікар-рентгенолог</v>
      </c>
      <c r="C1648" s="78">
        <f>I1644</f>
        <v>0.97</v>
      </c>
      <c r="D1648" s="17">
        <v>10</v>
      </c>
      <c r="E1648" s="18">
        <f>ROUND(C1648*D1648,2)</f>
        <v>9.6999999999999993</v>
      </c>
    </row>
    <row r="1649" spans="1:15" x14ac:dyDescent="0.3">
      <c r="B1649" s="15" t="str">
        <f>B1645</f>
        <v>Рентгенолаборант</v>
      </c>
      <c r="C1649" s="78">
        <f>I1645</f>
        <v>1.0900000000000001</v>
      </c>
      <c r="D1649" s="17">
        <v>15</v>
      </c>
      <c r="E1649" s="18">
        <f>ROUND(C1649*D1649,2)</f>
        <v>16.350000000000001</v>
      </c>
    </row>
    <row r="1650" spans="1:15" x14ac:dyDescent="0.3">
      <c r="C1650" s="19"/>
    </row>
    <row r="1651" spans="1:15" x14ac:dyDescent="0.3">
      <c r="B1651" s="17" t="s">
        <v>933</v>
      </c>
      <c r="C1651" s="78">
        <f>E1648+E1649</f>
        <v>26.05</v>
      </c>
      <c r="D1651" s="20">
        <v>0.22</v>
      </c>
      <c r="E1651" s="21">
        <f>ROUND(C1651*D1651,2)</f>
        <v>5.73</v>
      </c>
    </row>
    <row r="1652" spans="1:15" ht="12" customHeight="1" x14ac:dyDescent="0.3"/>
    <row r="1653" spans="1:15" x14ac:dyDescent="0.3">
      <c r="B1653" s="12" t="s">
        <v>946</v>
      </c>
      <c r="C1653" s="227"/>
      <c r="D1653" s="12"/>
      <c r="E1653" s="11">
        <f>F1664</f>
        <v>65.61</v>
      </c>
      <c r="F1653" s="12" t="s">
        <v>971</v>
      </c>
    </row>
    <row r="1655" spans="1:15" x14ac:dyDescent="0.3">
      <c r="B1655" s="27" t="s">
        <v>936</v>
      </c>
      <c r="C1655" s="28" t="s">
        <v>937</v>
      </c>
      <c r="D1655" s="29">
        <v>1</v>
      </c>
      <c r="E1655" s="30">
        <f>'МЕДИЧНІ М'!F115</f>
        <v>0.3</v>
      </c>
      <c r="F1655" s="30">
        <f>ROUND(D1655*E1655,2)</f>
        <v>0.3</v>
      </c>
    </row>
    <row r="1656" spans="1:15" s="184" customFormat="1" x14ac:dyDescent="0.3">
      <c r="A1656" s="180"/>
      <c r="B1656" s="185" t="s">
        <v>1021</v>
      </c>
      <c r="C1656" s="186" t="s">
        <v>941</v>
      </c>
      <c r="D1656" s="164">
        <v>0.5</v>
      </c>
      <c r="E1656" s="164">
        <f>'МЕДИЧНІ М'!E181</f>
        <v>2</v>
      </c>
      <c r="F1656" s="164">
        <f t="shared" ref="F1656:F1663" si="46">ROUND(D1656*E1656,2)</f>
        <v>1</v>
      </c>
      <c r="G1656" s="180"/>
      <c r="H1656" s="180"/>
      <c r="I1656" s="180"/>
      <c r="J1656" s="187"/>
      <c r="K1656" s="189"/>
      <c r="L1656" s="189"/>
      <c r="M1656" s="189"/>
      <c r="N1656" s="189"/>
      <c r="O1656" s="188"/>
    </row>
    <row r="1657" spans="1:15" x14ac:dyDescent="0.3">
      <c r="B1657" s="15" t="s">
        <v>1216</v>
      </c>
      <c r="C1657" s="73" t="s">
        <v>941</v>
      </c>
      <c r="D1657" s="17">
        <v>0.1</v>
      </c>
      <c r="E1657" s="16">
        <f>'МЕДИЧНІ М'!E113</f>
        <v>8</v>
      </c>
      <c r="F1657" s="17">
        <f t="shared" si="46"/>
        <v>0.8</v>
      </c>
    </row>
    <row r="1658" spans="1:15" x14ac:dyDescent="0.3">
      <c r="B1658" s="15" t="str">
        <f>'МЕДИЧНІ М'!B322</f>
        <v>Рентген 30 * 40 № 100</v>
      </c>
      <c r="C1658" s="73" t="s">
        <v>941</v>
      </c>
      <c r="D1658" s="17">
        <v>3</v>
      </c>
      <c r="E1658" s="16">
        <f>'МЕДИЧНІ М'!F322</f>
        <v>19.899999999999999</v>
      </c>
      <c r="F1658" s="17">
        <f t="shared" si="46"/>
        <v>59.7</v>
      </c>
    </row>
    <row r="1659" spans="1:15" ht="28.2" x14ac:dyDescent="0.3">
      <c r="B1659" s="15" t="s">
        <v>1025</v>
      </c>
      <c r="C1659" s="73" t="s">
        <v>941</v>
      </c>
      <c r="D1659" s="17">
        <v>0.02</v>
      </c>
      <c r="E1659" s="17">
        <f>'МЕДИЧНІ М'!F121</f>
        <v>54</v>
      </c>
      <c r="F1659" s="17">
        <f t="shared" si="46"/>
        <v>1.08</v>
      </c>
    </row>
    <row r="1660" spans="1:15" x14ac:dyDescent="0.3">
      <c r="B1660" s="15" t="s">
        <v>1024</v>
      </c>
      <c r="C1660" s="73" t="s">
        <v>941</v>
      </c>
      <c r="D1660" s="17">
        <v>0.02</v>
      </c>
      <c r="E1660" s="17">
        <f>'МЕДИЧНІ М'!F118</f>
        <v>97.3</v>
      </c>
      <c r="F1660" s="17">
        <f t="shared" si="46"/>
        <v>1.95</v>
      </c>
    </row>
    <row r="1661" spans="1:15" x14ac:dyDescent="0.3">
      <c r="B1661" s="15" t="s">
        <v>964</v>
      </c>
      <c r="C1661" s="73" t="s">
        <v>941</v>
      </c>
      <c r="D1661" s="17">
        <v>0.1</v>
      </c>
      <c r="E1661" s="16">
        <f>'МЕДИЧНІ М'!E119</f>
        <v>2.8</v>
      </c>
      <c r="F1661" s="17">
        <f t="shared" si="46"/>
        <v>0.28000000000000003</v>
      </c>
    </row>
    <row r="1662" spans="1:15" x14ac:dyDescent="0.3">
      <c r="B1662" s="27" t="s">
        <v>942</v>
      </c>
      <c r="C1662" s="28" t="s">
        <v>941</v>
      </c>
      <c r="D1662" s="29">
        <v>0.01</v>
      </c>
      <c r="E1662" s="29">
        <f>'МЕДИЧНІ М'!E120</f>
        <v>24.6</v>
      </c>
      <c r="F1662" s="30">
        <f t="shared" si="46"/>
        <v>0.25</v>
      </c>
    </row>
    <row r="1663" spans="1:15" x14ac:dyDescent="0.3">
      <c r="B1663" s="27" t="s">
        <v>1124</v>
      </c>
      <c r="C1663" s="28" t="s">
        <v>944</v>
      </c>
      <c r="D1663" s="29">
        <v>0.5</v>
      </c>
      <c r="E1663" s="29">
        <f>'МЕДИЧНІ М'!E114</f>
        <v>0.5</v>
      </c>
      <c r="F1663" s="30">
        <f t="shared" si="46"/>
        <v>0.25</v>
      </c>
    </row>
    <row r="1664" spans="1:15" x14ac:dyDescent="0.3">
      <c r="B1664" s="1019" t="s">
        <v>945</v>
      </c>
      <c r="C1664" s="1019"/>
      <c r="D1664" s="1019"/>
      <c r="E1664" s="1019"/>
      <c r="F1664" s="89">
        <f>SUM(F1655:F1663)</f>
        <v>65.61</v>
      </c>
    </row>
    <row r="1665" spans="2:8" ht="9" customHeight="1" x14ac:dyDescent="0.3"/>
    <row r="1666" spans="2:8" x14ac:dyDescent="0.3">
      <c r="B1666" s="12" t="s">
        <v>968</v>
      </c>
      <c r="C1666" s="227"/>
      <c r="D1666" s="12"/>
      <c r="E1666" s="11">
        <f>SUM(G1669:G1670)</f>
        <v>0</v>
      </c>
      <c r="F1666" s="12" t="s">
        <v>971</v>
      </c>
    </row>
    <row r="1667" spans="2:8" ht="6.75" customHeight="1" x14ac:dyDescent="0.3">
      <c r="B1667" s="22"/>
      <c r="C1667" s="36"/>
      <c r="D1667" s="22"/>
      <c r="E1667" s="23"/>
      <c r="F1667" s="22"/>
    </row>
    <row r="1668" spans="2:8" ht="27.6" x14ac:dyDescent="0.3">
      <c r="B1668" s="14" t="s">
        <v>513</v>
      </c>
      <c r="C1668" s="14" t="s">
        <v>1108</v>
      </c>
      <c r="D1668" s="14" t="s">
        <v>516</v>
      </c>
      <c r="E1668" s="14" t="s">
        <v>970</v>
      </c>
      <c r="F1668" s="14" t="s">
        <v>930</v>
      </c>
      <c r="G1668" s="14" t="s">
        <v>961</v>
      </c>
    </row>
    <row r="1669" spans="2:8" x14ac:dyDescent="0.3">
      <c r="B1669" s="46" t="str">
        <f>B1616</f>
        <v>Автоматизоване робоче місце, ПК</v>
      </c>
      <c r="C1669" s="46">
        <f>C1616</f>
        <v>0</v>
      </c>
      <c r="D1669" s="62">
        <f>H1644</f>
        <v>1932.7</v>
      </c>
      <c r="E1669" s="17">
        <f>ROUND((C1669/D1669)/60,2)</f>
        <v>0</v>
      </c>
      <c r="F1669" s="17">
        <f>D1648</f>
        <v>10</v>
      </c>
      <c r="G1669" s="16">
        <f>ROUND(E1669*F1669,2)</f>
        <v>0</v>
      </c>
    </row>
    <row r="1670" spans="2:8" x14ac:dyDescent="0.3">
      <c r="B1670" s="46" t="str">
        <f>B1617</f>
        <v>Рентген</v>
      </c>
      <c r="C1670" s="46">
        <f>C1617</f>
        <v>0</v>
      </c>
      <c r="D1670" s="62">
        <f>H1645</f>
        <v>1506</v>
      </c>
      <c r="E1670" s="17">
        <f>ROUND((C1670/D1670)/60,2)</f>
        <v>0</v>
      </c>
      <c r="F1670" s="17">
        <f>D1649</f>
        <v>15</v>
      </c>
      <c r="G1670" s="16">
        <f>ROUND(E1670*F1670,2)</f>
        <v>0</v>
      </c>
      <c r="H1670" s="38"/>
    </row>
    <row r="1671" spans="2:8" ht="7.5" customHeight="1" x14ac:dyDescent="0.3"/>
    <row r="1672" spans="2:8" x14ac:dyDescent="0.3">
      <c r="B1672" s="12" t="s">
        <v>948</v>
      </c>
      <c r="C1672" s="227"/>
      <c r="D1672" s="12"/>
      <c r="E1672" s="11">
        <f>G1685</f>
        <v>3.45</v>
      </c>
      <c r="F1672" s="12" t="s">
        <v>971</v>
      </c>
    </row>
    <row r="1673" spans="2:8" ht="9" customHeight="1" x14ac:dyDescent="0.3">
      <c r="B1673" s="22"/>
      <c r="C1673" s="36"/>
      <c r="D1673" s="22"/>
      <c r="E1673" s="23"/>
    </row>
    <row r="1674" spans="2:8" ht="27.6" x14ac:dyDescent="0.3">
      <c r="B1674" s="14" t="s">
        <v>948</v>
      </c>
      <c r="C1674" s="14" t="s">
        <v>1110</v>
      </c>
      <c r="D1674" s="14" t="s">
        <v>516</v>
      </c>
      <c r="E1674" s="14" t="s">
        <v>954</v>
      </c>
      <c r="F1674" s="14" t="s">
        <v>930</v>
      </c>
      <c r="G1674" s="14" t="s">
        <v>1111</v>
      </c>
    </row>
    <row r="1675" spans="2:8" x14ac:dyDescent="0.3">
      <c r="B1675" s="1009" t="str">
        <f>B1644</f>
        <v>Лікар-рентгенолог</v>
      </c>
      <c r="C1675" s="1010"/>
      <c r="D1675" s="1010"/>
      <c r="E1675" s="1010"/>
      <c r="F1675" s="1010"/>
      <c r="G1675" s="1011"/>
    </row>
    <row r="1676" spans="2:8" x14ac:dyDescent="0.3">
      <c r="B1676" s="17" t="s">
        <v>951</v>
      </c>
      <c r="C1676" s="221">
        <f>C1623</f>
        <v>12188.608008565312</v>
      </c>
      <c r="D1676" s="17">
        <f>H1644</f>
        <v>1932.7</v>
      </c>
      <c r="E1676" s="17">
        <f>ROUND((C1676/D1676)/60,2)</f>
        <v>0.11</v>
      </c>
      <c r="F1676" s="17">
        <f>D1648</f>
        <v>10</v>
      </c>
      <c r="G1676" s="16">
        <f>ROUND(E1676*F1676,2)</f>
        <v>1.1000000000000001</v>
      </c>
    </row>
    <row r="1677" spans="2:8" x14ac:dyDescent="0.3">
      <c r="B1677" s="17" t="s">
        <v>952</v>
      </c>
      <c r="C1677" s="221">
        <f>C1624</f>
        <v>53.149721627408987</v>
      </c>
      <c r="D1677" s="17">
        <f>H1644</f>
        <v>1932.7</v>
      </c>
      <c r="E1677" s="17">
        <f>ROUND((C1677/D1677)/60,2)</f>
        <v>0</v>
      </c>
      <c r="F1677" s="17">
        <f>D1648</f>
        <v>10</v>
      </c>
      <c r="G1677" s="16">
        <f>ROUND(E1677*F1677,2)</f>
        <v>0</v>
      </c>
    </row>
    <row r="1678" spans="2:8" x14ac:dyDescent="0.3">
      <c r="B1678" s="17" t="s">
        <v>953</v>
      </c>
      <c r="C1678" s="221">
        <f>C1625</f>
        <v>374.98368308351178</v>
      </c>
      <c r="D1678" s="17">
        <f>H1644</f>
        <v>1932.7</v>
      </c>
      <c r="E1678" s="17">
        <f>ROUND((C1678/D1678)/60,2)</f>
        <v>0</v>
      </c>
      <c r="F1678" s="17">
        <f>D1648</f>
        <v>10</v>
      </c>
      <c r="G1678" s="16">
        <f>ROUND(E1678*F1678,2)</f>
        <v>0</v>
      </c>
    </row>
    <row r="1679" spans="2:8" x14ac:dyDescent="0.3">
      <c r="B1679" s="17" t="s">
        <v>1109</v>
      </c>
      <c r="C1679" s="221">
        <f>C1626</f>
        <v>1686.0389293361886</v>
      </c>
      <c r="D1679" s="17">
        <f>H1644</f>
        <v>1932.7</v>
      </c>
      <c r="E1679" s="17">
        <f>ROUND((C1679/D1679)/60,2)</f>
        <v>0.01</v>
      </c>
      <c r="F1679" s="17">
        <f>D1648</f>
        <v>10</v>
      </c>
      <c r="G1679" s="16">
        <f>ROUND(E1679*F1679,2)</f>
        <v>0.1</v>
      </c>
    </row>
    <row r="1680" spans="2:8" x14ac:dyDescent="0.3">
      <c r="B1680" s="1009" t="str">
        <f>B1645</f>
        <v>Рентгенолаборант</v>
      </c>
      <c r="C1680" s="1010"/>
      <c r="D1680" s="1010"/>
      <c r="E1680" s="1010"/>
      <c r="F1680" s="1010"/>
      <c r="G1680" s="1011"/>
    </row>
    <row r="1681" spans="1:15" x14ac:dyDescent="0.3">
      <c r="B1681" s="17" t="s">
        <v>951</v>
      </c>
      <c r="C1681" s="221">
        <f>C1676</f>
        <v>12188.608008565312</v>
      </c>
      <c r="D1681" s="17">
        <f>H1645</f>
        <v>1506</v>
      </c>
      <c r="E1681" s="17">
        <f>ROUND((C1681/D1681)/60,2)</f>
        <v>0.13</v>
      </c>
      <c r="F1681" s="17">
        <f>D1649</f>
        <v>15</v>
      </c>
      <c r="G1681" s="16">
        <f>ROUND(E1681*F1681,2)</f>
        <v>1.95</v>
      </c>
    </row>
    <row r="1682" spans="1:15" x14ac:dyDescent="0.3">
      <c r="B1682" s="17" t="s">
        <v>952</v>
      </c>
      <c r="C1682" s="221">
        <f>C1677</f>
        <v>53.149721627408987</v>
      </c>
      <c r="D1682" s="17">
        <f>H1645</f>
        <v>1506</v>
      </c>
      <c r="E1682" s="17">
        <f>ROUND((C1682/D1682)/60,2)</f>
        <v>0</v>
      </c>
      <c r="F1682" s="17">
        <f>D1649</f>
        <v>15</v>
      </c>
      <c r="G1682" s="16">
        <f>ROUND(E1682*F1682,2)</f>
        <v>0</v>
      </c>
    </row>
    <row r="1683" spans="1:15" x14ac:dyDescent="0.3">
      <c r="B1683" s="17" t="s">
        <v>953</v>
      </c>
      <c r="C1683" s="221">
        <f>C1678</f>
        <v>374.98368308351178</v>
      </c>
      <c r="D1683" s="17">
        <f>H1645</f>
        <v>1506</v>
      </c>
      <c r="E1683" s="17">
        <f>ROUND((C1683/D1683)/60,2)</f>
        <v>0</v>
      </c>
      <c r="F1683" s="17">
        <f>D1649</f>
        <v>15</v>
      </c>
      <c r="G1683" s="16">
        <f>ROUND(E1683*F1683,2)</f>
        <v>0</v>
      </c>
    </row>
    <row r="1684" spans="1:15" x14ac:dyDescent="0.3">
      <c r="B1684" s="17" t="s">
        <v>1109</v>
      </c>
      <c r="C1684" s="221">
        <f>C1679</f>
        <v>1686.0389293361886</v>
      </c>
      <c r="D1684" s="17">
        <f>H1645</f>
        <v>1506</v>
      </c>
      <c r="E1684" s="17">
        <f>ROUND((C1684/D1684)/60,2)</f>
        <v>0.02</v>
      </c>
      <c r="F1684" s="17">
        <f>D1649</f>
        <v>15</v>
      </c>
      <c r="G1684" s="16">
        <f>ROUND(E1684*F1684,2)</f>
        <v>0.3</v>
      </c>
    </row>
    <row r="1685" spans="1:15" x14ac:dyDescent="0.3">
      <c r="B1685" s="1012" t="s">
        <v>957</v>
      </c>
      <c r="C1685" s="1013"/>
      <c r="D1685" s="1013"/>
      <c r="E1685" s="1013"/>
      <c r="F1685" s="1014"/>
      <c r="G1685" s="18">
        <f>SUM(G1676:G1684)</f>
        <v>3.45</v>
      </c>
    </row>
    <row r="1686" spans="1:15" ht="14.25" customHeight="1" x14ac:dyDescent="0.3"/>
    <row r="1688" spans="1:15" x14ac:dyDescent="0.3">
      <c r="B1688" s="1015" t="s">
        <v>959</v>
      </c>
      <c r="C1688" s="1015"/>
      <c r="D1688" s="1015"/>
      <c r="E1688" s="1015"/>
      <c r="F1688" s="1015"/>
      <c r="G1688" s="32">
        <f>E1641+E1653+E1666+E1672</f>
        <v>100.84</v>
      </c>
    </row>
    <row r="1689" spans="1:15" x14ac:dyDescent="0.3">
      <c r="B1689" s="33"/>
      <c r="C1689" s="33"/>
      <c r="D1689" s="33"/>
      <c r="E1689" s="33"/>
      <c r="F1689" s="33"/>
      <c r="G1689" s="34"/>
    </row>
    <row r="1690" spans="1:15" s="54" customFormat="1" ht="19.8" x14ac:dyDescent="0.4">
      <c r="A1690" s="53"/>
      <c r="B1690" s="1051" t="s">
        <v>960</v>
      </c>
      <c r="C1690" s="1051"/>
      <c r="D1690" s="1051"/>
      <c r="E1690" s="1051"/>
      <c r="F1690" s="1051"/>
      <c r="G1690" s="32">
        <f>ROUND(G1688,0)</f>
        <v>101</v>
      </c>
      <c r="H1690" s="53"/>
      <c r="I1690" s="53"/>
      <c r="J1690" s="132"/>
      <c r="K1690" s="126"/>
      <c r="L1690" s="126"/>
      <c r="M1690" s="126"/>
      <c r="N1690" s="126"/>
      <c r="O1690" s="127"/>
    </row>
    <row r="1691" spans="1:15" s="54" customFormat="1" ht="19.8" x14ac:dyDescent="0.4">
      <c r="A1691" s="53"/>
      <c r="B1691" s="53"/>
      <c r="C1691" s="225"/>
      <c r="D1691" s="53"/>
      <c r="E1691" s="53"/>
      <c r="F1691" s="53"/>
      <c r="G1691" s="53"/>
      <c r="H1691" s="53"/>
      <c r="I1691" s="53"/>
      <c r="J1691" s="132"/>
      <c r="K1691" s="126"/>
      <c r="L1691" s="126"/>
      <c r="M1691" s="126"/>
      <c r="N1691" s="126"/>
      <c r="O1691" s="127"/>
    </row>
    <row r="1692" spans="1:15" s="54" customFormat="1" ht="19.8" x14ac:dyDescent="0.4">
      <c r="A1692" s="53"/>
      <c r="B1692" s="53"/>
      <c r="C1692" s="225"/>
      <c r="D1692" s="53"/>
      <c r="E1692" s="53"/>
      <c r="F1692" s="53"/>
      <c r="G1692" s="53"/>
      <c r="H1692" s="53"/>
      <c r="I1692" s="53"/>
      <c r="J1692" s="132"/>
      <c r="K1692" s="126"/>
      <c r="L1692" s="126"/>
      <c r="M1692" s="126"/>
      <c r="N1692" s="126"/>
      <c r="O1692" s="127"/>
    </row>
    <row r="1693" spans="1:15" s="54" customFormat="1" ht="18.75" customHeight="1" x14ac:dyDescent="0.4">
      <c r="A1693" s="50" t="s">
        <v>656</v>
      </c>
      <c r="B1693" s="1032" t="s">
        <v>700</v>
      </c>
      <c r="C1693" s="1032"/>
      <c r="D1693" s="1032"/>
      <c r="E1693" s="52">
        <f>G1743</f>
        <v>41</v>
      </c>
      <c r="F1693" s="52" t="s">
        <v>971</v>
      </c>
      <c r="G1693" s="53"/>
      <c r="H1693" s="124"/>
      <c r="I1693" s="125" t="s">
        <v>1128</v>
      </c>
      <c r="J1693" s="132"/>
      <c r="K1693" s="126"/>
      <c r="L1693" s="126"/>
      <c r="M1693" s="126"/>
      <c r="N1693" s="126"/>
      <c r="O1693" s="127"/>
    </row>
    <row r="1695" spans="1:15" ht="15" customHeight="1" x14ac:dyDescent="0.3">
      <c r="B1695" s="1018" t="s">
        <v>932</v>
      </c>
      <c r="C1695" s="1018"/>
      <c r="D1695" s="10"/>
      <c r="E1695" s="11">
        <f>E1702+E1705+E1703</f>
        <v>31.78</v>
      </c>
      <c r="F1695" s="12" t="s">
        <v>971</v>
      </c>
    </row>
    <row r="1697" spans="1:15" ht="27.6" x14ac:dyDescent="0.3">
      <c r="B1697" s="13" t="s">
        <v>929</v>
      </c>
      <c r="C1697" s="14" t="s">
        <v>928</v>
      </c>
      <c r="D1697" s="14" t="s">
        <v>514</v>
      </c>
      <c r="E1697" s="14" t="s">
        <v>515</v>
      </c>
      <c r="F1697" s="14" t="s">
        <v>962</v>
      </c>
      <c r="G1697" s="14" t="s">
        <v>926</v>
      </c>
      <c r="H1697" s="14" t="s">
        <v>516</v>
      </c>
      <c r="I1697" s="14" t="s">
        <v>961</v>
      </c>
    </row>
    <row r="1698" spans="1:15" x14ac:dyDescent="0.3">
      <c r="B1698" s="16" t="str">
        <f>B1644</f>
        <v>Лікар-рентгенолог</v>
      </c>
      <c r="C1698" s="78">
        <f>C1644</f>
        <v>8463.5400000000009</v>
      </c>
      <c r="D1698" s="16">
        <f>C1698*12</f>
        <v>101562.48000000001</v>
      </c>
      <c r="E1698" s="16">
        <f>E1644</f>
        <v>7052.95</v>
      </c>
      <c r="F1698" s="16">
        <f>F1644</f>
        <v>3526.4749999999999</v>
      </c>
      <c r="G1698" s="16">
        <f>D1698+E1698+F1698</f>
        <v>112141.90500000001</v>
      </c>
      <c r="H1698" s="17">
        <v>1932.7</v>
      </c>
      <c r="I1698" s="16">
        <f>ROUND((G1698/H1698)/60,2)</f>
        <v>0.97</v>
      </c>
    </row>
    <row r="1699" spans="1:15" x14ac:dyDescent="0.3">
      <c r="B1699" s="16" t="str">
        <f>B1645</f>
        <v>Рентгенолаборант</v>
      </c>
      <c r="C1699" s="78">
        <f>C1645</f>
        <v>7482.48</v>
      </c>
      <c r="D1699" s="24">
        <f>C1699*12</f>
        <v>89789.759999999995</v>
      </c>
      <c r="E1699" s="16">
        <f>E1645</f>
        <v>5755.75</v>
      </c>
      <c r="F1699" s="16">
        <f>F1645</f>
        <v>2877.875</v>
      </c>
      <c r="G1699" s="16">
        <f>D1699+E1699+F1699</f>
        <v>98423.384999999995</v>
      </c>
      <c r="H1699" s="62">
        <v>1506</v>
      </c>
      <c r="I1699" s="16">
        <f>ROUND((G1699/H1699)/60,2)</f>
        <v>1.0900000000000001</v>
      </c>
    </row>
    <row r="1701" spans="1:15" ht="27.6" x14ac:dyDescent="0.3">
      <c r="B1701" s="13" t="s">
        <v>929</v>
      </c>
      <c r="C1701" s="14" t="s">
        <v>961</v>
      </c>
      <c r="D1701" s="14" t="s">
        <v>930</v>
      </c>
      <c r="E1701" s="14" t="s">
        <v>931</v>
      </c>
    </row>
    <row r="1702" spans="1:15" x14ac:dyDescent="0.3">
      <c r="B1702" s="15" t="str">
        <f>B1698</f>
        <v>Лікар-рентгенолог</v>
      </c>
      <c r="C1702" s="78">
        <f>I1698</f>
        <v>0.97</v>
      </c>
      <c r="D1702" s="17">
        <v>10</v>
      </c>
      <c r="E1702" s="18">
        <f>ROUND(C1702*D1702,2)</f>
        <v>9.6999999999999993</v>
      </c>
    </row>
    <row r="1703" spans="1:15" x14ac:dyDescent="0.3">
      <c r="B1703" s="15" t="str">
        <f>B1699</f>
        <v>Рентгенолаборант</v>
      </c>
      <c r="C1703" s="78">
        <f>I1699</f>
        <v>1.0900000000000001</v>
      </c>
      <c r="D1703" s="17">
        <v>15</v>
      </c>
      <c r="E1703" s="18">
        <f>ROUND(C1703*D1703,2)</f>
        <v>16.350000000000001</v>
      </c>
    </row>
    <row r="1704" spans="1:15" x14ac:dyDescent="0.3">
      <c r="C1704" s="19"/>
    </row>
    <row r="1705" spans="1:15" x14ac:dyDescent="0.3">
      <c r="B1705" s="17" t="s">
        <v>933</v>
      </c>
      <c r="C1705" s="78">
        <f>E1702+E1703</f>
        <v>26.05</v>
      </c>
      <c r="D1705" s="20">
        <v>0.22</v>
      </c>
      <c r="E1705" s="21">
        <f>ROUND(C1705*D1705,2)</f>
        <v>5.73</v>
      </c>
    </row>
    <row r="1707" spans="1:15" x14ac:dyDescent="0.3">
      <c r="B1707" s="12" t="s">
        <v>946</v>
      </c>
      <c r="C1707" s="227"/>
      <c r="D1707" s="12"/>
      <c r="E1707" s="11">
        <f>F1717</f>
        <v>5.91</v>
      </c>
      <c r="F1707" s="12" t="s">
        <v>971</v>
      </c>
    </row>
    <row r="1709" spans="1:15" x14ac:dyDescent="0.3">
      <c r="B1709" s="27" t="s">
        <v>936</v>
      </c>
      <c r="C1709" s="28" t="s">
        <v>937</v>
      </c>
      <c r="D1709" s="29">
        <v>1</v>
      </c>
      <c r="E1709" s="30">
        <f>'МЕДИЧНІ М'!F115</f>
        <v>0.3</v>
      </c>
      <c r="F1709" s="30">
        <f t="shared" ref="F1709:F1716" si="47">ROUND(D1709*E1709,2)</f>
        <v>0.3</v>
      </c>
    </row>
    <row r="1710" spans="1:15" s="184" customFormat="1" x14ac:dyDescent="0.3">
      <c r="A1710" s="180"/>
      <c r="B1710" s="185" t="s">
        <v>1021</v>
      </c>
      <c r="C1710" s="186" t="s">
        <v>941</v>
      </c>
      <c r="D1710" s="164">
        <v>0.5</v>
      </c>
      <c r="E1710" s="164">
        <f>'МЕДИЧНІ М'!E181</f>
        <v>2</v>
      </c>
      <c r="F1710" s="164">
        <f t="shared" si="47"/>
        <v>1</v>
      </c>
      <c r="G1710" s="180"/>
      <c r="H1710" s="180"/>
      <c r="I1710" s="180"/>
      <c r="J1710" s="187"/>
      <c r="K1710" s="189"/>
      <c r="L1710" s="189"/>
      <c r="M1710" s="189"/>
      <c r="N1710" s="189"/>
      <c r="O1710" s="188"/>
    </row>
    <row r="1711" spans="1:15" x14ac:dyDescent="0.3">
      <c r="B1711" s="15" t="s">
        <v>1216</v>
      </c>
      <c r="C1711" s="73" t="s">
        <v>941</v>
      </c>
      <c r="D1711" s="17">
        <v>0.1</v>
      </c>
      <c r="E1711" s="16">
        <f>'МЕДИЧНІ М'!E113</f>
        <v>8</v>
      </c>
      <c r="F1711" s="17">
        <f t="shared" si="47"/>
        <v>0.8</v>
      </c>
    </row>
    <row r="1712" spans="1:15" ht="28.2" x14ac:dyDescent="0.3">
      <c r="B1712" s="15" t="s">
        <v>1025</v>
      </c>
      <c r="C1712" s="73" t="s">
        <v>941</v>
      </c>
      <c r="D1712" s="17">
        <v>0.02</v>
      </c>
      <c r="E1712" s="17">
        <f>'МЕДИЧНІ М'!F121</f>
        <v>54</v>
      </c>
      <c r="F1712" s="17">
        <f t="shared" si="47"/>
        <v>1.08</v>
      </c>
    </row>
    <row r="1713" spans="2:8" x14ac:dyDescent="0.3">
      <c r="B1713" s="15" t="s">
        <v>1024</v>
      </c>
      <c r="C1713" s="73" t="s">
        <v>941</v>
      </c>
      <c r="D1713" s="17">
        <v>0.02</v>
      </c>
      <c r="E1713" s="17">
        <f>'МЕДИЧНІ М'!F118</f>
        <v>97.3</v>
      </c>
      <c r="F1713" s="17">
        <f t="shared" si="47"/>
        <v>1.95</v>
      </c>
    </row>
    <row r="1714" spans="2:8" x14ac:dyDescent="0.3">
      <c r="B1714" s="15" t="s">
        <v>964</v>
      </c>
      <c r="C1714" s="73" t="s">
        <v>941</v>
      </c>
      <c r="D1714" s="17">
        <v>0.1</v>
      </c>
      <c r="E1714" s="16">
        <f>'МЕДИЧНІ М'!E119</f>
        <v>2.8</v>
      </c>
      <c r="F1714" s="17">
        <f t="shared" si="47"/>
        <v>0.28000000000000003</v>
      </c>
    </row>
    <row r="1715" spans="2:8" x14ac:dyDescent="0.3">
      <c r="B1715" s="27" t="s">
        <v>942</v>
      </c>
      <c r="C1715" s="28" t="s">
        <v>941</v>
      </c>
      <c r="D1715" s="29">
        <v>0.01</v>
      </c>
      <c r="E1715" s="29">
        <f>'МЕДИЧНІ М'!E120</f>
        <v>24.6</v>
      </c>
      <c r="F1715" s="30">
        <f t="shared" si="47"/>
        <v>0.25</v>
      </c>
    </row>
    <row r="1716" spans="2:8" x14ac:dyDescent="0.3">
      <c r="B1716" s="27" t="s">
        <v>1124</v>
      </c>
      <c r="C1716" s="28" t="s">
        <v>944</v>
      </c>
      <c r="D1716" s="29">
        <v>0.5</v>
      </c>
      <c r="E1716" s="29">
        <f>'МЕДИЧНІ М'!E114</f>
        <v>0.5</v>
      </c>
      <c r="F1716" s="30">
        <f t="shared" si="47"/>
        <v>0.25</v>
      </c>
    </row>
    <row r="1717" spans="2:8" x14ac:dyDescent="0.3">
      <c r="B1717" s="1019" t="s">
        <v>945</v>
      </c>
      <c r="C1717" s="1019"/>
      <c r="D1717" s="1019"/>
      <c r="E1717" s="1019"/>
      <c r="F1717" s="89">
        <f>SUM(F1709:F1716)</f>
        <v>5.91</v>
      </c>
    </row>
    <row r="1719" spans="2:8" x14ac:dyDescent="0.3">
      <c r="B1719" s="12" t="s">
        <v>968</v>
      </c>
      <c r="C1719" s="227"/>
      <c r="D1719" s="12"/>
      <c r="E1719" s="11">
        <f>SUM(G1722:G1723)</f>
        <v>0</v>
      </c>
      <c r="F1719" s="12" t="s">
        <v>971</v>
      </c>
    </row>
    <row r="1720" spans="2:8" ht="11.25" customHeight="1" x14ac:dyDescent="0.3">
      <c r="B1720" s="22"/>
      <c r="C1720" s="36"/>
      <c r="D1720" s="22"/>
      <c r="E1720" s="23"/>
      <c r="F1720" s="22"/>
    </row>
    <row r="1721" spans="2:8" ht="27.6" x14ac:dyDescent="0.3">
      <c r="B1721" s="14" t="s">
        <v>513</v>
      </c>
      <c r="C1721" s="14" t="s">
        <v>1108</v>
      </c>
      <c r="D1721" s="14" t="s">
        <v>516</v>
      </c>
      <c r="E1721" s="14" t="s">
        <v>970</v>
      </c>
      <c r="F1721" s="14" t="s">
        <v>930</v>
      </c>
      <c r="G1721" s="14" t="s">
        <v>961</v>
      </c>
    </row>
    <row r="1722" spans="2:8" x14ac:dyDescent="0.3">
      <c r="B1722" s="46" t="s">
        <v>1161</v>
      </c>
      <c r="C1722" s="78">
        <f>C1669</f>
        <v>0</v>
      </c>
      <c r="D1722" s="62">
        <f>H1698</f>
        <v>1932.7</v>
      </c>
      <c r="E1722" s="17">
        <f>ROUND((C1722/D1722)/60,2)</f>
        <v>0</v>
      </c>
      <c r="F1722" s="17">
        <f>D1702</f>
        <v>10</v>
      </c>
      <c r="G1722" s="16">
        <f>ROUND(E1722*F1722,2)</f>
        <v>0</v>
      </c>
    </row>
    <row r="1723" spans="2:8" x14ac:dyDescent="0.3">
      <c r="B1723" s="27" t="s">
        <v>1093</v>
      </c>
      <c r="C1723" s="78">
        <f>C1670</f>
        <v>0</v>
      </c>
      <c r="D1723" s="62">
        <f>H1699</f>
        <v>1506</v>
      </c>
      <c r="E1723" s="17">
        <f>ROUND((C1723/D1723)/60,2)</f>
        <v>0</v>
      </c>
      <c r="F1723" s="17">
        <f>D1703</f>
        <v>15</v>
      </c>
      <c r="G1723" s="16">
        <f>ROUND(E1723*F1723,2)</f>
        <v>0</v>
      </c>
      <c r="H1723" s="38"/>
    </row>
    <row r="1725" spans="2:8" x14ac:dyDescent="0.3">
      <c r="B1725" s="12" t="s">
        <v>948</v>
      </c>
      <c r="C1725" s="227"/>
      <c r="D1725" s="12"/>
      <c r="E1725" s="11">
        <f>G1738</f>
        <v>3.45</v>
      </c>
      <c r="F1725" s="12" t="s">
        <v>971</v>
      </c>
    </row>
    <row r="1726" spans="2:8" x14ac:dyDescent="0.3">
      <c r="B1726" s="22"/>
      <c r="C1726" s="36"/>
      <c r="D1726" s="22"/>
      <c r="E1726" s="23"/>
    </row>
    <row r="1727" spans="2:8" ht="27.6" x14ac:dyDescent="0.3">
      <c r="B1727" s="14" t="s">
        <v>948</v>
      </c>
      <c r="C1727" s="14" t="s">
        <v>1110</v>
      </c>
      <c r="D1727" s="14" t="s">
        <v>516</v>
      </c>
      <c r="E1727" s="14" t="s">
        <v>954</v>
      </c>
      <c r="F1727" s="14" t="s">
        <v>930</v>
      </c>
      <c r="G1727" s="14" t="s">
        <v>1111</v>
      </c>
    </row>
    <row r="1728" spans="2:8" x14ac:dyDescent="0.3">
      <c r="B1728" s="1009" t="str">
        <f>B1698</f>
        <v>Лікар-рентгенолог</v>
      </c>
      <c r="C1728" s="1010"/>
      <c r="D1728" s="1010"/>
      <c r="E1728" s="1010"/>
      <c r="F1728" s="1010"/>
      <c r="G1728" s="1011"/>
    </row>
    <row r="1729" spans="1:9" x14ac:dyDescent="0.3">
      <c r="B1729" s="17" t="s">
        <v>951</v>
      </c>
      <c r="C1729" s="221">
        <f>C1676</f>
        <v>12188.608008565312</v>
      </c>
      <c r="D1729" s="17">
        <f>H1698</f>
        <v>1932.7</v>
      </c>
      <c r="E1729" s="17">
        <f>ROUND((C1729/D1729)/60,2)</f>
        <v>0.11</v>
      </c>
      <c r="F1729" s="17">
        <f>D1702</f>
        <v>10</v>
      </c>
      <c r="G1729" s="16">
        <f>ROUND(E1729*F1729,2)</f>
        <v>1.1000000000000001</v>
      </c>
    </row>
    <row r="1730" spans="1:9" x14ac:dyDescent="0.3">
      <c r="B1730" s="17" t="s">
        <v>952</v>
      </c>
      <c r="C1730" s="221">
        <f>C1677</f>
        <v>53.149721627408987</v>
      </c>
      <c r="D1730" s="17">
        <f>H1698</f>
        <v>1932.7</v>
      </c>
      <c r="E1730" s="17">
        <f>ROUND((C1730/D1730)/60,2)</f>
        <v>0</v>
      </c>
      <c r="F1730" s="17">
        <f>D1702</f>
        <v>10</v>
      </c>
      <c r="G1730" s="16">
        <f>ROUND(E1730*F1730,2)</f>
        <v>0</v>
      </c>
    </row>
    <row r="1731" spans="1:9" x14ac:dyDescent="0.3">
      <c r="B1731" s="17" t="s">
        <v>953</v>
      </c>
      <c r="C1731" s="221">
        <f>C1678</f>
        <v>374.98368308351178</v>
      </c>
      <c r="D1731" s="17">
        <f>H1698</f>
        <v>1932.7</v>
      </c>
      <c r="E1731" s="17">
        <f>ROUND((C1731/D1731)/60,2)</f>
        <v>0</v>
      </c>
      <c r="F1731" s="17">
        <f>D1702</f>
        <v>10</v>
      </c>
      <c r="G1731" s="16">
        <f>ROUND(E1731*F1731,2)</f>
        <v>0</v>
      </c>
    </row>
    <row r="1732" spans="1:9" x14ac:dyDescent="0.3">
      <c r="B1732" s="17" t="s">
        <v>1109</v>
      </c>
      <c r="C1732" s="221">
        <f>C1679</f>
        <v>1686.0389293361886</v>
      </c>
      <c r="D1732" s="17">
        <f>H1698</f>
        <v>1932.7</v>
      </c>
      <c r="E1732" s="17">
        <f>ROUND((C1732/D1732)/60,2)</f>
        <v>0.01</v>
      </c>
      <c r="F1732" s="17">
        <f>D1702</f>
        <v>10</v>
      </c>
      <c r="G1732" s="16">
        <f>ROUND(E1732*F1732,2)</f>
        <v>0.1</v>
      </c>
    </row>
    <row r="1733" spans="1:9" x14ac:dyDescent="0.3">
      <c r="B1733" s="1009" t="str">
        <f>B1699</f>
        <v>Рентгенолаборант</v>
      </c>
      <c r="C1733" s="1010"/>
      <c r="D1733" s="1010"/>
      <c r="E1733" s="1010"/>
      <c r="F1733" s="1010"/>
      <c r="G1733" s="1011"/>
    </row>
    <row r="1734" spans="1:9" x14ac:dyDescent="0.3">
      <c r="B1734" s="17" t="s">
        <v>951</v>
      </c>
      <c r="C1734" s="221">
        <f>C1729</f>
        <v>12188.608008565312</v>
      </c>
      <c r="D1734" s="17">
        <f>H1699</f>
        <v>1506</v>
      </c>
      <c r="E1734" s="17">
        <f>ROUND((C1734/D1734)/60,2)</f>
        <v>0.13</v>
      </c>
      <c r="F1734" s="17">
        <f>D1703</f>
        <v>15</v>
      </c>
      <c r="G1734" s="16">
        <f>ROUND(E1734*F1734,2)</f>
        <v>1.95</v>
      </c>
    </row>
    <row r="1735" spans="1:9" x14ac:dyDescent="0.3">
      <c r="B1735" s="17" t="s">
        <v>952</v>
      </c>
      <c r="C1735" s="221">
        <f>C1730</f>
        <v>53.149721627408987</v>
      </c>
      <c r="D1735" s="17">
        <f>H1699</f>
        <v>1506</v>
      </c>
      <c r="E1735" s="17">
        <f>ROUND((C1735/D1735)/60,2)</f>
        <v>0</v>
      </c>
      <c r="F1735" s="17">
        <f>D1703</f>
        <v>15</v>
      </c>
      <c r="G1735" s="16">
        <f>ROUND(E1735*F1735,2)</f>
        <v>0</v>
      </c>
    </row>
    <row r="1736" spans="1:9" x14ac:dyDescent="0.3">
      <c r="B1736" s="17" t="s">
        <v>953</v>
      </c>
      <c r="C1736" s="221">
        <f>C1731</f>
        <v>374.98368308351178</v>
      </c>
      <c r="D1736" s="17">
        <f>H1699</f>
        <v>1506</v>
      </c>
      <c r="E1736" s="17">
        <f>ROUND((C1736/D1736)/60,2)</f>
        <v>0</v>
      </c>
      <c r="F1736" s="17">
        <f>D1703</f>
        <v>15</v>
      </c>
      <c r="G1736" s="16">
        <f>ROUND(E1736*F1736,2)</f>
        <v>0</v>
      </c>
    </row>
    <row r="1737" spans="1:9" x14ac:dyDescent="0.3">
      <c r="B1737" s="17" t="s">
        <v>1109</v>
      </c>
      <c r="C1737" s="221">
        <f>C1732</f>
        <v>1686.0389293361886</v>
      </c>
      <c r="D1737" s="17">
        <f>H1699</f>
        <v>1506</v>
      </c>
      <c r="E1737" s="17">
        <f>ROUND((C1737/D1737)/60,2)</f>
        <v>0.02</v>
      </c>
      <c r="F1737" s="17">
        <f>D1703</f>
        <v>15</v>
      </c>
      <c r="G1737" s="16">
        <f>ROUND(E1737*F1737,2)</f>
        <v>0.3</v>
      </c>
    </row>
    <row r="1738" spans="1:9" x14ac:dyDescent="0.3">
      <c r="B1738" s="1012" t="s">
        <v>957</v>
      </c>
      <c r="C1738" s="1013"/>
      <c r="D1738" s="1013"/>
      <c r="E1738" s="1013"/>
      <c r="F1738" s="1014"/>
      <c r="G1738" s="18">
        <f>SUM(G1729:G1737)</f>
        <v>3.45</v>
      </c>
    </row>
    <row r="1739" spans="1:9" ht="8.25" customHeight="1" x14ac:dyDescent="0.3"/>
    <row r="1740" spans="1:9" ht="0.75" customHeight="1" x14ac:dyDescent="0.3"/>
    <row r="1741" spans="1:9" x14ac:dyDescent="0.3">
      <c r="B1741" s="1015" t="s">
        <v>959</v>
      </c>
      <c r="C1741" s="1015"/>
      <c r="D1741" s="1015"/>
      <c r="E1741" s="1015"/>
      <c r="F1741" s="1015"/>
      <c r="G1741" s="32">
        <f>E1695+E1707+E1719+E1725</f>
        <v>41.14</v>
      </c>
    </row>
    <row r="1742" spans="1:9" x14ac:dyDescent="0.3">
      <c r="B1742" s="33"/>
      <c r="C1742" s="33"/>
      <c r="D1742" s="33"/>
      <c r="E1742" s="33"/>
      <c r="F1742" s="33"/>
      <c r="G1742" s="34"/>
    </row>
    <row r="1743" spans="1:9" x14ac:dyDescent="0.3">
      <c r="B1743" s="1015" t="s">
        <v>960</v>
      </c>
      <c r="C1743" s="1015"/>
      <c r="D1743" s="1015"/>
      <c r="E1743" s="1015"/>
      <c r="F1743" s="1015"/>
      <c r="G1743" s="32">
        <f>ROUND(G1741,0)</f>
        <v>41</v>
      </c>
    </row>
    <row r="1744" spans="1:9" x14ac:dyDescent="0.3">
      <c r="A1744" s="44"/>
      <c r="B1744" s="33"/>
      <c r="C1744" s="33"/>
      <c r="D1744" s="33"/>
      <c r="E1744" s="33"/>
      <c r="F1744" s="33"/>
      <c r="G1744" s="60"/>
      <c r="H1744" s="44"/>
      <c r="I1744" s="44"/>
    </row>
    <row r="1745" spans="1:15" x14ac:dyDescent="0.3">
      <c r="A1745" s="44"/>
      <c r="B1745" s="33"/>
      <c r="C1745" s="33"/>
      <c r="D1745" s="33"/>
      <c r="E1745" s="33"/>
      <c r="F1745" s="33"/>
      <c r="G1745" s="60"/>
      <c r="H1745" s="44"/>
      <c r="I1745" s="44"/>
    </row>
    <row r="1746" spans="1:15" s="54" customFormat="1" ht="19.8" x14ac:dyDescent="0.4">
      <c r="A1746" s="50" t="s">
        <v>658</v>
      </c>
      <c r="B1746" s="1017" t="s">
        <v>148</v>
      </c>
      <c r="C1746" s="1017"/>
      <c r="D1746" s="1017"/>
      <c r="E1746" s="52">
        <f>G1795</f>
        <v>32</v>
      </c>
      <c r="F1746" s="52" t="s">
        <v>971</v>
      </c>
      <c r="G1746" s="53"/>
      <c r="H1746" s="124"/>
      <c r="I1746" s="125"/>
      <c r="J1746" s="132"/>
      <c r="K1746" s="126"/>
      <c r="L1746" s="126"/>
      <c r="M1746" s="126"/>
      <c r="N1746" s="126"/>
      <c r="O1746" s="127"/>
    </row>
    <row r="1747" spans="1:15" ht="9.75" customHeight="1" x14ac:dyDescent="0.3"/>
    <row r="1748" spans="1:15" x14ac:dyDescent="0.3">
      <c r="B1748" s="1018" t="s">
        <v>932</v>
      </c>
      <c r="C1748" s="1018"/>
      <c r="D1748" s="10"/>
      <c r="E1748" s="11">
        <f>E1755+E1758+E1756</f>
        <v>19.399999999999999</v>
      </c>
      <c r="F1748" s="12" t="s">
        <v>971</v>
      </c>
    </row>
    <row r="1749" spans="1:15" ht="12" customHeight="1" x14ac:dyDescent="0.3"/>
    <row r="1750" spans="1:15" ht="27.6" x14ac:dyDescent="0.3">
      <c r="B1750" s="13" t="s">
        <v>929</v>
      </c>
      <c r="C1750" s="14" t="s">
        <v>928</v>
      </c>
      <c r="D1750" s="14" t="s">
        <v>514</v>
      </c>
      <c r="E1750" s="14" t="s">
        <v>515</v>
      </c>
      <c r="F1750" s="14" t="s">
        <v>962</v>
      </c>
      <c r="G1750" s="14" t="s">
        <v>926</v>
      </c>
      <c r="H1750" s="14" t="s">
        <v>516</v>
      </c>
      <c r="I1750" s="14" t="s">
        <v>961</v>
      </c>
    </row>
    <row r="1751" spans="1:15" x14ac:dyDescent="0.3">
      <c r="B1751" s="16" t="str">
        <f>B1698</f>
        <v>Лікар-рентгенолог</v>
      </c>
      <c r="C1751" s="78"/>
      <c r="D1751" s="16">
        <f>C1751*12</f>
        <v>0</v>
      </c>
      <c r="E1751" s="16"/>
      <c r="F1751" s="16"/>
      <c r="G1751" s="16">
        <f>D1751+E1751+F1751</f>
        <v>0</v>
      </c>
      <c r="H1751" s="17">
        <v>1932.7</v>
      </c>
      <c r="I1751" s="16">
        <f>ROUND((G1751/H1751)/60,2)</f>
        <v>0</v>
      </c>
    </row>
    <row r="1752" spans="1:15" x14ac:dyDescent="0.3">
      <c r="B1752" s="16" t="str">
        <f>B1699</f>
        <v>Рентгенолаборант</v>
      </c>
      <c r="C1752" s="78">
        <f>C1699</f>
        <v>7482.48</v>
      </c>
      <c r="D1752" s="24">
        <f>C1752*12</f>
        <v>89789.759999999995</v>
      </c>
      <c r="E1752" s="16">
        <f>E1699</f>
        <v>5755.75</v>
      </c>
      <c r="F1752" s="16"/>
      <c r="G1752" s="16">
        <f>D1752+E1752+F1752</f>
        <v>95545.51</v>
      </c>
      <c r="H1752" s="62">
        <v>1506</v>
      </c>
      <c r="I1752" s="16">
        <f>ROUND((G1752/H1752)/60,2)</f>
        <v>1.06</v>
      </c>
    </row>
    <row r="1753" spans="1:15" ht="9.75" customHeight="1" x14ac:dyDescent="0.3"/>
    <row r="1754" spans="1:15" ht="27.6" x14ac:dyDescent="0.3">
      <c r="B1754" s="13" t="s">
        <v>929</v>
      </c>
      <c r="C1754" s="14" t="s">
        <v>961</v>
      </c>
      <c r="D1754" s="14" t="s">
        <v>930</v>
      </c>
      <c r="E1754" s="14" t="s">
        <v>931</v>
      </c>
    </row>
    <row r="1755" spans="1:15" x14ac:dyDescent="0.3">
      <c r="B1755" s="15" t="str">
        <f>B1751</f>
        <v>Лікар-рентгенолог</v>
      </c>
      <c r="C1755" s="78">
        <f>I1751</f>
        <v>0</v>
      </c>
      <c r="D1755" s="17">
        <v>10</v>
      </c>
      <c r="E1755" s="18">
        <f>ROUND(C1755*D1755,2)</f>
        <v>0</v>
      </c>
    </row>
    <row r="1756" spans="1:15" x14ac:dyDescent="0.3">
      <c r="B1756" s="15" t="str">
        <f>B1752</f>
        <v>Рентгенолаборант</v>
      </c>
      <c r="C1756" s="78">
        <f>I1752</f>
        <v>1.06</v>
      </c>
      <c r="D1756" s="17">
        <v>15</v>
      </c>
      <c r="E1756" s="18">
        <f>ROUND(C1756*D1756,2)</f>
        <v>15.9</v>
      </c>
    </row>
    <row r="1757" spans="1:15" x14ac:dyDescent="0.3">
      <c r="C1757" s="19"/>
    </row>
    <row r="1758" spans="1:15" x14ac:dyDescent="0.3">
      <c r="B1758" s="17" t="s">
        <v>933</v>
      </c>
      <c r="C1758" s="78">
        <f>E1755+E1756</f>
        <v>15.9</v>
      </c>
      <c r="D1758" s="20">
        <v>0.22</v>
      </c>
      <c r="E1758" s="21">
        <f>ROUND(C1758*D1758,2)</f>
        <v>3.5</v>
      </c>
    </row>
    <row r="1759" spans="1:15" ht="12" customHeight="1" x14ac:dyDescent="0.3"/>
    <row r="1760" spans="1:15" x14ac:dyDescent="0.3">
      <c r="B1760" s="12" t="s">
        <v>946</v>
      </c>
      <c r="C1760" s="227"/>
      <c r="D1760" s="12"/>
      <c r="E1760" s="11">
        <f>F1770</f>
        <v>10.709999999999999</v>
      </c>
      <c r="F1760" s="12" t="s">
        <v>971</v>
      </c>
    </row>
    <row r="1762" spans="1:15" s="184" customFormat="1" x14ac:dyDescent="0.3">
      <c r="A1762" s="180"/>
      <c r="B1762" s="367" t="s">
        <v>936</v>
      </c>
      <c r="C1762" s="368" t="s">
        <v>937</v>
      </c>
      <c r="D1762" s="370">
        <v>1</v>
      </c>
      <c r="E1762" s="369">
        <f>'МЕДИЧНІ М'!F188</f>
        <v>0.3</v>
      </c>
      <c r="F1762" s="370">
        <f>ROUND(D1762*E1762,2)</f>
        <v>0.3</v>
      </c>
      <c r="G1762" s="180"/>
      <c r="H1762" s="180"/>
      <c r="I1762" s="180"/>
      <c r="J1762" s="187"/>
      <c r="K1762" s="189"/>
      <c r="L1762" s="189"/>
      <c r="M1762" s="189"/>
      <c r="N1762" s="189"/>
      <c r="O1762" s="188"/>
    </row>
    <row r="1763" spans="1:15" s="184" customFormat="1" x14ac:dyDescent="0.3">
      <c r="A1763" s="180"/>
      <c r="B1763" s="185" t="s">
        <v>1021</v>
      </c>
      <c r="C1763" s="186" t="s">
        <v>941</v>
      </c>
      <c r="D1763" s="371">
        <v>0.5</v>
      </c>
      <c r="E1763" s="369">
        <f>'МЕДИЧНІ М'!F189</f>
        <v>2</v>
      </c>
      <c r="F1763" s="372">
        <f t="shared" ref="F1763:F1769" si="48">ROUND(D1763*E1763,2)</f>
        <v>1</v>
      </c>
      <c r="G1763" s="180"/>
      <c r="H1763" s="180"/>
      <c r="I1763" s="180"/>
      <c r="J1763" s="187"/>
      <c r="K1763" s="189"/>
      <c r="L1763" s="189"/>
      <c r="M1763" s="189"/>
      <c r="N1763" s="189"/>
      <c r="O1763" s="188"/>
    </row>
    <row r="1764" spans="1:15" s="184" customFormat="1" x14ac:dyDescent="0.3">
      <c r="A1764" s="180"/>
      <c r="B1764" s="185" t="str">
        <f>'МЕДИЧНІ М'!B190</f>
        <v>Дентальна мед.рентг.плівка 3*4см №150</v>
      </c>
      <c r="C1764" s="186" t="s">
        <v>941</v>
      </c>
      <c r="D1764" s="371">
        <v>1</v>
      </c>
      <c r="E1764" s="369">
        <f>'МЕДИЧНІ М'!F190</f>
        <v>5.6</v>
      </c>
      <c r="F1764" s="372">
        <f t="shared" si="48"/>
        <v>5.6</v>
      </c>
      <c r="G1764" s="180"/>
      <c r="H1764" s="180"/>
      <c r="I1764" s="180"/>
      <c r="J1764" s="187"/>
      <c r="K1764" s="189"/>
      <c r="L1764" s="189"/>
      <c r="M1764" s="189"/>
      <c r="N1764" s="189"/>
      <c r="O1764" s="188"/>
    </row>
    <row r="1765" spans="1:15" s="184" customFormat="1" ht="28.2" x14ac:dyDescent="0.3">
      <c r="A1765" s="180"/>
      <c r="B1765" s="185" t="s">
        <v>1025</v>
      </c>
      <c r="C1765" s="186" t="s">
        <v>941</v>
      </c>
      <c r="D1765" s="371">
        <v>0.02</v>
      </c>
      <c r="E1765" s="369">
        <f>'МЕДИЧНІ М'!F191</f>
        <v>54</v>
      </c>
      <c r="F1765" s="372">
        <f t="shared" si="48"/>
        <v>1.08</v>
      </c>
      <c r="G1765" s="180"/>
      <c r="H1765" s="180"/>
      <c r="I1765" s="180"/>
      <c r="J1765" s="187"/>
      <c r="K1765" s="189"/>
      <c r="L1765" s="189"/>
      <c r="M1765" s="189"/>
      <c r="N1765" s="189"/>
      <c r="O1765" s="188"/>
    </row>
    <row r="1766" spans="1:15" s="184" customFormat="1" x14ac:dyDescent="0.3">
      <c r="A1766" s="180"/>
      <c r="B1766" s="185" t="s">
        <v>1024</v>
      </c>
      <c r="C1766" s="186" t="s">
        <v>941</v>
      </c>
      <c r="D1766" s="371">
        <v>0.02</v>
      </c>
      <c r="E1766" s="369">
        <f>'МЕДИЧНІ М'!F192</f>
        <v>97.3</v>
      </c>
      <c r="F1766" s="372">
        <f t="shared" si="48"/>
        <v>1.95</v>
      </c>
      <c r="G1766" s="180"/>
      <c r="H1766" s="180"/>
      <c r="I1766" s="180"/>
      <c r="J1766" s="187"/>
      <c r="K1766" s="189"/>
      <c r="L1766" s="189"/>
      <c r="M1766" s="189"/>
      <c r="N1766" s="189"/>
      <c r="O1766" s="188"/>
    </row>
    <row r="1767" spans="1:15" s="184" customFormat="1" x14ac:dyDescent="0.3">
      <c r="A1767" s="180"/>
      <c r="B1767" s="185" t="s">
        <v>964</v>
      </c>
      <c r="C1767" s="186" t="s">
        <v>941</v>
      </c>
      <c r="D1767" s="374">
        <v>0.1</v>
      </c>
      <c r="E1767" s="369">
        <f>'МЕДИЧНІ М'!F193</f>
        <v>2.8</v>
      </c>
      <c r="F1767" s="372">
        <f t="shared" si="48"/>
        <v>0.28000000000000003</v>
      </c>
      <c r="G1767" s="180"/>
      <c r="H1767" s="180"/>
      <c r="I1767" s="180"/>
      <c r="J1767" s="187"/>
      <c r="K1767" s="189"/>
      <c r="L1767" s="189"/>
      <c r="M1767" s="189"/>
      <c r="N1767" s="189"/>
      <c r="O1767" s="188"/>
    </row>
    <row r="1768" spans="1:15" s="184" customFormat="1" x14ac:dyDescent="0.3">
      <c r="A1768" s="180"/>
      <c r="B1768" s="367" t="s">
        <v>942</v>
      </c>
      <c r="C1768" s="368" t="s">
        <v>941</v>
      </c>
      <c r="D1768" s="369">
        <v>0.01</v>
      </c>
      <c r="E1768" s="369">
        <f>'МЕДИЧНІ М'!F194</f>
        <v>24.6</v>
      </c>
      <c r="F1768" s="370">
        <f t="shared" si="48"/>
        <v>0.25</v>
      </c>
      <c r="G1768" s="180"/>
      <c r="H1768" s="180"/>
      <c r="I1768" s="180"/>
      <c r="J1768" s="187"/>
      <c r="K1768" s="189"/>
      <c r="L1768" s="189"/>
      <c r="M1768" s="189"/>
      <c r="N1768" s="189"/>
      <c r="O1768" s="188"/>
    </row>
    <row r="1769" spans="1:15" s="184" customFormat="1" x14ac:dyDescent="0.3">
      <c r="A1769" s="180"/>
      <c r="B1769" s="367" t="s">
        <v>1124</v>
      </c>
      <c r="C1769" s="368" t="s">
        <v>944</v>
      </c>
      <c r="D1769" s="369">
        <v>0.5</v>
      </c>
      <c r="E1769" s="369">
        <f>'МЕДИЧНІ М'!F195</f>
        <v>0.5</v>
      </c>
      <c r="F1769" s="370">
        <f t="shared" si="48"/>
        <v>0.25</v>
      </c>
      <c r="G1769" s="180"/>
      <c r="H1769" s="180"/>
      <c r="I1769" s="180"/>
      <c r="J1769" s="187"/>
      <c r="K1769" s="189"/>
      <c r="L1769" s="189"/>
      <c r="M1769" s="189"/>
      <c r="N1769" s="189"/>
      <c r="O1769" s="188"/>
    </row>
    <row r="1770" spans="1:15" s="184" customFormat="1" x14ac:dyDescent="0.3">
      <c r="A1770" s="180"/>
      <c r="B1770" s="1052" t="s">
        <v>945</v>
      </c>
      <c r="C1770" s="1052"/>
      <c r="D1770" s="1052"/>
      <c r="E1770" s="1052"/>
      <c r="F1770" s="373">
        <f>SUM(F1762:F1769)</f>
        <v>10.709999999999999</v>
      </c>
      <c r="G1770" s="180"/>
      <c r="H1770" s="180"/>
      <c r="I1770" s="180"/>
      <c r="J1770" s="187"/>
      <c r="K1770" s="189"/>
      <c r="L1770" s="189"/>
      <c r="M1770" s="189"/>
      <c r="N1770" s="189"/>
      <c r="O1770" s="188"/>
    </row>
    <row r="1771" spans="1:15" ht="9" customHeight="1" x14ac:dyDescent="0.3"/>
    <row r="1772" spans="1:15" x14ac:dyDescent="0.3">
      <c r="B1772" s="12" t="s">
        <v>968</v>
      </c>
      <c r="C1772" s="227"/>
      <c r="D1772" s="12"/>
      <c r="E1772" s="11">
        <f>SUM(G1775:G1776)</f>
        <v>0</v>
      </c>
      <c r="F1772" s="12" t="s">
        <v>971</v>
      </c>
    </row>
    <row r="1773" spans="1:15" ht="6.75" customHeight="1" x14ac:dyDescent="0.3">
      <c r="B1773" s="22"/>
      <c r="C1773" s="36"/>
      <c r="D1773" s="22"/>
      <c r="E1773" s="23"/>
      <c r="F1773" s="22"/>
    </row>
    <row r="1774" spans="1:15" ht="27.6" x14ac:dyDescent="0.3">
      <c r="B1774" s="14" t="s">
        <v>513</v>
      </c>
      <c r="C1774" s="14" t="s">
        <v>1108</v>
      </c>
      <c r="D1774" s="14" t="s">
        <v>516</v>
      </c>
      <c r="E1774" s="14" t="s">
        <v>970</v>
      </c>
      <c r="F1774" s="14" t="s">
        <v>930</v>
      </c>
      <c r="G1774" s="14" t="s">
        <v>961</v>
      </c>
    </row>
    <row r="1775" spans="1:15" x14ac:dyDescent="0.3">
      <c r="B1775" s="46" t="s">
        <v>1161</v>
      </c>
      <c r="C1775" s="78">
        <f>C1722</f>
        <v>0</v>
      </c>
      <c r="D1775" s="62">
        <f>H1751</f>
        <v>1932.7</v>
      </c>
      <c r="E1775" s="17">
        <f>ROUND((C1775/D1775)/60,2)</f>
        <v>0</v>
      </c>
      <c r="F1775" s="17">
        <f>D1755</f>
        <v>10</v>
      </c>
      <c r="G1775" s="16">
        <f>ROUND(E1775*F1775,2)</f>
        <v>0</v>
      </c>
    </row>
    <row r="1776" spans="1:15" x14ac:dyDescent="0.3">
      <c r="B1776" s="27" t="s">
        <v>1093</v>
      </c>
      <c r="C1776" s="78">
        <f>C1723</f>
        <v>0</v>
      </c>
      <c r="D1776" s="62">
        <f>H1752</f>
        <v>1506</v>
      </c>
      <c r="E1776" s="17">
        <f>ROUND((C1776/D1776)/60,2)</f>
        <v>0</v>
      </c>
      <c r="F1776" s="17">
        <f>D1756</f>
        <v>15</v>
      </c>
      <c r="G1776" s="16">
        <f>ROUND(E1776*F1776,2)</f>
        <v>0</v>
      </c>
      <c r="H1776" s="38"/>
    </row>
    <row r="1777" spans="2:7" ht="7.5" customHeight="1" x14ac:dyDescent="0.3"/>
    <row r="1778" spans="2:7" x14ac:dyDescent="0.3">
      <c r="B1778" s="12" t="s">
        <v>948</v>
      </c>
      <c r="C1778" s="227"/>
      <c r="D1778" s="12"/>
      <c r="E1778" s="11">
        <f>G1791</f>
        <v>2.25</v>
      </c>
      <c r="F1778" s="12" t="s">
        <v>971</v>
      </c>
    </row>
    <row r="1779" spans="2:7" ht="9" customHeight="1" x14ac:dyDescent="0.3">
      <c r="B1779" s="22"/>
      <c r="C1779" s="36"/>
      <c r="D1779" s="22"/>
      <c r="E1779" s="23"/>
    </row>
    <row r="1780" spans="2:7" ht="27.6" x14ac:dyDescent="0.3">
      <c r="B1780" s="14" t="s">
        <v>948</v>
      </c>
      <c r="C1780" s="14" t="s">
        <v>1110</v>
      </c>
      <c r="D1780" s="14" t="s">
        <v>516</v>
      </c>
      <c r="E1780" s="14" t="s">
        <v>954</v>
      </c>
      <c r="F1780" s="14" t="s">
        <v>930</v>
      </c>
      <c r="G1780" s="14" t="s">
        <v>1111</v>
      </c>
    </row>
    <row r="1781" spans="2:7" x14ac:dyDescent="0.3">
      <c r="B1781" s="1009" t="str">
        <f>B1751</f>
        <v>Лікар-рентгенолог</v>
      </c>
      <c r="C1781" s="1010"/>
      <c r="D1781" s="1010"/>
      <c r="E1781" s="1010"/>
      <c r="F1781" s="1010"/>
      <c r="G1781" s="1011"/>
    </row>
    <row r="1782" spans="2:7" x14ac:dyDescent="0.3">
      <c r="B1782" s="17" t="s">
        <v>951</v>
      </c>
      <c r="C1782" s="221"/>
      <c r="D1782" s="17">
        <f>H1751</f>
        <v>1932.7</v>
      </c>
      <c r="E1782" s="17">
        <f>ROUND((C1782/D1782)/60,2)</f>
        <v>0</v>
      </c>
      <c r="F1782" s="17">
        <f>D1755</f>
        <v>10</v>
      </c>
      <c r="G1782" s="16">
        <f>ROUND(E1782*F1782,2)</f>
        <v>0</v>
      </c>
    </row>
    <row r="1783" spans="2:7" x14ac:dyDescent="0.3">
      <c r="B1783" s="17" t="s">
        <v>952</v>
      </c>
      <c r="C1783" s="221"/>
      <c r="D1783" s="17">
        <f>H1751</f>
        <v>1932.7</v>
      </c>
      <c r="E1783" s="17">
        <f>ROUND((C1783/D1783)/60,2)</f>
        <v>0</v>
      </c>
      <c r="F1783" s="17">
        <f>D1755</f>
        <v>10</v>
      </c>
      <c r="G1783" s="16">
        <f>ROUND(E1783*F1783,2)</f>
        <v>0</v>
      </c>
    </row>
    <row r="1784" spans="2:7" x14ac:dyDescent="0.3">
      <c r="B1784" s="17" t="s">
        <v>953</v>
      </c>
      <c r="C1784" s="221"/>
      <c r="D1784" s="17">
        <f>H1751</f>
        <v>1932.7</v>
      </c>
      <c r="E1784" s="17">
        <f>ROUND((C1784/D1784)/60,2)</f>
        <v>0</v>
      </c>
      <c r="F1784" s="17">
        <f>D1755</f>
        <v>10</v>
      </c>
      <c r="G1784" s="16">
        <f>ROUND(E1784*F1784,2)</f>
        <v>0</v>
      </c>
    </row>
    <row r="1785" spans="2:7" x14ac:dyDescent="0.3">
      <c r="B1785" s="17" t="s">
        <v>1109</v>
      </c>
      <c r="C1785" s="221"/>
      <c r="D1785" s="17">
        <f>H1751</f>
        <v>1932.7</v>
      </c>
      <c r="E1785" s="17">
        <f>ROUND((C1785/D1785)/60,2)</f>
        <v>0</v>
      </c>
      <c r="F1785" s="17">
        <f>D1755</f>
        <v>10</v>
      </c>
      <c r="G1785" s="16">
        <f>ROUND(E1785*F1785,2)</f>
        <v>0</v>
      </c>
    </row>
    <row r="1786" spans="2:7" x14ac:dyDescent="0.3">
      <c r="B1786" s="1009" t="str">
        <f>B1752</f>
        <v>Рентгенолаборант</v>
      </c>
      <c r="C1786" s="1010"/>
      <c r="D1786" s="1010"/>
      <c r="E1786" s="1010"/>
      <c r="F1786" s="1010"/>
      <c r="G1786" s="1011"/>
    </row>
    <row r="1787" spans="2:7" x14ac:dyDescent="0.3">
      <c r="B1787" s="17" t="s">
        <v>951</v>
      </c>
      <c r="C1787" s="221">
        <f>C1734</f>
        <v>12188.608008565312</v>
      </c>
      <c r="D1787" s="17">
        <f>H1752</f>
        <v>1506</v>
      </c>
      <c r="E1787" s="17">
        <f>ROUND((C1787/D1787)/60,2)</f>
        <v>0.13</v>
      </c>
      <c r="F1787" s="17">
        <f>D1756</f>
        <v>15</v>
      </c>
      <c r="G1787" s="16">
        <f>ROUND(E1787*F1787,2)</f>
        <v>1.95</v>
      </c>
    </row>
    <row r="1788" spans="2:7" x14ac:dyDescent="0.3">
      <c r="B1788" s="17" t="s">
        <v>952</v>
      </c>
      <c r="C1788" s="221">
        <f>C1735</f>
        <v>53.149721627408987</v>
      </c>
      <c r="D1788" s="17">
        <f>H1752</f>
        <v>1506</v>
      </c>
      <c r="E1788" s="17">
        <f>ROUND((C1788/D1788)/60,2)</f>
        <v>0</v>
      </c>
      <c r="F1788" s="17">
        <f>D1756</f>
        <v>15</v>
      </c>
      <c r="G1788" s="16">
        <f>ROUND(E1788*F1788,2)</f>
        <v>0</v>
      </c>
    </row>
    <row r="1789" spans="2:7" x14ac:dyDescent="0.3">
      <c r="B1789" s="17" t="s">
        <v>953</v>
      </c>
      <c r="C1789" s="221">
        <f>C1736</f>
        <v>374.98368308351178</v>
      </c>
      <c r="D1789" s="17">
        <f>H1752</f>
        <v>1506</v>
      </c>
      <c r="E1789" s="17">
        <f>ROUND((C1789/D1789)/60,2)</f>
        <v>0</v>
      </c>
      <c r="F1789" s="17">
        <f>D1756</f>
        <v>15</v>
      </c>
      <c r="G1789" s="16">
        <f>ROUND(E1789*F1789,2)</f>
        <v>0</v>
      </c>
    </row>
    <row r="1790" spans="2:7" x14ac:dyDescent="0.3">
      <c r="B1790" s="17" t="s">
        <v>1109</v>
      </c>
      <c r="C1790" s="221">
        <f>C1737</f>
        <v>1686.0389293361886</v>
      </c>
      <c r="D1790" s="17">
        <f>H1752</f>
        <v>1506</v>
      </c>
      <c r="E1790" s="17">
        <f>ROUND((C1790/D1790)/60,2)</f>
        <v>0.02</v>
      </c>
      <c r="F1790" s="17">
        <f>D1756</f>
        <v>15</v>
      </c>
      <c r="G1790" s="16">
        <f>ROUND(E1790*F1790,2)</f>
        <v>0.3</v>
      </c>
    </row>
    <row r="1791" spans="2:7" x14ac:dyDescent="0.3">
      <c r="B1791" s="1012" t="s">
        <v>957</v>
      </c>
      <c r="C1791" s="1013"/>
      <c r="D1791" s="1013"/>
      <c r="E1791" s="1013"/>
      <c r="F1791" s="1014"/>
      <c r="G1791" s="18">
        <f>SUM(G1782:G1790)</f>
        <v>2.25</v>
      </c>
    </row>
    <row r="1792" spans="2:7" ht="14.25" customHeight="1" x14ac:dyDescent="0.3"/>
    <row r="1793" spans="1:15" x14ac:dyDescent="0.3">
      <c r="B1793" s="1015" t="s">
        <v>959</v>
      </c>
      <c r="C1793" s="1015"/>
      <c r="D1793" s="1015"/>
      <c r="E1793" s="1015"/>
      <c r="F1793" s="1015"/>
      <c r="G1793" s="32">
        <f>E1748+E1760+E1772+E1778</f>
        <v>32.36</v>
      </c>
    </row>
    <row r="1794" spans="1:15" x14ac:dyDescent="0.3">
      <c r="B1794" s="33"/>
      <c r="C1794" s="33"/>
      <c r="D1794" s="33"/>
      <c r="E1794" s="33"/>
      <c r="F1794" s="33"/>
      <c r="G1794" s="34"/>
    </row>
    <row r="1795" spans="1:15" s="54" customFormat="1" ht="19.8" x14ac:dyDescent="0.4">
      <c r="A1795" s="53"/>
      <c r="B1795" s="1051" t="s">
        <v>960</v>
      </c>
      <c r="C1795" s="1051"/>
      <c r="D1795" s="1051"/>
      <c r="E1795" s="1051"/>
      <c r="F1795" s="1051"/>
      <c r="G1795" s="32">
        <f>ROUND(G1793,0)</f>
        <v>32</v>
      </c>
      <c r="H1795" s="53"/>
      <c r="I1795" s="53"/>
      <c r="J1795" s="132"/>
      <c r="K1795" s="126"/>
      <c r="L1795" s="126"/>
      <c r="M1795" s="126"/>
      <c r="N1795" s="126"/>
      <c r="O1795" s="127"/>
    </row>
    <row r="1796" spans="1:15" s="741" customFormat="1" ht="19.8" x14ac:dyDescent="0.4">
      <c r="A1796" s="736"/>
      <c r="B1796" s="149"/>
      <c r="C1796" s="149"/>
      <c r="D1796" s="149"/>
      <c r="E1796" s="149"/>
      <c r="F1796" s="149"/>
      <c r="G1796" s="737"/>
      <c r="H1796" s="736"/>
      <c r="I1796" s="736"/>
      <c r="J1796" s="738"/>
      <c r="K1796" s="739"/>
      <c r="L1796" s="739"/>
      <c r="M1796" s="739"/>
      <c r="N1796" s="739"/>
      <c r="O1796" s="740"/>
    </row>
    <row r="1797" spans="1:15" s="54" customFormat="1" ht="19.8" x14ac:dyDescent="0.4">
      <c r="A1797" s="50" t="s">
        <v>501</v>
      </c>
      <c r="B1797" s="1017" t="s">
        <v>502</v>
      </c>
      <c r="C1797" s="1017"/>
      <c r="D1797" s="1017"/>
      <c r="E1797" s="52">
        <f>G1848</f>
        <v>53</v>
      </c>
      <c r="F1797" s="52" t="s">
        <v>971</v>
      </c>
      <c r="G1797" s="53"/>
      <c r="H1797" s="124"/>
      <c r="I1797" s="125" t="s">
        <v>1023</v>
      </c>
      <c r="J1797" s="130"/>
      <c r="K1797" s="114"/>
      <c r="L1797" s="114"/>
      <c r="M1797" s="114"/>
      <c r="N1797" s="126"/>
      <c r="O1797" s="127"/>
    </row>
    <row r="1798" spans="1:15" ht="18.600000000000001" x14ac:dyDescent="0.3">
      <c r="I1798" s="125" t="s">
        <v>504</v>
      </c>
    </row>
    <row r="1799" spans="1:15" x14ac:dyDescent="0.3">
      <c r="B1799" s="1018" t="s">
        <v>932</v>
      </c>
      <c r="C1799" s="1018"/>
      <c r="D1799" s="10"/>
      <c r="E1799" s="11">
        <f>E1806+E1809+E1807</f>
        <v>31.78</v>
      </c>
      <c r="F1799" s="12" t="s">
        <v>971</v>
      </c>
    </row>
    <row r="1801" spans="1:15" ht="27.6" x14ac:dyDescent="0.3">
      <c r="B1801" s="13" t="s">
        <v>929</v>
      </c>
      <c r="C1801" s="14" t="s">
        <v>928</v>
      </c>
      <c r="D1801" s="14" t="s">
        <v>514</v>
      </c>
      <c r="E1801" s="14" t="s">
        <v>515</v>
      </c>
      <c r="F1801" s="14" t="s">
        <v>962</v>
      </c>
      <c r="G1801" s="14" t="s">
        <v>926</v>
      </c>
      <c r="H1801" s="14" t="s">
        <v>516</v>
      </c>
      <c r="I1801" s="14" t="s">
        <v>961</v>
      </c>
    </row>
    <row r="1802" spans="1:15" x14ac:dyDescent="0.3">
      <c r="B1802" s="16" t="str">
        <f>B1751</f>
        <v>Лікар-рентгенолог</v>
      </c>
      <c r="C1802" s="78">
        <f t="shared" ref="C1802:F1803" si="49">C429</f>
        <v>8463.5400000000009</v>
      </c>
      <c r="D1802" s="78">
        <f t="shared" si="49"/>
        <v>101562.48000000001</v>
      </c>
      <c r="E1802" s="78">
        <f t="shared" si="49"/>
        <v>7052.95</v>
      </c>
      <c r="F1802" s="78">
        <f t="shared" si="49"/>
        <v>3526.4749999999999</v>
      </c>
      <c r="G1802" s="16">
        <f>D1802+E1802+F1802</f>
        <v>112141.90500000001</v>
      </c>
      <c r="H1802" s="17">
        <v>1932.7</v>
      </c>
      <c r="I1802" s="16">
        <f>ROUND((G1802/H1802)/60,2)</f>
        <v>0.97</v>
      </c>
    </row>
    <row r="1803" spans="1:15" x14ac:dyDescent="0.3">
      <c r="B1803" s="16" t="str">
        <f>B1752</f>
        <v>Рентгенолаборант</v>
      </c>
      <c r="C1803" s="78">
        <f t="shared" si="49"/>
        <v>7482.48</v>
      </c>
      <c r="D1803" s="78">
        <f t="shared" si="49"/>
        <v>89789.759999999995</v>
      </c>
      <c r="E1803" s="78">
        <f t="shared" si="49"/>
        <v>5755.75</v>
      </c>
      <c r="F1803" s="78">
        <f t="shared" si="49"/>
        <v>2877.875</v>
      </c>
      <c r="G1803" s="16">
        <f>D1803+E1803+F1803</f>
        <v>98423.384999999995</v>
      </c>
      <c r="H1803" s="62">
        <v>1506</v>
      </c>
      <c r="I1803" s="16">
        <f>ROUND((G1803/H1803)/60,2)</f>
        <v>1.0900000000000001</v>
      </c>
    </row>
    <row r="1805" spans="1:15" ht="27.6" x14ac:dyDescent="0.3">
      <c r="B1805" s="13" t="s">
        <v>929</v>
      </c>
      <c r="C1805" s="14" t="s">
        <v>961</v>
      </c>
      <c r="D1805" s="14" t="s">
        <v>930</v>
      </c>
      <c r="E1805" s="14" t="s">
        <v>931</v>
      </c>
    </row>
    <row r="1806" spans="1:15" x14ac:dyDescent="0.3">
      <c r="B1806" s="15" t="str">
        <f>B1802</f>
        <v>Лікар-рентгенолог</v>
      </c>
      <c r="C1806" s="78">
        <f>C433</f>
        <v>0.97</v>
      </c>
      <c r="D1806" s="78">
        <f>D433</f>
        <v>10</v>
      </c>
      <c r="E1806" s="18">
        <f>ROUND(C1806*D1806,2)</f>
        <v>9.6999999999999993</v>
      </c>
    </row>
    <row r="1807" spans="1:15" x14ac:dyDescent="0.3">
      <c r="B1807" s="15" t="str">
        <f>B1803</f>
        <v>Рентгенолаборант</v>
      </c>
      <c r="C1807" s="78">
        <f>C434</f>
        <v>1.0900000000000001</v>
      </c>
      <c r="D1807" s="78">
        <f>D434</f>
        <v>15</v>
      </c>
      <c r="E1807" s="18">
        <f>ROUND(C1807*D1807,2)</f>
        <v>16.350000000000001</v>
      </c>
    </row>
    <row r="1808" spans="1:15" x14ac:dyDescent="0.3">
      <c r="C1808" s="19"/>
    </row>
    <row r="1809" spans="1:15" x14ac:dyDescent="0.3">
      <c r="B1809" s="17" t="s">
        <v>933</v>
      </c>
      <c r="C1809" s="78">
        <f>E1806+E1807</f>
        <v>26.05</v>
      </c>
      <c r="D1809" s="20">
        <v>0.22</v>
      </c>
      <c r="E1809" s="21">
        <f>ROUND(C1809*D1809,2)</f>
        <v>5.73</v>
      </c>
    </row>
    <row r="1811" spans="1:15" x14ac:dyDescent="0.3">
      <c r="B1811" s="12" t="s">
        <v>946</v>
      </c>
      <c r="C1811" s="227"/>
      <c r="D1811" s="12"/>
      <c r="E1811" s="11">
        <f>F1822</f>
        <v>18.11</v>
      </c>
      <c r="F1811" s="12" t="s">
        <v>971</v>
      </c>
    </row>
    <row r="1813" spans="1:15" x14ac:dyDescent="0.3">
      <c r="B1813" s="27" t="str">
        <f t="shared" ref="B1813:E1815" si="50">B440</f>
        <v>Мікрасепт</v>
      </c>
      <c r="C1813" s="303" t="str">
        <f t="shared" si="50"/>
        <v>мл</v>
      </c>
      <c r="D1813" s="303">
        <f t="shared" si="50"/>
        <v>1</v>
      </c>
      <c r="E1813" s="303">
        <f t="shared" si="50"/>
        <v>0.3</v>
      </c>
      <c r="F1813" s="28">
        <f>ROUND(D1813*E1813,2)</f>
        <v>0.3</v>
      </c>
    </row>
    <row r="1814" spans="1:15" s="184" customFormat="1" x14ac:dyDescent="0.3">
      <c r="A1814" s="180"/>
      <c r="B1814" s="27" t="str">
        <f t="shared" si="50"/>
        <v>Маска на резинці, стерильна</v>
      </c>
      <c r="C1814" s="303" t="str">
        <f t="shared" si="50"/>
        <v>шт</v>
      </c>
      <c r="D1814" s="303">
        <f t="shared" si="50"/>
        <v>0.5</v>
      </c>
      <c r="E1814" s="303">
        <f t="shared" si="50"/>
        <v>2</v>
      </c>
      <c r="F1814" s="186">
        <f t="shared" ref="F1814:F1821" si="51">ROUND(D1814*E1814,2)</f>
        <v>1</v>
      </c>
      <c r="G1814" s="180"/>
      <c r="H1814" s="180"/>
      <c r="I1814" s="180"/>
      <c r="J1814" s="187"/>
      <c r="K1814" s="189"/>
      <c r="L1814" s="189"/>
      <c r="M1814" s="189"/>
      <c r="N1814" s="189"/>
      <c r="O1814" s="188"/>
    </row>
    <row r="1815" spans="1:15" x14ac:dyDescent="0.3">
      <c r="B1815" s="27" t="str">
        <f t="shared" si="50"/>
        <v>Бинт марлевий 7х14</v>
      </c>
      <c r="C1815" s="303" t="str">
        <f t="shared" si="50"/>
        <v>шт</v>
      </c>
      <c r="D1815" s="303">
        <f t="shared" si="50"/>
        <v>0.1</v>
      </c>
      <c r="E1815" s="303">
        <f t="shared" si="50"/>
        <v>8</v>
      </c>
      <c r="F1815" s="73">
        <f t="shared" si="51"/>
        <v>0.8</v>
      </c>
    </row>
    <row r="1816" spans="1:15" x14ac:dyDescent="0.3">
      <c r="B1816" s="27" t="str">
        <f>'МЕДИЧНІ М'!B321</f>
        <v>Рентген 24 * 30 № 100</v>
      </c>
      <c r="C1816" s="303" t="str">
        <f t="shared" ref="C1816:D1821" si="52">C443</f>
        <v>шт</v>
      </c>
      <c r="D1816" s="303">
        <f t="shared" si="52"/>
        <v>1</v>
      </c>
      <c r="E1816" s="651">
        <f>'МЕДИЧНІ М'!F321</f>
        <v>12.2</v>
      </c>
      <c r="F1816" s="73">
        <f t="shared" si="51"/>
        <v>12.2</v>
      </c>
    </row>
    <row r="1817" spans="1:15" ht="27.6" x14ac:dyDescent="0.3">
      <c r="B1817" s="27" t="str">
        <f>B444</f>
        <v>Фіксаж "Lisoform" ХімРей для фотохімічної обробки медичних рентг. плівок</v>
      </c>
      <c r="C1817" s="303" t="str">
        <f t="shared" si="52"/>
        <v>шт</v>
      </c>
      <c r="D1817" s="303">
        <f t="shared" si="52"/>
        <v>0.02</v>
      </c>
      <c r="E1817" s="303">
        <f>E444</f>
        <v>54</v>
      </c>
      <c r="F1817" s="73">
        <f t="shared" si="51"/>
        <v>1.08</v>
      </c>
    </row>
    <row r="1818" spans="1:15" x14ac:dyDescent="0.3">
      <c r="B1818" s="27" t="str">
        <f>B445</f>
        <v>Проявник "Lisoform" ХімРей</v>
      </c>
      <c r="C1818" s="303" t="str">
        <f t="shared" si="52"/>
        <v>шт</v>
      </c>
      <c r="D1818" s="303">
        <f t="shared" si="52"/>
        <v>0.02</v>
      </c>
      <c r="E1818" s="303">
        <f>E445</f>
        <v>97.3</v>
      </c>
      <c r="F1818" s="73">
        <f t="shared" si="51"/>
        <v>1.95</v>
      </c>
    </row>
    <row r="1819" spans="1:15" x14ac:dyDescent="0.3">
      <c r="B1819" s="27" t="str">
        <f>B446</f>
        <v>Рукавиці не стерильні</v>
      </c>
      <c r="C1819" s="303" t="str">
        <f t="shared" si="52"/>
        <v>шт</v>
      </c>
      <c r="D1819" s="303">
        <f t="shared" si="52"/>
        <v>0.1</v>
      </c>
      <c r="E1819" s="303">
        <f>E446</f>
        <v>2.8</v>
      </c>
      <c r="F1819" s="73">
        <f t="shared" si="51"/>
        <v>0.28000000000000003</v>
      </c>
    </row>
    <row r="1820" spans="1:15" x14ac:dyDescent="0.3">
      <c r="B1820" s="27" t="str">
        <f>B447</f>
        <v xml:space="preserve">Спирт 70% 100мл </v>
      </c>
      <c r="C1820" s="303" t="str">
        <f t="shared" si="52"/>
        <v>шт</v>
      </c>
      <c r="D1820" s="303">
        <f t="shared" si="52"/>
        <v>0.01</v>
      </c>
      <c r="E1820" s="303">
        <f>E447</f>
        <v>24.6</v>
      </c>
      <c r="F1820" s="28">
        <f t="shared" si="51"/>
        <v>0.25</v>
      </c>
    </row>
    <row r="1821" spans="1:15" x14ac:dyDescent="0.3">
      <c r="B1821" s="27" t="str">
        <f>B448</f>
        <v>Деззасоби</v>
      </c>
      <c r="C1821" s="303" t="str">
        <f t="shared" si="52"/>
        <v>г</v>
      </c>
      <c r="D1821" s="303">
        <f t="shared" si="52"/>
        <v>0.5</v>
      </c>
      <c r="E1821" s="303">
        <f>E448</f>
        <v>0.5</v>
      </c>
      <c r="F1821" s="28">
        <f t="shared" si="51"/>
        <v>0.25</v>
      </c>
    </row>
    <row r="1822" spans="1:15" x14ac:dyDescent="0.3">
      <c r="B1822" s="1019" t="s">
        <v>945</v>
      </c>
      <c r="C1822" s="1019"/>
      <c r="D1822" s="1019"/>
      <c r="E1822" s="1019"/>
      <c r="F1822" s="89">
        <f>SUM(F1813:F1821)</f>
        <v>18.11</v>
      </c>
    </row>
    <row r="1824" spans="1:15" x14ac:dyDescent="0.3">
      <c r="B1824" s="12" t="s">
        <v>968</v>
      </c>
      <c r="C1824" s="227"/>
      <c r="D1824" s="12"/>
      <c r="E1824" s="11">
        <f>SUM(G1827:G1828)</f>
        <v>0</v>
      </c>
      <c r="F1824" s="12" t="s">
        <v>971</v>
      </c>
    </row>
    <row r="1825" spans="2:8" ht="6" customHeight="1" x14ac:dyDescent="0.3">
      <c r="B1825" s="22"/>
      <c r="C1825" s="36"/>
      <c r="D1825" s="22"/>
      <c r="E1825" s="23"/>
      <c r="F1825" s="22"/>
    </row>
    <row r="1826" spans="2:8" ht="27.6" x14ac:dyDescent="0.3">
      <c r="B1826" s="14" t="s">
        <v>513</v>
      </c>
      <c r="C1826" s="14" t="s">
        <v>1108</v>
      </c>
      <c r="D1826" s="14" t="s">
        <v>516</v>
      </c>
      <c r="E1826" s="14" t="s">
        <v>970</v>
      </c>
      <c r="F1826" s="14" t="s">
        <v>930</v>
      </c>
      <c r="G1826" s="14" t="s">
        <v>961</v>
      </c>
    </row>
    <row r="1827" spans="2:8" x14ac:dyDescent="0.3">
      <c r="B1827" s="46" t="str">
        <f>B454</f>
        <v>Автоматизоване робоче місце</v>
      </c>
      <c r="C1827" s="799">
        <f>C1775</f>
        <v>0</v>
      </c>
      <c r="D1827" s="46">
        <f t="shared" ref="D1827:F1828" si="53">D454</f>
        <v>1932.7</v>
      </c>
      <c r="E1827" s="46">
        <f t="shared" si="53"/>
        <v>0</v>
      </c>
      <c r="F1827" s="46">
        <f t="shared" si="53"/>
        <v>10</v>
      </c>
      <c r="G1827" s="16">
        <f>ROUND(E1827*F1827,2)</f>
        <v>0</v>
      </c>
    </row>
    <row r="1828" spans="2:8" x14ac:dyDescent="0.3">
      <c r="B1828" s="46" t="str">
        <f>B455</f>
        <v>Рентген</v>
      </c>
      <c r="C1828" s="799">
        <f>C1776</f>
        <v>0</v>
      </c>
      <c r="D1828" s="46">
        <f t="shared" si="53"/>
        <v>1506</v>
      </c>
      <c r="E1828" s="46">
        <f t="shared" si="53"/>
        <v>0</v>
      </c>
      <c r="F1828" s="46">
        <f t="shared" si="53"/>
        <v>15</v>
      </c>
      <c r="G1828" s="16">
        <f>ROUND(E1828*F1828,2)</f>
        <v>0</v>
      </c>
      <c r="H1828" s="38"/>
    </row>
    <row r="1829" spans="2:8" ht="10.5" customHeight="1" x14ac:dyDescent="0.3"/>
    <row r="1830" spans="2:8" x14ac:dyDescent="0.3">
      <c r="B1830" s="12" t="s">
        <v>948</v>
      </c>
      <c r="C1830" s="227"/>
      <c r="D1830" s="12"/>
      <c r="E1830" s="11">
        <f>G1843</f>
        <v>3.45</v>
      </c>
      <c r="F1830" s="12" t="s">
        <v>971</v>
      </c>
    </row>
    <row r="1831" spans="2:8" ht="9" customHeight="1" x14ac:dyDescent="0.3">
      <c r="B1831" s="22"/>
      <c r="C1831" s="36"/>
      <c r="D1831" s="22"/>
      <c r="E1831" s="23"/>
    </row>
    <row r="1832" spans="2:8" ht="27.6" x14ac:dyDescent="0.3">
      <c r="B1832" s="14" t="s">
        <v>948</v>
      </c>
      <c r="C1832" s="14" t="s">
        <v>1110</v>
      </c>
      <c r="D1832" s="14" t="s">
        <v>516</v>
      </c>
      <c r="E1832" s="14" t="s">
        <v>954</v>
      </c>
      <c r="F1832" s="14" t="s">
        <v>930</v>
      </c>
      <c r="G1832" s="14" t="s">
        <v>1111</v>
      </c>
    </row>
    <row r="1833" spans="2:8" x14ac:dyDescent="0.3">
      <c r="B1833" s="1009" t="str">
        <f>B1802</f>
        <v>Лікар-рентгенолог</v>
      </c>
      <c r="C1833" s="1010"/>
      <c r="D1833" s="1010"/>
      <c r="E1833" s="1010"/>
      <c r="F1833" s="1010"/>
      <c r="G1833" s="1011"/>
    </row>
    <row r="1834" spans="2:8" x14ac:dyDescent="0.3">
      <c r="B1834" s="17" t="str">
        <f>B461</f>
        <v>Непрямі (адміністративні)</v>
      </c>
      <c r="C1834" s="112">
        <f>C461</f>
        <v>12188.608008565312</v>
      </c>
      <c r="D1834" s="17">
        <f>D461</f>
        <v>1932.7</v>
      </c>
      <c r="E1834" s="17">
        <f>E461</f>
        <v>0.11</v>
      </c>
      <c r="F1834" s="17">
        <f>F461</f>
        <v>10</v>
      </c>
      <c r="G1834" s="16">
        <f>ROUND(E1834*F1834,2)</f>
        <v>1.1000000000000001</v>
      </c>
    </row>
    <row r="1835" spans="2:8" x14ac:dyDescent="0.3">
      <c r="B1835" s="17" t="str">
        <f t="shared" ref="B1835:F1837" si="54">B462</f>
        <v>Непрямі (поточні)</v>
      </c>
      <c r="C1835" s="112">
        <f t="shared" si="54"/>
        <v>53.149721627408987</v>
      </c>
      <c r="D1835" s="17">
        <f t="shared" si="54"/>
        <v>1932.7</v>
      </c>
      <c r="E1835" s="17">
        <f t="shared" si="54"/>
        <v>0</v>
      </c>
      <c r="F1835" s="17">
        <f t="shared" si="54"/>
        <v>10</v>
      </c>
      <c r="G1835" s="16">
        <f>ROUND(E1835*F1835,2)</f>
        <v>0</v>
      </c>
    </row>
    <row r="1836" spans="2:8" x14ac:dyDescent="0.3">
      <c r="B1836" s="17" t="str">
        <f t="shared" si="54"/>
        <v>Непрямі (комунальні)</v>
      </c>
      <c r="C1836" s="112">
        <f t="shared" si="54"/>
        <v>374.98368308351178</v>
      </c>
      <c r="D1836" s="17">
        <f t="shared" si="54"/>
        <v>1932.7</v>
      </c>
      <c r="E1836" s="17">
        <f t="shared" si="54"/>
        <v>0</v>
      </c>
      <c r="F1836" s="17">
        <f t="shared" si="54"/>
        <v>10</v>
      </c>
      <c r="G1836" s="16">
        <f>ROUND(E1836*F1836,2)</f>
        <v>0</v>
      </c>
    </row>
    <row r="1837" spans="2:8" x14ac:dyDescent="0.3">
      <c r="B1837" s="17" t="str">
        <f t="shared" si="54"/>
        <v>Непрямі (відділення)</v>
      </c>
      <c r="C1837" s="112">
        <f t="shared" si="54"/>
        <v>1686.0389293361886</v>
      </c>
      <c r="D1837" s="17">
        <f t="shared" si="54"/>
        <v>1932.7</v>
      </c>
      <c r="E1837" s="17">
        <f t="shared" si="54"/>
        <v>0.01</v>
      </c>
      <c r="F1837" s="17">
        <f t="shared" si="54"/>
        <v>10</v>
      </c>
      <c r="G1837" s="16">
        <f>ROUND(E1837*F1837,2)</f>
        <v>0.1</v>
      </c>
    </row>
    <row r="1838" spans="2:8" x14ac:dyDescent="0.3">
      <c r="B1838" s="1009" t="str">
        <f>B1803</f>
        <v>Рентгенолаборант</v>
      </c>
      <c r="C1838" s="1010"/>
      <c r="D1838" s="1010"/>
      <c r="E1838" s="1010"/>
      <c r="F1838" s="1010"/>
      <c r="G1838" s="1011"/>
    </row>
    <row r="1839" spans="2:8" x14ac:dyDescent="0.3">
      <c r="B1839" s="17" t="str">
        <f>B466</f>
        <v>Непрямі (адміністративні)</v>
      </c>
      <c r="C1839" s="17">
        <f>C466</f>
        <v>12188.608008565312</v>
      </c>
      <c r="D1839" s="17">
        <f>D466</f>
        <v>1506</v>
      </c>
      <c r="E1839" s="17">
        <f>E466</f>
        <v>0.13</v>
      </c>
      <c r="F1839" s="17">
        <f>F466</f>
        <v>15</v>
      </c>
      <c r="G1839" s="16">
        <f>ROUND(E1839*F1839,2)</f>
        <v>1.95</v>
      </c>
    </row>
    <row r="1840" spans="2:8" x14ac:dyDescent="0.3">
      <c r="B1840" s="17" t="str">
        <f t="shared" ref="B1840:F1842" si="55">B467</f>
        <v>Непрямі (поточні)</v>
      </c>
      <c r="C1840" s="17">
        <f t="shared" si="55"/>
        <v>53.149721627408987</v>
      </c>
      <c r="D1840" s="17">
        <f t="shared" si="55"/>
        <v>1506</v>
      </c>
      <c r="E1840" s="17">
        <f t="shared" si="55"/>
        <v>0</v>
      </c>
      <c r="F1840" s="17">
        <f t="shared" si="55"/>
        <v>15</v>
      </c>
      <c r="G1840" s="16">
        <f>ROUND(E1840*F1840,2)</f>
        <v>0</v>
      </c>
    </row>
    <row r="1841" spans="1:15" x14ac:dyDescent="0.3">
      <c r="B1841" s="17" t="str">
        <f t="shared" si="55"/>
        <v>Непрямі (комунальні)</v>
      </c>
      <c r="C1841" s="17">
        <f t="shared" si="55"/>
        <v>374.98368308351178</v>
      </c>
      <c r="D1841" s="17">
        <f t="shared" si="55"/>
        <v>1506</v>
      </c>
      <c r="E1841" s="17">
        <f t="shared" si="55"/>
        <v>0</v>
      </c>
      <c r="F1841" s="17">
        <f t="shared" si="55"/>
        <v>15</v>
      </c>
      <c r="G1841" s="16">
        <f>ROUND(E1841*F1841,2)</f>
        <v>0</v>
      </c>
    </row>
    <row r="1842" spans="1:15" x14ac:dyDescent="0.3">
      <c r="B1842" s="17" t="str">
        <f t="shared" si="55"/>
        <v>Непрямі (відділення)</v>
      </c>
      <c r="C1842" s="17">
        <f t="shared" si="55"/>
        <v>1686.0389293361886</v>
      </c>
      <c r="D1842" s="17">
        <f t="shared" si="55"/>
        <v>1506</v>
      </c>
      <c r="E1842" s="17">
        <f t="shared" si="55"/>
        <v>0.02</v>
      </c>
      <c r="F1842" s="17">
        <f t="shared" si="55"/>
        <v>15</v>
      </c>
      <c r="G1842" s="16">
        <f>ROUND(E1842*F1842,2)</f>
        <v>0.3</v>
      </c>
    </row>
    <row r="1843" spans="1:15" x14ac:dyDescent="0.3">
      <c r="B1843" s="1012" t="s">
        <v>957</v>
      </c>
      <c r="C1843" s="1013"/>
      <c r="D1843" s="1013"/>
      <c r="E1843" s="1013"/>
      <c r="F1843" s="1014"/>
      <c r="G1843" s="18">
        <f>SUM(G1834:G1842)</f>
        <v>3.45</v>
      </c>
    </row>
    <row r="1844" spans="1:15" ht="9" customHeight="1" x14ac:dyDescent="0.3"/>
    <row r="1845" spans="1:15" ht="3.75" customHeight="1" x14ac:dyDescent="0.3"/>
    <row r="1846" spans="1:15" x14ac:dyDescent="0.3">
      <c r="B1846" s="1015" t="s">
        <v>959</v>
      </c>
      <c r="C1846" s="1015"/>
      <c r="D1846" s="1015"/>
      <c r="E1846" s="1015"/>
      <c r="F1846" s="1015"/>
      <c r="G1846" s="32">
        <f>E1799+E1811+E1824+E1830</f>
        <v>53.34</v>
      </c>
    </row>
    <row r="1847" spans="1:15" ht="9" customHeight="1" x14ac:dyDescent="0.3">
      <c r="B1847" s="33"/>
      <c r="C1847" s="33"/>
      <c r="D1847" s="33"/>
      <c r="E1847" s="33"/>
      <c r="F1847" s="33"/>
      <c r="G1847" s="34"/>
    </row>
    <row r="1848" spans="1:15" x14ac:dyDescent="0.3">
      <c r="B1848" s="1015" t="s">
        <v>960</v>
      </c>
      <c r="C1848" s="1015"/>
      <c r="D1848" s="1015"/>
      <c r="E1848" s="1015"/>
      <c r="F1848" s="1015"/>
      <c r="G1848" s="32">
        <f>ROUND(G1846,0)</f>
        <v>53</v>
      </c>
    </row>
    <row r="1852" spans="1:15" s="54" customFormat="1" ht="19.8" x14ac:dyDescent="0.4">
      <c r="A1852" s="50" t="s">
        <v>505</v>
      </c>
      <c r="B1852" s="1017" t="s">
        <v>502</v>
      </c>
      <c r="C1852" s="1017"/>
      <c r="D1852" s="1017"/>
      <c r="E1852" s="52">
        <f>G1903</f>
        <v>61</v>
      </c>
      <c r="F1852" s="52" t="s">
        <v>971</v>
      </c>
      <c r="G1852" s="53"/>
      <c r="H1852" s="124"/>
      <c r="I1852" s="125" t="s">
        <v>1023</v>
      </c>
      <c r="J1852" s="130"/>
      <c r="K1852" s="114"/>
      <c r="L1852" s="114"/>
      <c r="M1852" s="114"/>
      <c r="N1852" s="126"/>
      <c r="O1852" s="127"/>
    </row>
    <row r="1853" spans="1:15" ht="18.600000000000001" x14ac:dyDescent="0.3">
      <c r="I1853" s="125" t="s">
        <v>506</v>
      </c>
    </row>
    <row r="1854" spans="1:15" x14ac:dyDescent="0.3">
      <c r="B1854" s="1018" t="s">
        <v>932</v>
      </c>
      <c r="C1854" s="1018"/>
      <c r="D1854" s="10"/>
      <c r="E1854" s="11">
        <f>E1861+E1864+E1862</f>
        <v>31.78</v>
      </c>
      <c r="F1854" s="12" t="s">
        <v>971</v>
      </c>
    </row>
    <row r="1856" spans="1:15" ht="27.6" x14ac:dyDescent="0.3">
      <c r="B1856" s="13" t="s">
        <v>929</v>
      </c>
      <c r="C1856" s="14" t="s">
        <v>928</v>
      </c>
      <c r="D1856" s="14" t="s">
        <v>514</v>
      </c>
      <c r="E1856" s="14" t="s">
        <v>515</v>
      </c>
      <c r="F1856" s="14" t="s">
        <v>962</v>
      </c>
      <c r="G1856" s="14" t="s">
        <v>926</v>
      </c>
      <c r="H1856" s="14" t="s">
        <v>516</v>
      </c>
      <c r="I1856" s="14" t="s">
        <v>961</v>
      </c>
    </row>
    <row r="1857" spans="1:15" x14ac:dyDescent="0.3">
      <c r="B1857" s="16" t="str">
        <f>B1802</f>
        <v>Лікар-рентгенолог</v>
      </c>
      <c r="C1857" s="221">
        <f t="shared" ref="C1857:G1858" si="56">C1802</f>
        <v>8463.5400000000009</v>
      </c>
      <c r="D1857" s="221">
        <f t="shared" si="56"/>
        <v>101562.48000000001</v>
      </c>
      <c r="E1857" s="221">
        <f t="shared" si="56"/>
        <v>7052.95</v>
      </c>
      <c r="F1857" s="221">
        <f t="shared" si="56"/>
        <v>3526.4749999999999</v>
      </c>
      <c r="G1857" s="221">
        <f t="shared" si="56"/>
        <v>112141.90500000001</v>
      </c>
      <c r="H1857" s="73">
        <v>1932.7</v>
      </c>
      <c r="I1857" s="78">
        <f>ROUND((G1857/H1857)/60,2)</f>
        <v>0.97</v>
      </c>
    </row>
    <row r="1858" spans="1:15" x14ac:dyDescent="0.3">
      <c r="B1858" s="16" t="str">
        <f>B1803</f>
        <v>Рентгенолаборант</v>
      </c>
      <c r="C1858" s="221">
        <f t="shared" si="56"/>
        <v>7482.48</v>
      </c>
      <c r="D1858" s="221">
        <f t="shared" si="56"/>
        <v>89789.759999999995</v>
      </c>
      <c r="E1858" s="221">
        <f t="shared" si="56"/>
        <v>5755.75</v>
      </c>
      <c r="F1858" s="221">
        <f t="shared" si="56"/>
        <v>2877.875</v>
      </c>
      <c r="G1858" s="221">
        <f t="shared" si="56"/>
        <v>98423.384999999995</v>
      </c>
      <c r="H1858" s="268">
        <v>1506</v>
      </c>
      <c r="I1858" s="78">
        <f>ROUND((G1858/H1858)/60,2)</f>
        <v>1.0900000000000001</v>
      </c>
    </row>
    <row r="1860" spans="1:15" ht="27.6" x14ac:dyDescent="0.3">
      <c r="B1860" s="13" t="s">
        <v>929</v>
      </c>
      <c r="C1860" s="14" t="s">
        <v>961</v>
      </c>
      <c r="D1860" s="14" t="s">
        <v>930</v>
      </c>
      <c r="E1860" s="14" t="s">
        <v>931</v>
      </c>
    </row>
    <row r="1861" spans="1:15" x14ac:dyDescent="0.3">
      <c r="B1861" s="15" t="str">
        <f t="shared" ref="B1861:D1862" si="57">B1806</f>
        <v>Лікар-рентгенолог</v>
      </c>
      <c r="C1861" s="15">
        <f t="shared" si="57"/>
        <v>0.97</v>
      </c>
      <c r="D1861" s="15">
        <f t="shared" si="57"/>
        <v>10</v>
      </c>
      <c r="E1861" s="18">
        <f>ROUND(C1861*D1861,2)</f>
        <v>9.6999999999999993</v>
      </c>
    </row>
    <row r="1862" spans="1:15" x14ac:dyDescent="0.3">
      <c r="B1862" s="15" t="str">
        <f t="shared" si="57"/>
        <v>Рентгенолаборант</v>
      </c>
      <c r="C1862" s="15">
        <f t="shared" si="57"/>
        <v>1.0900000000000001</v>
      </c>
      <c r="D1862" s="15">
        <f t="shared" si="57"/>
        <v>15</v>
      </c>
      <c r="E1862" s="18">
        <f>ROUND(C1862*D1862,2)</f>
        <v>16.350000000000001</v>
      </c>
    </row>
    <row r="1863" spans="1:15" x14ac:dyDescent="0.3">
      <c r="C1863" s="19"/>
    </row>
    <row r="1864" spans="1:15" x14ac:dyDescent="0.3">
      <c r="B1864" s="17" t="s">
        <v>933</v>
      </c>
      <c r="C1864" s="78">
        <f>E1861+E1862</f>
        <v>26.05</v>
      </c>
      <c r="D1864" s="20">
        <v>0.22</v>
      </c>
      <c r="E1864" s="21">
        <f>ROUND(C1864*D1864,2)</f>
        <v>5.73</v>
      </c>
    </row>
    <row r="1866" spans="1:15" x14ac:dyDescent="0.3">
      <c r="B1866" s="12" t="s">
        <v>946</v>
      </c>
      <c r="C1866" s="227"/>
      <c r="D1866" s="12"/>
      <c r="E1866" s="11">
        <f>F1877</f>
        <v>25.81</v>
      </c>
      <c r="F1866" s="12" t="s">
        <v>971</v>
      </c>
    </row>
    <row r="1868" spans="1:15" x14ac:dyDescent="0.3">
      <c r="B1868" s="27" t="str">
        <f t="shared" ref="B1868:E1870" si="58">B1813</f>
        <v>Мікрасепт</v>
      </c>
      <c r="C1868" s="303" t="str">
        <f t="shared" si="58"/>
        <v>мл</v>
      </c>
      <c r="D1868" s="303">
        <f t="shared" si="58"/>
        <v>1</v>
      </c>
      <c r="E1868" s="303">
        <f t="shared" si="58"/>
        <v>0.3</v>
      </c>
      <c r="F1868" s="28">
        <f>ROUND(D1868*E1868,2)</f>
        <v>0.3</v>
      </c>
    </row>
    <row r="1869" spans="1:15" s="184" customFormat="1" x14ac:dyDescent="0.3">
      <c r="A1869" s="180"/>
      <c r="B1869" s="27" t="str">
        <f t="shared" si="58"/>
        <v>Маска на резинці, стерильна</v>
      </c>
      <c r="C1869" s="303" t="str">
        <f t="shared" si="58"/>
        <v>шт</v>
      </c>
      <c r="D1869" s="303">
        <f t="shared" si="58"/>
        <v>0.5</v>
      </c>
      <c r="E1869" s="303">
        <f t="shared" si="58"/>
        <v>2</v>
      </c>
      <c r="F1869" s="186">
        <f t="shared" ref="F1869:F1876" si="59">ROUND(D1869*E1869,2)</f>
        <v>1</v>
      </c>
      <c r="G1869" s="180"/>
      <c r="H1869" s="180"/>
      <c r="I1869" s="180"/>
      <c r="J1869" s="187"/>
      <c r="K1869" s="189"/>
      <c r="L1869" s="189"/>
      <c r="M1869" s="189"/>
      <c r="N1869" s="189"/>
      <c r="O1869" s="188"/>
    </row>
    <row r="1870" spans="1:15" x14ac:dyDescent="0.3">
      <c r="B1870" s="27" t="str">
        <f t="shared" si="58"/>
        <v>Бинт марлевий 7х14</v>
      </c>
      <c r="C1870" s="303" t="str">
        <f t="shared" si="58"/>
        <v>шт</v>
      </c>
      <c r="D1870" s="303">
        <f t="shared" si="58"/>
        <v>0.1</v>
      </c>
      <c r="E1870" s="303">
        <f t="shared" si="58"/>
        <v>8</v>
      </c>
      <c r="F1870" s="73">
        <f t="shared" si="59"/>
        <v>0.8</v>
      </c>
    </row>
    <row r="1871" spans="1:15" x14ac:dyDescent="0.3">
      <c r="B1871" s="27" t="str">
        <f>'МЕДИЧНІ М'!B322</f>
        <v>Рентген 30 * 40 № 100</v>
      </c>
      <c r="C1871" s="303" t="str">
        <f t="shared" ref="C1871:D1876" si="60">C1816</f>
        <v>шт</v>
      </c>
      <c r="D1871" s="303">
        <f t="shared" si="60"/>
        <v>1</v>
      </c>
      <c r="E1871" s="651">
        <f>'МЕДИЧНІ М'!F322</f>
        <v>19.899999999999999</v>
      </c>
      <c r="F1871" s="73">
        <f t="shared" si="59"/>
        <v>19.899999999999999</v>
      </c>
    </row>
    <row r="1872" spans="1:15" ht="27.6" x14ac:dyDescent="0.3">
      <c r="B1872" s="27" t="str">
        <f>B1817</f>
        <v>Фіксаж "Lisoform" ХімРей для фотохімічної обробки медичних рентг. плівок</v>
      </c>
      <c r="C1872" s="303" t="str">
        <f t="shared" si="60"/>
        <v>шт</v>
      </c>
      <c r="D1872" s="303">
        <f t="shared" si="60"/>
        <v>0.02</v>
      </c>
      <c r="E1872" s="303">
        <f>E1817</f>
        <v>54</v>
      </c>
      <c r="F1872" s="73">
        <f t="shared" si="59"/>
        <v>1.08</v>
      </c>
    </row>
    <row r="1873" spans="2:8" x14ac:dyDescent="0.3">
      <c r="B1873" s="27" t="str">
        <f>B1818</f>
        <v>Проявник "Lisoform" ХімРей</v>
      </c>
      <c r="C1873" s="303" t="str">
        <f t="shared" si="60"/>
        <v>шт</v>
      </c>
      <c r="D1873" s="303">
        <f t="shared" si="60"/>
        <v>0.02</v>
      </c>
      <c r="E1873" s="303">
        <f>E1818</f>
        <v>97.3</v>
      </c>
      <c r="F1873" s="73">
        <f t="shared" si="59"/>
        <v>1.95</v>
      </c>
    </row>
    <row r="1874" spans="2:8" x14ac:dyDescent="0.3">
      <c r="B1874" s="27" t="str">
        <f>B1819</f>
        <v>Рукавиці не стерильні</v>
      </c>
      <c r="C1874" s="303" t="str">
        <f t="shared" si="60"/>
        <v>шт</v>
      </c>
      <c r="D1874" s="303">
        <f t="shared" si="60"/>
        <v>0.1</v>
      </c>
      <c r="E1874" s="303">
        <f>E1819</f>
        <v>2.8</v>
      </c>
      <c r="F1874" s="73">
        <f t="shared" si="59"/>
        <v>0.28000000000000003</v>
      </c>
    </row>
    <row r="1875" spans="2:8" x14ac:dyDescent="0.3">
      <c r="B1875" s="27" t="str">
        <f>B1820</f>
        <v xml:space="preserve">Спирт 70% 100мл </v>
      </c>
      <c r="C1875" s="303" t="str">
        <f t="shared" si="60"/>
        <v>шт</v>
      </c>
      <c r="D1875" s="303">
        <f t="shared" si="60"/>
        <v>0.01</v>
      </c>
      <c r="E1875" s="303">
        <f>E1820</f>
        <v>24.6</v>
      </c>
      <c r="F1875" s="28">
        <f t="shared" si="59"/>
        <v>0.25</v>
      </c>
    </row>
    <row r="1876" spans="2:8" x14ac:dyDescent="0.3">
      <c r="B1876" s="27" t="str">
        <f>B1821</f>
        <v>Деззасоби</v>
      </c>
      <c r="C1876" s="303" t="str">
        <f t="shared" si="60"/>
        <v>г</v>
      </c>
      <c r="D1876" s="303">
        <f t="shared" si="60"/>
        <v>0.5</v>
      </c>
      <c r="E1876" s="303">
        <f>E1821</f>
        <v>0.5</v>
      </c>
      <c r="F1876" s="28">
        <f t="shared" si="59"/>
        <v>0.25</v>
      </c>
    </row>
    <row r="1877" spans="2:8" x14ac:dyDescent="0.3">
      <c r="B1877" s="1019" t="s">
        <v>945</v>
      </c>
      <c r="C1877" s="1019"/>
      <c r="D1877" s="1019"/>
      <c r="E1877" s="1019"/>
      <c r="F1877" s="89">
        <f>SUM(F1868:F1876)</f>
        <v>25.81</v>
      </c>
    </row>
    <row r="1879" spans="2:8" x14ac:dyDescent="0.3">
      <c r="B1879" s="12" t="s">
        <v>968</v>
      </c>
      <c r="C1879" s="227"/>
      <c r="D1879" s="12"/>
      <c r="E1879" s="11">
        <f>SUM(G1882:G1883)</f>
        <v>0</v>
      </c>
      <c r="F1879" s="12" t="s">
        <v>971</v>
      </c>
    </row>
    <row r="1880" spans="2:8" ht="6" customHeight="1" x14ac:dyDescent="0.3">
      <c r="B1880" s="22"/>
      <c r="C1880" s="36"/>
      <c r="D1880" s="22"/>
      <c r="E1880" s="23"/>
      <c r="F1880" s="22"/>
    </row>
    <row r="1881" spans="2:8" ht="27.6" x14ac:dyDescent="0.3">
      <c r="B1881" s="14" t="s">
        <v>513</v>
      </c>
      <c r="C1881" s="14" t="s">
        <v>1108</v>
      </c>
      <c r="D1881" s="14" t="s">
        <v>516</v>
      </c>
      <c r="E1881" s="14" t="s">
        <v>970</v>
      </c>
      <c r="F1881" s="14" t="s">
        <v>930</v>
      </c>
      <c r="G1881" s="14" t="s">
        <v>961</v>
      </c>
    </row>
    <row r="1882" spans="2:8" x14ac:dyDescent="0.3">
      <c r="B1882" s="46" t="str">
        <f t="shared" ref="B1882:F1883" si="61">B1827</f>
        <v>Автоматизоване робоче місце</v>
      </c>
      <c r="C1882" s="14">
        <f t="shared" si="61"/>
        <v>0</v>
      </c>
      <c r="D1882" s="14">
        <f t="shared" si="61"/>
        <v>1932.7</v>
      </c>
      <c r="E1882" s="14">
        <f t="shared" si="61"/>
        <v>0</v>
      </c>
      <c r="F1882" s="14">
        <f t="shared" si="61"/>
        <v>10</v>
      </c>
      <c r="G1882" s="78">
        <f>ROUND(E1882*F1882,2)</f>
        <v>0</v>
      </c>
    </row>
    <row r="1883" spans="2:8" x14ac:dyDescent="0.3">
      <c r="B1883" s="46" t="str">
        <f t="shared" si="61"/>
        <v>Рентген</v>
      </c>
      <c r="C1883" s="14">
        <f t="shared" si="61"/>
        <v>0</v>
      </c>
      <c r="D1883" s="14">
        <f t="shared" si="61"/>
        <v>1506</v>
      </c>
      <c r="E1883" s="14">
        <f t="shared" si="61"/>
        <v>0</v>
      </c>
      <c r="F1883" s="14">
        <f t="shared" si="61"/>
        <v>15</v>
      </c>
      <c r="G1883" s="78">
        <f>ROUND(E1883*F1883,2)</f>
        <v>0</v>
      </c>
      <c r="H1883" s="38"/>
    </row>
    <row r="1884" spans="2:8" ht="10.5" customHeight="1" x14ac:dyDescent="0.3"/>
    <row r="1885" spans="2:8" x14ac:dyDescent="0.3">
      <c r="B1885" s="12" t="s">
        <v>948</v>
      </c>
      <c r="C1885" s="227"/>
      <c r="D1885" s="12"/>
      <c r="E1885" s="11">
        <f>G1898</f>
        <v>3.45</v>
      </c>
      <c r="F1885" s="12" t="s">
        <v>971</v>
      </c>
    </row>
    <row r="1886" spans="2:8" ht="9" customHeight="1" x14ac:dyDescent="0.3">
      <c r="B1886" s="22"/>
      <c r="C1886" s="36"/>
      <c r="D1886" s="22"/>
      <c r="E1886" s="23"/>
    </row>
    <row r="1887" spans="2:8" ht="27.6" x14ac:dyDescent="0.3">
      <c r="B1887" s="14" t="s">
        <v>948</v>
      </c>
      <c r="C1887" s="14" t="s">
        <v>1110</v>
      </c>
      <c r="D1887" s="14" t="s">
        <v>516</v>
      </c>
      <c r="E1887" s="14" t="s">
        <v>954</v>
      </c>
      <c r="F1887" s="14" t="s">
        <v>930</v>
      </c>
      <c r="G1887" s="14" t="s">
        <v>1111</v>
      </c>
    </row>
    <row r="1888" spans="2:8" x14ac:dyDescent="0.3">
      <c r="B1888" s="1009" t="str">
        <f>B1857</f>
        <v>Лікар-рентгенолог</v>
      </c>
      <c r="C1888" s="1010"/>
      <c r="D1888" s="1010"/>
      <c r="E1888" s="1010"/>
      <c r="F1888" s="1010"/>
      <c r="G1888" s="1011"/>
    </row>
    <row r="1889" spans="2:7" x14ac:dyDescent="0.3">
      <c r="B1889" s="17" t="str">
        <f>B1834</f>
        <v>Непрямі (адміністративні)</v>
      </c>
      <c r="C1889" s="112">
        <f>C1834</f>
        <v>12188.608008565312</v>
      </c>
      <c r="D1889" s="17">
        <f>D1834</f>
        <v>1932.7</v>
      </c>
      <c r="E1889" s="17">
        <f>E1834</f>
        <v>0.11</v>
      </c>
      <c r="F1889" s="17">
        <f>F1834</f>
        <v>10</v>
      </c>
      <c r="G1889" s="16">
        <f>ROUND(E1889*F1889,2)</f>
        <v>1.1000000000000001</v>
      </c>
    </row>
    <row r="1890" spans="2:7" x14ac:dyDescent="0.3">
      <c r="B1890" s="17" t="str">
        <f t="shared" ref="B1890:F1892" si="62">B1835</f>
        <v>Непрямі (поточні)</v>
      </c>
      <c r="C1890" s="112">
        <f t="shared" si="62"/>
        <v>53.149721627408987</v>
      </c>
      <c r="D1890" s="17">
        <f t="shared" si="62"/>
        <v>1932.7</v>
      </c>
      <c r="E1890" s="17">
        <f t="shared" si="62"/>
        <v>0</v>
      </c>
      <c r="F1890" s="17">
        <f t="shared" si="62"/>
        <v>10</v>
      </c>
      <c r="G1890" s="16">
        <f>ROUND(E1890*F1890,2)</f>
        <v>0</v>
      </c>
    </row>
    <row r="1891" spans="2:7" x14ac:dyDescent="0.3">
      <c r="B1891" s="17" t="str">
        <f t="shared" si="62"/>
        <v>Непрямі (комунальні)</v>
      </c>
      <c r="C1891" s="112">
        <f t="shared" si="62"/>
        <v>374.98368308351178</v>
      </c>
      <c r="D1891" s="17">
        <f t="shared" si="62"/>
        <v>1932.7</v>
      </c>
      <c r="E1891" s="17">
        <f t="shared" si="62"/>
        <v>0</v>
      </c>
      <c r="F1891" s="17">
        <f t="shared" si="62"/>
        <v>10</v>
      </c>
      <c r="G1891" s="16">
        <f>ROUND(E1891*F1891,2)</f>
        <v>0</v>
      </c>
    </row>
    <row r="1892" spans="2:7" x14ac:dyDescent="0.3">
      <c r="B1892" s="17" t="str">
        <f t="shared" si="62"/>
        <v>Непрямі (відділення)</v>
      </c>
      <c r="C1892" s="112">
        <f t="shared" si="62"/>
        <v>1686.0389293361886</v>
      </c>
      <c r="D1892" s="17">
        <f t="shared" si="62"/>
        <v>1932.7</v>
      </c>
      <c r="E1892" s="17">
        <f t="shared" si="62"/>
        <v>0.01</v>
      </c>
      <c r="F1892" s="17">
        <f t="shared" si="62"/>
        <v>10</v>
      </c>
      <c r="G1892" s="16">
        <f>ROUND(E1892*F1892,2)</f>
        <v>0.1</v>
      </c>
    </row>
    <row r="1893" spans="2:7" x14ac:dyDescent="0.3">
      <c r="B1893" s="1009" t="str">
        <f>B1858</f>
        <v>Рентгенолаборант</v>
      </c>
      <c r="C1893" s="1010"/>
      <c r="D1893" s="1010"/>
      <c r="E1893" s="1010"/>
      <c r="F1893" s="1010"/>
      <c r="G1893" s="1011"/>
    </row>
    <row r="1894" spans="2:7" x14ac:dyDescent="0.3">
      <c r="B1894" s="17" t="str">
        <f>B1839</f>
        <v>Непрямі (адміністративні)</v>
      </c>
      <c r="C1894" s="112">
        <f>C1839</f>
        <v>12188.608008565312</v>
      </c>
      <c r="D1894" s="17">
        <f>D1839</f>
        <v>1506</v>
      </c>
      <c r="E1894" s="17">
        <f>E1839</f>
        <v>0.13</v>
      </c>
      <c r="F1894" s="17">
        <f>F1839</f>
        <v>15</v>
      </c>
      <c r="G1894" s="16">
        <f>ROUND(E1894*F1894,2)</f>
        <v>1.95</v>
      </c>
    </row>
    <row r="1895" spans="2:7" x14ac:dyDescent="0.3">
      <c r="B1895" s="17" t="str">
        <f t="shared" ref="B1895:F1897" si="63">B1840</f>
        <v>Непрямі (поточні)</v>
      </c>
      <c r="C1895" s="112">
        <f t="shared" si="63"/>
        <v>53.149721627408987</v>
      </c>
      <c r="D1895" s="17">
        <f t="shared" si="63"/>
        <v>1506</v>
      </c>
      <c r="E1895" s="17">
        <f t="shared" si="63"/>
        <v>0</v>
      </c>
      <c r="F1895" s="17">
        <f t="shared" si="63"/>
        <v>15</v>
      </c>
      <c r="G1895" s="16">
        <f>ROUND(E1895*F1895,2)</f>
        <v>0</v>
      </c>
    </row>
    <row r="1896" spans="2:7" x14ac:dyDescent="0.3">
      <c r="B1896" s="17" t="str">
        <f t="shared" si="63"/>
        <v>Непрямі (комунальні)</v>
      </c>
      <c r="C1896" s="112">
        <f t="shared" si="63"/>
        <v>374.98368308351178</v>
      </c>
      <c r="D1896" s="17">
        <f t="shared" si="63"/>
        <v>1506</v>
      </c>
      <c r="E1896" s="17">
        <f t="shared" si="63"/>
        <v>0</v>
      </c>
      <c r="F1896" s="17">
        <f t="shared" si="63"/>
        <v>15</v>
      </c>
      <c r="G1896" s="16">
        <f>ROUND(E1896*F1896,2)</f>
        <v>0</v>
      </c>
    </row>
    <row r="1897" spans="2:7" x14ac:dyDescent="0.3">
      <c r="B1897" s="17" t="str">
        <f t="shared" si="63"/>
        <v>Непрямі (відділення)</v>
      </c>
      <c r="C1897" s="112">
        <f t="shared" si="63"/>
        <v>1686.0389293361886</v>
      </c>
      <c r="D1897" s="17">
        <f t="shared" si="63"/>
        <v>1506</v>
      </c>
      <c r="E1897" s="17">
        <f t="shared" si="63"/>
        <v>0.02</v>
      </c>
      <c r="F1897" s="17">
        <f t="shared" si="63"/>
        <v>15</v>
      </c>
      <c r="G1897" s="16">
        <f>ROUND(E1897*F1897,2)</f>
        <v>0.3</v>
      </c>
    </row>
    <row r="1898" spans="2:7" x14ac:dyDescent="0.3">
      <c r="B1898" s="1012" t="s">
        <v>957</v>
      </c>
      <c r="C1898" s="1013"/>
      <c r="D1898" s="1013"/>
      <c r="E1898" s="1013"/>
      <c r="F1898" s="1014"/>
      <c r="G1898" s="18">
        <f>SUM(G1889:G1897)</f>
        <v>3.45</v>
      </c>
    </row>
    <row r="1899" spans="2:7" ht="9" customHeight="1" x14ac:dyDescent="0.3"/>
    <row r="1900" spans="2:7" ht="3.75" customHeight="1" x14ac:dyDescent="0.3"/>
    <row r="1901" spans="2:7" x14ac:dyDescent="0.3">
      <c r="B1901" s="1015" t="s">
        <v>959</v>
      </c>
      <c r="C1901" s="1015"/>
      <c r="D1901" s="1015"/>
      <c r="E1901" s="1015"/>
      <c r="F1901" s="1015"/>
      <c r="G1901" s="32">
        <f>E1854+E1866+E1879+E1885</f>
        <v>61.040000000000006</v>
      </c>
    </row>
    <row r="1902" spans="2:7" ht="9" customHeight="1" x14ac:dyDescent="0.3">
      <c r="B1902" s="33"/>
      <c r="C1902" s="33"/>
      <c r="D1902" s="33"/>
      <c r="E1902" s="33"/>
      <c r="F1902" s="33"/>
      <c r="G1902" s="34"/>
    </row>
    <row r="1903" spans="2:7" x14ac:dyDescent="0.3">
      <c r="B1903" s="1015" t="s">
        <v>960</v>
      </c>
      <c r="C1903" s="1015"/>
      <c r="D1903" s="1015"/>
      <c r="E1903" s="1015"/>
      <c r="F1903" s="1015"/>
      <c r="G1903" s="32">
        <f>ROUND(G1901,0)</f>
        <v>61</v>
      </c>
    </row>
    <row r="1907" spans="1:9" ht="19.2" x14ac:dyDescent="0.35">
      <c r="A1907" s="50" t="s">
        <v>507</v>
      </c>
      <c r="B1907" s="1017" t="s">
        <v>679</v>
      </c>
      <c r="C1907" s="1017"/>
      <c r="D1907" s="1017"/>
      <c r="E1907" s="52">
        <f>G1958</f>
        <v>66</v>
      </c>
      <c r="F1907" s="52" t="s">
        <v>971</v>
      </c>
      <c r="G1907" s="53"/>
      <c r="H1907" s="124"/>
      <c r="I1907" s="125" t="s">
        <v>508</v>
      </c>
    </row>
    <row r="1908" spans="1:9" ht="18.600000000000001" x14ac:dyDescent="0.3">
      <c r="I1908" s="125" t="s">
        <v>504</v>
      </c>
    </row>
    <row r="1909" spans="1:9" x14ac:dyDescent="0.3">
      <c r="B1909" s="1018" t="s">
        <v>932</v>
      </c>
      <c r="C1909" s="1018"/>
      <c r="D1909" s="10"/>
      <c r="E1909" s="11">
        <f>E1916+E1919+E1917</f>
        <v>31.78</v>
      </c>
      <c r="F1909" s="12" t="s">
        <v>971</v>
      </c>
    </row>
    <row r="1911" spans="1:9" ht="27.6" x14ac:dyDescent="0.3">
      <c r="B1911" s="13" t="s">
        <v>929</v>
      </c>
      <c r="C1911" s="14" t="s">
        <v>928</v>
      </c>
      <c r="D1911" s="14" t="s">
        <v>514</v>
      </c>
      <c r="E1911" s="14" t="s">
        <v>515</v>
      </c>
      <c r="F1911" s="14" t="s">
        <v>962</v>
      </c>
      <c r="G1911" s="14" t="s">
        <v>926</v>
      </c>
      <c r="H1911" s="14" t="s">
        <v>516</v>
      </c>
      <c r="I1911" s="14" t="s">
        <v>961</v>
      </c>
    </row>
    <row r="1912" spans="1:9" x14ac:dyDescent="0.3">
      <c r="B1912" s="16" t="str">
        <f t="shared" ref="B1912:G1913" si="64">B1857</f>
        <v>Лікар-рентгенолог</v>
      </c>
      <c r="C1912" s="221">
        <f t="shared" si="64"/>
        <v>8463.5400000000009</v>
      </c>
      <c r="D1912" s="221">
        <f t="shared" si="64"/>
        <v>101562.48000000001</v>
      </c>
      <c r="E1912" s="221">
        <f t="shared" si="64"/>
        <v>7052.95</v>
      </c>
      <c r="F1912" s="221">
        <f t="shared" si="64"/>
        <v>3526.4749999999999</v>
      </c>
      <c r="G1912" s="221">
        <f t="shared" si="64"/>
        <v>112141.90500000001</v>
      </c>
      <c r="H1912" s="73">
        <v>1932.7</v>
      </c>
      <c r="I1912" s="78">
        <f>ROUND((G1912/H1912)/60,2)</f>
        <v>0.97</v>
      </c>
    </row>
    <row r="1913" spans="1:9" x14ac:dyDescent="0.3">
      <c r="B1913" s="16" t="str">
        <f t="shared" si="64"/>
        <v>Рентгенолаборант</v>
      </c>
      <c r="C1913" s="221">
        <f t="shared" si="64"/>
        <v>7482.48</v>
      </c>
      <c r="D1913" s="221">
        <f t="shared" si="64"/>
        <v>89789.759999999995</v>
      </c>
      <c r="E1913" s="221">
        <f t="shared" si="64"/>
        <v>5755.75</v>
      </c>
      <c r="F1913" s="221">
        <f t="shared" si="64"/>
        <v>2877.875</v>
      </c>
      <c r="G1913" s="221">
        <f t="shared" si="64"/>
        <v>98423.384999999995</v>
      </c>
      <c r="H1913" s="268">
        <v>1506</v>
      </c>
      <c r="I1913" s="78">
        <f>ROUND((G1913/H1913)/60,2)</f>
        <v>1.0900000000000001</v>
      </c>
    </row>
    <row r="1915" spans="1:9" ht="27.6" x14ac:dyDescent="0.3">
      <c r="B1915" s="13" t="s">
        <v>929</v>
      </c>
      <c r="C1915" s="14" t="s">
        <v>961</v>
      </c>
      <c r="D1915" s="14" t="s">
        <v>930</v>
      </c>
      <c r="E1915" s="14" t="s">
        <v>931</v>
      </c>
    </row>
    <row r="1916" spans="1:9" x14ac:dyDescent="0.3">
      <c r="B1916" s="15" t="str">
        <f t="shared" ref="B1916:D1917" si="65">B1861</f>
        <v>Лікар-рентгенолог</v>
      </c>
      <c r="C1916" s="15">
        <f t="shared" si="65"/>
        <v>0.97</v>
      </c>
      <c r="D1916" s="15">
        <f t="shared" si="65"/>
        <v>10</v>
      </c>
      <c r="E1916" s="18">
        <f>ROUND(C1916*D1916,2)</f>
        <v>9.6999999999999993</v>
      </c>
    </row>
    <row r="1917" spans="1:9" x14ac:dyDescent="0.3">
      <c r="B1917" s="15" t="str">
        <f t="shared" si="65"/>
        <v>Рентгенолаборант</v>
      </c>
      <c r="C1917" s="15">
        <f t="shared" si="65"/>
        <v>1.0900000000000001</v>
      </c>
      <c r="D1917" s="15">
        <f t="shared" si="65"/>
        <v>15</v>
      </c>
      <c r="E1917" s="18">
        <f>ROUND(C1917*D1917,2)</f>
        <v>16.350000000000001</v>
      </c>
    </row>
    <row r="1918" spans="1:9" x14ac:dyDescent="0.3">
      <c r="C1918" s="19"/>
    </row>
    <row r="1919" spans="1:9" x14ac:dyDescent="0.3">
      <c r="B1919" s="17" t="s">
        <v>933</v>
      </c>
      <c r="C1919" s="78">
        <f>E1916+E1917</f>
        <v>26.05</v>
      </c>
      <c r="D1919" s="20">
        <v>0.22</v>
      </c>
      <c r="E1919" s="21">
        <f>ROUND(C1919*D1919,2)</f>
        <v>5.73</v>
      </c>
    </row>
    <row r="1921" spans="1:9" x14ac:dyDescent="0.3">
      <c r="B1921" s="12" t="s">
        <v>946</v>
      </c>
      <c r="C1921" s="227"/>
      <c r="D1921" s="12"/>
      <c r="E1921" s="11">
        <f>F1932</f>
        <v>30.31</v>
      </c>
      <c r="F1921" s="12" t="s">
        <v>971</v>
      </c>
    </row>
    <row r="1923" spans="1:9" x14ac:dyDescent="0.3">
      <c r="B1923" s="27" t="str">
        <f t="shared" ref="B1923:E1925" si="66">B1868</f>
        <v>Мікрасепт</v>
      </c>
      <c r="C1923" s="303" t="str">
        <f t="shared" si="66"/>
        <v>мл</v>
      </c>
      <c r="D1923" s="303">
        <f t="shared" si="66"/>
        <v>1</v>
      </c>
      <c r="E1923" s="303">
        <f t="shared" si="66"/>
        <v>0.3</v>
      </c>
      <c r="F1923" s="28">
        <f>ROUND(D1923*E1923,2)</f>
        <v>0.3</v>
      </c>
    </row>
    <row r="1924" spans="1:9" x14ac:dyDescent="0.3">
      <c r="A1924" s="180"/>
      <c r="B1924" s="27" t="str">
        <f t="shared" si="66"/>
        <v>Маска на резинці, стерильна</v>
      </c>
      <c r="C1924" s="303" t="str">
        <f t="shared" si="66"/>
        <v>шт</v>
      </c>
      <c r="D1924" s="303">
        <f t="shared" si="66"/>
        <v>0.5</v>
      </c>
      <c r="E1924" s="303">
        <f t="shared" si="66"/>
        <v>2</v>
      </c>
      <c r="F1924" s="186">
        <f t="shared" ref="F1924:F1931" si="67">ROUND(D1924*E1924,2)</f>
        <v>1</v>
      </c>
      <c r="G1924" s="180"/>
      <c r="H1924" s="180"/>
      <c r="I1924" s="180"/>
    </row>
    <row r="1925" spans="1:9" x14ac:dyDescent="0.3">
      <c r="B1925" s="27" t="str">
        <f t="shared" si="66"/>
        <v>Бинт марлевий 7х14</v>
      </c>
      <c r="C1925" s="303" t="str">
        <f t="shared" si="66"/>
        <v>шт</v>
      </c>
      <c r="D1925" s="303">
        <f t="shared" si="66"/>
        <v>0.1</v>
      </c>
      <c r="E1925" s="303">
        <f t="shared" si="66"/>
        <v>8</v>
      </c>
      <c r="F1925" s="73">
        <f t="shared" si="67"/>
        <v>0.8</v>
      </c>
    </row>
    <row r="1926" spans="1:9" x14ac:dyDescent="0.3">
      <c r="B1926" s="27" t="str">
        <f>'МЕДИЧНІ М'!B321</f>
        <v>Рентген 24 * 30 № 100</v>
      </c>
      <c r="C1926" s="303" t="str">
        <f t="shared" ref="C1926:C1931" si="68">C1871</f>
        <v>шт</v>
      </c>
      <c r="D1926" s="303">
        <v>2</v>
      </c>
      <c r="E1926" s="651">
        <f>'МЕДИЧНІ М'!F321</f>
        <v>12.2</v>
      </c>
      <c r="F1926" s="73">
        <f t="shared" si="67"/>
        <v>24.4</v>
      </c>
    </row>
    <row r="1927" spans="1:9" ht="27.6" x14ac:dyDescent="0.3">
      <c r="B1927" s="27" t="str">
        <f>B1872</f>
        <v>Фіксаж "Lisoform" ХімРей для фотохімічної обробки медичних рентг. плівок</v>
      </c>
      <c r="C1927" s="303" t="str">
        <f t="shared" si="68"/>
        <v>шт</v>
      </c>
      <c r="D1927" s="303">
        <f t="shared" ref="D1927:E1931" si="69">D1872</f>
        <v>0.02</v>
      </c>
      <c r="E1927" s="303">
        <f t="shared" si="69"/>
        <v>54</v>
      </c>
      <c r="F1927" s="73">
        <f t="shared" si="67"/>
        <v>1.08</v>
      </c>
    </row>
    <row r="1928" spans="1:9" x14ac:dyDescent="0.3">
      <c r="B1928" s="27" t="str">
        <f>B1873</f>
        <v>Проявник "Lisoform" ХімРей</v>
      </c>
      <c r="C1928" s="303" t="str">
        <f t="shared" si="68"/>
        <v>шт</v>
      </c>
      <c r="D1928" s="303">
        <f t="shared" si="69"/>
        <v>0.02</v>
      </c>
      <c r="E1928" s="303">
        <f t="shared" si="69"/>
        <v>97.3</v>
      </c>
      <c r="F1928" s="73">
        <f t="shared" si="67"/>
        <v>1.95</v>
      </c>
    </row>
    <row r="1929" spans="1:9" x14ac:dyDescent="0.3">
      <c r="B1929" s="27" t="str">
        <f>B1874</f>
        <v>Рукавиці не стерильні</v>
      </c>
      <c r="C1929" s="303" t="str">
        <f t="shared" si="68"/>
        <v>шт</v>
      </c>
      <c r="D1929" s="303">
        <f t="shared" si="69"/>
        <v>0.1</v>
      </c>
      <c r="E1929" s="303">
        <f t="shared" si="69"/>
        <v>2.8</v>
      </c>
      <c r="F1929" s="73">
        <f t="shared" si="67"/>
        <v>0.28000000000000003</v>
      </c>
    </row>
    <row r="1930" spans="1:9" x14ac:dyDescent="0.3">
      <c r="B1930" s="27" t="str">
        <f>B1875</f>
        <v xml:space="preserve">Спирт 70% 100мл </v>
      </c>
      <c r="C1930" s="303" t="str">
        <f t="shared" si="68"/>
        <v>шт</v>
      </c>
      <c r="D1930" s="303">
        <f t="shared" si="69"/>
        <v>0.01</v>
      </c>
      <c r="E1930" s="303">
        <f t="shared" si="69"/>
        <v>24.6</v>
      </c>
      <c r="F1930" s="28">
        <f t="shared" si="67"/>
        <v>0.25</v>
      </c>
    </row>
    <row r="1931" spans="1:9" x14ac:dyDescent="0.3">
      <c r="B1931" s="27" t="str">
        <f>B1876</f>
        <v>Деззасоби</v>
      </c>
      <c r="C1931" s="303" t="str">
        <f t="shared" si="68"/>
        <v>г</v>
      </c>
      <c r="D1931" s="303">
        <f t="shared" si="69"/>
        <v>0.5</v>
      </c>
      <c r="E1931" s="303">
        <f t="shared" si="69"/>
        <v>0.5</v>
      </c>
      <c r="F1931" s="28">
        <f t="shared" si="67"/>
        <v>0.25</v>
      </c>
    </row>
    <row r="1932" spans="1:9" x14ac:dyDescent="0.3">
      <c r="B1932" s="1019" t="s">
        <v>945</v>
      </c>
      <c r="C1932" s="1019"/>
      <c r="D1932" s="1019"/>
      <c r="E1932" s="1019"/>
      <c r="F1932" s="89">
        <f>SUM(F1923:F1931)</f>
        <v>30.31</v>
      </c>
    </row>
    <row r="1934" spans="1:9" x14ac:dyDescent="0.3">
      <c r="B1934" s="12" t="s">
        <v>968</v>
      </c>
      <c r="C1934" s="227"/>
      <c r="D1934" s="12"/>
      <c r="E1934" s="11">
        <f>SUM(G1937:G1938)</f>
        <v>0</v>
      </c>
      <c r="F1934" s="12" t="s">
        <v>971</v>
      </c>
    </row>
    <row r="1935" spans="1:9" x14ac:dyDescent="0.3">
      <c r="B1935" s="22"/>
      <c r="C1935" s="36"/>
      <c r="D1935" s="22"/>
      <c r="E1935" s="23"/>
      <c r="F1935" s="22"/>
    </row>
    <row r="1936" spans="1:9" ht="27.6" x14ac:dyDescent="0.3">
      <c r="B1936" s="14" t="s">
        <v>513</v>
      </c>
      <c r="C1936" s="14" t="s">
        <v>1108</v>
      </c>
      <c r="D1936" s="14" t="s">
        <v>516</v>
      </c>
      <c r="E1936" s="14" t="s">
        <v>970</v>
      </c>
      <c r="F1936" s="14" t="s">
        <v>930</v>
      </c>
      <c r="G1936" s="14" t="s">
        <v>961</v>
      </c>
    </row>
    <row r="1937" spans="2:8" x14ac:dyDescent="0.3">
      <c r="B1937" s="46" t="str">
        <f t="shared" ref="B1937:F1938" si="70">B1882</f>
        <v>Автоматизоване робоче місце</v>
      </c>
      <c r="C1937" s="14">
        <f t="shared" si="70"/>
        <v>0</v>
      </c>
      <c r="D1937" s="14">
        <f t="shared" si="70"/>
        <v>1932.7</v>
      </c>
      <c r="E1937" s="14">
        <f t="shared" si="70"/>
        <v>0</v>
      </c>
      <c r="F1937" s="14">
        <f t="shared" si="70"/>
        <v>10</v>
      </c>
      <c r="G1937" s="78">
        <f>ROUND(E1937*F1937,2)</f>
        <v>0</v>
      </c>
    </row>
    <row r="1938" spans="2:8" x14ac:dyDescent="0.3">
      <c r="B1938" s="46" t="str">
        <f t="shared" si="70"/>
        <v>Рентген</v>
      </c>
      <c r="C1938" s="14">
        <f t="shared" si="70"/>
        <v>0</v>
      </c>
      <c r="D1938" s="14">
        <f t="shared" si="70"/>
        <v>1506</v>
      </c>
      <c r="E1938" s="14">
        <f t="shared" si="70"/>
        <v>0</v>
      </c>
      <c r="F1938" s="14">
        <f t="shared" si="70"/>
        <v>15</v>
      </c>
      <c r="G1938" s="78">
        <f>ROUND(E1938*F1938,2)</f>
        <v>0</v>
      </c>
      <c r="H1938" s="38"/>
    </row>
    <row r="1940" spans="2:8" x14ac:dyDescent="0.3">
      <c r="B1940" s="12" t="s">
        <v>948</v>
      </c>
      <c r="C1940" s="227"/>
      <c r="D1940" s="12"/>
      <c r="E1940" s="11">
        <f>G1953</f>
        <v>3.45</v>
      </c>
      <c r="F1940" s="12" t="s">
        <v>971</v>
      </c>
    </row>
    <row r="1941" spans="2:8" x14ac:dyDescent="0.3">
      <c r="B1941" s="22"/>
      <c r="C1941" s="36"/>
      <c r="D1941" s="22"/>
      <c r="E1941" s="23"/>
    </row>
    <row r="1942" spans="2:8" ht="27.6" x14ac:dyDescent="0.3">
      <c r="B1942" s="14" t="s">
        <v>948</v>
      </c>
      <c r="C1942" s="14" t="s">
        <v>1110</v>
      </c>
      <c r="D1942" s="14" t="s">
        <v>516</v>
      </c>
      <c r="E1942" s="14" t="s">
        <v>954</v>
      </c>
      <c r="F1942" s="14" t="s">
        <v>930</v>
      </c>
      <c r="G1942" s="14" t="s">
        <v>1111</v>
      </c>
    </row>
    <row r="1943" spans="2:8" x14ac:dyDescent="0.3">
      <c r="B1943" s="1009" t="str">
        <f>B1912</f>
        <v>Лікар-рентгенолог</v>
      </c>
      <c r="C1943" s="1010"/>
      <c r="D1943" s="1010"/>
      <c r="E1943" s="1010"/>
      <c r="F1943" s="1010"/>
      <c r="G1943" s="1011"/>
    </row>
    <row r="1944" spans="2:8" x14ac:dyDescent="0.3">
      <c r="B1944" s="17" t="str">
        <f t="shared" ref="B1944:F1947" si="71">B1889</f>
        <v>Непрямі (адміністративні)</v>
      </c>
      <c r="C1944" s="112">
        <f t="shared" si="71"/>
        <v>12188.608008565312</v>
      </c>
      <c r="D1944" s="17">
        <f t="shared" si="71"/>
        <v>1932.7</v>
      </c>
      <c r="E1944" s="17">
        <f t="shared" si="71"/>
        <v>0.11</v>
      </c>
      <c r="F1944" s="17">
        <f t="shared" si="71"/>
        <v>10</v>
      </c>
      <c r="G1944" s="16">
        <f>ROUND(E1944*F1944,2)</f>
        <v>1.1000000000000001</v>
      </c>
    </row>
    <row r="1945" spans="2:8" x14ac:dyDescent="0.3">
      <c r="B1945" s="17" t="str">
        <f t="shared" si="71"/>
        <v>Непрямі (поточні)</v>
      </c>
      <c r="C1945" s="112">
        <f t="shared" si="71"/>
        <v>53.149721627408987</v>
      </c>
      <c r="D1945" s="17">
        <f t="shared" si="71"/>
        <v>1932.7</v>
      </c>
      <c r="E1945" s="17">
        <f t="shared" si="71"/>
        <v>0</v>
      </c>
      <c r="F1945" s="17">
        <f t="shared" si="71"/>
        <v>10</v>
      </c>
      <c r="G1945" s="16">
        <f>ROUND(E1945*F1945,2)</f>
        <v>0</v>
      </c>
    </row>
    <row r="1946" spans="2:8" x14ac:dyDescent="0.3">
      <c r="B1946" s="17" t="str">
        <f t="shared" si="71"/>
        <v>Непрямі (комунальні)</v>
      </c>
      <c r="C1946" s="112">
        <f t="shared" si="71"/>
        <v>374.98368308351178</v>
      </c>
      <c r="D1946" s="17">
        <f t="shared" si="71"/>
        <v>1932.7</v>
      </c>
      <c r="E1946" s="17">
        <f t="shared" si="71"/>
        <v>0</v>
      </c>
      <c r="F1946" s="17">
        <f t="shared" si="71"/>
        <v>10</v>
      </c>
      <c r="G1946" s="16">
        <f>ROUND(E1946*F1946,2)</f>
        <v>0</v>
      </c>
    </row>
    <row r="1947" spans="2:8" x14ac:dyDescent="0.3">
      <c r="B1947" s="17" t="str">
        <f t="shared" si="71"/>
        <v>Непрямі (відділення)</v>
      </c>
      <c r="C1947" s="112">
        <f t="shared" si="71"/>
        <v>1686.0389293361886</v>
      </c>
      <c r="D1947" s="17">
        <f t="shared" si="71"/>
        <v>1932.7</v>
      </c>
      <c r="E1947" s="17">
        <f t="shared" si="71"/>
        <v>0.01</v>
      </c>
      <c r="F1947" s="17">
        <f t="shared" si="71"/>
        <v>10</v>
      </c>
      <c r="G1947" s="16">
        <f>ROUND(E1947*F1947,2)</f>
        <v>0.1</v>
      </c>
    </row>
    <row r="1948" spans="2:8" x14ac:dyDescent="0.3">
      <c r="B1948" s="1009" t="str">
        <f>B1913</f>
        <v>Рентгенолаборант</v>
      </c>
      <c r="C1948" s="1010"/>
      <c r="D1948" s="1010"/>
      <c r="E1948" s="1010"/>
      <c r="F1948" s="1010"/>
      <c r="G1948" s="1011"/>
    </row>
    <row r="1949" spans="2:8" x14ac:dyDescent="0.3">
      <c r="B1949" s="17" t="str">
        <f t="shared" ref="B1949:F1952" si="72">B1894</f>
        <v>Непрямі (адміністративні)</v>
      </c>
      <c r="C1949" s="112">
        <f t="shared" si="72"/>
        <v>12188.608008565312</v>
      </c>
      <c r="D1949" s="17">
        <f t="shared" si="72"/>
        <v>1506</v>
      </c>
      <c r="E1949" s="17">
        <f t="shared" si="72"/>
        <v>0.13</v>
      </c>
      <c r="F1949" s="17">
        <f t="shared" si="72"/>
        <v>15</v>
      </c>
      <c r="G1949" s="16">
        <f>ROUND(E1949*F1949,2)</f>
        <v>1.95</v>
      </c>
    </row>
    <row r="1950" spans="2:8" x14ac:dyDescent="0.3">
      <c r="B1950" s="17" t="str">
        <f t="shared" si="72"/>
        <v>Непрямі (поточні)</v>
      </c>
      <c r="C1950" s="112">
        <f t="shared" si="72"/>
        <v>53.149721627408987</v>
      </c>
      <c r="D1950" s="17">
        <f t="shared" si="72"/>
        <v>1506</v>
      </c>
      <c r="E1950" s="17">
        <f t="shared" si="72"/>
        <v>0</v>
      </c>
      <c r="F1950" s="17">
        <f t="shared" si="72"/>
        <v>15</v>
      </c>
      <c r="G1950" s="16">
        <f>ROUND(E1950*F1950,2)</f>
        <v>0</v>
      </c>
    </row>
    <row r="1951" spans="2:8" x14ac:dyDescent="0.3">
      <c r="B1951" s="17" t="str">
        <f t="shared" si="72"/>
        <v>Непрямі (комунальні)</v>
      </c>
      <c r="C1951" s="112">
        <f t="shared" si="72"/>
        <v>374.98368308351178</v>
      </c>
      <c r="D1951" s="17">
        <f t="shared" si="72"/>
        <v>1506</v>
      </c>
      <c r="E1951" s="17">
        <f t="shared" si="72"/>
        <v>0</v>
      </c>
      <c r="F1951" s="17">
        <f t="shared" si="72"/>
        <v>15</v>
      </c>
      <c r="G1951" s="16">
        <f>ROUND(E1951*F1951,2)</f>
        <v>0</v>
      </c>
    </row>
    <row r="1952" spans="2:8" x14ac:dyDescent="0.3">
      <c r="B1952" s="17" t="str">
        <f t="shared" si="72"/>
        <v>Непрямі (відділення)</v>
      </c>
      <c r="C1952" s="112">
        <f t="shared" si="72"/>
        <v>1686.0389293361886</v>
      </c>
      <c r="D1952" s="17">
        <f t="shared" si="72"/>
        <v>1506</v>
      </c>
      <c r="E1952" s="17">
        <f t="shared" si="72"/>
        <v>0.02</v>
      </c>
      <c r="F1952" s="17">
        <f t="shared" si="72"/>
        <v>15</v>
      </c>
      <c r="G1952" s="16">
        <f>ROUND(E1952*F1952,2)</f>
        <v>0.3</v>
      </c>
    </row>
    <row r="1953" spans="1:9" x14ac:dyDescent="0.3">
      <c r="B1953" s="1012" t="s">
        <v>957</v>
      </c>
      <c r="C1953" s="1013"/>
      <c r="D1953" s="1013"/>
      <c r="E1953" s="1013"/>
      <c r="F1953" s="1014"/>
      <c r="G1953" s="18">
        <f>SUM(G1944:G1952)</f>
        <v>3.45</v>
      </c>
    </row>
    <row r="1956" spans="1:9" x14ac:dyDescent="0.3">
      <c r="B1956" s="1015" t="s">
        <v>959</v>
      </c>
      <c r="C1956" s="1015"/>
      <c r="D1956" s="1015"/>
      <c r="E1956" s="1015"/>
      <c r="F1956" s="1015"/>
      <c r="G1956" s="32">
        <f>E1909+E1921+E1934+E1940</f>
        <v>65.540000000000006</v>
      </c>
    </row>
    <row r="1957" spans="1:9" x14ac:dyDescent="0.3">
      <c r="B1957" s="33"/>
      <c r="C1957" s="33"/>
      <c r="D1957" s="33"/>
      <c r="E1957" s="33"/>
      <c r="F1957" s="33"/>
      <c r="G1957" s="34"/>
    </row>
    <row r="1958" spans="1:9" x14ac:dyDescent="0.3">
      <c r="B1958" s="1015" t="s">
        <v>960</v>
      </c>
      <c r="C1958" s="1015"/>
      <c r="D1958" s="1015"/>
      <c r="E1958" s="1015"/>
      <c r="F1958" s="1015"/>
      <c r="G1958" s="32">
        <f>ROUND(G1956,0)</f>
        <v>66</v>
      </c>
    </row>
    <row r="1962" spans="1:9" ht="19.2" x14ac:dyDescent="0.35">
      <c r="A1962" s="50" t="s">
        <v>507</v>
      </c>
      <c r="B1962" s="1017" t="s">
        <v>679</v>
      </c>
      <c r="C1962" s="1017"/>
      <c r="D1962" s="1017"/>
      <c r="E1962" s="52">
        <f>G2013</f>
        <v>81</v>
      </c>
      <c r="F1962" s="52" t="s">
        <v>971</v>
      </c>
      <c r="G1962" s="53"/>
      <c r="H1962" s="124"/>
      <c r="I1962" s="125" t="s">
        <v>508</v>
      </c>
    </row>
    <row r="1963" spans="1:9" ht="18.600000000000001" x14ac:dyDescent="0.3">
      <c r="I1963" s="125" t="s">
        <v>506</v>
      </c>
    </row>
    <row r="1964" spans="1:9" x14ac:dyDescent="0.3">
      <c r="B1964" s="1018" t="s">
        <v>932</v>
      </c>
      <c r="C1964" s="1018"/>
      <c r="D1964" s="10"/>
      <c r="E1964" s="11">
        <f>E1971+E1974+E1972</f>
        <v>31.78</v>
      </c>
      <c r="F1964" s="12" t="s">
        <v>971</v>
      </c>
    </row>
    <row r="1966" spans="1:9" ht="27.6" x14ac:dyDescent="0.3">
      <c r="B1966" s="13" t="s">
        <v>929</v>
      </c>
      <c r="C1966" s="14" t="s">
        <v>928</v>
      </c>
      <c r="D1966" s="14" t="s">
        <v>514</v>
      </c>
      <c r="E1966" s="14" t="s">
        <v>515</v>
      </c>
      <c r="F1966" s="14" t="s">
        <v>962</v>
      </c>
      <c r="G1966" s="14" t="s">
        <v>926</v>
      </c>
      <c r="H1966" s="14" t="s">
        <v>516</v>
      </c>
      <c r="I1966" s="14" t="s">
        <v>961</v>
      </c>
    </row>
    <row r="1967" spans="1:9" x14ac:dyDescent="0.3">
      <c r="B1967" s="16" t="str">
        <f t="shared" ref="B1967:G1968" si="73">B1912</f>
        <v>Лікар-рентгенолог</v>
      </c>
      <c r="C1967" s="221">
        <f t="shared" si="73"/>
        <v>8463.5400000000009</v>
      </c>
      <c r="D1967" s="221">
        <f t="shared" si="73"/>
        <v>101562.48000000001</v>
      </c>
      <c r="E1967" s="221">
        <f t="shared" si="73"/>
        <v>7052.95</v>
      </c>
      <c r="F1967" s="221">
        <f t="shared" si="73"/>
        <v>3526.4749999999999</v>
      </c>
      <c r="G1967" s="221">
        <f t="shared" si="73"/>
        <v>112141.90500000001</v>
      </c>
      <c r="H1967" s="73">
        <v>1932.7</v>
      </c>
      <c r="I1967" s="78">
        <f>ROUND((G1967/H1967)/60,2)</f>
        <v>0.97</v>
      </c>
    </row>
    <row r="1968" spans="1:9" x14ac:dyDescent="0.3">
      <c r="B1968" s="16" t="str">
        <f t="shared" si="73"/>
        <v>Рентгенолаборант</v>
      </c>
      <c r="C1968" s="221">
        <f t="shared" si="73"/>
        <v>7482.48</v>
      </c>
      <c r="D1968" s="221">
        <f t="shared" si="73"/>
        <v>89789.759999999995</v>
      </c>
      <c r="E1968" s="221">
        <f t="shared" si="73"/>
        <v>5755.75</v>
      </c>
      <c r="F1968" s="221">
        <f t="shared" si="73"/>
        <v>2877.875</v>
      </c>
      <c r="G1968" s="221">
        <f t="shared" si="73"/>
        <v>98423.384999999995</v>
      </c>
      <c r="H1968" s="268">
        <v>1506</v>
      </c>
      <c r="I1968" s="78">
        <f>ROUND((G1968/H1968)/60,2)</f>
        <v>1.0900000000000001</v>
      </c>
    </row>
    <row r="1970" spans="1:9" ht="27.6" x14ac:dyDescent="0.3">
      <c r="B1970" s="13" t="s">
        <v>929</v>
      </c>
      <c r="C1970" s="14" t="s">
        <v>961</v>
      </c>
      <c r="D1970" s="14" t="s">
        <v>930</v>
      </c>
      <c r="E1970" s="14" t="s">
        <v>931</v>
      </c>
    </row>
    <row r="1971" spans="1:9" x14ac:dyDescent="0.3">
      <c r="B1971" s="15" t="str">
        <f t="shared" ref="B1971:D1972" si="74">B1916</f>
        <v>Лікар-рентгенолог</v>
      </c>
      <c r="C1971" s="15">
        <f t="shared" si="74"/>
        <v>0.97</v>
      </c>
      <c r="D1971" s="15">
        <f t="shared" si="74"/>
        <v>10</v>
      </c>
      <c r="E1971" s="18">
        <f>ROUND(C1971*D1971,2)</f>
        <v>9.6999999999999993</v>
      </c>
    </row>
    <row r="1972" spans="1:9" x14ac:dyDescent="0.3">
      <c r="B1972" s="15" t="str">
        <f t="shared" si="74"/>
        <v>Рентгенолаборант</v>
      </c>
      <c r="C1972" s="15">
        <f t="shared" si="74"/>
        <v>1.0900000000000001</v>
      </c>
      <c r="D1972" s="15">
        <f t="shared" si="74"/>
        <v>15</v>
      </c>
      <c r="E1972" s="18">
        <f>ROUND(C1972*D1972,2)</f>
        <v>16.350000000000001</v>
      </c>
    </row>
    <row r="1973" spans="1:9" x14ac:dyDescent="0.3">
      <c r="C1973" s="19"/>
    </row>
    <row r="1974" spans="1:9" x14ac:dyDescent="0.3">
      <c r="B1974" s="17" t="s">
        <v>933</v>
      </c>
      <c r="C1974" s="78">
        <f>E1971+E1972</f>
        <v>26.05</v>
      </c>
      <c r="D1974" s="20">
        <v>0.22</v>
      </c>
      <c r="E1974" s="21">
        <f>ROUND(C1974*D1974,2)</f>
        <v>5.73</v>
      </c>
    </row>
    <row r="1976" spans="1:9" x14ac:dyDescent="0.3">
      <c r="B1976" s="12" t="s">
        <v>946</v>
      </c>
      <c r="C1976" s="227"/>
      <c r="D1976" s="12"/>
      <c r="E1976" s="11">
        <f>F1987</f>
        <v>45.71</v>
      </c>
      <c r="F1976" s="12" t="s">
        <v>971</v>
      </c>
    </row>
    <row r="1978" spans="1:9" x14ac:dyDescent="0.3">
      <c r="B1978" s="27" t="str">
        <f t="shared" ref="B1978:E1980" si="75">B1923</f>
        <v>Мікрасепт</v>
      </c>
      <c r="C1978" s="303" t="str">
        <f t="shared" si="75"/>
        <v>мл</v>
      </c>
      <c r="D1978" s="303">
        <f t="shared" si="75"/>
        <v>1</v>
      </c>
      <c r="E1978" s="303">
        <f t="shared" si="75"/>
        <v>0.3</v>
      </c>
      <c r="F1978" s="28">
        <f>ROUND(D1978*E1978,2)</f>
        <v>0.3</v>
      </c>
    </row>
    <row r="1979" spans="1:9" x14ac:dyDescent="0.3">
      <c r="A1979" s="180"/>
      <c r="B1979" s="27" t="str">
        <f t="shared" si="75"/>
        <v>Маска на резинці, стерильна</v>
      </c>
      <c r="C1979" s="303" t="str">
        <f t="shared" si="75"/>
        <v>шт</v>
      </c>
      <c r="D1979" s="303">
        <f t="shared" si="75"/>
        <v>0.5</v>
      </c>
      <c r="E1979" s="303">
        <f t="shared" si="75"/>
        <v>2</v>
      </c>
      <c r="F1979" s="186">
        <f t="shared" ref="F1979:F1986" si="76">ROUND(D1979*E1979,2)</f>
        <v>1</v>
      </c>
      <c r="G1979" s="180"/>
      <c r="H1979" s="180"/>
      <c r="I1979" s="180"/>
    </row>
    <row r="1980" spans="1:9" x14ac:dyDescent="0.3">
      <c r="B1980" s="27" t="str">
        <f t="shared" si="75"/>
        <v>Бинт марлевий 7х14</v>
      </c>
      <c r="C1980" s="303" t="str">
        <f t="shared" si="75"/>
        <v>шт</v>
      </c>
      <c r="D1980" s="303">
        <f t="shared" si="75"/>
        <v>0.1</v>
      </c>
      <c r="E1980" s="303">
        <f t="shared" si="75"/>
        <v>8</v>
      </c>
      <c r="F1980" s="73">
        <f t="shared" si="76"/>
        <v>0.8</v>
      </c>
    </row>
    <row r="1981" spans="1:9" x14ac:dyDescent="0.3">
      <c r="B1981" s="27" t="str">
        <f>'МЕДИЧНІ М'!B322</f>
        <v>Рентген 30 * 40 № 100</v>
      </c>
      <c r="C1981" s="303" t="str">
        <f t="shared" ref="C1981:C1986" si="77">C1926</f>
        <v>шт</v>
      </c>
      <c r="D1981" s="303">
        <v>2</v>
      </c>
      <c r="E1981" s="651">
        <f>'МЕДИЧНІ М'!F322</f>
        <v>19.899999999999999</v>
      </c>
      <c r="F1981" s="73">
        <f t="shared" si="76"/>
        <v>39.799999999999997</v>
      </c>
    </row>
    <row r="1982" spans="1:9" ht="27.6" x14ac:dyDescent="0.3">
      <c r="B1982" s="27" t="str">
        <f>B1927</f>
        <v>Фіксаж "Lisoform" ХімРей для фотохімічної обробки медичних рентг. плівок</v>
      </c>
      <c r="C1982" s="303" t="str">
        <f t="shared" si="77"/>
        <v>шт</v>
      </c>
      <c r="D1982" s="303">
        <f t="shared" ref="D1982:E1986" si="78">D1927</f>
        <v>0.02</v>
      </c>
      <c r="E1982" s="303">
        <f t="shared" si="78"/>
        <v>54</v>
      </c>
      <c r="F1982" s="73">
        <f t="shared" si="76"/>
        <v>1.08</v>
      </c>
    </row>
    <row r="1983" spans="1:9" x14ac:dyDescent="0.3">
      <c r="B1983" s="27" t="str">
        <f>B1928</f>
        <v>Проявник "Lisoform" ХімРей</v>
      </c>
      <c r="C1983" s="303" t="str">
        <f t="shared" si="77"/>
        <v>шт</v>
      </c>
      <c r="D1983" s="303">
        <f t="shared" si="78"/>
        <v>0.02</v>
      </c>
      <c r="E1983" s="303">
        <f t="shared" si="78"/>
        <v>97.3</v>
      </c>
      <c r="F1983" s="73">
        <f t="shared" si="76"/>
        <v>1.95</v>
      </c>
    </row>
    <row r="1984" spans="1:9" x14ac:dyDescent="0.3">
      <c r="B1984" s="27" t="str">
        <f>B1929</f>
        <v>Рукавиці не стерильні</v>
      </c>
      <c r="C1984" s="303" t="str">
        <f t="shared" si="77"/>
        <v>шт</v>
      </c>
      <c r="D1984" s="303">
        <f t="shared" si="78"/>
        <v>0.1</v>
      </c>
      <c r="E1984" s="303">
        <f t="shared" si="78"/>
        <v>2.8</v>
      </c>
      <c r="F1984" s="73">
        <f t="shared" si="76"/>
        <v>0.28000000000000003</v>
      </c>
    </row>
    <row r="1985" spans="2:8" x14ac:dyDescent="0.3">
      <c r="B1985" s="27" t="str">
        <f>B1930</f>
        <v xml:space="preserve">Спирт 70% 100мл </v>
      </c>
      <c r="C1985" s="303" t="str">
        <f t="shared" si="77"/>
        <v>шт</v>
      </c>
      <c r="D1985" s="303">
        <f t="shared" si="78"/>
        <v>0.01</v>
      </c>
      <c r="E1985" s="303">
        <f t="shared" si="78"/>
        <v>24.6</v>
      </c>
      <c r="F1985" s="28">
        <f t="shared" si="76"/>
        <v>0.25</v>
      </c>
    </row>
    <row r="1986" spans="2:8" x14ac:dyDescent="0.3">
      <c r="B1986" s="27" t="str">
        <f>B1931</f>
        <v>Деззасоби</v>
      </c>
      <c r="C1986" s="303" t="str">
        <f t="shared" si="77"/>
        <v>г</v>
      </c>
      <c r="D1986" s="303">
        <f t="shared" si="78"/>
        <v>0.5</v>
      </c>
      <c r="E1986" s="303">
        <f t="shared" si="78"/>
        <v>0.5</v>
      </c>
      <c r="F1986" s="28">
        <f t="shared" si="76"/>
        <v>0.25</v>
      </c>
    </row>
    <row r="1987" spans="2:8" x14ac:dyDescent="0.3">
      <c r="B1987" s="1019" t="s">
        <v>945</v>
      </c>
      <c r="C1987" s="1019"/>
      <c r="D1987" s="1019"/>
      <c r="E1987" s="1019"/>
      <c r="F1987" s="89">
        <f>SUM(F1978:F1986)</f>
        <v>45.71</v>
      </c>
    </row>
    <row r="1989" spans="2:8" x14ac:dyDescent="0.3">
      <c r="B1989" s="12" t="s">
        <v>968</v>
      </c>
      <c r="C1989" s="227"/>
      <c r="D1989" s="12"/>
      <c r="E1989" s="11">
        <f>SUM(G1992:G1993)</f>
        <v>0</v>
      </c>
      <c r="F1989" s="12" t="s">
        <v>971</v>
      </c>
    </row>
    <row r="1990" spans="2:8" x14ac:dyDescent="0.3">
      <c r="B1990" s="22"/>
      <c r="C1990" s="36"/>
      <c r="D1990" s="22"/>
      <c r="E1990" s="23"/>
      <c r="F1990" s="22"/>
    </row>
    <row r="1991" spans="2:8" ht="27.6" x14ac:dyDescent="0.3">
      <c r="B1991" s="14" t="s">
        <v>513</v>
      </c>
      <c r="C1991" s="14" t="s">
        <v>1108</v>
      </c>
      <c r="D1991" s="14" t="s">
        <v>516</v>
      </c>
      <c r="E1991" s="14" t="s">
        <v>970</v>
      </c>
      <c r="F1991" s="14" t="s">
        <v>930</v>
      </c>
      <c r="G1991" s="14" t="s">
        <v>961</v>
      </c>
    </row>
    <row r="1992" spans="2:8" x14ac:dyDescent="0.3">
      <c r="B1992" s="46" t="str">
        <f t="shared" ref="B1992:F1993" si="79">B1937</f>
        <v>Автоматизоване робоче місце</v>
      </c>
      <c r="C1992" s="14">
        <f t="shared" si="79"/>
        <v>0</v>
      </c>
      <c r="D1992" s="14">
        <f t="shared" si="79"/>
        <v>1932.7</v>
      </c>
      <c r="E1992" s="14">
        <f t="shared" si="79"/>
        <v>0</v>
      </c>
      <c r="F1992" s="14">
        <f t="shared" si="79"/>
        <v>10</v>
      </c>
      <c r="G1992" s="78">
        <f>ROUND(E1992*F1992,2)</f>
        <v>0</v>
      </c>
    </row>
    <row r="1993" spans="2:8" x14ac:dyDescent="0.3">
      <c r="B1993" s="46" t="str">
        <f t="shared" si="79"/>
        <v>Рентген</v>
      </c>
      <c r="C1993" s="14">
        <f t="shared" si="79"/>
        <v>0</v>
      </c>
      <c r="D1993" s="14">
        <f t="shared" si="79"/>
        <v>1506</v>
      </c>
      <c r="E1993" s="14">
        <f t="shared" si="79"/>
        <v>0</v>
      </c>
      <c r="F1993" s="14">
        <f t="shared" si="79"/>
        <v>15</v>
      </c>
      <c r="G1993" s="78">
        <f>ROUND(E1993*F1993,2)</f>
        <v>0</v>
      </c>
      <c r="H1993" s="38"/>
    </row>
    <row r="1995" spans="2:8" x14ac:dyDescent="0.3">
      <c r="B1995" s="12" t="s">
        <v>948</v>
      </c>
      <c r="C1995" s="227"/>
      <c r="D1995" s="12"/>
      <c r="E1995" s="11">
        <f>G2008</f>
        <v>3.45</v>
      </c>
      <c r="F1995" s="12" t="s">
        <v>971</v>
      </c>
    </row>
    <row r="1996" spans="2:8" x14ac:dyDescent="0.3">
      <c r="B1996" s="22"/>
      <c r="C1996" s="36"/>
      <c r="D1996" s="22"/>
      <c r="E1996" s="23"/>
    </row>
    <row r="1997" spans="2:8" ht="27.6" x14ac:dyDescent="0.3">
      <c r="B1997" s="14" t="s">
        <v>948</v>
      </c>
      <c r="C1997" s="14" t="s">
        <v>1110</v>
      </c>
      <c r="D1997" s="14" t="s">
        <v>516</v>
      </c>
      <c r="E1997" s="14" t="s">
        <v>954</v>
      </c>
      <c r="F1997" s="14" t="s">
        <v>930</v>
      </c>
      <c r="G1997" s="14" t="s">
        <v>1111</v>
      </c>
    </row>
    <row r="1998" spans="2:8" x14ac:dyDescent="0.3">
      <c r="B1998" s="1009" t="str">
        <f>B1967</f>
        <v>Лікар-рентгенолог</v>
      </c>
      <c r="C1998" s="1010"/>
      <c r="D1998" s="1010"/>
      <c r="E1998" s="1010"/>
      <c r="F1998" s="1010"/>
      <c r="G1998" s="1011"/>
    </row>
    <row r="1999" spans="2:8" x14ac:dyDescent="0.3">
      <c r="B1999" s="17" t="str">
        <f t="shared" ref="B1999:F2002" si="80">B1944</f>
        <v>Непрямі (адміністративні)</v>
      </c>
      <c r="C1999" s="112">
        <f t="shared" si="80"/>
        <v>12188.608008565312</v>
      </c>
      <c r="D1999" s="17">
        <f t="shared" si="80"/>
        <v>1932.7</v>
      </c>
      <c r="E1999" s="17">
        <f t="shared" si="80"/>
        <v>0.11</v>
      </c>
      <c r="F1999" s="17">
        <f t="shared" si="80"/>
        <v>10</v>
      </c>
      <c r="G1999" s="16">
        <f>ROUND(E1999*F1999,2)</f>
        <v>1.1000000000000001</v>
      </c>
    </row>
    <row r="2000" spans="2:8" x14ac:dyDescent="0.3">
      <c r="B2000" s="17" t="str">
        <f t="shared" si="80"/>
        <v>Непрямі (поточні)</v>
      </c>
      <c r="C2000" s="112">
        <f t="shared" si="80"/>
        <v>53.149721627408987</v>
      </c>
      <c r="D2000" s="17">
        <f t="shared" si="80"/>
        <v>1932.7</v>
      </c>
      <c r="E2000" s="17">
        <f t="shared" si="80"/>
        <v>0</v>
      </c>
      <c r="F2000" s="17">
        <f t="shared" si="80"/>
        <v>10</v>
      </c>
      <c r="G2000" s="16">
        <f>ROUND(E2000*F2000,2)</f>
        <v>0</v>
      </c>
    </row>
    <row r="2001" spans="2:7" x14ac:dyDescent="0.3">
      <c r="B2001" s="17" t="str">
        <f t="shared" si="80"/>
        <v>Непрямі (комунальні)</v>
      </c>
      <c r="C2001" s="112">
        <f t="shared" si="80"/>
        <v>374.98368308351178</v>
      </c>
      <c r="D2001" s="17">
        <f t="shared" si="80"/>
        <v>1932.7</v>
      </c>
      <c r="E2001" s="17">
        <f t="shared" si="80"/>
        <v>0</v>
      </c>
      <c r="F2001" s="17">
        <f t="shared" si="80"/>
        <v>10</v>
      </c>
      <c r="G2001" s="16">
        <f>ROUND(E2001*F2001,2)</f>
        <v>0</v>
      </c>
    </row>
    <row r="2002" spans="2:7" x14ac:dyDescent="0.3">
      <c r="B2002" s="17" t="str">
        <f t="shared" si="80"/>
        <v>Непрямі (відділення)</v>
      </c>
      <c r="C2002" s="112">
        <f t="shared" si="80"/>
        <v>1686.0389293361886</v>
      </c>
      <c r="D2002" s="17">
        <f t="shared" si="80"/>
        <v>1932.7</v>
      </c>
      <c r="E2002" s="17">
        <f t="shared" si="80"/>
        <v>0.01</v>
      </c>
      <c r="F2002" s="17">
        <f t="shared" si="80"/>
        <v>10</v>
      </c>
      <c r="G2002" s="16">
        <f>ROUND(E2002*F2002,2)</f>
        <v>0.1</v>
      </c>
    </row>
    <row r="2003" spans="2:7" x14ac:dyDescent="0.3">
      <c r="B2003" s="1009" t="str">
        <f>B1968</f>
        <v>Рентгенолаборант</v>
      </c>
      <c r="C2003" s="1010"/>
      <c r="D2003" s="1010"/>
      <c r="E2003" s="1010"/>
      <c r="F2003" s="1010"/>
      <c r="G2003" s="1011"/>
    </row>
    <row r="2004" spans="2:7" x14ac:dyDescent="0.3">
      <c r="B2004" s="17" t="str">
        <f t="shared" ref="B2004:F2007" si="81">B1949</f>
        <v>Непрямі (адміністративні)</v>
      </c>
      <c r="C2004" s="112">
        <f t="shared" si="81"/>
        <v>12188.608008565312</v>
      </c>
      <c r="D2004" s="17">
        <f t="shared" si="81"/>
        <v>1506</v>
      </c>
      <c r="E2004" s="17">
        <f t="shared" si="81"/>
        <v>0.13</v>
      </c>
      <c r="F2004" s="17">
        <f t="shared" si="81"/>
        <v>15</v>
      </c>
      <c r="G2004" s="16">
        <f>ROUND(E2004*F2004,2)</f>
        <v>1.95</v>
      </c>
    </row>
    <row r="2005" spans="2:7" x14ac:dyDescent="0.3">
      <c r="B2005" s="17" t="str">
        <f t="shared" si="81"/>
        <v>Непрямі (поточні)</v>
      </c>
      <c r="C2005" s="112">
        <f t="shared" si="81"/>
        <v>53.149721627408987</v>
      </c>
      <c r="D2005" s="17">
        <f t="shared" si="81"/>
        <v>1506</v>
      </c>
      <c r="E2005" s="17">
        <f t="shared" si="81"/>
        <v>0</v>
      </c>
      <c r="F2005" s="17">
        <f t="shared" si="81"/>
        <v>15</v>
      </c>
      <c r="G2005" s="16">
        <f>ROUND(E2005*F2005,2)</f>
        <v>0</v>
      </c>
    </row>
    <row r="2006" spans="2:7" x14ac:dyDescent="0.3">
      <c r="B2006" s="17" t="str">
        <f t="shared" si="81"/>
        <v>Непрямі (комунальні)</v>
      </c>
      <c r="C2006" s="112">
        <f t="shared" si="81"/>
        <v>374.98368308351178</v>
      </c>
      <c r="D2006" s="17">
        <f t="shared" si="81"/>
        <v>1506</v>
      </c>
      <c r="E2006" s="17">
        <f t="shared" si="81"/>
        <v>0</v>
      </c>
      <c r="F2006" s="17">
        <f t="shared" si="81"/>
        <v>15</v>
      </c>
      <c r="G2006" s="16">
        <f>ROUND(E2006*F2006,2)</f>
        <v>0</v>
      </c>
    </row>
    <row r="2007" spans="2:7" x14ac:dyDescent="0.3">
      <c r="B2007" s="17" t="str">
        <f t="shared" si="81"/>
        <v>Непрямі (відділення)</v>
      </c>
      <c r="C2007" s="112">
        <f t="shared" si="81"/>
        <v>1686.0389293361886</v>
      </c>
      <c r="D2007" s="17">
        <f t="shared" si="81"/>
        <v>1506</v>
      </c>
      <c r="E2007" s="17">
        <f t="shared" si="81"/>
        <v>0.02</v>
      </c>
      <c r="F2007" s="17">
        <f t="shared" si="81"/>
        <v>15</v>
      </c>
      <c r="G2007" s="16">
        <f>ROUND(E2007*F2007,2)</f>
        <v>0.3</v>
      </c>
    </row>
    <row r="2008" spans="2:7" x14ac:dyDescent="0.3">
      <c r="B2008" s="1012" t="s">
        <v>957</v>
      </c>
      <c r="C2008" s="1013"/>
      <c r="D2008" s="1013"/>
      <c r="E2008" s="1013"/>
      <c r="F2008" s="1014"/>
      <c r="G2008" s="18">
        <f>SUM(G1999:G2007)</f>
        <v>3.45</v>
      </c>
    </row>
    <row r="2011" spans="2:7" x14ac:dyDescent="0.3">
      <c r="B2011" s="1015" t="s">
        <v>959</v>
      </c>
      <c r="C2011" s="1015"/>
      <c r="D2011" s="1015"/>
      <c r="E2011" s="1015"/>
      <c r="F2011" s="1015"/>
      <c r="G2011" s="32">
        <f>E1964+E1976+E1989+E1995</f>
        <v>80.940000000000012</v>
      </c>
    </row>
    <row r="2012" spans="2:7" x14ac:dyDescent="0.3">
      <c r="B2012" s="33"/>
      <c r="C2012" s="33"/>
      <c r="D2012" s="33"/>
      <c r="E2012" s="33"/>
      <c r="F2012" s="33"/>
      <c r="G2012" s="34"/>
    </row>
    <row r="2013" spans="2:7" x14ac:dyDescent="0.3">
      <c r="B2013" s="1015" t="s">
        <v>960</v>
      </c>
      <c r="C2013" s="1015"/>
      <c r="D2013" s="1015"/>
      <c r="E2013" s="1015"/>
      <c r="F2013" s="1015"/>
      <c r="G2013" s="32">
        <f>ROUND(G2011,0)</f>
        <v>81</v>
      </c>
    </row>
  </sheetData>
  <mergeCells count="308">
    <mergeCell ref="B1964:C1964"/>
    <mergeCell ref="B1943:G1943"/>
    <mergeCell ref="B1948:G1948"/>
    <mergeCell ref="B1953:F1953"/>
    <mergeCell ref="B1956:F1956"/>
    <mergeCell ref="B1903:F1903"/>
    <mergeCell ref="B1907:D1907"/>
    <mergeCell ref="B2011:F2011"/>
    <mergeCell ref="B2013:F2013"/>
    <mergeCell ref="B1987:E1987"/>
    <mergeCell ref="B1998:G1998"/>
    <mergeCell ref="B2003:G2003"/>
    <mergeCell ref="B2008:F2008"/>
    <mergeCell ref="B1901:F1901"/>
    <mergeCell ref="B1958:F1958"/>
    <mergeCell ref="B1962:D1962"/>
    <mergeCell ref="B1846:F1846"/>
    <mergeCell ref="B1848:F1848"/>
    <mergeCell ref="B1852:D1852"/>
    <mergeCell ref="B1854:C1854"/>
    <mergeCell ref="B1877:E1877"/>
    <mergeCell ref="B1888:G1888"/>
    <mergeCell ref="B1909:C1909"/>
    <mergeCell ref="B1932:E1932"/>
    <mergeCell ref="B1893:G1893"/>
    <mergeCell ref="B1898:F1898"/>
    <mergeCell ref="B1641:C1641"/>
    <mergeCell ref="B1822:E1822"/>
    <mergeCell ref="B1833:G1833"/>
    <mergeCell ref="B1838:G1838"/>
    <mergeCell ref="B1843:F1843"/>
    <mergeCell ref="B1738:F1738"/>
    <mergeCell ref="B1637:F1637"/>
    <mergeCell ref="B1797:D1797"/>
    <mergeCell ref="B1799:C1799"/>
    <mergeCell ref="B1680:G1680"/>
    <mergeCell ref="B1575:G1575"/>
    <mergeCell ref="B1570:G1570"/>
    <mergeCell ref="B1465:G1465"/>
    <mergeCell ref="B1484:C1484"/>
    <mergeCell ref="B1506:E1506"/>
    <mergeCell ref="B1589:C1589"/>
    <mergeCell ref="B1622:G1622"/>
    <mergeCell ref="B1632:F1632"/>
    <mergeCell ref="B1743:F1743"/>
    <mergeCell ref="B1693:D1693"/>
    <mergeCell ref="B1695:C1695"/>
    <mergeCell ref="B1717:E1717"/>
    <mergeCell ref="B1728:G1728"/>
    <mergeCell ref="B1741:F1741"/>
    <mergeCell ref="B1733:G1733"/>
    <mergeCell ref="B1611:E1611"/>
    <mergeCell ref="B1627:G1627"/>
    <mergeCell ref="B1635:F1635"/>
    <mergeCell ref="B1690:F1690"/>
    <mergeCell ref="B1639:D1639"/>
    <mergeCell ref="B1688:F1688"/>
    <mergeCell ref="B1675:G1675"/>
    <mergeCell ref="B1664:E1664"/>
    <mergeCell ref="B1685:F1685"/>
    <mergeCell ref="B1399:E1399"/>
    <mergeCell ref="B1377:C1377"/>
    <mergeCell ref="B1371:F1371"/>
    <mergeCell ref="B1373:F1373"/>
    <mergeCell ref="B1587:D1587"/>
    <mergeCell ref="B1536:C1536"/>
    <mergeCell ref="B1429:D1429"/>
    <mergeCell ref="B1431:C1431"/>
    <mergeCell ref="B1454:E1454"/>
    <mergeCell ref="B1532:F1532"/>
    <mergeCell ref="B1527:F1527"/>
    <mergeCell ref="B1530:F1530"/>
    <mergeCell ref="B1475:F1475"/>
    <mergeCell ref="B1585:F1585"/>
    <mergeCell ref="B1517:G1517"/>
    <mergeCell ref="B1478:F1478"/>
    <mergeCell ref="B1470:G1470"/>
    <mergeCell ref="B1482:D1482"/>
    <mergeCell ref="B1480:F1480"/>
    <mergeCell ref="B1583:F1583"/>
    <mergeCell ref="B1559:E1559"/>
    <mergeCell ref="B1522:G1522"/>
    <mergeCell ref="B1580:F1580"/>
    <mergeCell ref="B1534:D1534"/>
    <mergeCell ref="B898:F898"/>
    <mergeCell ref="B1215:F1215"/>
    <mergeCell ref="B1165:D1165"/>
    <mergeCell ref="B893:F893"/>
    <mergeCell ref="B1137:E1137"/>
    <mergeCell ref="B1110:F1110"/>
    <mergeCell ref="B1047:G1047"/>
    <mergeCell ref="B1368:F1368"/>
    <mergeCell ref="B1375:D1375"/>
    <mergeCell ref="B787:F787"/>
    <mergeCell ref="B782:G782"/>
    <mergeCell ref="B777:G777"/>
    <mergeCell ref="B691:C691"/>
    <mergeCell ref="B883:G883"/>
    <mergeCell ref="B1002:F1002"/>
    <mergeCell ref="B1200:G1200"/>
    <mergeCell ref="B1158:F1158"/>
    <mergeCell ref="B1163:F1163"/>
    <mergeCell ref="B1057:F1057"/>
    <mergeCell ref="B896:F896"/>
    <mergeCell ref="B1148:G1148"/>
    <mergeCell ref="B1112:D1112"/>
    <mergeCell ref="B1114:C1114"/>
    <mergeCell ref="B818:E818"/>
    <mergeCell ref="B844:F844"/>
    <mergeCell ref="B846:F846"/>
    <mergeCell ref="B834:G834"/>
    <mergeCell ref="B829:G829"/>
    <mergeCell ref="B850:C850"/>
    <mergeCell ref="B839:F839"/>
    <mergeCell ref="B888:G888"/>
    <mergeCell ref="B952:F952"/>
    <mergeCell ref="B942:G942"/>
    <mergeCell ref="B676:G676"/>
    <mergeCell ref="B739:F739"/>
    <mergeCell ref="B729:G729"/>
    <mergeCell ref="B743:C743"/>
    <mergeCell ref="B766:E766"/>
    <mergeCell ref="B713:E713"/>
    <mergeCell ref="B724:G724"/>
    <mergeCell ref="B681:F681"/>
    <mergeCell ref="B686:F686"/>
    <mergeCell ref="B689:D689"/>
    <mergeCell ref="B741:D741"/>
    <mergeCell ref="B737:F737"/>
    <mergeCell ref="B149:G149"/>
    <mergeCell ref="B144:G144"/>
    <mergeCell ref="B417:F417"/>
    <mergeCell ref="B407:G407"/>
    <mergeCell ref="B420:F420"/>
    <mergeCell ref="B424:D424"/>
    <mergeCell ref="B449:E449"/>
    <mergeCell ref="B479:C479"/>
    <mergeCell ref="B460:G460"/>
    <mergeCell ref="B465:G465"/>
    <mergeCell ref="B477:D477"/>
    <mergeCell ref="B365:F365"/>
    <mergeCell ref="B209:F209"/>
    <mergeCell ref="B215:C215"/>
    <mergeCell ref="B268:C268"/>
    <mergeCell ref="B266:D266"/>
    <mergeCell ref="B264:F264"/>
    <mergeCell ref="B211:F211"/>
    <mergeCell ref="B213:D213"/>
    <mergeCell ref="B262:F262"/>
    <mergeCell ref="B249:G249"/>
    <mergeCell ref="B475:F475"/>
    <mergeCell ref="B470:F470"/>
    <mergeCell ref="B473:F473"/>
    <mergeCell ref="B157:F157"/>
    <mergeCell ref="B185:E185"/>
    <mergeCell ref="B133:E133"/>
    <mergeCell ref="B163:C163"/>
    <mergeCell ref="K2:N2"/>
    <mergeCell ref="B108:D108"/>
    <mergeCell ref="B110:C110"/>
    <mergeCell ref="B101:F101"/>
    <mergeCell ref="B54:F54"/>
    <mergeCell ref="B3:D3"/>
    <mergeCell ref="B56:D56"/>
    <mergeCell ref="B49:F49"/>
    <mergeCell ref="B5:C5"/>
    <mergeCell ref="B106:F106"/>
    <mergeCell ref="B96:G96"/>
    <mergeCell ref="B80:E80"/>
    <mergeCell ref="B91:G91"/>
    <mergeCell ref="B28:E28"/>
    <mergeCell ref="B44:G44"/>
    <mergeCell ref="B52:F52"/>
    <mergeCell ref="B39:G39"/>
    <mergeCell ref="B104:F104"/>
    <mergeCell ref="B58:C58"/>
    <mergeCell ref="B154:F154"/>
    <mergeCell ref="B238:E238"/>
    <mergeCell ref="B254:G254"/>
    <mergeCell ref="B259:F259"/>
    <mergeCell ref="B161:D161"/>
    <mergeCell ref="B159:F159"/>
    <mergeCell ref="B360:G360"/>
    <mergeCell ref="B314:F314"/>
    <mergeCell ref="B306:G306"/>
    <mergeCell ref="B301:G301"/>
    <mergeCell ref="B311:F311"/>
    <mergeCell ref="B201:G201"/>
    <mergeCell ref="B206:F206"/>
    <mergeCell ref="B196:G196"/>
    <mergeCell ref="B368:F368"/>
    <mergeCell ref="B372:D372"/>
    <mergeCell ref="B374:C374"/>
    <mergeCell ref="B321:C321"/>
    <mergeCell ref="B319:D319"/>
    <mergeCell ref="B344:E344"/>
    <mergeCell ref="B355:G355"/>
    <mergeCell ref="B316:F316"/>
    <mergeCell ref="B606:E606"/>
    <mergeCell ref="B426:C426"/>
    <mergeCell ref="B529:D529"/>
    <mergeCell ref="B517:G517"/>
    <mergeCell ref="B527:F527"/>
    <mergeCell ref="B522:F522"/>
    <mergeCell ref="B578:F578"/>
    <mergeCell ref="B501:E501"/>
    <mergeCell ref="B582:D582"/>
    <mergeCell ref="B565:G565"/>
    <mergeCell ref="B570:G570"/>
    <mergeCell ref="B512:G512"/>
    <mergeCell ref="B525:F525"/>
    <mergeCell ref="B554:E554"/>
    <mergeCell ref="B1105:F1105"/>
    <mergeCell ref="B872:E872"/>
    <mergeCell ref="B422:F422"/>
    <mergeCell ref="B848:D848"/>
    <mergeCell ref="B842:F842"/>
    <mergeCell ref="B575:F575"/>
    <mergeCell ref="B531:C531"/>
    <mergeCell ref="B792:F792"/>
    <mergeCell ref="B794:D794"/>
    <mergeCell ref="B796:C796"/>
    <mergeCell ref="B627:F627"/>
    <mergeCell ref="B584:C584"/>
    <mergeCell ref="B790:F790"/>
    <mergeCell ref="B622:G622"/>
    <mergeCell ref="B580:F580"/>
    <mergeCell ref="B617:G617"/>
    <mergeCell ref="B632:F632"/>
    <mergeCell ref="B635:D635"/>
    <mergeCell ref="B671:G671"/>
    <mergeCell ref="B734:F734"/>
    <mergeCell ref="B660:E660"/>
    <mergeCell ref="B630:F630"/>
    <mergeCell ref="B637:C637"/>
    <mergeCell ref="B684:F684"/>
    <mergeCell ref="Q2:T2"/>
    <mergeCell ref="B1062:C1062"/>
    <mergeCell ref="B1055:F1055"/>
    <mergeCell ref="B1095:G1095"/>
    <mergeCell ref="B937:G937"/>
    <mergeCell ref="B903:C903"/>
    <mergeCell ref="B901:D901"/>
    <mergeCell ref="B926:E926"/>
    <mergeCell ref="B978:E978"/>
    <mergeCell ref="B290:E290"/>
    <mergeCell ref="B1006:D1006"/>
    <mergeCell ref="B994:G994"/>
    <mergeCell ref="B947:F947"/>
    <mergeCell ref="B954:D954"/>
    <mergeCell ref="B999:F999"/>
    <mergeCell ref="B1004:F1004"/>
    <mergeCell ref="B956:C956"/>
    <mergeCell ref="B989:G989"/>
    <mergeCell ref="B950:F950"/>
    <mergeCell ref="B1060:D1060"/>
    <mergeCell ref="B1084:E1084"/>
    <mergeCell ref="B370:F370"/>
    <mergeCell ref="B396:E396"/>
    <mergeCell ref="B412:G412"/>
    <mergeCell ref="B1031:E1031"/>
    <mergeCell ref="B1008:C1008"/>
    <mergeCell ref="B1052:F1052"/>
    <mergeCell ref="B1042:G1042"/>
    <mergeCell ref="A1427:I1427"/>
    <mergeCell ref="B1272:C1272"/>
    <mergeCell ref="B1268:F1268"/>
    <mergeCell ref="B1320:F1320"/>
    <mergeCell ref="B1305:G1305"/>
    <mergeCell ref="B1270:D1270"/>
    <mergeCell ref="B1258:G1258"/>
    <mergeCell ref="B1167:C1167"/>
    <mergeCell ref="B1205:G1205"/>
    <mergeCell ref="B1210:F1210"/>
    <mergeCell ref="B1219:C1219"/>
    <mergeCell ref="B1217:D1217"/>
    <mergeCell ref="B1213:F1213"/>
    <mergeCell ref="B1242:E1242"/>
    <mergeCell ref="B1253:G1253"/>
    <mergeCell ref="B1100:G1100"/>
    <mergeCell ref="B1108:F1108"/>
    <mergeCell ref="B1153:G1153"/>
    <mergeCell ref="B1189:E1189"/>
    <mergeCell ref="B1161:F1161"/>
    <mergeCell ref="B1266:F1266"/>
    <mergeCell ref="B1263:F1263"/>
    <mergeCell ref="B1795:F1795"/>
    <mergeCell ref="B1746:D1746"/>
    <mergeCell ref="B1748:C1748"/>
    <mergeCell ref="B1770:E1770"/>
    <mergeCell ref="B1781:G1781"/>
    <mergeCell ref="B1786:G1786"/>
    <mergeCell ref="B1791:F1791"/>
    <mergeCell ref="B1793:F1793"/>
    <mergeCell ref="B1425:F1425"/>
    <mergeCell ref="B1423:F1423"/>
    <mergeCell ref="B1415:G1415"/>
    <mergeCell ref="B1324:C1324"/>
    <mergeCell ref="B1420:F1420"/>
    <mergeCell ref="B1358:G1358"/>
    <mergeCell ref="B1410:G1410"/>
    <mergeCell ref="B1294:E1294"/>
    <mergeCell ref="B1318:F1318"/>
    <mergeCell ref="B1322:D1322"/>
    <mergeCell ref="B1363:G1363"/>
    <mergeCell ref="B1310:G1310"/>
    <mergeCell ref="B1315:F1315"/>
    <mergeCell ref="B1347:E1347"/>
  </mergeCells>
  <phoneticPr fontId="8" type="noConversion"/>
  <hyperlinks>
    <hyperlink ref="L3" location="'4 Рентген Фл'!A4" display="Рентгенографія черепа" xr:uid="{00000000-0004-0000-1500-000000000000}"/>
    <hyperlink ref="L4" location="'4 Рентген Фл'!A101" display="Рентгенографія черепа в двох проекціях" xr:uid="{00000000-0004-0000-1500-000001000000}"/>
    <hyperlink ref="L5" location="'4 Рентген Фл'!A197" display="Рентгенографія хребта" xr:uid="{00000000-0004-0000-1500-000002000000}"/>
    <hyperlink ref="L6" location="'4 Рентген Фл'!A293" display="Рентгенографія хребта в двох проекціях" xr:uid="{00000000-0004-0000-1500-000003000000}"/>
    <hyperlink ref="L7" location="'4 Рентген Фл'!A389" display="Рентгенографія кісток" xr:uid="{00000000-0004-0000-1500-000004000000}"/>
    <hyperlink ref="L11" location="'4 Рентген Фл'!A1274" display="Флюорографія органів грудної клітки" xr:uid="{00000000-0004-0000-1500-000005000000}"/>
    <hyperlink ref="R3" location="'4 Рентген Фл'!A4" display="Рентгенографія черепа" xr:uid="{00000000-0004-0000-1500-000006000000}"/>
    <hyperlink ref="R4" location="'4 Рентген Фл'!A101" display="Рентгенографія черепа в двох проекціях" xr:uid="{00000000-0004-0000-1500-000007000000}"/>
    <hyperlink ref="R5" location="'4 Рентген Фл'!A197" display="Рентгенографія хребта" xr:uid="{00000000-0004-0000-1500-000008000000}"/>
    <hyperlink ref="R6" location="'4 Рентген Фл'!A293" display="Рентгенографія хребта в двох проекціях" xr:uid="{00000000-0004-0000-1500-000009000000}"/>
    <hyperlink ref="R7" location="'4 Рентген Фл'!A389" display="Рентгенографія кісток" xr:uid="{00000000-0004-0000-1500-00000A000000}"/>
    <hyperlink ref="R11" location="'4 Рентген Фл'!A1274" display="Флюорографія органів грудної клітки" xr:uid="{00000000-0004-0000-1500-00000B000000}"/>
  </hyperlinks>
  <pageMargins left="0" right="0" top="0" bottom="0" header="0.31496062992125984" footer="0.31496062992125984"/>
  <pageSetup paperSize="9" scale="78" orientation="portrait" r:id="rId1"/>
  <rowBreaks count="37" manualBreakCount="37">
    <brk id="55" max="8" man="1"/>
    <brk id="107" max="8" man="1"/>
    <brk id="160" max="8" man="1"/>
    <brk id="212" max="8" man="1"/>
    <brk id="265" max="8" man="1"/>
    <brk id="318" max="8" man="1"/>
    <brk id="371" max="8" man="1"/>
    <brk id="423" max="8" man="1"/>
    <brk id="476" max="8" man="1"/>
    <brk id="528" max="8" man="1"/>
    <brk id="581" max="8" man="1"/>
    <brk id="633" max="8" man="1"/>
    <brk id="688" max="8" man="1"/>
    <brk id="740" max="8" man="1"/>
    <brk id="793" max="8" man="1"/>
    <brk id="847" max="8" man="1"/>
    <brk id="900" max="8" man="1"/>
    <brk id="953" max="8" man="1"/>
    <brk id="1005" max="8" man="1"/>
    <brk id="1059" max="8" man="1"/>
    <brk id="1111" max="8" man="1"/>
    <brk id="1164" max="8" man="1"/>
    <brk id="1216" max="8" man="1"/>
    <brk id="1269" max="8" man="1"/>
    <brk id="1321" max="8" man="1"/>
    <brk id="1374" max="8" man="1"/>
    <brk id="1428" max="8" man="1"/>
    <brk id="1481" max="8" man="1"/>
    <brk id="1533" max="8" man="1"/>
    <brk id="1586" max="8" man="1"/>
    <brk id="1638" max="8" man="1"/>
    <brk id="1692" max="8" man="1"/>
    <brk id="1744" max="8" man="1"/>
    <brk id="1796" max="8" man="1"/>
    <brk id="1849" max="8" man="1"/>
    <brk id="1904" max="8" man="1"/>
    <brk id="1959" max="8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</sheetPr>
  <dimension ref="A1:N2315"/>
  <sheetViews>
    <sheetView view="pageBreakPreview" topLeftCell="A2288" zoomScaleNormal="100" workbookViewId="0">
      <selection activeCell="C1426" sqref="C1426:C1429"/>
    </sheetView>
  </sheetViews>
  <sheetFormatPr defaultRowHeight="14.4" x14ac:dyDescent="0.3"/>
  <cols>
    <col min="1" max="1" width="10.5546875" style="7" customWidth="1"/>
    <col min="2" max="2" width="42.44140625" style="7" customWidth="1"/>
    <col min="3" max="3" width="13.5546875" style="74" customWidth="1"/>
    <col min="4" max="4" width="10.44140625" style="7" bestFit="1" customWidth="1"/>
    <col min="5" max="5" width="11" style="7" customWidth="1"/>
    <col min="6" max="6" width="14.109375" style="7" customWidth="1"/>
    <col min="7" max="7" width="10.44140625" style="7" bestFit="1" customWidth="1"/>
    <col min="8" max="8" width="9.33203125" style="7" bestFit="1" customWidth="1"/>
    <col min="9" max="9" width="8.88671875" style="7" customWidth="1"/>
    <col min="10" max="10" width="12" style="130" customWidth="1"/>
    <col min="11" max="11" width="7.109375" style="867" bestFit="1" customWidth="1"/>
    <col min="12" max="12" width="40.6640625" style="862" bestFit="1" customWidth="1"/>
    <col min="13" max="13" width="14" style="862" bestFit="1" customWidth="1"/>
    <col min="14" max="14" width="12" style="862" bestFit="1" customWidth="1"/>
  </cols>
  <sheetData>
    <row r="1" spans="1:14" ht="7.5" customHeight="1" x14ac:dyDescent="0.3"/>
    <row r="2" spans="1:14" ht="18.600000000000001" x14ac:dyDescent="0.3">
      <c r="A2" s="1016" t="s">
        <v>958</v>
      </c>
      <c r="B2" s="1016"/>
      <c r="C2" s="1016"/>
      <c r="D2" s="1016"/>
      <c r="E2" s="1016"/>
      <c r="F2" s="1016"/>
      <c r="G2" s="1016"/>
      <c r="H2" s="1016"/>
      <c r="I2" s="1016"/>
    </row>
    <row r="3" spans="1:14" ht="19.2" x14ac:dyDescent="0.35">
      <c r="A3" s="53"/>
      <c r="B3" s="53"/>
      <c r="C3" s="225"/>
      <c r="D3" s="53"/>
      <c r="E3" s="53"/>
      <c r="F3" s="53"/>
      <c r="G3" s="53"/>
      <c r="H3" s="53"/>
      <c r="I3" s="53"/>
    </row>
    <row r="4" spans="1:14" ht="19.2" x14ac:dyDescent="0.35">
      <c r="A4" s="50" t="s">
        <v>240</v>
      </c>
      <c r="B4" s="1017" t="s">
        <v>669</v>
      </c>
      <c r="C4" s="1017"/>
      <c r="D4" s="1017"/>
      <c r="E4" s="52">
        <f>G53</f>
        <v>87</v>
      </c>
      <c r="F4" s="52" t="s">
        <v>971</v>
      </c>
      <c r="G4" s="53"/>
      <c r="H4" s="124"/>
      <c r="I4" s="125" t="s">
        <v>1022</v>
      </c>
      <c r="K4" s="863"/>
      <c r="L4" s="857"/>
      <c r="M4" s="856"/>
      <c r="N4" s="856"/>
    </row>
    <row r="5" spans="1:14" x14ac:dyDescent="0.3">
      <c r="K5" s="864" t="str">
        <f>A4</f>
        <v>11.1</v>
      </c>
      <c r="L5" s="856" t="str">
        <f>B4</f>
        <v>Рентгенографія черепа</v>
      </c>
      <c r="M5" s="857" t="str">
        <f>I4</f>
        <v>на А4 форматі</v>
      </c>
      <c r="N5" s="856"/>
    </row>
    <row r="6" spans="1:14" x14ac:dyDescent="0.3">
      <c r="B6" s="1018" t="s">
        <v>932</v>
      </c>
      <c r="C6" s="1018"/>
      <c r="D6" s="10"/>
      <c r="E6" s="11">
        <f>E13+E16+E14</f>
        <v>31.78</v>
      </c>
      <c r="F6" s="12" t="s">
        <v>971</v>
      </c>
      <c r="K6" s="864" t="str">
        <f>A55</f>
        <v>11.1.1</v>
      </c>
      <c r="L6" s="856" t="str">
        <f>B55</f>
        <v>Рентгенографія черепа</v>
      </c>
      <c r="M6" s="857" t="str">
        <f>I55</f>
        <v>на плівку</v>
      </c>
      <c r="N6" s="857" t="str">
        <f>I56</f>
        <v>20*25-1шт</v>
      </c>
    </row>
    <row r="7" spans="1:14" x14ac:dyDescent="0.3">
      <c r="K7" s="864" t="str">
        <f>A106</f>
        <v>11.1.2</v>
      </c>
      <c r="L7" s="856" t="str">
        <f>B106</f>
        <v>Рентгенографія черепа</v>
      </c>
      <c r="M7" s="857" t="str">
        <f>I106</f>
        <v>на плівку</v>
      </c>
      <c r="N7" s="857" t="str">
        <f>I107</f>
        <v>35*43-1шт</v>
      </c>
    </row>
    <row r="8" spans="1:14" ht="27.6" x14ac:dyDescent="0.3">
      <c r="B8" s="13" t="s">
        <v>929</v>
      </c>
      <c r="C8" s="14" t="s">
        <v>928</v>
      </c>
      <c r="D8" s="14" t="s">
        <v>514</v>
      </c>
      <c r="E8" s="14" t="s">
        <v>515</v>
      </c>
      <c r="F8" s="14" t="s">
        <v>962</v>
      </c>
      <c r="G8" s="14" t="s">
        <v>926</v>
      </c>
      <c r="H8" s="14" t="s">
        <v>516</v>
      </c>
      <c r="I8" s="14" t="s">
        <v>961</v>
      </c>
      <c r="K8" s="864" t="str">
        <f>A157</f>
        <v>11.1.3</v>
      </c>
      <c r="L8" s="856" t="str">
        <f>B157</f>
        <v>Рентгенографія черепа</v>
      </c>
      <c r="M8" s="857" t="str">
        <f>I157</f>
        <v>на плівку</v>
      </c>
      <c r="N8" s="857" t="str">
        <f>I158</f>
        <v>35*43-2шт</v>
      </c>
    </row>
    <row r="9" spans="1:14" x14ac:dyDescent="0.3">
      <c r="B9" s="16" t="str">
        <f>ЗП!B26</f>
        <v>Лікар-рентгенолог</v>
      </c>
      <c r="C9" s="78">
        <f>ЗП!C26</f>
        <v>8463.5400000000009</v>
      </c>
      <c r="D9" s="16">
        <f>C9*12</f>
        <v>101562.48000000001</v>
      </c>
      <c r="E9" s="16">
        <f>ЗП!E26</f>
        <v>7052.95</v>
      </c>
      <c r="F9" s="16">
        <f>E9*0.5</f>
        <v>3526.4749999999999</v>
      </c>
      <c r="G9" s="16">
        <f>D9+E9+F9</f>
        <v>112141.90500000001</v>
      </c>
      <c r="H9" s="17">
        <v>1932.7</v>
      </c>
      <c r="I9" s="16">
        <f>ROUND((G9/H9)/60,2)</f>
        <v>0.97</v>
      </c>
      <c r="K9" s="864" t="str">
        <f>A208</f>
        <v>11.1.4</v>
      </c>
      <c r="L9" s="856" t="str">
        <f>B208</f>
        <v>Рентгенографія черепа</v>
      </c>
      <c r="M9" s="857" t="str">
        <f>I208</f>
        <v>без плівки</v>
      </c>
      <c r="N9" s="856"/>
    </row>
    <row r="10" spans="1:14" x14ac:dyDescent="0.3">
      <c r="B10" s="37" t="str">
        <f>ЗП!B44</f>
        <v>Рентгенолаборант</v>
      </c>
      <c r="C10" s="226">
        <f>ЗП!C44</f>
        <v>7482.48</v>
      </c>
      <c r="D10" s="24">
        <f>C10*12</f>
        <v>89789.759999999995</v>
      </c>
      <c r="E10" s="24">
        <f>ЗП!E44</f>
        <v>5755.75</v>
      </c>
      <c r="F10" s="16">
        <f>E10*0.5</f>
        <v>2877.875</v>
      </c>
      <c r="G10" s="16">
        <f>D10+E10+F10</f>
        <v>98423.384999999995</v>
      </c>
      <c r="H10" s="62">
        <v>1506</v>
      </c>
      <c r="I10" s="16">
        <f>ROUND((G10/H10)/60,2)</f>
        <v>1.0900000000000001</v>
      </c>
      <c r="K10" s="864" t="str">
        <f>A260</f>
        <v>11.2</v>
      </c>
      <c r="L10" s="856" t="str">
        <f>B260</f>
        <v>Рентгенографія хребта</v>
      </c>
      <c r="M10" s="857" t="str">
        <f>I260</f>
        <v>на А4 форматі</v>
      </c>
      <c r="N10" s="856"/>
    </row>
    <row r="11" spans="1:14" x14ac:dyDescent="0.3">
      <c r="K11" s="864" t="str">
        <f>A311</f>
        <v>11.2.1</v>
      </c>
      <c r="L11" s="858" t="str">
        <f>B311</f>
        <v>Рентгенографія хребта</v>
      </c>
      <c r="M11" s="857" t="str">
        <f>I311</f>
        <v>на плівку</v>
      </c>
      <c r="N11" s="857" t="str">
        <f>I312</f>
        <v>35*43-1шт</v>
      </c>
    </row>
    <row r="12" spans="1:14" ht="27.6" x14ac:dyDescent="0.4">
      <c r="B12" s="13" t="s">
        <v>929</v>
      </c>
      <c r="C12" s="14" t="s">
        <v>961</v>
      </c>
      <c r="D12" s="14" t="s">
        <v>930</v>
      </c>
      <c r="E12" s="14" t="s">
        <v>931</v>
      </c>
      <c r="J12" s="291">
        <f>'4.Рентген Фл'!J11</f>
        <v>34</v>
      </c>
      <c r="K12" s="864" t="str">
        <f>A362</f>
        <v>11.2.2</v>
      </c>
      <c r="L12" s="858" t="str">
        <f>B362</f>
        <v>Рентгенографія хребта</v>
      </c>
      <c r="M12" s="857" t="str">
        <f>I362</f>
        <v>на плівку</v>
      </c>
      <c r="N12" s="857" t="str">
        <f>I363</f>
        <v>35*43-2шт</v>
      </c>
    </row>
    <row r="13" spans="1:14" x14ac:dyDescent="0.3">
      <c r="B13" s="15" t="str">
        <f>B9</f>
        <v>Лікар-рентгенолог</v>
      </c>
      <c r="C13" s="78">
        <f>I9</f>
        <v>0.97</v>
      </c>
      <c r="D13" s="17">
        <v>10</v>
      </c>
      <c r="E13" s="18">
        <f>ROUND(C13*D13,2)</f>
        <v>9.6999999999999993</v>
      </c>
      <c r="K13" s="864" t="str">
        <f>A413</f>
        <v>11.2.3</v>
      </c>
      <c r="L13" s="856" t="str">
        <f>B413</f>
        <v>Рентгенографія хребта</v>
      </c>
      <c r="M13" s="857" t="str">
        <f>I413</f>
        <v>без плівки</v>
      </c>
      <c r="N13" s="856"/>
    </row>
    <row r="14" spans="1:14" x14ac:dyDescent="0.3">
      <c r="B14" s="15" t="str">
        <f>B10</f>
        <v>Рентгенолаборант</v>
      </c>
      <c r="C14" s="78">
        <f>I10</f>
        <v>1.0900000000000001</v>
      </c>
      <c r="D14" s="17">
        <v>15</v>
      </c>
      <c r="E14" s="18">
        <f>ROUND(C14*D14,2)</f>
        <v>16.350000000000001</v>
      </c>
      <c r="K14" s="864" t="str">
        <f>A465</f>
        <v>11.3</v>
      </c>
      <c r="L14" s="856" t="str">
        <f>B465</f>
        <v>Рентгенографія кісток</v>
      </c>
      <c r="M14" s="857" t="str">
        <f>I465</f>
        <v>на А4 форматі</v>
      </c>
      <c r="N14" s="856"/>
    </row>
    <row r="15" spans="1:14" x14ac:dyDescent="0.3">
      <c r="C15" s="19"/>
      <c r="K15" s="864" t="str">
        <f>A516</f>
        <v>11.3.1</v>
      </c>
      <c r="L15" s="856" t="str">
        <f>B516</f>
        <v>Рентгенографія кісток</v>
      </c>
      <c r="M15" s="857" t="str">
        <f>I516</f>
        <v>на плівку</v>
      </c>
      <c r="N15" s="857" t="str">
        <f>I517</f>
        <v>20*25-1шт</v>
      </c>
    </row>
    <row r="16" spans="1:14" x14ac:dyDescent="0.3">
      <c r="B16" s="17" t="s">
        <v>933</v>
      </c>
      <c r="C16" s="78">
        <f>E13+E14</f>
        <v>26.05</v>
      </c>
      <c r="D16" s="20">
        <v>0.22</v>
      </c>
      <c r="E16" s="21">
        <f>ROUND(C16*D16,2)</f>
        <v>5.73</v>
      </c>
      <c r="K16" s="864" t="str">
        <f>A567</f>
        <v>11.3.2</v>
      </c>
      <c r="L16" s="856" t="str">
        <f>B567</f>
        <v>Рентгенографія кісток</v>
      </c>
      <c r="M16" s="857" t="str">
        <f>I567</f>
        <v>на плівку</v>
      </c>
      <c r="N16" s="857" t="str">
        <f>I568</f>
        <v>35*43-1шт</v>
      </c>
    </row>
    <row r="17" spans="1:14" x14ac:dyDescent="0.3">
      <c r="K17" s="864" t="str">
        <f>A618</f>
        <v>11.3.3</v>
      </c>
      <c r="L17" s="856" t="str">
        <f>B618</f>
        <v>Рентгенографія кісток</v>
      </c>
      <c r="M17" s="857" t="str">
        <f>I618</f>
        <v>на плівку</v>
      </c>
      <c r="N17" s="857" t="str">
        <f>I619</f>
        <v>35*43-2шт</v>
      </c>
    </row>
    <row r="18" spans="1:14" x14ac:dyDescent="0.3">
      <c r="B18" s="12" t="s">
        <v>946</v>
      </c>
      <c r="C18" s="227"/>
      <c r="D18" s="12"/>
      <c r="E18" s="12">
        <f>F27</f>
        <v>3.1799999999999997</v>
      </c>
      <c r="F18" s="12" t="s">
        <v>971</v>
      </c>
      <c r="K18" s="864" t="str">
        <f>A669</f>
        <v>11.3.4</v>
      </c>
      <c r="L18" s="856" t="str">
        <f>B669</f>
        <v>Рентгенографія кісток</v>
      </c>
      <c r="M18" s="857" t="str">
        <f>I669</f>
        <v>на плівку</v>
      </c>
      <c r="N18" s="857" t="str">
        <f>I670</f>
        <v>35*43-3шт</v>
      </c>
    </row>
    <row r="19" spans="1:14" x14ac:dyDescent="0.3">
      <c r="K19" s="864" t="str">
        <f>A720</f>
        <v>11.3.5</v>
      </c>
      <c r="L19" s="856" t="str">
        <f>B720</f>
        <v>Рентгенографія кісток</v>
      </c>
      <c r="M19" s="857" t="str">
        <f>I720</f>
        <v>на плівку</v>
      </c>
      <c r="N19" s="857" t="str">
        <f>I721</f>
        <v>35*43-4шт</v>
      </c>
    </row>
    <row r="20" spans="1:14" x14ac:dyDescent="0.3">
      <c r="B20" s="27" t="s">
        <v>936</v>
      </c>
      <c r="C20" s="28" t="s">
        <v>937</v>
      </c>
      <c r="D20" s="29">
        <v>1</v>
      </c>
      <c r="E20" s="30">
        <f>'МЕДИЧНІ М'!F115</f>
        <v>0.3</v>
      </c>
      <c r="F20" s="30">
        <f>ROUND(D20*E20,2)</f>
        <v>0.3</v>
      </c>
      <c r="K20" s="864" t="str">
        <f>A771</f>
        <v>11.3.6</v>
      </c>
      <c r="L20" s="856" t="str">
        <f>B771</f>
        <v>Рентгенографія кісток</v>
      </c>
      <c r="M20" s="857" t="str">
        <f>I771</f>
        <v>без плівки</v>
      </c>
      <c r="N20" s="856"/>
    </row>
    <row r="21" spans="1:14" s="184" customFormat="1" x14ac:dyDescent="0.3">
      <c r="A21" s="180"/>
      <c r="B21" s="185" t="s">
        <v>1021</v>
      </c>
      <c r="C21" s="186" t="s">
        <v>941</v>
      </c>
      <c r="D21" s="164">
        <v>0.5</v>
      </c>
      <c r="E21" s="164">
        <f>'МЕДИЧНІ М'!E181</f>
        <v>2</v>
      </c>
      <c r="F21" s="164">
        <f t="shared" ref="F21:F26" si="0">ROUND(D21*E21,2)</f>
        <v>1</v>
      </c>
      <c r="G21" s="180"/>
      <c r="H21" s="180"/>
      <c r="I21" s="180"/>
      <c r="J21" s="187"/>
      <c r="K21" s="865" t="str">
        <f>A823</f>
        <v>11.4</v>
      </c>
      <c r="L21" s="859" t="str">
        <f>B823</f>
        <v>Рентгенографія приносових пазух</v>
      </c>
      <c r="M21" s="860" t="str">
        <f>I823</f>
        <v>на А4 форматі</v>
      </c>
      <c r="N21" s="859"/>
    </row>
    <row r="22" spans="1:14" x14ac:dyDescent="0.3">
      <c r="B22" s="15" t="s">
        <v>1216</v>
      </c>
      <c r="C22" s="73" t="s">
        <v>941</v>
      </c>
      <c r="D22" s="17">
        <v>0.1</v>
      </c>
      <c r="E22" s="16">
        <f>'МЕДИЧНІ М'!E113</f>
        <v>8</v>
      </c>
      <c r="F22" s="17">
        <f t="shared" si="0"/>
        <v>0.8</v>
      </c>
      <c r="K22" s="864" t="str">
        <f>A875</f>
        <v>11.4.1</v>
      </c>
      <c r="L22" s="856" t="str">
        <f>B875</f>
        <v>Рентгенографія приносових пазух</v>
      </c>
      <c r="M22" s="857" t="str">
        <f>I875</f>
        <v>на плівку</v>
      </c>
      <c r="N22" s="857" t="str">
        <f>I876</f>
        <v>20*25-1шт</v>
      </c>
    </row>
    <row r="23" spans="1:14" x14ac:dyDescent="0.3">
      <c r="B23" s="15" t="s">
        <v>98</v>
      </c>
      <c r="C23" s="73" t="s">
        <v>941</v>
      </c>
      <c r="D23" s="17">
        <v>1</v>
      </c>
      <c r="E23" s="16">
        <f>МАТЕРІАЛИ!E4</f>
        <v>0.3</v>
      </c>
      <c r="F23" s="17">
        <f t="shared" si="0"/>
        <v>0.3</v>
      </c>
      <c r="K23" s="864" t="str">
        <f>A928</f>
        <v>11.4.2</v>
      </c>
      <c r="L23" s="856" t="str">
        <f>B928</f>
        <v>Рентгенографія приносових пазух</v>
      </c>
      <c r="M23" s="857" t="str">
        <f>I928</f>
        <v>на плівку</v>
      </c>
      <c r="N23" s="857" t="str">
        <f>I929</f>
        <v>35*43-1шт</v>
      </c>
    </row>
    <row r="24" spans="1:14" x14ac:dyDescent="0.3">
      <c r="B24" s="15" t="s">
        <v>1217</v>
      </c>
      <c r="C24" s="73" t="s">
        <v>941</v>
      </c>
      <c r="D24" s="17">
        <v>0.1</v>
      </c>
      <c r="E24" s="16">
        <f>'МЕДИЧНІ М'!E119</f>
        <v>2.8</v>
      </c>
      <c r="F24" s="17">
        <f t="shared" si="0"/>
        <v>0.28000000000000003</v>
      </c>
      <c r="K24" s="864" t="str">
        <f>A980</f>
        <v>11.4.3</v>
      </c>
      <c r="L24" s="856" t="str">
        <f>B980</f>
        <v>Рентгенографія приносових пазух</v>
      </c>
      <c r="M24" s="857" t="str">
        <f>I980</f>
        <v>без плівки</v>
      </c>
      <c r="N24" s="856"/>
    </row>
    <row r="25" spans="1:14" x14ac:dyDescent="0.3">
      <c r="B25" s="27" t="s">
        <v>942</v>
      </c>
      <c r="C25" s="28" t="s">
        <v>941</v>
      </c>
      <c r="D25" s="29">
        <v>0.01</v>
      </c>
      <c r="E25" s="29">
        <f>'МЕДИЧНІ М'!E120</f>
        <v>24.6</v>
      </c>
      <c r="F25" s="30">
        <f t="shared" si="0"/>
        <v>0.25</v>
      </c>
      <c r="K25" s="864" t="str">
        <f>A1032</f>
        <v>11.5</v>
      </c>
      <c r="L25" s="856" t="str">
        <f>B1032</f>
        <v>Рентгенографія щелепи</v>
      </c>
      <c r="M25" s="857" t="str">
        <f>I1032</f>
        <v>на А4 форматі</v>
      </c>
      <c r="N25" s="856"/>
    </row>
    <row r="26" spans="1:14" x14ac:dyDescent="0.3">
      <c r="B26" s="27" t="s">
        <v>1124</v>
      </c>
      <c r="C26" s="28" t="s">
        <v>944</v>
      </c>
      <c r="D26" s="29">
        <v>0.5</v>
      </c>
      <c r="E26" s="29">
        <f>'МЕДИЧНІ М'!E114</f>
        <v>0.5</v>
      </c>
      <c r="F26" s="30">
        <f t="shared" si="0"/>
        <v>0.25</v>
      </c>
      <c r="K26" s="864" t="str">
        <f>A1083</f>
        <v>11.5.1</v>
      </c>
      <c r="L26" s="856" t="str">
        <f>B1083</f>
        <v>Рентгенографія щелепи</v>
      </c>
      <c r="M26" s="857" t="str">
        <f>I1083</f>
        <v>на плівку</v>
      </c>
      <c r="N26" s="857" t="str">
        <f>I1084</f>
        <v>20*25-1 шт</v>
      </c>
    </row>
    <row r="27" spans="1:14" x14ac:dyDescent="0.3">
      <c r="B27" s="1019" t="s">
        <v>945</v>
      </c>
      <c r="C27" s="1019"/>
      <c r="D27" s="1019"/>
      <c r="E27" s="1019"/>
      <c r="F27" s="31">
        <f>SUM(F20:F26)</f>
        <v>3.1799999999999997</v>
      </c>
      <c r="K27" s="864" t="str">
        <f>A1134</f>
        <v>11.5.2</v>
      </c>
      <c r="L27" s="856" t="str">
        <f>B1134</f>
        <v>Рентгенографія щелепи</v>
      </c>
      <c r="M27" s="857" t="str">
        <f>I1134</f>
        <v>на плівку</v>
      </c>
      <c r="N27" s="857" t="str">
        <f>I1135</f>
        <v>35*43-2 шт</v>
      </c>
    </row>
    <row r="28" spans="1:14" x14ac:dyDescent="0.3">
      <c r="K28" s="864" t="str">
        <f>A1185</f>
        <v>11.5.3</v>
      </c>
      <c r="L28" s="856" t="str">
        <f>B1185</f>
        <v>Рентгенографія щелепи</v>
      </c>
      <c r="M28" s="857" t="str">
        <f>I1185</f>
        <v>без плівки</v>
      </c>
      <c r="N28" s="856"/>
    </row>
    <row r="29" spans="1:14" x14ac:dyDescent="0.3">
      <c r="B29" s="12" t="s">
        <v>968</v>
      </c>
      <c r="C29" s="227"/>
      <c r="D29" s="12"/>
      <c r="E29" s="11">
        <f>SUM(G32:G33)</f>
        <v>48.15</v>
      </c>
      <c r="F29" s="12" t="s">
        <v>971</v>
      </c>
      <c r="K29" s="864" t="str">
        <f>A1237</f>
        <v>11.6</v>
      </c>
      <c r="L29" s="856" t="str">
        <f>B1237</f>
        <v>Рентгенографія органів грудної клітки</v>
      </c>
      <c r="M29" s="857" t="str">
        <f>I1237</f>
        <v>на А4 форматі</v>
      </c>
      <c r="N29" s="856"/>
    </row>
    <row r="30" spans="1:14" x14ac:dyDescent="0.3">
      <c r="B30" s="22"/>
      <c r="C30" s="36"/>
      <c r="D30" s="22"/>
      <c r="E30" s="23"/>
      <c r="F30" s="22"/>
      <c r="K30" s="864" t="str">
        <f>A1288</f>
        <v>11.6.1</v>
      </c>
      <c r="L30" s="856" t="str">
        <f>B1288</f>
        <v>Рентгенографія органів грудної клітки</v>
      </c>
      <c r="M30" s="857" t="str">
        <f>I1288</f>
        <v>на плівку</v>
      </c>
      <c r="N30" s="857" t="str">
        <f>I1289</f>
        <v>20*25-1 шт</v>
      </c>
    </row>
    <row r="31" spans="1:14" ht="27.6" x14ac:dyDescent="0.3">
      <c r="B31" s="14" t="s">
        <v>513</v>
      </c>
      <c r="C31" s="14" t="s">
        <v>969</v>
      </c>
      <c r="D31" s="14" t="s">
        <v>516</v>
      </c>
      <c r="E31" s="14" t="s">
        <v>970</v>
      </c>
      <c r="F31" s="14" t="s">
        <v>930</v>
      </c>
      <c r="G31" s="14" t="s">
        <v>961</v>
      </c>
      <c r="K31" s="864" t="str">
        <f>A1339</f>
        <v>11.6.2</v>
      </c>
      <c r="L31" s="856" t="str">
        <f>B1339</f>
        <v>Рентгенографія органів грудної клітки</v>
      </c>
      <c r="M31" s="857" t="str">
        <f>I1339</f>
        <v>на плівку</v>
      </c>
      <c r="N31" s="857" t="str">
        <f>I1340</f>
        <v>35*43-1 шт</v>
      </c>
    </row>
    <row r="32" spans="1:14" x14ac:dyDescent="0.3">
      <c r="B32" s="46" t="s">
        <v>1158</v>
      </c>
      <c r="C32" s="73"/>
      <c r="D32" s="17">
        <f>H9</f>
        <v>1932.7</v>
      </c>
      <c r="E32" s="16">
        <f>ROUND((C32/D32)/60,2)</f>
        <v>0</v>
      </c>
      <c r="F32" s="17">
        <f>D13</f>
        <v>10</v>
      </c>
      <c r="G32" s="16">
        <f>ROUND(E32*F32,2)</f>
        <v>0</v>
      </c>
      <c r="K32" s="94" t="str">
        <f>A1391</f>
        <v>11.6.3</v>
      </c>
      <c r="L32" s="17" t="str">
        <f>B1391</f>
        <v>Рентгенографія органів грудної клітки</v>
      </c>
      <c r="M32" s="16" t="str">
        <f>I1391</f>
        <v>на плівку</v>
      </c>
      <c r="N32" s="16" t="str">
        <f>I1392</f>
        <v>35*43-2 шт</v>
      </c>
    </row>
    <row r="33" spans="2:14" x14ac:dyDescent="0.3">
      <c r="B33" s="27" t="s">
        <v>1093</v>
      </c>
      <c r="C33" s="78">
        <f>АМОРТИЗАЦІЯ!C62</f>
        <v>290000</v>
      </c>
      <c r="D33" s="62">
        <f>H10</f>
        <v>1506</v>
      </c>
      <c r="E33" s="17">
        <f>ROUND((C33/D33)/60,2)</f>
        <v>3.21</v>
      </c>
      <c r="F33" s="17">
        <f>D14</f>
        <v>15</v>
      </c>
      <c r="G33" s="16">
        <f>ROUND(E33*F33,2)</f>
        <v>48.15</v>
      </c>
      <c r="H33" s="38"/>
      <c r="K33" s="94" t="str">
        <f>A1442</f>
        <v>11.6.4</v>
      </c>
      <c r="L33" s="17" t="str">
        <f>B1442</f>
        <v>Рентгенографія органів грудної клітки</v>
      </c>
      <c r="M33" s="16" t="str">
        <f>I1442</f>
        <v>без плівки</v>
      </c>
      <c r="N33" s="17"/>
    </row>
    <row r="34" spans="2:14" x14ac:dyDescent="0.3">
      <c r="K34" s="864" t="str">
        <f>A1494</f>
        <v>11.7</v>
      </c>
      <c r="L34" s="856" t="str">
        <f>B1494</f>
        <v>Рентгенографія органів черевної порожнини</v>
      </c>
      <c r="M34" s="857" t="str">
        <f>I1494</f>
        <v>на А4 форматі</v>
      </c>
      <c r="N34" s="856"/>
    </row>
    <row r="35" spans="2:14" x14ac:dyDescent="0.3">
      <c r="B35" s="12" t="s">
        <v>948</v>
      </c>
      <c r="C35" s="227"/>
      <c r="D35" s="12"/>
      <c r="E35" s="11">
        <f>G48</f>
        <v>3.45</v>
      </c>
      <c r="F35" s="12" t="s">
        <v>971</v>
      </c>
      <c r="K35" s="864" t="str">
        <f>A1545</f>
        <v>11.7.1</v>
      </c>
      <c r="L35" s="856" t="str">
        <f>B1545</f>
        <v>Рентгенографія органів черевної порожнини</v>
      </c>
      <c r="M35" s="857" t="str">
        <f>I1545</f>
        <v>на плівку</v>
      </c>
      <c r="N35" s="857" t="str">
        <f>I1546</f>
        <v>20*25-1 шт</v>
      </c>
    </row>
    <row r="36" spans="2:14" x14ac:dyDescent="0.3">
      <c r="B36" s="22"/>
      <c r="C36" s="36"/>
      <c r="D36" s="22"/>
      <c r="E36" s="23"/>
      <c r="K36" s="864" t="str">
        <f>A1596</f>
        <v>11.7.2</v>
      </c>
      <c r="L36" s="856" t="str">
        <f>B1596</f>
        <v>Рентгенографія органів черевної порожнини</v>
      </c>
      <c r="M36" s="857" t="str">
        <f>I1596</f>
        <v>на плівку</v>
      </c>
      <c r="N36" s="857" t="str">
        <f>I1597</f>
        <v>35*43-1 шт</v>
      </c>
    </row>
    <row r="37" spans="2:14" ht="27.6" x14ac:dyDescent="0.3">
      <c r="B37" s="14" t="s">
        <v>948</v>
      </c>
      <c r="C37" s="14" t="s">
        <v>1110</v>
      </c>
      <c r="D37" s="14" t="s">
        <v>516</v>
      </c>
      <c r="E37" s="14" t="s">
        <v>954</v>
      </c>
      <c r="F37" s="14" t="s">
        <v>930</v>
      </c>
      <c r="G37" s="14" t="s">
        <v>1111</v>
      </c>
      <c r="K37" s="864" t="str">
        <f>A1647</f>
        <v>11.7.3</v>
      </c>
      <c r="L37" s="856" t="str">
        <f>B1647</f>
        <v>Рентгенографія органів черевної порожнини</v>
      </c>
      <c r="M37" s="857" t="str">
        <f>I1647</f>
        <v>без плівки</v>
      </c>
      <c r="N37" s="856"/>
    </row>
    <row r="38" spans="2:14" x14ac:dyDescent="0.3">
      <c r="B38" s="1009" t="str">
        <f>B9</f>
        <v>Лікар-рентгенолог</v>
      </c>
      <c r="C38" s="1010"/>
      <c r="D38" s="1010"/>
      <c r="E38" s="1010"/>
      <c r="F38" s="1010"/>
      <c r="G38" s="1011"/>
      <c r="K38" s="864" t="str">
        <f>A1699</f>
        <v>11.8</v>
      </c>
      <c r="L38" s="856" t="str">
        <f>B1699</f>
        <v>Ренгенографія шлунку з контрастом</v>
      </c>
      <c r="M38" s="857" t="str">
        <f>I1699</f>
        <v>на А4 форматі</v>
      </c>
      <c r="N38" s="856"/>
    </row>
    <row r="39" spans="2:14" x14ac:dyDescent="0.3">
      <c r="B39" s="17" t="s">
        <v>951</v>
      </c>
      <c r="C39" s="221">
        <f>НАКЛАДНІ!F4</f>
        <v>12188.608008565312</v>
      </c>
      <c r="D39" s="17">
        <f>H9</f>
        <v>1932.7</v>
      </c>
      <c r="E39" s="17">
        <f>ROUND((C39/D39)/60,2)</f>
        <v>0.11</v>
      </c>
      <c r="F39" s="17">
        <f>D13</f>
        <v>10</v>
      </c>
      <c r="G39" s="16">
        <f>ROUND(E39*F39,2)</f>
        <v>1.1000000000000001</v>
      </c>
      <c r="K39" s="864" t="str">
        <f>A1750</f>
        <v>11.8.1</v>
      </c>
      <c r="L39" s="856" t="str">
        <f>B1750</f>
        <v>Ренгенографія шлунку з контрастом</v>
      </c>
      <c r="M39" s="857" t="str">
        <f>I1750</f>
        <v>на плівку</v>
      </c>
      <c r="N39" s="857" t="str">
        <f>I1751</f>
        <v>20*25-1 шт</v>
      </c>
    </row>
    <row r="40" spans="2:14" x14ac:dyDescent="0.3">
      <c r="B40" s="17" t="s">
        <v>952</v>
      </c>
      <c r="C40" s="221">
        <f>НАКЛАДНІ!F5</f>
        <v>53.149721627408987</v>
      </c>
      <c r="D40" s="17">
        <f>H9</f>
        <v>1932.7</v>
      </c>
      <c r="E40" s="17">
        <f>ROUND((C40/D40)/60,2)</f>
        <v>0</v>
      </c>
      <c r="F40" s="17">
        <f>D13</f>
        <v>10</v>
      </c>
      <c r="G40" s="16">
        <f>ROUND(E40*F40,2)</f>
        <v>0</v>
      </c>
      <c r="K40" s="864" t="str">
        <f>A1801</f>
        <v>11.8.2</v>
      </c>
      <c r="L40" s="856" t="str">
        <f>B1801</f>
        <v>Ренгенографія шлунку з контрастом</v>
      </c>
      <c r="M40" s="857" t="str">
        <f>I1801</f>
        <v>без плівки</v>
      </c>
      <c r="N40" s="856"/>
    </row>
    <row r="41" spans="2:14" x14ac:dyDescent="0.3">
      <c r="B41" s="17" t="s">
        <v>953</v>
      </c>
      <c r="C41" s="221">
        <f>НАКЛАДНІ!F6</f>
        <v>374.98368308351178</v>
      </c>
      <c r="D41" s="17">
        <f>H9</f>
        <v>1932.7</v>
      </c>
      <c r="E41" s="17">
        <f>ROUND((C41/D41)/60,2)</f>
        <v>0</v>
      </c>
      <c r="F41" s="17">
        <f>D13</f>
        <v>10</v>
      </c>
      <c r="G41" s="16">
        <f>ROUND(E41*F41,2)</f>
        <v>0</v>
      </c>
      <c r="K41" s="864" t="str">
        <f>A1853</f>
        <v>11.9</v>
      </c>
      <c r="L41" s="856" t="str">
        <f>B1853</f>
        <v>Холецистографія</v>
      </c>
      <c r="M41" s="857" t="str">
        <f>I1853</f>
        <v>на А4 форматі</v>
      </c>
      <c r="N41" s="856"/>
    </row>
    <row r="42" spans="2:14" x14ac:dyDescent="0.3">
      <c r="B42" s="17" t="s">
        <v>1109</v>
      </c>
      <c r="C42" s="221">
        <f>НАКЛАДНІ!F7</f>
        <v>1686.0389293361886</v>
      </c>
      <c r="D42" s="17">
        <f>H9</f>
        <v>1932.7</v>
      </c>
      <c r="E42" s="17">
        <f>ROUND((C42/D42)/60,2)</f>
        <v>0.01</v>
      </c>
      <c r="F42" s="17">
        <f>D13</f>
        <v>10</v>
      </c>
      <c r="G42" s="16">
        <f>ROUND(E42*F42,2)</f>
        <v>0.1</v>
      </c>
      <c r="K42" s="864" t="str">
        <f>A1905</f>
        <v>11.9.1</v>
      </c>
      <c r="L42" s="856" t="str">
        <f>B1905</f>
        <v>Холецистографія</v>
      </c>
      <c r="M42" s="857" t="str">
        <f>I1905</f>
        <v>на плівку</v>
      </c>
      <c r="N42" s="857" t="str">
        <f>I1906</f>
        <v>20*25 - 1 шт</v>
      </c>
    </row>
    <row r="43" spans="2:14" x14ac:dyDescent="0.3">
      <c r="B43" s="1009" t="str">
        <f>B10</f>
        <v>Рентгенолаборант</v>
      </c>
      <c r="C43" s="1010"/>
      <c r="D43" s="1010"/>
      <c r="E43" s="1010"/>
      <c r="F43" s="1010"/>
      <c r="G43" s="1011"/>
      <c r="K43" s="864" t="str">
        <f>A1956</f>
        <v>11.9.2</v>
      </c>
      <c r="L43" s="856" t="str">
        <f>B1956</f>
        <v>Холецистографія</v>
      </c>
      <c r="M43" s="857" t="str">
        <f>I1956</f>
        <v>без плівки</v>
      </c>
      <c r="N43" s="856"/>
    </row>
    <row r="44" spans="2:14" x14ac:dyDescent="0.3">
      <c r="B44" s="17" t="s">
        <v>951</v>
      </c>
      <c r="C44" s="221">
        <f>C39</f>
        <v>12188.608008565312</v>
      </c>
      <c r="D44" s="17">
        <f>H10</f>
        <v>1506</v>
      </c>
      <c r="E44" s="17">
        <f>ROUND((C44/D44)/60,2)</f>
        <v>0.13</v>
      </c>
      <c r="F44" s="17">
        <f>D14</f>
        <v>15</v>
      </c>
      <c r="G44" s="16">
        <f>ROUND(E44*F44,2)</f>
        <v>1.95</v>
      </c>
      <c r="K44" s="864" t="str">
        <f>A2008</f>
        <v>11.10</v>
      </c>
      <c r="L44" s="856" t="str">
        <f>B2008</f>
        <v>Оглядова урографія</v>
      </c>
      <c r="M44" s="857" t="str">
        <f>I2008</f>
        <v>на А4 форматі</v>
      </c>
      <c r="N44" s="856"/>
    </row>
    <row r="45" spans="2:14" x14ac:dyDescent="0.3">
      <c r="B45" s="17" t="s">
        <v>952</v>
      </c>
      <c r="C45" s="221">
        <f>C40</f>
        <v>53.149721627408987</v>
      </c>
      <c r="D45" s="17">
        <f>H10</f>
        <v>1506</v>
      </c>
      <c r="E45" s="17">
        <f>ROUND((C45/D45)/60,2)</f>
        <v>0</v>
      </c>
      <c r="F45" s="17">
        <f>D14</f>
        <v>15</v>
      </c>
      <c r="G45" s="16">
        <f>ROUND(E45*F45,2)</f>
        <v>0</v>
      </c>
      <c r="K45" s="864" t="str">
        <f>A2060</f>
        <v>11.10.1</v>
      </c>
      <c r="L45" s="856" t="str">
        <f>B2060</f>
        <v>Оглядова урографія</v>
      </c>
      <c r="M45" s="857" t="str">
        <f>I2060</f>
        <v>на плівку</v>
      </c>
      <c r="N45" s="857" t="str">
        <f>I2061</f>
        <v>35*43 - 4 шт</v>
      </c>
    </row>
    <row r="46" spans="2:14" x14ac:dyDescent="0.3">
      <c r="B46" s="17" t="s">
        <v>953</v>
      </c>
      <c r="C46" s="221">
        <f>C41</f>
        <v>374.98368308351178</v>
      </c>
      <c r="D46" s="17">
        <f>H10</f>
        <v>1506</v>
      </c>
      <c r="E46" s="17">
        <f>ROUND((C46/D46)/60,2)</f>
        <v>0</v>
      </c>
      <c r="F46" s="17">
        <f>D14</f>
        <v>15</v>
      </c>
      <c r="G46" s="16">
        <f>ROUND(E46*F46,2)</f>
        <v>0</v>
      </c>
      <c r="K46" s="864" t="str">
        <f>A2111</f>
        <v>11.10.2</v>
      </c>
      <c r="L46" s="856" t="str">
        <f>B2111</f>
        <v>Оглядова урографія</v>
      </c>
      <c r="M46" s="857" t="str">
        <f>I2111</f>
        <v>без плівки</v>
      </c>
      <c r="N46" s="856"/>
    </row>
    <row r="47" spans="2:14" x14ac:dyDescent="0.3">
      <c r="B47" s="17" t="s">
        <v>1109</v>
      </c>
      <c r="C47" s="221">
        <f>C42</f>
        <v>1686.0389293361886</v>
      </c>
      <c r="D47" s="17">
        <f>H10</f>
        <v>1506</v>
      </c>
      <c r="E47" s="17">
        <f>ROUND((C47/D47)/60,2)</f>
        <v>0.02</v>
      </c>
      <c r="F47" s="17">
        <f>D14</f>
        <v>15</v>
      </c>
      <c r="G47" s="16">
        <f>ROUND(E47*F47,2)</f>
        <v>0.3</v>
      </c>
      <c r="K47" s="864" t="str">
        <f>A2163</f>
        <v>11.11</v>
      </c>
      <c r="L47" s="856" t="str">
        <f>B2163</f>
        <v>Екстреторна внутрішньовенна урографія</v>
      </c>
      <c r="M47" s="857" t="str">
        <f>I2163</f>
        <v>на А4 форматі</v>
      </c>
      <c r="N47" s="856"/>
    </row>
    <row r="48" spans="2:14" x14ac:dyDescent="0.3">
      <c r="B48" s="1012" t="s">
        <v>957</v>
      </c>
      <c r="C48" s="1013"/>
      <c r="D48" s="1013"/>
      <c r="E48" s="1013"/>
      <c r="F48" s="1014"/>
      <c r="G48" s="18">
        <f>SUM(G39:G47)</f>
        <v>3.45</v>
      </c>
      <c r="K48" s="864" t="str">
        <f>A2214</f>
        <v>11.11.1</v>
      </c>
      <c r="L48" s="856" t="str">
        <f>B2214</f>
        <v>Екстреторна внутрішньовенна урографія</v>
      </c>
      <c r="M48" s="857" t="str">
        <f>I2214</f>
        <v>на плівку</v>
      </c>
      <c r="N48" s="857" t="str">
        <f>I2215</f>
        <v>35*43 - 4 шт</v>
      </c>
    </row>
    <row r="49" spans="1:14" ht="18.75" customHeight="1" x14ac:dyDescent="0.3">
      <c r="K49" s="864" t="str">
        <f>A2266</f>
        <v>11.11.2</v>
      </c>
      <c r="L49" s="856" t="str">
        <f>B2266</f>
        <v>Екстреторна внутрішньовенна урографія</v>
      </c>
      <c r="M49" s="857" t="str">
        <f>I2266</f>
        <v>без плівки</v>
      </c>
      <c r="N49" s="856"/>
    </row>
    <row r="51" spans="1:14" x14ac:dyDescent="0.3">
      <c r="B51" s="1015" t="s">
        <v>959</v>
      </c>
      <c r="C51" s="1015"/>
      <c r="D51" s="1015"/>
      <c r="E51" s="1015"/>
      <c r="F51" s="1015"/>
      <c r="G51" s="32">
        <f>E6+E18+E29+E35</f>
        <v>86.56</v>
      </c>
    </row>
    <row r="52" spans="1:14" x14ac:dyDescent="0.3">
      <c r="B52" s="33"/>
      <c r="C52" s="33"/>
      <c r="D52" s="33"/>
      <c r="E52" s="33"/>
      <c r="F52" s="33"/>
      <c r="G52" s="34"/>
    </row>
    <row r="53" spans="1:14" s="54" customFormat="1" ht="19.8" x14ac:dyDescent="0.4">
      <c r="A53" s="7"/>
      <c r="B53" s="1015" t="s">
        <v>960</v>
      </c>
      <c r="C53" s="1015"/>
      <c r="D53" s="1015"/>
      <c r="E53" s="1015"/>
      <c r="F53" s="1015"/>
      <c r="G53" s="32">
        <f>ROUND(G51,0)</f>
        <v>87</v>
      </c>
      <c r="H53" s="7"/>
      <c r="I53" s="7"/>
      <c r="J53" s="130"/>
      <c r="K53" s="868"/>
      <c r="L53" s="65"/>
      <c r="M53" s="65"/>
      <c r="N53" s="65"/>
    </row>
    <row r="54" spans="1:14" s="54" customFormat="1" ht="19.8" x14ac:dyDescent="0.4">
      <c r="A54" s="7"/>
      <c r="B54" s="7"/>
      <c r="C54" s="74"/>
      <c r="D54" s="7"/>
      <c r="E54" s="7"/>
      <c r="F54" s="7"/>
      <c r="G54" s="7"/>
      <c r="H54" s="7"/>
      <c r="I54" s="7"/>
      <c r="J54" s="130"/>
      <c r="K54" s="868"/>
      <c r="L54" s="65"/>
      <c r="M54" s="65"/>
      <c r="N54" s="65"/>
    </row>
    <row r="55" spans="1:14" s="54" customFormat="1" ht="19.8" x14ac:dyDescent="0.4">
      <c r="A55" s="128" t="s">
        <v>241</v>
      </c>
      <c r="B55" s="1017" t="s">
        <v>669</v>
      </c>
      <c r="C55" s="1017"/>
      <c r="D55" s="1017"/>
      <c r="E55" s="52">
        <f>G104</f>
        <v>114</v>
      </c>
      <c r="F55" s="52" t="s">
        <v>971</v>
      </c>
      <c r="G55" s="53"/>
      <c r="H55" s="124"/>
      <c r="I55" s="125" t="s">
        <v>1023</v>
      </c>
      <c r="J55" s="130"/>
      <c r="K55" s="868"/>
      <c r="L55" s="65"/>
      <c r="M55" s="65"/>
      <c r="N55" s="65"/>
    </row>
    <row r="56" spans="1:14" ht="18.600000000000001" x14ac:dyDescent="0.3">
      <c r="I56" s="125" t="s">
        <v>230</v>
      </c>
    </row>
    <row r="57" spans="1:14" x14ac:dyDescent="0.3">
      <c r="B57" s="1018" t="s">
        <v>932</v>
      </c>
      <c r="C57" s="1018"/>
      <c r="D57" s="10"/>
      <c r="E57" s="11">
        <f>E64+E67+E65</f>
        <v>31.78</v>
      </c>
      <c r="F57" s="12" t="s">
        <v>971</v>
      </c>
    </row>
    <row r="59" spans="1:14" ht="27.6" x14ac:dyDescent="0.3">
      <c r="B59" s="13" t="s">
        <v>929</v>
      </c>
      <c r="C59" s="14" t="s">
        <v>928</v>
      </c>
      <c r="D59" s="14" t="s">
        <v>514</v>
      </c>
      <c r="E59" s="14" t="s">
        <v>515</v>
      </c>
      <c r="F59" s="14" t="s">
        <v>962</v>
      </c>
      <c r="G59" s="14" t="s">
        <v>926</v>
      </c>
      <c r="H59" s="14" t="s">
        <v>516</v>
      </c>
      <c r="I59" s="14" t="s">
        <v>961</v>
      </c>
    </row>
    <row r="60" spans="1:14" x14ac:dyDescent="0.3">
      <c r="B60" s="16" t="str">
        <f>B9</f>
        <v>Лікар-рентгенолог</v>
      </c>
      <c r="C60" s="78">
        <f>C9</f>
        <v>8463.5400000000009</v>
      </c>
      <c r="D60" s="16">
        <f>C60*12</f>
        <v>101562.48000000001</v>
      </c>
      <c r="E60" s="16">
        <f>E9</f>
        <v>7052.95</v>
      </c>
      <c r="F60" s="16">
        <f>F9</f>
        <v>3526.4749999999999</v>
      </c>
      <c r="G60" s="16">
        <f>D60+E60+F60</f>
        <v>112141.90500000001</v>
      </c>
      <c r="H60" s="17">
        <v>1932.7</v>
      </c>
      <c r="I60" s="16">
        <f>ROUND((G60/H60)/60,2)</f>
        <v>0.97</v>
      </c>
    </row>
    <row r="61" spans="1:14" x14ac:dyDescent="0.3">
      <c r="B61" s="37" t="str">
        <f>B10</f>
        <v>Рентгенолаборант</v>
      </c>
      <c r="C61" s="228">
        <f>C10</f>
        <v>7482.48</v>
      </c>
      <c r="D61" s="24">
        <f>C61*12</f>
        <v>89789.759999999995</v>
      </c>
      <c r="E61" s="37">
        <f>E10</f>
        <v>5755.75</v>
      </c>
      <c r="F61" s="24">
        <f>F10</f>
        <v>2877.875</v>
      </c>
      <c r="G61" s="16">
        <f>D61+E61+F61</f>
        <v>98423.384999999995</v>
      </c>
      <c r="H61" s="62">
        <v>1506</v>
      </c>
      <c r="I61" s="16">
        <f>ROUND((G61/H61)/60,2)</f>
        <v>1.0900000000000001</v>
      </c>
    </row>
    <row r="63" spans="1:14" ht="27.6" x14ac:dyDescent="0.3">
      <c r="B63" s="13" t="s">
        <v>929</v>
      </c>
      <c r="C63" s="14" t="s">
        <v>961</v>
      </c>
      <c r="D63" s="14" t="s">
        <v>930</v>
      </c>
      <c r="E63" s="14" t="s">
        <v>931</v>
      </c>
    </row>
    <row r="64" spans="1:14" x14ac:dyDescent="0.3">
      <c r="B64" s="15" t="str">
        <f>B60</f>
        <v>Лікар-рентгенолог</v>
      </c>
      <c r="C64" s="78">
        <f>I60</f>
        <v>0.97</v>
      </c>
      <c r="D64" s="17">
        <v>10</v>
      </c>
      <c r="E64" s="18">
        <f>ROUND(C64*D64,2)</f>
        <v>9.6999999999999993</v>
      </c>
    </row>
    <row r="65" spans="1:14" x14ac:dyDescent="0.3">
      <c r="B65" s="15" t="str">
        <f>B61</f>
        <v>Рентгенолаборант</v>
      </c>
      <c r="C65" s="78">
        <f>I61</f>
        <v>1.0900000000000001</v>
      </c>
      <c r="D65" s="17">
        <v>15</v>
      </c>
      <c r="E65" s="18">
        <f>ROUND(C65*D65,2)</f>
        <v>16.350000000000001</v>
      </c>
    </row>
    <row r="66" spans="1:14" x14ac:dyDescent="0.3">
      <c r="C66" s="19"/>
    </row>
    <row r="67" spans="1:14" x14ac:dyDescent="0.3">
      <c r="B67" s="17" t="s">
        <v>933</v>
      </c>
      <c r="C67" s="78">
        <f>E64+E65</f>
        <v>26.05</v>
      </c>
      <c r="D67" s="20">
        <v>0.22</v>
      </c>
      <c r="E67" s="21">
        <f>ROUND(C67*D67,2)</f>
        <v>5.73</v>
      </c>
    </row>
    <row r="69" spans="1:14" x14ac:dyDescent="0.3">
      <c r="B69" s="12" t="s">
        <v>946</v>
      </c>
      <c r="C69" s="227"/>
      <c r="D69" s="12"/>
      <c r="E69" s="11">
        <f>F78</f>
        <v>31.1</v>
      </c>
      <c r="F69" s="12" t="s">
        <v>971</v>
      </c>
    </row>
    <row r="71" spans="1:14" x14ac:dyDescent="0.3">
      <c r="B71" s="27" t="s">
        <v>936</v>
      </c>
      <c r="C71" s="28" t="s">
        <v>937</v>
      </c>
      <c r="D71" s="29">
        <v>1</v>
      </c>
      <c r="E71" s="30">
        <f>'МЕДИЧНІ М'!F115</f>
        <v>0.3</v>
      </c>
      <c r="F71" s="30">
        <f>ROUND(D71*E71,2)</f>
        <v>0.3</v>
      </c>
    </row>
    <row r="72" spans="1:14" s="184" customFormat="1" x14ac:dyDescent="0.3">
      <c r="A72" s="180"/>
      <c r="B72" s="185" t="s">
        <v>1021</v>
      </c>
      <c r="C72" s="186" t="s">
        <v>941</v>
      </c>
      <c r="D72" s="164">
        <v>0.5</v>
      </c>
      <c r="E72" s="164">
        <f>'МЕДИЧНІ М'!E181</f>
        <v>2</v>
      </c>
      <c r="F72" s="164">
        <f t="shared" ref="F72:F77" si="1">ROUND(D72*E72,2)</f>
        <v>1</v>
      </c>
      <c r="G72" s="180"/>
      <c r="H72" s="180"/>
      <c r="I72" s="180"/>
      <c r="J72" s="187"/>
      <c r="K72" s="866"/>
      <c r="L72" s="861"/>
      <c r="M72" s="861"/>
      <c r="N72" s="861"/>
    </row>
    <row r="73" spans="1:14" x14ac:dyDescent="0.3">
      <c r="B73" s="15" t="s">
        <v>1216</v>
      </c>
      <c r="C73" s="73" t="s">
        <v>941</v>
      </c>
      <c r="D73" s="17">
        <v>0.1</v>
      </c>
      <c r="E73" s="16">
        <f>'МЕДИЧНІ М'!E113</f>
        <v>8</v>
      </c>
      <c r="F73" s="17">
        <f t="shared" si="1"/>
        <v>0.8</v>
      </c>
    </row>
    <row r="74" spans="1:14" x14ac:dyDescent="0.3">
      <c r="B74" s="15" t="str">
        <f>'МЕДИЧНІ М'!B326</f>
        <v>Суха медична плівка 20*25*100</v>
      </c>
      <c r="C74" s="73" t="s">
        <v>941</v>
      </c>
      <c r="D74" s="17">
        <v>1</v>
      </c>
      <c r="E74" s="16">
        <f>'МЕДИЧНІ М'!F326</f>
        <v>28.224299999999999</v>
      </c>
      <c r="F74" s="17">
        <f>ROUND(D74*E74,2)</f>
        <v>28.22</v>
      </c>
    </row>
    <row r="75" spans="1:14" x14ac:dyDescent="0.3">
      <c r="B75" s="15" t="s">
        <v>964</v>
      </c>
      <c r="C75" s="73" t="s">
        <v>941</v>
      </c>
      <c r="D75" s="17">
        <v>0.1</v>
      </c>
      <c r="E75" s="16">
        <f>'МЕДИЧНІ М'!E119</f>
        <v>2.8</v>
      </c>
      <c r="F75" s="17">
        <f t="shared" si="1"/>
        <v>0.28000000000000003</v>
      </c>
    </row>
    <row r="76" spans="1:14" x14ac:dyDescent="0.3">
      <c r="B76" s="27" t="s">
        <v>942</v>
      </c>
      <c r="C76" s="28" t="s">
        <v>941</v>
      </c>
      <c r="D76" s="29">
        <v>0.01</v>
      </c>
      <c r="E76" s="29">
        <f>'МЕДИЧНІ М'!E120</f>
        <v>24.6</v>
      </c>
      <c r="F76" s="30">
        <f t="shared" si="1"/>
        <v>0.25</v>
      </c>
    </row>
    <row r="77" spans="1:14" x14ac:dyDescent="0.3">
      <c r="B77" s="27" t="s">
        <v>1124</v>
      </c>
      <c r="C77" s="28" t="s">
        <v>944</v>
      </c>
      <c r="D77" s="29">
        <v>0.5</v>
      </c>
      <c r="E77" s="29">
        <f>'МЕДИЧНІ М'!E114</f>
        <v>0.5</v>
      </c>
      <c r="F77" s="30">
        <f t="shared" si="1"/>
        <v>0.25</v>
      </c>
    </row>
    <row r="78" spans="1:14" x14ac:dyDescent="0.3">
      <c r="B78" s="1019" t="s">
        <v>945</v>
      </c>
      <c r="C78" s="1019"/>
      <c r="D78" s="1019"/>
      <c r="E78" s="1019"/>
      <c r="F78" s="89">
        <f>SUM(F71:F77)</f>
        <v>31.1</v>
      </c>
    </row>
    <row r="79" spans="1:14" ht="7.5" customHeight="1" x14ac:dyDescent="0.3"/>
    <row r="80" spans="1:14" x14ac:dyDescent="0.3">
      <c r="B80" s="12" t="s">
        <v>968</v>
      </c>
      <c r="C80" s="227"/>
      <c r="D80" s="12"/>
      <c r="E80" s="11">
        <f>SUM(G83:G84)</f>
        <v>48.15</v>
      </c>
      <c r="F80" s="12" t="s">
        <v>971</v>
      </c>
    </row>
    <row r="81" spans="2:8" ht="6" customHeight="1" x14ac:dyDescent="0.3">
      <c r="B81" s="22"/>
      <c r="C81" s="36"/>
      <c r="D81" s="22"/>
      <c r="E81" s="23"/>
      <c r="F81" s="22"/>
    </row>
    <row r="82" spans="2:8" ht="27.6" x14ac:dyDescent="0.3">
      <c r="B82" s="14" t="s">
        <v>513</v>
      </c>
      <c r="C82" s="14" t="s">
        <v>1108</v>
      </c>
      <c r="D82" s="14" t="s">
        <v>516</v>
      </c>
      <c r="E82" s="14" t="s">
        <v>970</v>
      </c>
      <c r="F82" s="14" t="s">
        <v>930</v>
      </c>
      <c r="G82" s="14" t="s">
        <v>961</v>
      </c>
    </row>
    <row r="83" spans="2:8" x14ac:dyDescent="0.3">
      <c r="B83" s="46" t="s">
        <v>1158</v>
      </c>
      <c r="C83" s="73">
        <f>C32</f>
        <v>0</v>
      </c>
      <c r="D83" s="17">
        <f>H60</f>
        <v>1932.7</v>
      </c>
      <c r="E83" s="16">
        <f>ROUND((C83/D83)/60,2)</f>
        <v>0</v>
      </c>
      <c r="F83" s="17">
        <f>D64</f>
        <v>10</v>
      </c>
      <c r="G83" s="16">
        <f>ROUND(E83*F83,2)</f>
        <v>0</v>
      </c>
    </row>
    <row r="84" spans="2:8" x14ac:dyDescent="0.3">
      <c r="B84" s="27" t="s">
        <v>1093</v>
      </c>
      <c r="C84" s="73">
        <f>C33</f>
        <v>290000</v>
      </c>
      <c r="D84" s="62">
        <f>H61</f>
        <v>1506</v>
      </c>
      <c r="E84" s="17">
        <f>ROUND((C84/D84)/60,2)</f>
        <v>3.21</v>
      </c>
      <c r="F84" s="17">
        <f>D65</f>
        <v>15</v>
      </c>
      <c r="G84" s="16">
        <f>ROUND(E84*F84,2)</f>
        <v>48.15</v>
      </c>
      <c r="H84" s="38"/>
    </row>
    <row r="85" spans="2:8" ht="6" customHeight="1" x14ac:dyDescent="0.3"/>
    <row r="86" spans="2:8" x14ac:dyDescent="0.3">
      <c r="B86" s="12" t="s">
        <v>948</v>
      </c>
      <c r="C86" s="227"/>
      <c r="D86" s="12"/>
      <c r="E86" s="11">
        <f>G99</f>
        <v>3.45</v>
      </c>
      <c r="F86" s="12" t="s">
        <v>971</v>
      </c>
    </row>
    <row r="87" spans="2:8" ht="6" customHeight="1" x14ac:dyDescent="0.3">
      <c r="B87" s="22"/>
      <c r="C87" s="36"/>
      <c r="D87" s="22"/>
      <c r="E87" s="23"/>
    </row>
    <row r="88" spans="2:8" ht="27.6" x14ac:dyDescent="0.3">
      <c r="B88" s="14" t="s">
        <v>948</v>
      </c>
      <c r="C88" s="14" t="s">
        <v>1110</v>
      </c>
      <c r="D88" s="14" t="s">
        <v>516</v>
      </c>
      <c r="E88" s="14" t="s">
        <v>954</v>
      </c>
      <c r="F88" s="14" t="s">
        <v>930</v>
      </c>
      <c r="G88" s="14" t="s">
        <v>1111</v>
      </c>
    </row>
    <row r="89" spans="2:8" x14ac:dyDescent="0.3">
      <c r="B89" s="1009" t="str">
        <f>B60</f>
        <v>Лікар-рентгенолог</v>
      </c>
      <c r="C89" s="1010"/>
      <c r="D89" s="1010"/>
      <c r="E89" s="1010"/>
      <c r="F89" s="1010"/>
      <c r="G89" s="1011"/>
    </row>
    <row r="90" spans="2:8" x14ac:dyDescent="0.3">
      <c r="B90" s="17" t="s">
        <v>951</v>
      </c>
      <c r="C90" s="221">
        <f>C39</f>
        <v>12188.608008565312</v>
      </c>
      <c r="D90" s="17">
        <f>H60</f>
        <v>1932.7</v>
      </c>
      <c r="E90" s="17">
        <f>ROUND((C90/D90)/60,2)</f>
        <v>0.11</v>
      </c>
      <c r="F90" s="17">
        <f>D64</f>
        <v>10</v>
      </c>
      <c r="G90" s="16">
        <f>ROUND(E90*F90,2)</f>
        <v>1.1000000000000001</v>
      </c>
    </row>
    <row r="91" spans="2:8" x14ac:dyDescent="0.3">
      <c r="B91" s="17" t="s">
        <v>952</v>
      </c>
      <c r="C91" s="221">
        <f>C40</f>
        <v>53.149721627408987</v>
      </c>
      <c r="D91" s="17">
        <f>H60</f>
        <v>1932.7</v>
      </c>
      <c r="E91" s="17">
        <f>ROUND((C91/D91)/60,2)</f>
        <v>0</v>
      </c>
      <c r="F91" s="17">
        <f>D64</f>
        <v>10</v>
      </c>
      <c r="G91" s="16">
        <f>ROUND(E91*F91,2)</f>
        <v>0</v>
      </c>
    </row>
    <row r="92" spans="2:8" x14ac:dyDescent="0.3">
      <c r="B92" s="17" t="s">
        <v>953</v>
      </c>
      <c r="C92" s="221">
        <f>C41</f>
        <v>374.98368308351178</v>
      </c>
      <c r="D92" s="17">
        <f>H60</f>
        <v>1932.7</v>
      </c>
      <c r="E92" s="17">
        <f>ROUND((C92/D92)/60,2)</f>
        <v>0</v>
      </c>
      <c r="F92" s="17">
        <f>D64</f>
        <v>10</v>
      </c>
      <c r="G92" s="16">
        <f>ROUND(E92*F92,2)</f>
        <v>0</v>
      </c>
    </row>
    <row r="93" spans="2:8" x14ac:dyDescent="0.3">
      <c r="B93" s="17" t="s">
        <v>1109</v>
      </c>
      <c r="C93" s="221">
        <f>C42</f>
        <v>1686.0389293361886</v>
      </c>
      <c r="D93" s="17">
        <f>H60</f>
        <v>1932.7</v>
      </c>
      <c r="E93" s="17">
        <f>ROUND((C93/D93)/60,2)</f>
        <v>0.01</v>
      </c>
      <c r="F93" s="17">
        <f>D64</f>
        <v>10</v>
      </c>
      <c r="G93" s="16">
        <f>ROUND(E93*F93,2)</f>
        <v>0.1</v>
      </c>
    </row>
    <row r="94" spans="2:8" x14ac:dyDescent="0.3">
      <c r="B94" s="1009" t="str">
        <f>B61</f>
        <v>Рентгенолаборант</v>
      </c>
      <c r="C94" s="1010"/>
      <c r="D94" s="1010"/>
      <c r="E94" s="1010"/>
      <c r="F94" s="1010"/>
      <c r="G94" s="1011"/>
    </row>
    <row r="95" spans="2:8" x14ac:dyDescent="0.3">
      <c r="B95" s="17" t="s">
        <v>951</v>
      </c>
      <c r="C95" s="221">
        <f>C90</f>
        <v>12188.608008565312</v>
      </c>
      <c r="D95" s="17">
        <f>H61</f>
        <v>1506</v>
      </c>
      <c r="E95" s="17">
        <f>ROUND((C95/D95)/60,2)</f>
        <v>0.13</v>
      </c>
      <c r="F95" s="17">
        <f>D65</f>
        <v>15</v>
      </c>
      <c r="G95" s="16">
        <f>ROUND(E95*F95,2)</f>
        <v>1.95</v>
      </c>
    </row>
    <row r="96" spans="2:8" x14ac:dyDescent="0.3">
      <c r="B96" s="17" t="s">
        <v>952</v>
      </c>
      <c r="C96" s="221">
        <f>C91</f>
        <v>53.149721627408987</v>
      </c>
      <c r="D96" s="17">
        <f>H61</f>
        <v>1506</v>
      </c>
      <c r="E96" s="17">
        <f>ROUND((C96/D96)/60,2)</f>
        <v>0</v>
      </c>
      <c r="F96" s="17">
        <f>D65</f>
        <v>15</v>
      </c>
      <c r="G96" s="16">
        <f>ROUND(E96*F96,2)</f>
        <v>0</v>
      </c>
    </row>
    <row r="97" spans="1:14" x14ac:dyDescent="0.3">
      <c r="B97" s="17" t="s">
        <v>953</v>
      </c>
      <c r="C97" s="221">
        <f>C92</f>
        <v>374.98368308351178</v>
      </c>
      <c r="D97" s="17">
        <f>H61</f>
        <v>1506</v>
      </c>
      <c r="E97" s="17">
        <f>ROUND((C97/D97)/60,2)</f>
        <v>0</v>
      </c>
      <c r="F97" s="17">
        <f>D65</f>
        <v>15</v>
      </c>
      <c r="G97" s="16">
        <f>ROUND(E97*F97,2)</f>
        <v>0</v>
      </c>
    </row>
    <row r="98" spans="1:14" x14ac:dyDescent="0.3">
      <c r="B98" s="17" t="s">
        <v>1109</v>
      </c>
      <c r="C98" s="221">
        <f>C93</f>
        <v>1686.0389293361886</v>
      </c>
      <c r="D98" s="17">
        <f>H61</f>
        <v>1506</v>
      </c>
      <c r="E98" s="17">
        <f>ROUND((C98/D98)/60,2)</f>
        <v>0.02</v>
      </c>
      <c r="F98" s="17">
        <f>D65</f>
        <v>15</v>
      </c>
      <c r="G98" s="16">
        <f>ROUND(E98*F98,2)</f>
        <v>0.3</v>
      </c>
    </row>
    <row r="99" spans="1:14" x14ac:dyDescent="0.3">
      <c r="B99" s="1012" t="s">
        <v>957</v>
      </c>
      <c r="C99" s="1013"/>
      <c r="D99" s="1013"/>
      <c r="E99" s="1013"/>
      <c r="F99" s="1014"/>
      <c r="G99" s="18">
        <f>SUM(G90:G98)</f>
        <v>3.45</v>
      </c>
    </row>
    <row r="102" spans="1:14" x14ac:dyDescent="0.3">
      <c r="B102" s="1015" t="s">
        <v>959</v>
      </c>
      <c r="C102" s="1015"/>
      <c r="D102" s="1015"/>
      <c r="E102" s="1015"/>
      <c r="F102" s="1015"/>
      <c r="G102" s="32">
        <f>E57+E69+E80+E86</f>
        <v>114.48</v>
      </c>
    </row>
    <row r="103" spans="1:14" x14ac:dyDescent="0.3">
      <c r="B103" s="33"/>
      <c r="C103" s="33"/>
      <c r="D103" s="33"/>
      <c r="E103" s="33"/>
      <c r="F103" s="33"/>
      <c r="G103" s="34"/>
    </row>
    <row r="104" spans="1:14" x14ac:dyDescent="0.3">
      <c r="B104" s="1015" t="s">
        <v>960</v>
      </c>
      <c r="C104" s="1015"/>
      <c r="D104" s="1015"/>
      <c r="E104" s="1015"/>
      <c r="F104" s="1015"/>
      <c r="G104" s="32">
        <f>ROUND(G102,0)</f>
        <v>114</v>
      </c>
    </row>
    <row r="105" spans="1:14" s="54" customFormat="1" ht="19.8" x14ac:dyDescent="0.4">
      <c r="A105" s="7"/>
      <c r="B105" s="7"/>
      <c r="C105" s="74"/>
      <c r="D105" s="7"/>
      <c r="E105" s="7"/>
      <c r="F105" s="7"/>
      <c r="G105" s="7"/>
      <c r="H105" s="7"/>
      <c r="I105" s="7"/>
      <c r="J105" s="130"/>
      <c r="K105" s="868"/>
      <c r="L105" s="65"/>
      <c r="M105" s="65"/>
      <c r="N105" s="65"/>
    </row>
    <row r="106" spans="1:14" s="54" customFormat="1" ht="19.8" x14ac:dyDescent="0.4">
      <c r="A106" s="128" t="s">
        <v>242</v>
      </c>
      <c r="B106" s="1017" t="s">
        <v>669</v>
      </c>
      <c r="C106" s="1017"/>
      <c r="D106" s="1017"/>
      <c r="E106" s="52">
        <f>G155</f>
        <v>102</v>
      </c>
      <c r="F106" s="52" t="s">
        <v>971</v>
      </c>
      <c r="G106" s="53"/>
      <c r="H106" s="124"/>
      <c r="I106" s="125" t="s">
        <v>1023</v>
      </c>
      <c r="J106" s="130"/>
      <c r="K106" s="868"/>
      <c r="L106" s="65"/>
      <c r="M106" s="65"/>
      <c r="N106" s="65"/>
    </row>
    <row r="107" spans="1:14" ht="18.600000000000001" x14ac:dyDescent="0.3">
      <c r="I107" s="125" t="s">
        <v>231</v>
      </c>
    </row>
    <row r="108" spans="1:14" x14ac:dyDescent="0.3">
      <c r="B108" s="1018" t="s">
        <v>932</v>
      </c>
      <c r="C108" s="1018"/>
      <c r="D108" s="10"/>
      <c r="E108" s="11">
        <f>E115+E118+E116</f>
        <v>31.78</v>
      </c>
      <c r="F108" s="12" t="s">
        <v>971</v>
      </c>
    </row>
    <row r="110" spans="1:14" ht="27.6" x14ac:dyDescent="0.3">
      <c r="B110" s="13" t="s">
        <v>929</v>
      </c>
      <c r="C110" s="14" t="s">
        <v>928</v>
      </c>
      <c r="D110" s="14" t="s">
        <v>514</v>
      </c>
      <c r="E110" s="14" t="s">
        <v>515</v>
      </c>
      <c r="F110" s="14" t="s">
        <v>962</v>
      </c>
      <c r="G110" s="14" t="s">
        <v>926</v>
      </c>
      <c r="H110" s="14" t="s">
        <v>516</v>
      </c>
      <c r="I110" s="14" t="s">
        <v>961</v>
      </c>
    </row>
    <row r="111" spans="1:14" x14ac:dyDescent="0.3">
      <c r="B111" s="16" t="str">
        <f>B60</f>
        <v>Лікар-рентгенолог</v>
      </c>
      <c r="C111" s="78">
        <f>C60</f>
        <v>8463.5400000000009</v>
      </c>
      <c r="D111" s="16">
        <f>C111*12</f>
        <v>101562.48000000001</v>
      </c>
      <c r="E111" s="16">
        <f>E60</f>
        <v>7052.95</v>
      </c>
      <c r="F111" s="16">
        <f>F60</f>
        <v>3526.4749999999999</v>
      </c>
      <c r="G111" s="16">
        <f>D111+E111+F111</f>
        <v>112141.90500000001</v>
      </c>
      <c r="H111" s="17">
        <v>1932.7</v>
      </c>
      <c r="I111" s="16">
        <f>ROUND((G111/H111)/60,2)</f>
        <v>0.97</v>
      </c>
    </row>
    <row r="112" spans="1:14" x14ac:dyDescent="0.3">
      <c r="B112" s="37" t="str">
        <f>B61</f>
        <v>Рентгенолаборант</v>
      </c>
      <c r="C112" s="228">
        <f>C61</f>
        <v>7482.48</v>
      </c>
      <c r="D112" s="24">
        <f>C112*12</f>
        <v>89789.759999999995</v>
      </c>
      <c r="E112" s="37">
        <f>E61</f>
        <v>5755.75</v>
      </c>
      <c r="F112" s="24">
        <f>F61</f>
        <v>2877.875</v>
      </c>
      <c r="G112" s="16">
        <f>D112+E112+F112</f>
        <v>98423.384999999995</v>
      </c>
      <c r="H112" s="62">
        <v>1506</v>
      </c>
      <c r="I112" s="16">
        <f>ROUND((G112/H112)/60,2)</f>
        <v>1.0900000000000001</v>
      </c>
    </row>
    <row r="114" spans="1:14" ht="27.6" x14ac:dyDescent="0.3">
      <c r="B114" s="13" t="s">
        <v>929</v>
      </c>
      <c r="C114" s="14" t="s">
        <v>961</v>
      </c>
      <c r="D114" s="14" t="s">
        <v>930</v>
      </c>
      <c r="E114" s="14" t="s">
        <v>931</v>
      </c>
    </row>
    <row r="115" spans="1:14" x14ac:dyDescent="0.3">
      <c r="B115" s="15" t="str">
        <f>B111</f>
        <v>Лікар-рентгенолог</v>
      </c>
      <c r="C115" s="78">
        <f>I111</f>
        <v>0.97</v>
      </c>
      <c r="D115" s="17">
        <v>10</v>
      </c>
      <c r="E115" s="18">
        <f>ROUND(C115*D115,2)</f>
        <v>9.6999999999999993</v>
      </c>
    </row>
    <row r="116" spans="1:14" x14ac:dyDescent="0.3">
      <c r="B116" s="15" t="str">
        <f>B112</f>
        <v>Рентгенолаборант</v>
      </c>
      <c r="C116" s="78">
        <f>I112</f>
        <v>1.0900000000000001</v>
      </c>
      <c r="D116" s="17">
        <v>15</v>
      </c>
      <c r="E116" s="18">
        <f>ROUND(C116*D116,2)</f>
        <v>16.350000000000001</v>
      </c>
    </row>
    <row r="117" spans="1:14" x14ac:dyDescent="0.3">
      <c r="C117" s="19"/>
    </row>
    <row r="118" spans="1:14" x14ac:dyDescent="0.3">
      <c r="B118" s="17" t="s">
        <v>933</v>
      </c>
      <c r="C118" s="78">
        <f>E115+E116</f>
        <v>26.05</v>
      </c>
      <c r="D118" s="20">
        <v>0.22</v>
      </c>
      <c r="E118" s="21">
        <f>ROUND(C118*D118,2)</f>
        <v>5.73</v>
      </c>
    </row>
    <row r="120" spans="1:14" x14ac:dyDescent="0.3">
      <c r="B120" s="12" t="s">
        <v>946</v>
      </c>
      <c r="C120" s="227"/>
      <c r="D120" s="12"/>
      <c r="E120" s="11">
        <f>F129</f>
        <v>18.720000000000002</v>
      </c>
      <c r="F120" s="12" t="s">
        <v>971</v>
      </c>
    </row>
    <row r="122" spans="1:14" x14ac:dyDescent="0.3">
      <c r="B122" s="27" t="str">
        <f>B71</f>
        <v>Мікрасепт</v>
      </c>
      <c r="C122" s="27" t="str">
        <f>C71</f>
        <v>мл</v>
      </c>
      <c r="D122" s="27">
        <f>D71</f>
        <v>1</v>
      </c>
      <c r="E122" s="27">
        <f>E71</f>
        <v>0.3</v>
      </c>
      <c r="F122" s="27">
        <f>F71</f>
        <v>0.3</v>
      </c>
    </row>
    <row r="123" spans="1:14" s="184" customFormat="1" x14ac:dyDescent="0.3">
      <c r="A123" s="180"/>
      <c r="B123" s="27" t="str">
        <f t="shared" ref="B123:F128" si="2">B72</f>
        <v>Маска на резинці, стерильна</v>
      </c>
      <c r="C123" s="27" t="str">
        <f t="shared" si="2"/>
        <v>шт</v>
      </c>
      <c r="D123" s="27">
        <f t="shared" si="2"/>
        <v>0.5</v>
      </c>
      <c r="E123" s="27">
        <f t="shared" si="2"/>
        <v>2</v>
      </c>
      <c r="F123" s="27">
        <f t="shared" si="2"/>
        <v>1</v>
      </c>
      <c r="G123" s="180"/>
      <c r="H123" s="180"/>
      <c r="I123" s="180"/>
      <c r="J123" s="187"/>
      <c r="K123" s="866"/>
      <c r="L123" s="861"/>
      <c r="M123" s="861"/>
      <c r="N123" s="861"/>
    </row>
    <row r="124" spans="1:14" x14ac:dyDescent="0.3">
      <c r="B124" s="27" t="str">
        <f t="shared" si="2"/>
        <v>Бинт марлевий 7х14</v>
      </c>
      <c r="C124" s="27" t="str">
        <f t="shared" si="2"/>
        <v>шт</v>
      </c>
      <c r="D124" s="27">
        <f t="shared" si="2"/>
        <v>0.1</v>
      </c>
      <c r="E124" s="27">
        <f t="shared" si="2"/>
        <v>8</v>
      </c>
      <c r="F124" s="27">
        <f t="shared" si="2"/>
        <v>0.8</v>
      </c>
    </row>
    <row r="125" spans="1:14" x14ac:dyDescent="0.3">
      <c r="B125" s="27" t="str">
        <f>'МЕДИЧНІ М'!B327</f>
        <v>Суха медична плівка 35*43*100</v>
      </c>
      <c r="C125" s="27" t="str">
        <f t="shared" si="2"/>
        <v>шт</v>
      </c>
      <c r="D125" s="27">
        <f t="shared" si="2"/>
        <v>1</v>
      </c>
      <c r="E125" s="847">
        <f>'МЕДИЧНІ М'!F327</f>
        <v>15.841125</v>
      </c>
      <c r="F125" s="134">
        <f>ROUND(D125*E125,2)</f>
        <v>15.84</v>
      </c>
    </row>
    <row r="126" spans="1:14" x14ac:dyDescent="0.3">
      <c r="B126" s="27" t="str">
        <f t="shared" si="2"/>
        <v>Рукавиці не стерильні</v>
      </c>
      <c r="C126" s="27" t="str">
        <f t="shared" si="2"/>
        <v>шт</v>
      </c>
      <c r="D126" s="27">
        <f t="shared" si="2"/>
        <v>0.1</v>
      </c>
      <c r="E126" s="27">
        <f t="shared" si="2"/>
        <v>2.8</v>
      </c>
      <c r="F126" s="27">
        <f t="shared" si="2"/>
        <v>0.28000000000000003</v>
      </c>
    </row>
    <row r="127" spans="1:14" x14ac:dyDescent="0.3">
      <c r="B127" s="27" t="str">
        <f t="shared" si="2"/>
        <v xml:space="preserve">Спирт 70% 100мл </v>
      </c>
      <c r="C127" s="27" t="str">
        <f t="shared" si="2"/>
        <v>шт</v>
      </c>
      <c r="D127" s="27">
        <f t="shared" si="2"/>
        <v>0.01</v>
      </c>
      <c r="E127" s="27">
        <f t="shared" si="2"/>
        <v>24.6</v>
      </c>
      <c r="F127" s="27">
        <f t="shared" si="2"/>
        <v>0.25</v>
      </c>
    </row>
    <row r="128" spans="1:14" x14ac:dyDescent="0.3">
      <c r="B128" s="27" t="str">
        <f t="shared" si="2"/>
        <v>Деззасоби</v>
      </c>
      <c r="C128" s="27" t="str">
        <f t="shared" si="2"/>
        <v>г</v>
      </c>
      <c r="D128" s="27">
        <f t="shared" si="2"/>
        <v>0.5</v>
      </c>
      <c r="E128" s="27">
        <f t="shared" si="2"/>
        <v>0.5</v>
      </c>
      <c r="F128" s="27">
        <f t="shared" si="2"/>
        <v>0.25</v>
      </c>
    </row>
    <row r="129" spans="2:8" x14ac:dyDescent="0.3">
      <c r="B129" s="1019" t="s">
        <v>945</v>
      </c>
      <c r="C129" s="1019"/>
      <c r="D129" s="1019"/>
      <c r="E129" s="1019"/>
      <c r="F129" s="89">
        <f>SUM(F122:F128)</f>
        <v>18.720000000000002</v>
      </c>
    </row>
    <row r="130" spans="2:8" ht="7.5" customHeight="1" x14ac:dyDescent="0.3"/>
    <row r="131" spans="2:8" x14ac:dyDescent="0.3">
      <c r="B131" s="12" t="s">
        <v>968</v>
      </c>
      <c r="C131" s="227"/>
      <c r="D131" s="12"/>
      <c r="E131" s="11">
        <f>SUM(G134:G135)</f>
        <v>48.15</v>
      </c>
      <c r="F131" s="12" t="s">
        <v>971</v>
      </c>
    </row>
    <row r="132" spans="2:8" ht="6" customHeight="1" x14ac:dyDescent="0.3">
      <c r="B132" s="22"/>
      <c r="C132" s="36"/>
      <c r="D132" s="22"/>
      <c r="E132" s="23"/>
      <c r="F132" s="22"/>
    </row>
    <row r="133" spans="2:8" ht="27.6" x14ac:dyDescent="0.3">
      <c r="B133" s="14" t="s">
        <v>513</v>
      </c>
      <c r="C133" s="14" t="s">
        <v>1108</v>
      </c>
      <c r="D133" s="14" t="s">
        <v>516</v>
      </c>
      <c r="E133" s="14" t="s">
        <v>970</v>
      </c>
      <c r="F133" s="14" t="s">
        <v>930</v>
      </c>
      <c r="G133" s="14" t="s">
        <v>961</v>
      </c>
    </row>
    <row r="134" spans="2:8" x14ac:dyDescent="0.3">
      <c r="B134" s="46" t="s">
        <v>1158</v>
      </c>
      <c r="C134" s="73">
        <f>C83</f>
        <v>0</v>
      </c>
      <c r="D134" s="17">
        <f>H111</f>
        <v>1932.7</v>
      </c>
      <c r="E134" s="16">
        <f>ROUND((C134/D134)/60,2)</f>
        <v>0</v>
      </c>
      <c r="F134" s="17">
        <f>D115</f>
        <v>10</v>
      </c>
      <c r="G134" s="16">
        <f>ROUND(E134*F134,2)</f>
        <v>0</v>
      </c>
    </row>
    <row r="135" spans="2:8" x14ac:dyDescent="0.3">
      <c r="B135" s="27" t="s">
        <v>1093</v>
      </c>
      <c r="C135" s="73">
        <f>C84</f>
        <v>290000</v>
      </c>
      <c r="D135" s="62">
        <f>H112</f>
        <v>1506</v>
      </c>
      <c r="E135" s="17">
        <f>ROUND((C135/D135)/60,2)</f>
        <v>3.21</v>
      </c>
      <c r="F135" s="17">
        <f>D116</f>
        <v>15</v>
      </c>
      <c r="G135" s="16">
        <f>ROUND(E135*F135,2)</f>
        <v>48.15</v>
      </c>
      <c r="H135" s="38"/>
    </row>
    <row r="136" spans="2:8" ht="6" customHeight="1" x14ac:dyDescent="0.3"/>
    <row r="137" spans="2:8" x14ac:dyDescent="0.3">
      <c r="B137" s="12" t="s">
        <v>948</v>
      </c>
      <c r="C137" s="227"/>
      <c r="D137" s="12"/>
      <c r="E137" s="11">
        <f>G150</f>
        <v>3.45</v>
      </c>
      <c r="F137" s="12" t="s">
        <v>971</v>
      </c>
    </row>
    <row r="138" spans="2:8" ht="6" customHeight="1" x14ac:dyDescent="0.3">
      <c r="B138" s="22"/>
      <c r="C138" s="36"/>
      <c r="D138" s="22"/>
      <c r="E138" s="23"/>
    </row>
    <row r="139" spans="2:8" ht="27.6" x14ac:dyDescent="0.3">
      <c r="B139" s="14" t="s">
        <v>948</v>
      </c>
      <c r="C139" s="14" t="s">
        <v>1110</v>
      </c>
      <c r="D139" s="14" t="s">
        <v>516</v>
      </c>
      <c r="E139" s="14" t="s">
        <v>954</v>
      </c>
      <c r="F139" s="14" t="s">
        <v>930</v>
      </c>
      <c r="G139" s="14" t="s">
        <v>1111</v>
      </c>
    </row>
    <row r="140" spans="2:8" x14ac:dyDescent="0.3">
      <c r="B140" s="1009" t="str">
        <f>B111</f>
        <v>Лікар-рентгенолог</v>
      </c>
      <c r="C140" s="1010"/>
      <c r="D140" s="1010"/>
      <c r="E140" s="1010"/>
      <c r="F140" s="1010"/>
      <c r="G140" s="1011"/>
    </row>
    <row r="141" spans="2:8" x14ac:dyDescent="0.3">
      <c r="B141" s="17" t="s">
        <v>951</v>
      </c>
      <c r="C141" s="221">
        <f>C90</f>
        <v>12188.608008565312</v>
      </c>
      <c r="D141" s="17">
        <f>H111</f>
        <v>1932.7</v>
      </c>
      <c r="E141" s="17">
        <f>ROUND((C141/D141)/60,2)</f>
        <v>0.11</v>
      </c>
      <c r="F141" s="17">
        <f>D115</f>
        <v>10</v>
      </c>
      <c r="G141" s="16">
        <f>ROUND(E141*F141,2)</f>
        <v>1.1000000000000001</v>
      </c>
    </row>
    <row r="142" spans="2:8" x14ac:dyDescent="0.3">
      <c r="B142" s="17" t="s">
        <v>952</v>
      </c>
      <c r="C142" s="221">
        <f>C91</f>
        <v>53.149721627408987</v>
      </c>
      <c r="D142" s="17">
        <f>H111</f>
        <v>1932.7</v>
      </c>
      <c r="E142" s="17">
        <f>ROUND((C142/D142)/60,2)</f>
        <v>0</v>
      </c>
      <c r="F142" s="17">
        <f>D115</f>
        <v>10</v>
      </c>
      <c r="G142" s="16">
        <f>ROUND(E142*F142,2)</f>
        <v>0</v>
      </c>
    </row>
    <row r="143" spans="2:8" x14ac:dyDescent="0.3">
      <c r="B143" s="17" t="s">
        <v>953</v>
      </c>
      <c r="C143" s="221">
        <f>C92</f>
        <v>374.98368308351178</v>
      </c>
      <c r="D143" s="17">
        <f>H111</f>
        <v>1932.7</v>
      </c>
      <c r="E143" s="17">
        <f>ROUND((C143/D143)/60,2)</f>
        <v>0</v>
      </c>
      <c r="F143" s="17">
        <f>D115</f>
        <v>10</v>
      </c>
      <c r="G143" s="16">
        <f>ROUND(E143*F143,2)</f>
        <v>0</v>
      </c>
    </row>
    <row r="144" spans="2:8" x14ac:dyDescent="0.3">
      <c r="B144" s="17" t="s">
        <v>1109</v>
      </c>
      <c r="C144" s="221">
        <f>C93</f>
        <v>1686.0389293361886</v>
      </c>
      <c r="D144" s="17">
        <f>H111</f>
        <v>1932.7</v>
      </c>
      <c r="E144" s="17">
        <f>ROUND((C144/D144)/60,2)</f>
        <v>0.01</v>
      </c>
      <c r="F144" s="17">
        <f>D115</f>
        <v>10</v>
      </c>
      <c r="G144" s="16">
        <f>ROUND(E144*F144,2)</f>
        <v>0.1</v>
      </c>
    </row>
    <row r="145" spans="1:14" x14ac:dyDescent="0.3">
      <c r="B145" s="1009" t="str">
        <f>B112</f>
        <v>Рентгенолаборант</v>
      </c>
      <c r="C145" s="1010"/>
      <c r="D145" s="1010"/>
      <c r="E145" s="1010"/>
      <c r="F145" s="1010"/>
      <c r="G145" s="1011"/>
    </row>
    <row r="146" spans="1:14" x14ac:dyDescent="0.3">
      <c r="B146" s="17" t="s">
        <v>951</v>
      </c>
      <c r="C146" s="221">
        <f>C141</f>
        <v>12188.608008565312</v>
      </c>
      <c r="D146" s="17">
        <f>H112</f>
        <v>1506</v>
      </c>
      <c r="E146" s="17">
        <f>ROUND((C146/D146)/60,2)</f>
        <v>0.13</v>
      </c>
      <c r="F146" s="17">
        <f>D116</f>
        <v>15</v>
      </c>
      <c r="G146" s="16">
        <f>ROUND(E146*F146,2)</f>
        <v>1.95</v>
      </c>
    </row>
    <row r="147" spans="1:14" x14ac:dyDescent="0.3">
      <c r="B147" s="17" t="s">
        <v>952</v>
      </c>
      <c r="C147" s="221">
        <f>C142</f>
        <v>53.149721627408987</v>
      </c>
      <c r="D147" s="17">
        <f>H112</f>
        <v>1506</v>
      </c>
      <c r="E147" s="17">
        <f>ROUND((C147/D147)/60,2)</f>
        <v>0</v>
      </c>
      <c r="F147" s="17">
        <f>D116</f>
        <v>15</v>
      </c>
      <c r="G147" s="16">
        <f>ROUND(E147*F147,2)</f>
        <v>0</v>
      </c>
    </row>
    <row r="148" spans="1:14" x14ac:dyDescent="0.3">
      <c r="B148" s="17" t="s">
        <v>953</v>
      </c>
      <c r="C148" s="221">
        <f>C143</f>
        <v>374.98368308351178</v>
      </c>
      <c r="D148" s="17">
        <f>H112</f>
        <v>1506</v>
      </c>
      <c r="E148" s="17">
        <f>ROUND((C148/D148)/60,2)</f>
        <v>0</v>
      </c>
      <c r="F148" s="17">
        <f>D116</f>
        <v>15</v>
      </c>
      <c r="G148" s="16">
        <f>ROUND(E148*F148,2)</f>
        <v>0</v>
      </c>
    </row>
    <row r="149" spans="1:14" x14ac:dyDescent="0.3">
      <c r="B149" s="17" t="s">
        <v>1109</v>
      </c>
      <c r="C149" s="221">
        <f>C144</f>
        <v>1686.0389293361886</v>
      </c>
      <c r="D149" s="17">
        <f>H112</f>
        <v>1506</v>
      </c>
      <c r="E149" s="17">
        <f>ROUND((C149/D149)/60,2)</f>
        <v>0.02</v>
      </c>
      <c r="F149" s="17">
        <f>D116</f>
        <v>15</v>
      </c>
      <c r="G149" s="16">
        <f>ROUND(E149*F149,2)</f>
        <v>0.3</v>
      </c>
    </row>
    <row r="150" spans="1:14" x14ac:dyDescent="0.3">
      <c r="B150" s="1012" t="s">
        <v>957</v>
      </c>
      <c r="C150" s="1013"/>
      <c r="D150" s="1013"/>
      <c r="E150" s="1013"/>
      <c r="F150" s="1014"/>
      <c r="G150" s="18">
        <f>SUM(G141:G149)</f>
        <v>3.45</v>
      </c>
    </row>
    <row r="153" spans="1:14" x14ac:dyDescent="0.3">
      <c r="B153" s="1015" t="s">
        <v>959</v>
      </c>
      <c r="C153" s="1015"/>
      <c r="D153" s="1015"/>
      <c r="E153" s="1015"/>
      <c r="F153" s="1015"/>
      <c r="G153" s="32">
        <f>E108+E120+E131+E137</f>
        <v>102.10000000000001</v>
      </c>
    </row>
    <row r="154" spans="1:14" x14ac:dyDescent="0.3">
      <c r="B154" s="33"/>
      <c r="C154" s="33"/>
      <c r="D154" s="33"/>
      <c r="E154" s="33"/>
      <c r="F154" s="33"/>
      <c r="G154" s="34"/>
    </row>
    <row r="155" spans="1:14" x14ac:dyDescent="0.3">
      <c r="B155" s="1015" t="s">
        <v>960</v>
      </c>
      <c r="C155" s="1015"/>
      <c r="D155" s="1015"/>
      <c r="E155" s="1015"/>
      <c r="F155" s="1015"/>
      <c r="G155" s="32">
        <f>ROUND(G153,0)</f>
        <v>102</v>
      </c>
    </row>
    <row r="157" spans="1:14" s="54" customFormat="1" ht="19.8" x14ac:dyDescent="0.4">
      <c r="A157" s="128" t="s">
        <v>243</v>
      </c>
      <c r="B157" s="1017" t="s">
        <v>669</v>
      </c>
      <c r="C157" s="1017"/>
      <c r="D157" s="1017"/>
      <c r="E157" s="52">
        <f>G206</f>
        <v>118</v>
      </c>
      <c r="F157" s="52" t="s">
        <v>971</v>
      </c>
      <c r="G157" s="53"/>
      <c r="H157" s="124"/>
      <c r="I157" s="125" t="s">
        <v>1023</v>
      </c>
      <c r="J157" s="130"/>
      <c r="K157" s="868"/>
      <c r="L157" s="65"/>
      <c r="M157" s="65"/>
      <c r="N157" s="65"/>
    </row>
    <row r="158" spans="1:14" ht="18.600000000000001" x14ac:dyDescent="0.3">
      <c r="I158" s="125" t="s">
        <v>232</v>
      </c>
    </row>
    <row r="159" spans="1:14" x14ac:dyDescent="0.3">
      <c r="B159" s="1018" t="s">
        <v>932</v>
      </c>
      <c r="C159" s="1018"/>
      <c r="D159" s="10"/>
      <c r="E159" s="11">
        <f>E166+E169+E167</f>
        <v>31.78</v>
      </c>
      <c r="F159" s="12" t="s">
        <v>971</v>
      </c>
    </row>
    <row r="161" spans="1:14" ht="27.6" x14ac:dyDescent="0.3">
      <c r="B161" s="13" t="s">
        <v>929</v>
      </c>
      <c r="C161" s="14" t="s">
        <v>928</v>
      </c>
      <c r="D161" s="14" t="s">
        <v>514</v>
      </c>
      <c r="E161" s="14" t="s">
        <v>515</v>
      </c>
      <c r="F161" s="14" t="s">
        <v>962</v>
      </c>
      <c r="G161" s="14" t="s">
        <v>926</v>
      </c>
      <c r="H161" s="14" t="s">
        <v>516</v>
      </c>
      <c r="I161" s="14" t="s">
        <v>961</v>
      </c>
    </row>
    <row r="162" spans="1:14" x14ac:dyDescent="0.3">
      <c r="B162" s="16" t="str">
        <f>B111</f>
        <v>Лікар-рентгенолог</v>
      </c>
      <c r="C162" s="78">
        <f>C111</f>
        <v>8463.5400000000009</v>
      </c>
      <c r="D162" s="16">
        <f>C162*12</f>
        <v>101562.48000000001</v>
      </c>
      <c r="E162" s="16">
        <f>E111</f>
        <v>7052.95</v>
      </c>
      <c r="F162" s="16">
        <f>F111</f>
        <v>3526.4749999999999</v>
      </c>
      <c r="G162" s="16">
        <f>D162+E162+F162</f>
        <v>112141.90500000001</v>
      </c>
      <c r="H162" s="17">
        <v>1932.7</v>
      </c>
      <c r="I162" s="16">
        <f>ROUND((G162/H162)/60,2)</f>
        <v>0.97</v>
      </c>
    </row>
    <row r="163" spans="1:14" x14ac:dyDescent="0.3">
      <c r="B163" s="37" t="str">
        <f>B112</f>
        <v>Рентгенолаборант</v>
      </c>
      <c r="C163" s="228">
        <f>C112</f>
        <v>7482.48</v>
      </c>
      <c r="D163" s="24">
        <f>C163*12</f>
        <v>89789.759999999995</v>
      </c>
      <c r="E163" s="37">
        <f>E112</f>
        <v>5755.75</v>
      </c>
      <c r="F163" s="24">
        <f>F112</f>
        <v>2877.875</v>
      </c>
      <c r="G163" s="16">
        <f>D163+E163+F163</f>
        <v>98423.384999999995</v>
      </c>
      <c r="H163" s="62">
        <v>1506</v>
      </c>
      <c r="I163" s="16">
        <f>ROUND((G163/H163)/60,2)</f>
        <v>1.0900000000000001</v>
      </c>
    </row>
    <row r="165" spans="1:14" ht="27.6" x14ac:dyDescent="0.3">
      <c r="B165" s="13" t="s">
        <v>929</v>
      </c>
      <c r="C165" s="14" t="s">
        <v>961</v>
      </c>
      <c r="D165" s="14" t="s">
        <v>930</v>
      </c>
      <c r="E165" s="14" t="s">
        <v>931</v>
      </c>
    </row>
    <row r="166" spans="1:14" x14ac:dyDescent="0.3">
      <c r="B166" s="15" t="str">
        <f>B162</f>
        <v>Лікар-рентгенолог</v>
      </c>
      <c r="C166" s="78">
        <f>I162</f>
        <v>0.97</v>
      </c>
      <c r="D166" s="17">
        <v>10</v>
      </c>
      <c r="E166" s="18">
        <f>ROUND(C166*D166,2)</f>
        <v>9.6999999999999993</v>
      </c>
    </row>
    <row r="167" spans="1:14" x14ac:dyDescent="0.3">
      <c r="B167" s="15" t="str">
        <f>B163</f>
        <v>Рентгенолаборант</v>
      </c>
      <c r="C167" s="78">
        <f>I163</f>
        <v>1.0900000000000001</v>
      </c>
      <c r="D167" s="17">
        <v>15</v>
      </c>
      <c r="E167" s="18">
        <f>ROUND(C167*D167,2)</f>
        <v>16.350000000000001</v>
      </c>
    </row>
    <row r="168" spans="1:14" x14ac:dyDescent="0.3">
      <c r="C168" s="19"/>
    </row>
    <row r="169" spans="1:14" x14ac:dyDescent="0.3">
      <c r="B169" s="17" t="s">
        <v>933</v>
      </c>
      <c r="C169" s="78">
        <f>E166+E167</f>
        <v>26.05</v>
      </c>
      <c r="D169" s="20">
        <v>0.22</v>
      </c>
      <c r="E169" s="21">
        <f>ROUND(C169*D169,2)</f>
        <v>5.73</v>
      </c>
    </row>
    <row r="171" spans="1:14" x14ac:dyDescent="0.3">
      <c r="B171" s="12" t="s">
        <v>946</v>
      </c>
      <c r="C171" s="227"/>
      <c r="D171" s="12"/>
      <c r="E171" s="11">
        <f>F180</f>
        <v>34.56</v>
      </c>
      <c r="F171" s="12" t="s">
        <v>971</v>
      </c>
    </row>
    <row r="173" spans="1:14" x14ac:dyDescent="0.3">
      <c r="B173" s="27" t="str">
        <f t="shared" ref="B173:F175" si="3">B122</f>
        <v>Мікрасепт</v>
      </c>
      <c r="C173" s="27" t="str">
        <f t="shared" si="3"/>
        <v>мл</v>
      </c>
      <c r="D173" s="27">
        <f t="shared" si="3"/>
        <v>1</v>
      </c>
      <c r="E173" s="27">
        <f t="shared" si="3"/>
        <v>0.3</v>
      </c>
      <c r="F173" s="27">
        <f t="shared" si="3"/>
        <v>0.3</v>
      </c>
    </row>
    <row r="174" spans="1:14" s="184" customFormat="1" x14ac:dyDescent="0.3">
      <c r="A174" s="180"/>
      <c r="B174" s="27" t="str">
        <f t="shared" si="3"/>
        <v>Маска на резинці, стерильна</v>
      </c>
      <c r="C174" s="27" t="str">
        <f t="shared" si="3"/>
        <v>шт</v>
      </c>
      <c r="D174" s="27">
        <f t="shared" si="3"/>
        <v>0.5</v>
      </c>
      <c r="E174" s="27">
        <f t="shared" si="3"/>
        <v>2</v>
      </c>
      <c r="F174" s="27">
        <f t="shared" si="3"/>
        <v>1</v>
      </c>
      <c r="G174" s="180"/>
      <c r="H174" s="180"/>
      <c r="I174" s="180"/>
      <c r="J174" s="187"/>
      <c r="K174" s="866"/>
      <c r="L174" s="861"/>
      <c r="M174" s="861"/>
      <c r="N174" s="861"/>
    </row>
    <row r="175" spans="1:14" x14ac:dyDescent="0.3">
      <c r="B175" s="27" t="str">
        <f t="shared" si="3"/>
        <v>Бинт марлевий 7х14</v>
      </c>
      <c r="C175" s="27" t="str">
        <f t="shared" si="3"/>
        <v>шт</v>
      </c>
      <c r="D175" s="27">
        <f t="shared" si="3"/>
        <v>0.1</v>
      </c>
      <c r="E175" s="27">
        <f t="shared" si="3"/>
        <v>8</v>
      </c>
      <c r="F175" s="27">
        <f t="shared" si="3"/>
        <v>0.8</v>
      </c>
    </row>
    <row r="176" spans="1:14" x14ac:dyDescent="0.3">
      <c r="B176" s="27" t="str">
        <f>'МЕДИЧНІ М'!B327</f>
        <v>Суха медична плівка 35*43*100</v>
      </c>
      <c r="C176" s="27" t="str">
        <f>C125</f>
        <v>шт</v>
      </c>
      <c r="D176" s="27">
        <v>2</v>
      </c>
      <c r="E176" s="847">
        <f>'МЕДИЧНІ М'!F327</f>
        <v>15.841125</v>
      </c>
      <c r="F176" s="134">
        <f>ROUND(D176*E176,2)</f>
        <v>31.68</v>
      </c>
    </row>
    <row r="177" spans="2:8" x14ac:dyDescent="0.3">
      <c r="B177" s="27" t="str">
        <f>B126</f>
        <v>Рукавиці не стерильні</v>
      </c>
      <c r="C177" s="27" t="str">
        <f>C126</f>
        <v>шт</v>
      </c>
      <c r="D177" s="27">
        <f t="shared" ref="D177:F179" si="4">D126</f>
        <v>0.1</v>
      </c>
      <c r="E177" s="27">
        <f t="shared" si="4"/>
        <v>2.8</v>
      </c>
      <c r="F177" s="27">
        <f t="shared" si="4"/>
        <v>0.28000000000000003</v>
      </c>
    </row>
    <row r="178" spans="2:8" x14ac:dyDescent="0.3">
      <c r="B178" s="27" t="str">
        <f>B127</f>
        <v xml:space="preserve">Спирт 70% 100мл </v>
      </c>
      <c r="C178" s="27" t="str">
        <f>C127</f>
        <v>шт</v>
      </c>
      <c r="D178" s="27">
        <f t="shared" si="4"/>
        <v>0.01</v>
      </c>
      <c r="E178" s="27">
        <f t="shared" si="4"/>
        <v>24.6</v>
      </c>
      <c r="F178" s="27">
        <f t="shared" si="4"/>
        <v>0.25</v>
      </c>
    </row>
    <row r="179" spans="2:8" x14ac:dyDescent="0.3">
      <c r="B179" s="27" t="str">
        <f>B128</f>
        <v>Деззасоби</v>
      </c>
      <c r="C179" s="27" t="str">
        <f>C128</f>
        <v>г</v>
      </c>
      <c r="D179" s="27">
        <f t="shared" si="4"/>
        <v>0.5</v>
      </c>
      <c r="E179" s="27">
        <f t="shared" si="4"/>
        <v>0.5</v>
      </c>
      <c r="F179" s="27">
        <f t="shared" si="4"/>
        <v>0.25</v>
      </c>
    </row>
    <row r="180" spans="2:8" x14ac:dyDescent="0.3">
      <c r="B180" s="1019" t="s">
        <v>945</v>
      </c>
      <c r="C180" s="1019"/>
      <c r="D180" s="1019"/>
      <c r="E180" s="1019"/>
      <c r="F180" s="89">
        <f>SUM(F173:F179)</f>
        <v>34.56</v>
      </c>
    </row>
    <row r="181" spans="2:8" ht="7.5" customHeight="1" x14ac:dyDescent="0.3"/>
    <row r="182" spans="2:8" x14ac:dyDescent="0.3">
      <c r="B182" s="12" t="s">
        <v>968</v>
      </c>
      <c r="C182" s="227"/>
      <c r="D182" s="12"/>
      <c r="E182" s="11">
        <f>SUM(G185:G186)</f>
        <v>48.15</v>
      </c>
      <c r="F182" s="12" t="s">
        <v>971</v>
      </c>
    </row>
    <row r="183" spans="2:8" ht="6" customHeight="1" x14ac:dyDescent="0.3">
      <c r="B183" s="22"/>
      <c r="C183" s="36"/>
      <c r="D183" s="22"/>
      <c r="E183" s="23"/>
      <c r="F183" s="22"/>
    </row>
    <row r="184" spans="2:8" ht="27.6" x14ac:dyDescent="0.3">
      <c r="B184" s="14" t="s">
        <v>513</v>
      </c>
      <c r="C184" s="14" t="s">
        <v>1108</v>
      </c>
      <c r="D184" s="14" t="s">
        <v>516</v>
      </c>
      <c r="E184" s="14" t="s">
        <v>970</v>
      </c>
      <c r="F184" s="14" t="s">
        <v>930</v>
      </c>
      <c r="G184" s="14" t="s">
        <v>961</v>
      </c>
    </row>
    <row r="185" spans="2:8" x14ac:dyDescent="0.3">
      <c r="B185" s="46" t="s">
        <v>1158</v>
      </c>
      <c r="C185" s="73">
        <f>C134</f>
        <v>0</v>
      </c>
      <c r="D185" s="17">
        <f>H162</f>
        <v>1932.7</v>
      </c>
      <c r="E185" s="16">
        <f>ROUND((C185/D185)/60,2)</f>
        <v>0</v>
      </c>
      <c r="F185" s="17">
        <f>D166</f>
        <v>10</v>
      </c>
      <c r="G185" s="16">
        <f>ROUND(E185*F185,2)</f>
        <v>0</v>
      </c>
    </row>
    <row r="186" spans="2:8" x14ac:dyDescent="0.3">
      <c r="B186" s="27" t="s">
        <v>1093</v>
      </c>
      <c r="C186" s="73">
        <f>C135</f>
        <v>290000</v>
      </c>
      <c r="D186" s="62">
        <f>H163</f>
        <v>1506</v>
      </c>
      <c r="E186" s="17">
        <f>ROUND((C186/D186)/60,2)</f>
        <v>3.21</v>
      </c>
      <c r="F186" s="17">
        <f>D167</f>
        <v>15</v>
      </c>
      <c r="G186" s="16">
        <f>ROUND(E186*F186,2)</f>
        <v>48.15</v>
      </c>
      <c r="H186" s="38"/>
    </row>
    <row r="187" spans="2:8" ht="6" customHeight="1" x14ac:dyDescent="0.3"/>
    <row r="188" spans="2:8" x14ac:dyDescent="0.3">
      <c r="B188" s="12" t="s">
        <v>948</v>
      </c>
      <c r="C188" s="227"/>
      <c r="D188" s="12"/>
      <c r="E188" s="11">
        <f>G201</f>
        <v>3.45</v>
      </c>
      <c r="F188" s="12" t="s">
        <v>971</v>
      </c>
    </row>
    <row r="189" spans="2:8" ht="6" customHeight="1" x14ac:dyDescent="0.3">
      <c r="B189" s="22"/>
      <c r="C189" s="36"/>
      <c r="D189" s="22"/>
      <c r="E189" s="23"/>
    </row>
    <row r="190" spans="2:8" ht="27.6" x14ac:dyDescent="0.3">
      <c r="B190" s="14" t="s">
        <v>948</v>
      </c>
      <c r="C190" s="14" t="s">
        <v>1110</v>
      </c>
      <c r="D190" s="14" t="s">
        <v>516</v>
      </c>
      <c r="E190" s="14" t="s">
        <v>954</v>
      </c>
      <c r="F190" s="14" t="s">
        <v>930</v>
      </c>
      <c r="G190" s="14" t="s">
        <v>1111</v>
      </c>
    </row>
    <row r="191" spans="2:8" x14ac:dyDescent="0.3">
      <c r="B191" s="1009" t="str">
        <f>B162</f>
        <v>Лікар-рентгенолог</v>
      </c>
      <c r="C191" s="1010"/>
      <c r="D191" s="1010"/>
      <c r="E191" s="1010"/>
      <c r="F191" s="1010"/>
      <c r="G191" s="1011"/>
    </row>
    <row r="192" spans="2:8" x14ac:dyDescent="0.3">
      <c r="B192" s="17" t="s">
        <v>951</v>
      </c>
      <c r="C192" s="221">
        <f>C141</f>
        <v>12188.608008565312</v>
      </c>
      <c r="D192" s="17">
        <f>H162</f>
        <v>1932.7</v>
      </c>
      <c r="E192" s="17">
        <f>ROUND((C192/D192)/60,2)</f>
        <v>0.11</v>
      </c>
      <c r="F192" s="17">
        <f>D166</f>
        <v>10</v>
      </c>
      <c r="G192" s="16">
        <f>ROUND(E192*F192,2)</f>
        <v>1.1000000000000001</v>
      </c>
    </row>
    <row r="193" spans="1:14" x14ac:dyDescent="0.3">
      <c r="B193" s="17" t="s">
        <v>952</v>
      </c>
      <c r="C193" s="221">
        <f>C142</f>
        <v>53.149721627408987</v>
      </c>
      <c r="D193" s="17">
        <f>H162</f>
        <v>1932.7</v>
      </c>
      <c r="E193" s="62">
        <f>ROUND((C193/D193)/60,2)</f>
        <v>0</v>
      </c>
      <c r="F193" s="62">
        <f>D166</f>
        <v>10</v>
      </c>
      <c r="G193" s="62">
        <f>ROUND(E193*F193,2)</f>
        <v>0</v>
      </c>
    </row>
    <row r="194" spans="1:14" x14ac:dyDescent="0.3">
      <c r="B194" s="17" t="s">
        <v>953</v>
      </c>
      <c r="C194" s="221">
        <f>C143</f>
        <v>374.98368308351178</v>
      </c>
      <c r="D194" s="17">
        <f>H162</f>
        <v>1932.7</v>
      </c>
      <c r="E194" s="62">
        <f>ROUND((C194/D194)/60,2)</f>
        <v>0</v>
      </c>
      <c r="F194" s="62">
        <f>D166</f>
        <v>10</v>
      </c>
      <c r="G194" s="62">
        <f>ROUND(E194*F194,2)</f>
        <v>0</v>
      </c>
    </row>
    <row r="195" spans="1:14" x14ac:dyDescent="0.3">
      <c r="B195" s="17" t="s">
        <v>1109</v>
      </c>
      <c r="C195" s="221">
        <f>C144</f>
        <v>1686.0389293361886</v>
      </c>
      <c r="D195" s="17">
        <f>H162</f>
        <v>1932.7</v>
      </c>
      <c r="E195" s="17">
        <f>ROUND((C195/D195)/60,2)</f>
        <v>0.01</v>
      </c>
      <c r="F195" s="17">
        <f>D166</f>
        <v>10</v>
      </c>
      <c r="G195" s="16">
        <f>ROUND(E195*F195,2)</f>
        <v>0.1</v>
      </c>
    </row>
    <row r="196" spans="1:14" x14ac:dyDescent="0.3">
      <c r="B196" s="1009" t="str">
        <f>B163</f>
        <v>Рентгенолаборант</v>
      </c>
      <c r="C196" s="1010"/>
      <c r="D196" s="1010"/>
      <c r="E196" s="1010"/>
      <c r="F196" s="1010"/>
      <c r="G196" s="1011"/>
    </row>
    <row r="197" spans="1:14" x14ac:dyDescent="0.3">
      <c r="B197" s="17" t="s">
        <v>951</v>
      </c>
      <c r="C197" s="221">
        <f>C192</f>
        <v>12188.608008565312</v>
      </c>
      <c r="D197" s="17">
        <f>H163</f>
        <v>1506</v>
      </c>
      <c r="E197" s="17">
        <f>ROUND((C197/D197)/60,2)</f>
        <v>0.13</v>
      </c>
      <c r="F197" s="17">
        <f>D167</f>
        <v>15</v>
      </c>
      <c r="G197" s="16">
        <f>ROUND(E197*F197,2)</f>
        <v>1.95</v>
      </c>
    </row>
    <row r="198" spans="1:14" x14ac:dyDescent="0.3">
      <c r="B198" s="17" t="s">
        <v>952</v>
      </c>
      <c r="C198" s="221">
        <f>C193</f>
        <v>53.149721627408987</v>
      </c>
      <c r="D198" s="17">
        <f>H163</f>
        <v>1506</v>
      </c>
      <c r="E198" s="17">
        <f>ROUND((C198/D198)/60,2)</f>
        <v>0</v>
      </c>
      <c r="F198" s="17">
        <f>D167</f>
        <v>15</v>
      </c>
      <c r="G198" s="16">
        <f>ROUND(E198*F198,2)</f>
        <v>0</v>
      </c>
    </row>
    <row r="199" spans="1:14" x14ac:dyDescent="0.3">
      <c r="B199" s="17" t="s">
        <v>953</v>
      </c>
      <c r="C199" s="221">
        <f>C194</f>
        <v>374.98368308351178</v>
      </c>
      <c r="D199" s="17">
        <f>H163</f>
        <v>1506</v>
      </c>
      <c r="E199" s="17">
        <f>ROUND((C199/D199)/60,2)</f>
        <v>0</v>
      </c>
      <c r="F199" s="17">
        <f>D167</f>
        <v>15</v>
      </c>
      <c r="G199" s="16">
        <f>ROUND(E199*F199,2)</f>
        <v>0</v>
      </c>
    </row>
    <row r="200" spans="1:14" x14ac:dyDescent="0.3">
      <c r="B200" s="17" t="s">
        <v>1109</v>
      </c>
      <c r="C200" s="221">
        <f>C195</f>
        <v>1686.0389293361886</v>
      </c>
      <c r="D200" s="17">
        <f>H163</f>
        <v>1506</v>
      </c>
      <c r="E200" s="17">
        <f>ROUND((C200/D200)/60,2)</f>
        <v>0.02</v>
      </c>
      <c r="F200" s="17">
        <f>D167</f>
        <v>15</v>
      </c>
      <c r="G200" s="16">
        <f>ROUND(E200*F200,2)</f>
        <v>0.3</v>
      </c>
    </row>
    <row r="201" spans="1:14" x14ac:dyDescent="0.3">
      <c r="B201" s="1012" t="s">
        <v>957</v>
      </c>
      <c r="C201" s="1013"/>
      <c r="D201" s="1013"/>
      <c r="E201" s="1013"/>
      <c r="F201" s="1014"/>
      <c r="G201" s="18">
        <f>SUM(G192:G200)</f>
        <v>3.45</v>
      </c>
    </row>
    <row r="204" spans="1:14" x14ac:dyDescent="0.3">
      <c r="B204" s="1015" t="s">
        <v>959</v>
      </c>
      <c r="C204" s="1015"/>
      <c r="D204" s="1015"/>
      <c r="E204" s="1015"/>
      <c r="F204" s="1015"/>
      <c r="G204" s="32">
        <f>E159+E171+E182+E188</f>
        <v>117.94000000000001</v>
      </c>
    </row>
    <row r="205" spans="1:14" x14ac:dyDescent="0.3">
      <c r="B205" s="33"/>
      <c r="C205" s="33"/>
      <c r="D205" s="33"/>
      <c r="E205" s="33"/>
      <c r="F205" s="33"/>
      <c r="G205" s="34"/>
    </row>
    <row r="206" spans="1:14" x14ac:dyDescent="0.3">
      <c r="B206" s="1015" t="s">
        <v>960</v>
      </c>
      <c r="C206" s="1015"/>
      <c r="D206" s="1015"/>
      <c r="E206" s="1015"/>
      <c r="F206" s="1015"/>
      <c r="G206" s="32">
        <f>ROUND(G204,0)</f>
        <v>118</v>
      </c>
    </row>
    <row r="208" spans="1:14" s="54" customFormat="1" ht="19.8" x14ac:dyDescent="0.4">
      <c r="A208" s="50" t="s">
        <v>244</v>
      </c>
      <c r="B208" s="1017" t="s">
        <v>669</v>
      </c>
      <c r="C208" s="1017"/>
      <c r="D208" s="1017"/>
      <c r="E208" s="52">
        <f>G256</f>
        <v>86</v>
      </c>
      <c r="F208" s="52" t="s">
        <v>971</v>
      </c>
      <c r="G208" s="53"/>
      <c r="H208" s="124"/>
      <c r="I208" s="125" t="s">
        <v>1128</v>
      </c>
      <c r="J208" s="130"/>
      <c r="K208" s="868"/>
      <c r="L208" s="65"/>
      <c r="M208" s="65"/>
      <c r="N208" s="65"/>
    </row>
    <row r="209" spans="1:14" s="54" customFormat="1" ht="19.8" x14ac:dyDescent="0.4">
      <c r="A209" s="7"/>
      <c r="B209" s="7"/>
      <c r="C209" s="74"/>
      <c r="D209" s="7"/>
      <c r="E209" s="7"/>
      <c r="F209" s="7"/>
      <c r="G209" s="7"/>
      <c r="H209" s="7"/>
      <c r="I209" s="7"/>
      <c r="J209" s="130"/>
      <c r="K209" s="868"/>
      <c r="L209" s="65"/>
      <c r="M209" s="65"/>
      <c r="N209" s="65"/>
    </row>
    <row r="210" spans="1:14" s="54" customFormat="1" ht="19.8" x14ac:dyDescent="0.4">
      <c r="A210" s="7"/>
      <c r="B210" s="1018" t="s">
        <v>932</v>
      </c>
      <c r="C210" s="1018"/>
      <c r="D210" s="10"/>
      <c r="E210" s="11">
        <f>E217+E220+E218</f>
        <v>31.78</v>
      </c>
      <c r="F210" s="12" t="s">
        <v>971</v>
      </c>
      <c r="G210" s="7"/>
      <c r="H210" s="7"/>
      <c r="I210" s="7"/>
      <c r="J210" s="130"/>
      <c r="K210" s="868"/>
      <c r="L210" s="65"/>
      <c r="M210" s="65"/>
      <c r="N210" s="65"/>
    </row>
    <row r="212" spans="1:14" ht="27.6" x14ac:dyDescent="0.3">
      <c r="B212" s="13" t="s">
        <v>929</v>
      </c>
      <c r="C212" s="14" t="s">
        <v>928</v>
      </c>
      <c r="D212" s="14" t="s">
        <v>514</v>
      </c>
      <c r="E212" s="14" t="s">
        <v>515</v>
      </c>
      <c r="F212" s="14" t="s">
        <v>962</v>
      </c>
      <c r="G212" s="14" t="s">
        <v>926</v>
      </c>
      <c r="H212" s="14" t="s">
        <v>516</v>
      </c>
      <c r="I212" s="14" t="s">
        <v>961</v>
      </c>
    </row>
    <row r="213" spans="1:14" x14ac:dyDescent="0.3">
      <c r="B213" s="16" t="str">
        <f>B60</f>
        <v>Лікар-рентгенолог</v>
      </c>
      <c r="C213" s="78">
        <f>C60</f>
        <v>8463.5400000000009</v>
      </c>
      <c r="D213" s="16">
        <f>C213*12</f>
        <v>101562.48000000001</v>
      </c>
      <c r="E213" s="16">
        <f>E60</f>
        <v>7052.95</v>
      </c>
      <c r="F213" s="121">
        <f>F60</f>
        <v>3526.4749999999999</v>
      </c>
      <c r="G213" s="16">
        <f>D213+E213+F213</f>
        <v>112141.90500000001</v>
      </c>
      <c r="H213" s="17">
        <v>1932.7</v>
      </c>
      <c r="I213" s="16">
        <f>ROUND((G213/H213)/60,2)</f>
        <v>0.97</v>
      </c>
    </row>
    <row r="214" spans="1:14" x14ac:dyDescent="0.3">
      <c r="B214" s="37" t="str">
        <f>B61</f>
        <v>Рентгенолаборант</v>
      </c>
      <c r="C214" s="228">
        <f>C61</f>
        <v>7482.48</v>
      </c>
      <c r="D214" s="24">
        <f>C214*12</f>
        <v>89789.759999999995</v>
      </c>
      <c r="E214" s="37">
        <f>E61</f>
        <v>5755.75</v>
      </c>
      <c r="F214" s="122">
        <f>F61</f>
        <v>2877.875</v>
      </c>
      <c r="G214" s="16">
        <f>D214+E214+F214</f>
        <v>98423.384999999995</v>
      </c>
      <c r="H214" s="62">
        <v>1506</v>
      </c>
      <c r="I214" s="16">
        <f>ROUND((G214/H214)/60,2)</f>
        <v>1.0900000000000001</v>
      </c>
    </row>
    <row r="216" spans="1:14" ht="27.6" x14ac:dyDescent="0.3">
      <c r="B216" s="13" t="s">
        <v>929</v>
      </c>
      <c r="C216" s="14" t="s">
        <v>961</v>
      </c>
      <c r="D216" s="14" t="s">
        <v>930</v>
      </c>
      <c r="E216" s="14" t="s">
        <v>931</v>
      </c>
    </row>
    <row r="217" spans="1:14" x14ac:dyDescent="0.3">
      <c r="B217" s="15" t="str">
        <f>B213</f>
        <v>Лікар-рентгенолог</v>
      </c>
      <c r="C217" s="78">
        <f>I213</f>
        <v>0.97</v>
      </c>
      <c r="D217" s="17">
        <v>10</v>
      </c>
      <c r="E217" s="18">
        <f>ROUND(C217*D217,2)</f>
        <v>9.6999999999999993</v>
      </c>
    </row>
    <row r="218" spans="1:14" x14ac:dyDescent="0.3">
      <c r="B218" s="15" t="str">
        <f>B214</f>
        <v>Рентгенолаборант</v>
      </c>
      <c r="C218" s="78">
        <f>I214</f>
        <v>1.0900000000000001</v>
      </c>
      <c r="D218" s="17">
        <v>15</v>
      </c>
      <c r="E218" s="18">
        <f>ROUND(C218*D218,2)</f>
        <v>16.350000000000001</v>
      </c>
    </row>
    <row r="219" spans="1:14" x14ac:dyDescent="0.3">
      <c r="C219" s="19"/>
    </row>
    <row r="220" spans="1:14" x14ac:dyDescent="0.3">
      <c r="B220" s="17" t="s">
        <v>933</v>
      </c>
      <c r="C220" s="78">
        <f>E217+E218</f>
        <v>26.05</v>
      </c>
      <c r="D220" s="20">
        <v>0.22</v>
      </c>
      <c r="E220" s="21">
        <f>ROUND(C220*D220,2)</f>
        <v>5.73</v>
      </c>
    </row>
    <row r="222" spans="1:14" x14ac:dyDescent="0.3">
      <c r="B222" s="12" t="s">
        <v>946</v>
      </c>
      <c r="C222" s="227"/>
      <c r="D222" s="12"/>
      <c r="E222" s="11">
        <f>F230</f>
        <v>2.88</v>
      </c>
      <c r="F222" s="12" t="s">
        <v>971</v>
      </c>
    </row>
    <row r="224" spans="1:14" x14ac:dyDescent="0.3">
      <c r="B224" s="27" t="s">
        <v>936</v>
      </c>
      <c r="C224" s="28" t="s">
        <v>937</v>
      </c>
      <c r="D224" s="29">
        <v>1</v>
      </c>
      <c r="E224" s="30">
        <f>'МЕДИЧНІ М'!F115</f>
        <v>0.3</v>
      </c>
      <c r="F224" s="30">
        <f t="shared" ref="F224:F229" si="5">ROUND(D224*E224,2)</f>
        <v>0.3</v>
      </c>
    </row>
    <row r="225" spans="1:14" s="184" customFormat="1" x14ac:dyDescent="0.3">
      <c r="A225" s="180"/>
      <c r="B225" s="185" t="s">
        <v>1021</v>
      </c>
      <c r="C225" s="186" t="s">
        <v>941</v>
      </c>
      <c r="D225" s="164">
        <v>0.5</v>
      </c>
      <c r="E225" s="164">
        <f>'МЕДИЧНІ М'!E181</f>
        <v>2</v>
      </c>
      <c r="F225" s="164">
        <f t="shared" si="5"/>
        <v>1</v>
      </c>
      <c r="G225" s="180"/>
      <c r="H225" s="180"/>
      <c r="I225" s="180"/>
      <c r="J225" s="187"/>
      <c r="K225" s="866"/>
      <c r="L225" s="861"/>
      <c r="M225" s="861"/>
      <c r="N225" s="861"/>
    </row>
    <row r="226" spans="1:14" x14ac:dyDescent="0.3">
      <c r="B226" s="15" t="s">
        <v>1216</v>
      </c>
      <c r="C226" s="73" t="s">
        <v>941</v>
      </c>
      <c r="D226" s="17">
        <v>0.1</v>
      </c>
      <c r="E226" s="16">
        <f>'МЕДИЧНІ М'!E113</f>
        <v>8</v>
      </c>
      <c r="F226" s="17">
        <f t="shared" si="5"/>
        <v>0.8</v>
      </c>
    </row>
    <row r="227" spans="1:14" x14ac:dyDescent="0.3">
      <c r="B227" s="15" t="s">
        <v>964</v>
      </c>
      <c r="C227" s="73" t="s">
        <v>941</v>
      </c>
      <c r="D227" s="17">
        <v>0.1</v>
      </c>
      <c r="E227" s="16">
        <f>'МЕДИЧНІ М'!E119</f>
        <v>2.8</v>
      </c>
      <c r="F227" s="17">
        <f t="shared" si="5"/>
        <v>0.28000000000000003</v>
      </c>
    </row>
    <row r="228" spans="1:14" x14ac:dyDescent="0.3">
      <c r="B228" s="27" t="s">
        <v>942</v>
      </c>
      <c r="C228" s="28" t="s">
        <v>941</v>
      </c>
      <c r="D228" s="29">
        <v>0.01</v>
      </c>
      <c r="E228" s="29">
        <f>'МЕДИЧНІ М'!E120</f>
        <v>24.6</v>
      </c>
      <c r="F228" s="30">
        <f t="shared" si="5"/>
        <v>0.25</v>
      </c>
    </row>
    <row r="229" spans="1:14" x14ac:dyDescent="0.3">
      <c r="B229" s="27" t="s">
        <v>1124</v>
      </c>
      <c r="C229" s="28" t="s">
        <v>944</v>
      </c>
      <c r="D229" s="29">
        <v>0.5</v>
      </c>
      <c r="E229" s="29">
        <f>'МЕДИЧНІ М'!E114</f>
        <v>0.5</v>
      </c>
      <c r="F229" s="30">
        <f t="shared" si="5"/>
        <v>0.25</v>
      </c>
    </row>
    <row r="230" spans="1:14" x14ac:dyDescent="0.3">
      <c r="B230" s="1019" t="s">
        <v>945</v>
      </c>
      <c r="C230" s="1019"/>
      <c r="D230" s="1019"/>
      <c r="E230" s="1019"/>
      <c r="F230" s="89">
        <f>SUM(F224:F229)</f>
        <v>2.88</v>
      </c>
    </row>
    <row r="232" spans="1:14" x14ac:dyDescent="0.3">
      <c r="B232" s="12" t="s">
        <v>968</v>
      </c>
      <c r="C232" s="227"/>
      <c r="D232" s="12"/>
      <c r="E232" s="11">
        <f>SUM(G235:G236)</f>
        <v>48.15</v>
      </c>
      <c r="F232" s="12" t="s">
        <v>971</v>
      </c>
    </row>
    <row r="233" spans="1:14" x14ac:dyDescent="0.3">
      <c r="B233" s="22"/>
      <c r="C233" s="36"/>
      <c r="D233" s="22"/>
      <c r="E233" s="23"/>
      <c r="F233" s="22"/>
    </row>
    <row r="234" spans="1:14" ht="27.6" x14ac:dyDescent="0.3">
      <c r="B234" s="14" t="s">
        <v>513</v>
      </c>
      <c r="C234" s="14" t="s">
        <v>1108</v>
      </c>
      <c r="D234" s="14" t="s">
        <v>516</v>
      </c>
      <c r="E234" s="14" t="s">
        <v>970</v>
      </c>
      <c r="F234" s="14" t="s">
        <v>930</v>
      </c>
      <c r="G234" s="14" t="s">
        <v>961</v>
      </c>
    </row>
    <row r="235" spans="1:14" x14ac:dyDescent="0.3">
      <c r="B235" s="46" t="s">
        <v>1158</v>
      </c>
      <c r="C235" s="73">
        <f>C83</f>
        <v>0</v>
      </c>
      <c r="D235" s="17">
        <f>H213</f>
        <v>1932.7</v>
      </c>
      <c r="E235" s="17">
        <f>ROUND((C235/D235)/60,2)</f>
        <v>0</v>
      </c>
      <c r="F235" s="17">
        <f>D217</f>
        <v>10</v>
      </c>
      <c r="G235" s="16">
        <f>ROUND(E235*F235,2)</f>
        <v>0</v>
      </c>
    </row>
    <row r="236" spans="1:14" x14ac:dyDescent="0.3">
      <c r="B236" s="27" t="s">
        <v>1093</v>
      </c>
      <c r="C236" s="73">
        <f>C84</f>
        <v>290000</v>
      </c>
      <c r="D236" s="62">
        <f>H214</f>
        <v>1506</v>
      </c>
      <c r="E236" s="17">
        <f>ROUND((C236/D236)/60,2)</f>
        <v>3.21</v>
      </c>
      <c r="F236" s="17">
        <f>D218</f>
        <v>15</v>
      </c>
      <c r="G236" s="16">
        <f>ROUND(E236*F236,2)</f>
        <v>48.15</v>
      </c>
      <c r="H236" s="38"/>
    </row>
    <row r="238" spans="1:14" x14ac:dyDescent="0.3">
      <c r="B238" s="12" t="s">
        <v>948</v>
      </c>
      <c r="C238" s="227"/>
      <c r="D238" s="12"/>
      <c r="E238" s="11">
        <f>G251</f>
        <v>3.45</v>
      </c>
      <c r="F238" s="12" t="s">
        <v>971</v>
      </c>
    </row>
    <row r="239" spans="1:14" x14ac:dyDescent="0.3">
      <c r="B239" s="22"/>
      <c r="C239" s="36"/>
      <c r="D239" s="22"/>
      <c r="E239" s="23"/>
    </row>
    <row r="240" spans="1:14" ht="27.6" x14ac:dyDescent="0.3">
      <c r="B240" s="14" t="s">
        <v>948</v>
      </c>
      <c r="C240" s="14" t="s">
        <v>1110</v>
      </c>
      <c r="D240" s="14" t="s">
        <v>516</v>
      </c>
      <c r="E240" s="14" t="s">
        <v>954</v>
      </c>
      <c r="F240" s="14" t="s">
        <v>930</v>
      </c>
      <c r="G240" s="14" t="s">
        <v>1111</v>
      </c>
    </row>
    <row r="241" spans="2:7" x14ac:dyDescent="0.3">
      <c r="B241" s="1009" t="str">
        <f>B213</f>
        <v>Лікар-рентгенолог</v>
      </c>
      <c r="C241" s="1010"/>
      <c r="D241" s="1010"/>
      <c r="E241" s="1010"/>
      <c r="F241" s="1010"/>
      <c r="G241" s="1011"/>
    </row>
    <row r="242" spans="2:7" x14ac:dyDescent="0.3">
      <c r="B242" s="17" t="s">
        <v>951</v>
      </c>
      <c r="C242" s="221">
        <f>C90</f>
        <v>12188.608008565312</v>
      </c>
      <c r="D242" s="17">
        <f>H213</f>
        <v>1932.7</v>
      </c>
      <c r="E242" s="17">
        <f>ROUND((C242/D242)/60,2)</f>
        <v>0.11</v>
      </c>
      <c r="F242" s="17">
        <f>D217</f>
        <v>10</v>
      </c>
      <c r="G242" s="16">
        <f>ROUND(E242*F242,2)</f>
        <v>1.1000000000000001</v>
      </c>
    </row>
    <row r="243" spans="2:7" x14ac:dyDescent="0.3">
      <c r="B243" s="17" t="s">
        <v>952</v>
      </c>
      <c r="C243" s="221">
        <f>C91</f>
        <v>53.149721627408987</v>
      </c>
      <c r="D243" s="17">
        <f>H213</f>
        <v>1932.7</v>
      </c>
      <c r="E243" s="17">
        <f>ROUND((C243/D243)/60,2)</f>
        <v>0</v>
      </c>
      <c r="F243" s="17">
        <f>D217</f>
        <v>10</v>
      </c>
      <c r="G243" s="16">
        <f>ROUND(E243*F243,2)</f>
        <v>0</v>
      </c>
    </row>
    <row r="244" spans="2:7" x14ac:dyDescent="0.3">
      <c r="B244" s="17" t="s">
        <v>953</v>
      </c>
      <c r="C244" s="221">
        <f>C92</f>
        <v>374.98368308351178</v>
      </c>
      <c r="D244" s="17">
        <f>H213</f>
        <v>1932.7</v>
      </c>
      <c r="E244" s="17">
        <f>ROUND((C244/D244)/60,2)</f>
        <v>0</v>
      </c>
      <c r="F244" s="17">
        <f>D217</f>
        <v>10</v>
      </c>
      <c r="G244" s="16">
        <f>ROUND(E244*F244,2)</f>
        <v>0</v>
      </c>
    </row>
    <row r="245" spans="2:7" x14ac:dyDescent="0.3">
      <c r="B245" s="17" t="s">
        <v>1109</v>
      </c>
      <c r="C245" s="221">
        <f>C93</f>
        <v>1686.0389293361886</v>
      </c>
      <c r="D245" s="17">
        <f>H213</f>
        <v>1932.7</v>
      </c>
      <c r="E245" s="17">
        <f>ROUND((C245/D245)/60,2)</f>
        <v>0.01</v>
      </c>
      <c r="F245" s="17">
        <f>D217</f>
        <v>10</v>
      </c>
      <c r="G245" s="16">
        <f>ROUND(E245*F245,2)</f>
        <v>0.1</v>
      </c>
    </row>
    <row r="246" spans="2:7" x14ac:dyDescent="0.3">
      <c r="B246" s="1009" t="str">
        <f>B214</f>
        <v>Рентгенолаборант</v>
      </c>
      <c r="C246" s="1010"/>
      <c r="D246" s="1010"/>
      <c r="E246" s="1010"/>
      <c r="F246" s="1010"/>
      <c r="G246" s="1011"/>
    </row>
    <row r="247" spans="2:7" x14ac:dyDescent="0.3">
      <c r="B247" s="17" t="s">
        <v>951</v>
      </c>
      <c r="C247" s="221">
        <f>C242</f>
        <v>12188.608008565312</v>
      </c>
      <c r="D247" s="17">
        <f>H214</f>
        <v>1506</v>
      </c>
      <c r="E247" s="17">
        <f>ROUND((C247/D247)/60,2)</f>
        <v>0.13</v>
      </c>
      <c r="F247" s="17">
        <f>D218</f>
        <v>15</v>
      </c>
      <c r="G247" s="16">
        <f>ROUND(E247*F247,2)</f>
        <v>1.95</v>
      </c>
    </row>
    <row r="248" spans="2:7" x14ac:dyDescent="0.3">
      <c r="B248" s="17" t="s">
        <v>952</v>
      </c>
      <c r="C248" s="221">
        <f>C243</f>
        <v>53.149721627408987</v>
      </c>
      <c r="D248" s="17">
        <f>H214</f>
        <v>1506</v>
      </c>
      <c r="E248" s="17">
        <f>ROUND((C248/D248)/60,2)</f>
        <v>0</v>
      </c>
      <c r="F248" s="17">
        <f>D218</f>
        <v>15</v>
      </c>
      <c r="G248" s="16">
        <f>ROUND(E248*F248,2)</f>
        <v>0</v>
      </c>
    </row>
    <row r="249" spans="2:7" x14ac:dyDescent="0.3">
      <c r="B249" s="17" t="s">
        <v>953</v>
      </c>
      <c r="C249" s="221">
        <f>C244</f>
        <v>374.98368308351178</v>
      </c>
      <c r="D249" s="17">
        <f>H214</f>
        <v>1506</v>
      </c>
      <c r="E249" s="17">
        <f>ROUND((C249/D249)/60,2)</f>
        <v>0</v>
      </c>
      <c r="F249" s="17">
        <f>D218</f>
        <v>15</v>
      </c>
      <c r="G249" s="16">
        <f>ROUND(E249*F249,2)</f>
        <v>0</v>
      </c>
    </row>
    <row r="250" spans="2:7" x14ac:dyDescent="0.3">
      <c r="B250" s="17" t="s">
        <v>1109</v>
      </c>
      <c r="C250" s="221">
        <f>C245</f>
        <v>1686.0389293361886</v>
      </c>
      <c r="D250" s="112">
        <f>H214</f>
        <v>1506</v>
      </c>
      <c r="E250" s="17">
        <f>ROUND((C250/D250)/60,2)</f>
        <v>0.02</v>
      </c>
      <c r="F250" s="17">
        <f>D218</f>
        <v>15</v>
      </c>
      <c r="G250" s="16">
        <f>ROUND(E250*F250,2)</f>
        <v>0.3</v>
      </c>
    </row>
    <row r="251" spans="2:7" x14ac:dyDescent="0.3">
      <c r="B251" s="1012" t="s">
        <v>957</v>
      </c>
      <c r="C251" s="1013"/>
      <c r="D251" s="1013"/>
      <c r="E251" s="1013"/>
      <c r="F251" s="1014"/>
      <c r="G251" s="18">
        <f>SUM(G242:G250)</f>
        <v>3.45</v>
      </c>
    </row>
    <row r="252" spans="2:7" ht="9" customHeight="1" x14ac:dyDescent="0.3"/>
    <row r="254" spans="2:7" x14ac:dyDescent="0.3">
      <c r="B254" s="1015" t="s">
        <v>959</v>
      </c>
      <c r="C254" s="1015"/>
      <c r="D254" s="1015"/>
      <c r="E254" s="1015"/>
      <c r="F254" s="1015"/>
      <c r="G254" s="32">
        <f>E210+E222+E232+E238</f>
        <v>86.26</v>
      </c>
    </row>
    <row r="255" spans="2:7" x14ac:dyDescent="0.3">
      <c r="B255" s="33"/>
      <c r="C255" s="33"/>
      <c r="D255" s="33"/>
      <c r="E255" s="33"/>
      <c r="F255" s="33"/>
      <c r="G255" s="34"/>
    </row>
    <row r="256" spans="2:7" x14ac:dyDescent="0.3">
      <c r="B256" s="1015" t="s">
        <v>960</v>
      </c>
      <c r="C256" s="1015"/>
      <c r="D256" s="1015"/>
      <c r="E256" s="1015"/>
      <c r="F256" s="1015"/>
      <c r="G256" s="32">
        <f>ROUND(G254,0)</f>
        <v>86</v>
      </c>
    </row>
    <row r="258" spans="1:14" s="54" customFormat="1" ht="19.8" x14ac:dyDescent="0.4">
      <c r="A258" s="1016" t="s">
        <v>958</v>
      </c>
      <c r="B258" s="1016"/>
      <c r="C258" s="1016"/>
      <c r="D258" s="1016"/>
      <c r="E258" s="1016"/>
      <c r="F258" s="1016"/>
      <c r="G258" s="1016"/>
      <c r="H258" s="1016"/>
      <c r="I258" s="1016"/>
      <c r="J258" s="130"/>
      <c r="K258" s="868"/>
      <c r="L258" s="65"/>
      <c r="M258" s="65"/>
      <c r="N258" s="65"/>
    </row>
    <row r="259" spans="1:14" s="54" customFormat="1" ht="19.8" x14ac:dyDescent="0.4">
      <c r="A259" s="53"/>
      <c r="B259" s="53"/>
      <c r="C259" s="225"/>
      <c r="D259" s="53"/>
      <c r="E259" s="53"/>
      <c r="F259" s="53"/>
      <c r="G259" s="53"/>
      <c r="H259" s="53"/>
      <c r="I259" s="53"/>
      <c r="J259" s="130"/>
      <c r="K259" s="868"/>
      <c r="L259" s="65"/>
      <c r="M259" s="65"/>
      <c r="N259" s="65"/>
    </row>
    <row r="260" spans="1:14" s="54" customFormat="1" ht="19.8" x14ac:dyDescent="0.4">
      <c r="A260" s="50" t="s">
        <v>245</v>
      </c>
      <c r="B260" s="1017" t="s">
        <v>673</v>
      </c>
      <c r="C260" s="1017"/>
      <c r="D260" s="1017"/>
      <c r="E260" s="52">
        <f>G309</f>
        <v>87</v>
      </c>
      <c r="F260" s="52" t="s">
        <v>971</v>
      </c>
      <c r="G260" s="53"/>
      <c r="H260" s="124"/>
      <c r="I260" s="125" t="s">
        <v>1022</v>
      </c>
      <c r="J260" s="130"/>
      <c r="K260" s="868"/>
      <c r="L260" s="65"/>
      <c r="M260" s="65"/>
      <c r="N260" s="65"/>
    </row>
    <row r="262" spans="1:14" x14ac:dyDescent="0.3">
      <c r="B262" s="1018" t="s">
        <v>932</v>
      </c>
      <c r="C262" s="1018"/>
      <c r="D262" s="10"/>
      <c r="E262" s="11">
        <f>E269+E272+E270</f>
        <v>31.78</v>
      </c>
      <c r="F262" s="12" t="s">
        <v>971</v>
      </c>
    </row>
    <row r="264" spans="1:14" ht="27.6" x14ac:dyDescent="0.3">
      <c r="B264" s="13" t="s">
        <v>929</v>
      </c>
      <c r="C264" s="14" t="s">
        <v>928</v>
      </c>
      <c r="D264" s="14" t="s">
        <v>514</v>
      </c>
      <c r="E264" s="14" t="s">
        <v>515</v>
      </c>
      <c r="F264" s="14" t="s">
        <v>962</v>
      </c>
      <c r="G264" s="14" t="s">
        <v>926</v>
      </c>
      <c r="H264" s="14" t="s">
        <v>516</v>
      </c>
      <c r="I264" s="14" t="s">
        <v>961</v>
      </c>
    </row>
    <row r="265" spans="1:14" x14ac:dyDescent="0.3">
      <c r="B265" s="16" t="str">
        <f>B213</f>
        <v>Лікар-рентгенолог</v>
      </c>
      <c r="C265" s="16">
        <f t="shared" ref="C265:I265" si="6">C213</f>
        <v>8463.5400000000009</v>
      </c>
      <c r="D265" s="16">
        <f t="shared" si="6"/>
        <v>101562.48000000001</v>
      </c>
      <c r="E265" s="16">
        <f t="shared" si="6"/>
        <v>7052.95</v>
      </c>
      <c r="F265" s="16">
        <f t="shared" si="6"/>
        <v>3526.4749999999999</v>
      </c>
      <c r="G265" s="16">
        <f t="shared" si="6"/>
        <v>112141.90500000001</v>
      </c>
      <c r="H265" s="16">
        <f t="shared" si="6"/>
        <v>1932.7</v>
      </c>
      <c r="I265" s="16">
        <f t="shared" si="6"/>
        <v>0.97</v>
      </c>
    </row>
    <row r="266" spans="1:14" x14ac:dyDescent="0.3">
      <c r="B266" s="16" t="str">
        <f>B214</f>
        <v>Рентгенолаборант</v>
      </c>
      <c r="C266" s="16">
        <f t="shared" ref="C266:I266" si="7">C214</f>
        <v>7482.48</v>
      </c>
      <c r="D266" s="16">
        <f t="shared" si="7"/>
        <v>89789.759999999995</v>
      </c>
      <c r="E266" s="16">
        <f t="shared" si="7"/>
        <v>5755.75</v>
      </c>
      <c r="F266" s="16">
        <f t="shared" si="7"/>
        <v>2877.875</v>
      </c>
      <c r="G266" s="16">
        <f t="shared" si="7"/>
        <v>98423.384999999995</v>
      </c>
      <c r="H266" s="16">
        <f t="shared" si="7"/>
        <v>1506</v>
      </c>
      <c r="I266" s="16">
        <f t="shared" si="7"/>
        <v>1.0900000000000001</v>
      </c>
    </row>
    <row r="268" spans="1:14" ht="27.6" x14ac:dyDescent="0.3">
      <c r="B268" s="13" t="s">
        <v>929</v>
      </c>
      <c r="C268" s="14" t="s">
        <v>961</v>
      </c>
      <c r="D268" s="14" t="s">
        <v>930</v>
      </c>
      <c r="E268" s="14" t="s">
        <v>931</v>
      </c>
    </row>
    <row r="269" spans="1:14" x14ac:dyDescent="0.3">
      <c r="B269" s="15" t="str">
        <f>B265</f>
        <v>Лікар-рентгенолог</v>
      </c>
      <c r="C269" s="78">
        <f>I265</f>
        <v>0.97</v>
      </c>
      <c r="D269" s="17">
        <v>10</v>
      </c>
      <c r="E269" s="18">
        <f>ROUND(C269*D269,2)</f>
        <v>9.6999999999999993</v>
      </c>
    </row>
    <row r="270" spans="1:14" x14ac:dyDescent="0.3">
      <c r="B270" s="15" t="str">
        <f>B266</f>
        <v>Рентгенолаборант</v>
      </c>
      <c r="C270" s="78">
        <f>I266</f>
        <v>1.0900000000000001</v>
      </c>
      <c r="D270" s="17">
        <v>15</v>
      </c>
      <c r="E270" s="18">
        <f>ROUND(C270*D270,2)</f>
        <v>16.350000000000001</v>
      </c>
    </row>
    <row r="271" spans="1:14" x14ac:dyDescent="0.3">
      <c r="C271" s="19"/>
    </row>
    <row r="272" spans="1:14" x14ac:dyDescent="0.3">
      <c r="B272" s="17" t="s">
        <v>933</v>
      </c>
      <c r="C272" s="78">
        <f>E269+E270</f>
        <v>26.05</v>
      </c>
      <c r="D272" s="20">
        <v>0.22</v>
      </c>
      <c r="E272" s="21">
        <f>ROUND(C272*D272,2)</f>
        <v>5.73</v>
      </c>
    </row>
    <row r="274" spans="1:14" x14ac:dyDescent="0.3">
      <c r="B274" s="12" t="s">
        <v>946</v>
      </c>
      <c r="C274" s="227"/>
      <c r="D274" s="12"/>
      <c r="E274" s="12">
        <f>F283</f>
        <v>3.1799999999999997</v>
      </c>
      <c r="F274" s="12" t="s">
        <v>971</v>
      </c>
    </row>
    <row r="276" spans="1:14" x14ac:dyDescent="0.3">
      <c r="B276" s="27" t="s">
        <v>936</v>
      </c>
      <c r="C276" s="28" t="s">
        <v>937</v>
      </c>
      <c r="D276" s="29">
        <v>1</v>
      </c>
      <c r="E276" s="30">
        <f>'МЕДИЧНІ М'!F115</f>
        <v>0.3</v>
      </c>
      <c r="F276" s="30">
        <f>ROUND(D276*E276,2)</f>
        <v>0.3</v>
      </c>
    </row>
    <row r="277" spans="1:14" s="184" customFormat="1" x14ac:dyDescent="0.3">
      <c r="A277" s="180"/>
      <c r="B277" s="185" t="s">
        <v>1021</v>
      </c>
      <c r="C277" s="186" t="s">
        <v>941</v>
      </c>
      <c r="D277" s="164">
        <v>0.5</v>
      </c>
      <c r="E277" s="164">
        <f>'МЕДИЧНІ М'!E181</f>
        <v>2</v>
      </c>
      <c r="F277" s="164">
        <f t="shared" ref="F277:F282" si="8">ROUND(D277*E277,2)</f>
        <v>1</v>
      </c>
      <c r="G277" s="180"/>
      <c r="H277" s="180"/>
      <c r="I277" s="180"/>
      <c r="J277" s="187"/>
      <c r="K277" s="866"/>
      <c r="L277" s="861"/>
      <c r="M277" s="861"/>
      <c r="N277" s="861"/>
    </row>
    <row r="278" spans="1:14" x14ac:dyDescent="0.3">
      <c r="B278" s="15" t="s">
        <v>1216</v>
      </c>
      <c r="C278" s="73" t="s">
        <v>941</v>
      </c>
      <c r="D278" s="17">
        <v>0.1</v>
      </c>
      <c r="E278" s="16">
        <f>'МЕДИЧНІ М'!E113</f>
        <v>8</v>
      </c>
      <c r="F278" s="17">
        <f t="shared" si="8"/>
        <v>0.8</v>
      </c>
    </row>
    <row r="279" spans="1:14" x14ac:dyDescent="0.3">
      <c r="B279" s="15" t="s">
        <v>98</v>
      </c>
      <c r="C279" s="73" t="s">
        <v>941</v>
      </c>
      <c r="D279" s="17">
        <v>1</v>
      </c>
      <c r="E279" s="16">
        <f>МАТЕРІАЛИ!E4</f>
        <v>0.3</v>
      </c>
      <c r="F279" s="17">
        <f t="shared" si="8"/>
        <v>0.3</v>
      </c>
    </row>
    <row r="280" spans="1:14" x14ac:dyDescent="0.3">
      <c r="B280" s="15" t="s">
        <v>964</v>
      </c>
      <c r="C280" s="73" t="s">
        <v>941</v>
      </c>
      <c r="D280" s="17">
        <v>0.1</v>
      </c>
      <c r="E280" s="16">
        <f>'МЕДИЧНІ М'!E119</f>
        <v>2.8</v>
      </c>
      <c r="F280" s="17">
        <f t="shared" si="8"/>
        <v>0.28000000000000003</v>
      </c>
    </row>
    <row r="281" spans="1:14" x14ac:dyDescent="0.3">
      <c r="B281" s="27" t="s">
        <v>942</v>
      </c>
      <c r="C281" s="28" t="s">
        <v>941</v>
      </c>
      <c r="D281" s="29">
        <v>0.01</v>
      </c>
      <c r="E281" s="29">
        <f>'МЕДИЧНІ М'!E120</f>
        <v>24.6</v>
      </c>
      <c r="F281" s="30">
        <f t="shared" si="8"/>
        <v>0.25</v>
      </c>
    </row>
    <row r="282" spans="1:14" x14ac:dyDescent="0.3">
      <c r="B282" s="27" t="s">
        <v>1124</v>
      </c>
      <c r="C282" s="28" t="s">
        <v>944</v>
      </c>
      <c r="D282" s="29">
        <v>0.5</v>
      </c>
      <c r="E282" s="29">
        <f>'МЕДИЧНІ М'!E114</f>
        <v>0.5</v>
      </c>
      <c r="F282" s="30">
        <f t="shared" si="8"/>
        <v>0.25</v>
      </c>
    </row>
    <row r="283" spans="1:14" x14ac:dyDescent="0.3">
      <c r="B283" s="1019" t="s">
        <v>945</v>
      </c>
      <c r="C283" s="1019"/>
      <c r="D283" s="1019"/>
      <c r="E283" s="1019"/>
      <c r="F283" s="31">
        <f>SUM(F276:F282)</f>
        <v>3.1799999999999997</v>
      </c>
    </row>
    <row r="285" spans="1:14" x14ac:dyDescent="0.3">
      <c r="B285" s="12" t="s">
        <v>968</v>
      </c>
      <c r="C285" s="227"/>
      <c r="D285" s="12"/>
      <c r="E285" s="11">
        <f>SUM(G288:G289)</f>
        <v>48.15</v>
      </c>
      <c r="F285" s="12" t="s">
        <v>971</v>
      </c>
    </row>
    <row r="286" spans="1:14" x14ac:dyDescent="0.3">
      <c r="B286" s="22"/>
      <c r="C286" s="36"/>
      <c r="D286" s="22"/>
      <c r="E286" s="23"/>
      <c r="F286" s="22"/>
    </row>
    <row r="287" spans="1:14" ht="27.6" x14ac:dyDescent="0.3">
      <c r="B287" s="14" t="s">
        <v>513</v>
      </c>
      <c r="C287" s="14" t="s">
        <v>1108</v>
      </c>
      <c r="D287" s="14" t="s">
        <v>516</v>
      </c>
      <c r="E287" s="14" t="s">
        <v>970</v>
      </c>
      <c r="F287" s="14" t="s">
        <v>930</v>
      </c>
      <c r="G287" s="14" t="s">
        <v>961</v>
      </c>
    </row>
    <row r="288" spans="1:14" x14ac:dyDescent="0.3">
      <c r="B288" s="46" t="s">
        <v>1158</v>
      </c>
      <c r="C288" s="73">
        <f>C235</f>
        <v>0</v>
      </c>
      <c r="D288" s="62">
        <f>H265</f>
        <v>1932.7</v>
      </c>
      <c r="E288" s="17">
        <f>ROUND((C288/D288)/60,2)</f>
        <v>0</v>
      </c>
      <c r="F288" s="17">
        <f>D269</f>
        <v>10</v>
      </c>
      <c r="G288" s="16">
        <f>ROUND(E288*F288,2)</f>
        <v>0</v>
      </c>
    </row>
    <row r="289" spans="2:8" x14ac:dyDescent="0.3">
      <c r="B289" s="27" t="s">
        <v>1093</v>
      </c>
      <c r="C289" s="73">
        <f>C236</f>
        <v>290000</v>
      </c>
      <c r="D289" s="62">
        <f>H266</f>
        <v>1506</v>
      </c>
      <c r="E289" s="17">
        <f>ROUND((C289/D289)/60,2)</f>
        <v>3.21</v>
      </c>
      <c r="F289" s="17">
        <f>D270</f>
        <v>15</v>
      </c>
      <c r="G289" s="16">
        <f>ROUND(E289*F289,2)</f>
        <v>48.15</v>
      </c>
      <c r="H289" s="38"/>
    </row>
    <row r="291" spans="2:8" x14ac:dyDescent="0.3">
      <c r="B291" s="12" t="s">
        <v>948</v>
      </c>
      <c r="C291" s="227"/>
      <c r="D291" s="12"/>
      <c r="E291" s="11">
        <f>G304</f>
        <v>3.45</v>
      </c>
      <c r="F291" s="12" t="s">
        <v>971</v>
      </c>
    </row>
    <row r="292" spans="2:8" x14ac:dyDescent="0.3">
      <c r="B292" s="22"/>
      <c r="C292" s="36"/>
      <c r="D292" s="22"/>
      <c r="E292" s="23"/>
    </row>
    <row r="293" spans="2:8" ht="27.6" x14ac:dyDescent="0.3">
      <c r="B293" s="14" t="s">
        <v>948</v>
      </c>
      <c r="C293" s="14" t="s">
        <v>1110</v>
      </c>
      <c r="D293" s="14" t="s">
        <v>516</v>
      </c>
      <c r="E293" s="14" t="s">
        <v>954</v>
      </c>
      <c r="F293" s="14" t="s">
        <v>930</v>
      </c>
      <c r="G293" s="14" t="s">
        <v>1111</v>
      </c>
    </row>
    <row r="294" spans="2:8" x14ac:dyDescent="0.3">
      <c r="B294" s="1009" t="str">
        <f>B265</f>
        <v>Лікар-рентгенолог</v>
      </c>
      <c r="C294" s="1010"/>
      <c r="D294" s="1010"/>
      <c r="E294" s="1010"/>
      <c r="F294" s="1010"/>
      <c r="G294" s="1011"/>
    </row>
    <row r="295" spans="2:8" x14ac:dyDescent="0.3">
      <c r="B295" s="17" t="s">
        <v>951</v>
      </c>
      <c r="C295" s="221">
        <f>C242</f>
        <v>12188.608008565312</v>
      </c>
      <c r="D295" s="17">
        <f>H265</f>
        <v>1932.7</v>
      </c>
      <c r="E295" s="17">
        <f>ROUND((C295/D295)/60,2)</f>
        <v>0.11</v>
      </c>
      <c r="F295" s="17">
        <f>D269</f>
        <v>10</v>
      </c>
      <c r="G295" s="16">
        <f>ROUND(E295*F295,2)</f>
        <v>1.1000000000000001</v>
      </c>
    </row>
    <row r="296" spans="2:8" x14ac:dyDescent="0.3">
      <c r="B296" s="17" t="s">
        <v>952</v>
      </c>
      <c r="C296" s="221">
        <f>C243</f>
        <v>53.149721627408987</v>
      </c>
      <c r="D296" s="17">
        <f>H265</f>
        <v>1932.7</v>
      </c>
      <c r="E296" s="17">
        <f>ROUND((C296/D296)/60,2)</f>
        <v>0</v>
      </c>
      <c r="F296" s="17">
        <f>D269</f>
        <v>10</v>
      </c>
      <c r="G296" s="16">
        <f>ROUND(E296*F296,2)</f>
        <v>0</v>
      </c>
    </row>
    <row r="297" spans="2:8" x14ac:dyDescent="0.3">
      <c r="B297" s="17" t="s">
        <v>953</v>
      </c>
      <c r="C297" s="221">
        <f>C244</f>
        <v>374.98368308351178</v>
      </c>
      <c r="D297" s="17">
        <f>H265</f>
        <v>1932.7</v>
      </c>
      <c r="E297" s="17">
        <f>ROUND((C297/D297)/60,2)</f>
        <v>0</v>
      </c>
      <c r="F297" s="17">
        <f>D269</f>
        <v>10</v>
      </c>
      <c r="G297" s="16">
        <f>ROUND(E297*F297,2)</f>
        <v>0</v>
      </c>
    </row>
    <row r="298" spans="2:8" x14ac:dyDescent="0.3">
      <c r="B298" s="17" t="s">
        <v>1109</v>
      </c>
      <c r="C298" s="221">
        <f>C245</f>
        <v>1686.0389293361886</v>
      </c>
      <c r="D298" s="17">
        <f>H265</f>
        <v>1932.7</v>
      </c>
      <c r="E298" s="17">
        <f>ROUND((C298/D298)/60,2)</f>
        <v>0.01</v>
      </c>
      <c r="F298" s="17">
        <f>D269</f>
        <v>10</v>
      </c>
      <c r="G298" s="16">
        <f>ROUND(E298*F298,2)</f>
        <v>0.1</v>
      </c>
    </row>
    <row r="299" spans="2:8" x14ac:dyDescent="0.3">
      <c r="B299" s="1009" t="str">
        <f>B266</f>
        <v>Рентгенолаборант</v>
      </c>
      <c r="C299" s="1010"/>
      <c r="D299" s="1010"/>
      <c r="E299" s="1010"/>
      <c r="F299" s="1010"/>
      <c r="G299" s="1011"/>
    </row>
    <row r="300" spans="2:8" x14ac:dyDescent="0.3">
      <c r="B300" s="17" t="s">
        <v>951</v>
      </c>
      <c r="C300" s="221">
        <f>C295</f>
        <v>12188.608008565312</v>
      </c>
      <c r="D300" s="17">
        <f>H266</f>
        <v>1506</v>
      </c>
      <c r="E300" s="17">
        <f>ROUND((C300/D300)/60,2)</f>
        <v>0.13</v>
      </c>
      <c r="F300" s="17">
        <f>D270</f>
        <v>15</v>
      </c>
      <c r="G300" s="16">
        <f>ROUND(E300*F300,2)</f>
        <v>1.95</v>
      </c>
    </row>
    <row r="301" spans="2:8" x14ac:dyDescent="0.3">
      <c r="B301" s="17" t="s">
        <v>952</v>
      </c>
      <c r="C301" s="221">
        <f>C296</f>
        <v>53.149721627408987</v>
      </c>
      <c r="D301" s="17">
        <f>H266</f>
        <v>1506</v>
      </c>
      <c r="E301" s="17">
        <f>ROUND((C301/D301)/60,2)</f>
        <v>0</v>
      </c>
      <c r="F301" s="17">
        <f>D270</f>
        <v>15</v>
      </c>
      <c r="G301" s="16">
        <f>ROUND(E301*F301,2)</f>
        <v>0</v>
      </c>
    </row>
    <row r="302" spans="2:8" x14ac:dyDescent="0.3">
      <c r="B302" s="17" t="s">
        <v>953</v>
      </c>
      <c r="C302" s="221">
        <f>C297</f>
        <v>374.98368308351178</v>
      </c>
      <c r="D302" s="17">
        <f>H266</f>
        <v>1506</v>
      </c>
      <c r="E302" s="17">
        <f>ROUND((C302/D302)/60,2)</f>
        <v>0</v>
      </c>
      <c r="F302" s="17">
        <f>D270</f>
        <v>15</v>
      </c>
      <c r="G302" s="16">
        <f>ROUND(E302*F302,2)</f>
        <v>0</v>
      </c>
    </row>
    <row r="303" spans="2:8" x14ac:dyDescent="0.3">
      <c r="B303" s="17" t="s">
        <v>1109</v>
      </c>
      <c r="C303" s="221">
        <f>C298</f>
        <v>1686.0389293361886</v>
      </c>
      <c r="D303" s="17">
        <f>H266</f>
        <v>1506</v>
      </c>
      <c r="E303" s="17">
        <f>ROUND((C303/D303)/60,2)</f>
        <v>0.02</v>
      </c>
      <c r="F303" s="17">
        <f>D270</f>
        <v>15</v>
      </c>
      <c r="G303" s="16">
        <f>ROUND(E303*F303,2)</f>
        <v>0.3</v>
      </c>
    </row>
    <row r="304" spans="2:8" x14ac:dyDescent="0.3">
      <c r="B304" s="1012" t="s">
        <v>957</v>
      </c>
      <c r="C304" s="1013"/>
      <c r="D304" s="1013"/>
      <c r="E304" s="1013"/>
      <c r="F304" s="1014"/>
      <c r="G304" s="18">
        <f>SUM(G295:G303)</f>
        <v>3.45</v>
      </c>
    </row>
    <row r="307" spans="1:14" x14ac:dyDescent="0.3">
      <c r="B307" s="1015" t="s">
        <v>959</v>
      </c>
      <c r="C307" s="1015"/>
      <c r="D307" s="1015"/>
      <c r="E307" s="1015"/>
      <c r="F307" s="1015"/>
      <c r="G307" s="32">
        <f>E262+E274+E285+E291</f>
        <v>86.56</v>
      </c>
    </row>
    <row r="308" spans="1:14" x14ac:dyDescent="0.3">
      <c r="B308" s="33"/>
      <c r="C308" s="33"/>
      <c r="D308" s="33"/>
      <c r="E308" s="33"/>
      <c r="F308" s="33"/>
      <c r="G308" s="34"/>
    </row>
    <row r="309" spans="1:14" s="54" customFormat="1" ht="19.8" x14ac:dyDescent="0.4">
      <c r="A309" s="7"/>
      <c r="B309" s="1015" t="s">
        <v>960</v>
      </c>
      <c r="C309" s="1015"/>
      <c r="D309" s="1015"/>
      <c r="E309" s="1015"/>
      <c r="F309" s="1015"/>
      <c r="G309" s="32">
        <f>ROUND(G307,0)</f>
        <v>87</v>
      </c>
      <c r="H309" s="7"/>
      <c r="I309" s="7"/>
      <c r="J309" s="130"/>
      <c r="K309" s="868"/>
      <c r="L309" s="65"/>
      <c r="M309" s="65"/>
      <c r="N309" s="65"/>
    </row>
    <row r="310" spans="1:14" s="54" customFormat="1" ht="19.8" x14ac:dyDescent="0.4">
      <c r="A310" s="7"/>
      <c r="B310" s="33"/>
      <c r="C310" s="33"/>
      <c r="D310" s="33"/>
      <c r="E310" s="33"/>
      <c r="F310" s="33"/>
      <c r="G310" s="34"/>
      <c r="H310" s="7"/>
      <c r="I310" s="7"/>
      <c r="J310" s="130"/>
      <c r="K310" s="868"/>
      <c r="L310" s="65"/>
      <c r="M310" s="65"/>
      <c r="N310" s="65"/>
    </row>
    <row r="311" spans="1:14" s="54" customFormat="1" ht="18.75" customHeight="1" x14ac:dyDescent="0.4">
      <c r="A311" s="50" t="s">
        <v>251</v>
      </c>
      <c r="B311" s="1017" t="s">
        <v>673</v>
      </c>
      <c r="C311" s="1017"/>
      <c r="D311" s="1017"/>
      <c r="E311" s="52">
        <f>G360</f>
        <v>102</v>
      </c>
      <c r="F311" s="52" t="s">
        <v>971</v>
      </c>
      <c r="G311" s="53"/>
      <c r="H311" s="124"/>
      <c r="I311" s="125" t="s">
        <v>1023</v>
      </c>
      <c r="J311" s="130"/>
      <c r="K311" s="868"/>
      <c r="L311" s="65"/>
      <c r="M311" s="65"/>
      <c r="N311" s="65"/>
    </row>
    <row r="312" spans="1:14" ht="18.600000000000001" x14ac:dyDescent="0.3">
      <c r="I312" s="125" t="s">
        <v>231</v>
      </c>
    </row>
    <row r="313" spans="1:14" x14ac:dyDescent="0.3">
      <c r="B313" s="1018" t="s">
        <v>932</v>
      </c>
      <c r="C313" s="1018"/>
      <c r="D313" s="10"/>
      <c r="E313" s="11">
        <f>E320+E323+E321</f>
        <v>31.78</v>
      </c>
      <c r="F313" s="12" t="s">
        <v>971</v>
      </c>
    </row>
    <row r="315" spans="1:14" ht="27.6" x14ac:dyDescent="0.3">
      <c r="B315" s="13" t="s">
        <v>929</v>
      </c>
      <c r="C315" s="14" t="s">
        <v>928</v>
      </c>
      <c r="D315" s="14" t="s">
        <v>514</v>
      </c>
      <c r="E315" s="14" t="s">
        <v>515</v>
      </c>
      <c r="F315" s="14" t="s">
        <v>962</v>
      </c>
      <c r="G315" s="14" t="s">
        <v>926</v>
      </c>
      <c r="H315" s="14" t="s">
        <v>516</v>
      </c>
      <c r="I315" s="14" t="s">
        <v>961</v>
      </c>
    </row>
    <row r="316" spans="1:14" x14ac:dyDescent="0.3">
      <c r="B316" s="16" t="str">
        <f>B265</f>
        <v>Лікар-рентгенолог</v>
      </c>
      <c r="C316" s="78">
        <f>C265</f>
        <v>8463.5400000000009</v>
      </c>
      <c r="D316" s="16">
        <f>C316*12</f>
        <v>101562.48000000001</v>
      </c>
      <c r="E316" s="16">
        <f>E265</f>
        <v>7052.95</v>
      </c>
      <c r="F316" s="16">
        <f>F265</f>
        <v>3526.4749999999999</v>
      </c>
      <c r="G316" s="16">
        <f>D316+E316+F316</f>
        <v>112141.90500000001</v>
      </c>
      <c r="H316" s="17">
        <v>1932.7</v>
      </c>
      <c r="I316" s="16">
        <f>ROUND((G316/H316)/60,2)</f>
        <v>0.97</v>
      </c>
    </row>
    <row r="317" spans="1:14" x14ac:dyDescent="0.3">
      <c r="B317" s="16" t="str">
        <f>B266</f>
        <v>Рентгенолаборант</v>
      </c>
      <c r="C317" s="78">
        <f>C266</f>
        <v>7482.48</v>
      </c>
      <c r="D317" s="24">
        <f>C317*12</f>
        <v>89789.759999999995</v>
      </c>
      <c r="E317" s="16">
        <f>E266</f>
        <v>5755.75</v>
      </c>
      <c r="F317" s="16">
        <f>F266</f>
        <v>2877.875</v>
      </c>
      <c r="G317" s="16">
        <f>D317+E317+F317</f>
        <v>98423.384999999995</v>
      </c>
      <c r="H317" s="62">
        <v>1506</v>
      </c>
      <c r="I317" s="16">
        <f>ROUND((G317/H317)/60,2)</f>
        <v>1.0900000000000001</v>
      </c>
    </row>
    <row r="319" spans="1:14" ht="27.6" x14ac:dyDescent="0.3">
      <c r="B319" s="13" t="s">
        <v>929</v>
      </c>
      <c r="C319" s="14" t="s">
        <v>961</v>
      </c>
      <c r="D319" s="14" t="s">
        <v>930</v>
      </c>
      <c r="E319" s="14" t="s">
        <v>931</v>
      </c>
    </row>
    <row r="320" spans="1:14" x14ac:dyDescent="0.3">
      <c r="B320" s="15" t="str">
        <f>B316</f>
        <v>Лікар-рентгенолог</v>
      </c>
      <c r="C320" s="78">
        <f>I316</f>
        <v>0.97</v>
      </c>
      <c r="D320" s="17">
        <v>10</v>
      </c>
      <c r="E320" s="18">
        <f>ROUND(C320*D320,2)</f>
        <v>9.6999999999999993</v>
      </c>
    </row>
    <row r="321" spans="1:14" x14ac:dyDescent="0.3">
      <c r="B321" s="15" t="str">
        <f>B317</f>
        <v>Рентгенолаборант</v>
      </c>
      <c r="C321" s="78">
        <f>I317</f>
        <v>1.0900000000000001</v>
      </c>
      <c r="D321" s="17">
        <v>15</v>
      </c>
      <c r="E321" s="18">
        <f>ROUND(C321*D321,2)</f>
        <v>16.350000000000001</v>
      </c>
    </row>
    <row r="322" spans="1:14" x14ac:dyDescent="0.3">
      <c r="C322" s="19"/>
    </row>
    <row r="323" spans="1:14" x14ac:dyDescent="0.3">
      <c r="B323" s="17" t="s">
        <v>933</v>
      </c>
      <c r="C323" s="78">
        <f>E320+E321</f>
        <v>26.05</v>
      </c>
      <c r="D323" s="20">
        <v>0.22</v>
      </c>
      <c r="E323" s="21">
        <f>ROUND(C323*D323,2)</f>
        <v>5.73</v>
      </c>
    </row>
    <row r="325" spans="1:14" x14ac:dyDescent="0.3">
      <c r="B325" s="12" t="s">
        <v>946</v>
      </c>
      <c r="C325" s="227"/>
      <c r="D325" s="12"/>
      <c r="E325" s="12">
        <f>F334</f>
        <v>18.720000000000002</v>
      </c>
      <c r="F325" s="12" t="s">
        <v>971</v>
      </c>
    </row>
    <row r="327" spans="1:14" x14ac:dyDescent="0.3">
      <c r="B327" s="27" t="s">
        <v>936</v>
      </c>
      <c r="C327" s="28" t="s">
        <v>937</v>
      </c>
      <c r="D327" s="29">
        <v>1</v>
      </c>
      <c r="E327" s="30">
        <f>'МЕДИЧНІ М'!F115</f>
        <v>0.3</v>
      </c>
      <c r="F327" s="30">
        <f>ROUND(D327*E327,2)</f>
        <v>0.3</v>
      </c>
    </row>
    <row r="328" spans="1:14" s="184" customFormat="1" x14ac:dyDescent="0.3">
      <c r="A328" s="180"/>
      <c r="B328" s="185" t="s">
        <v>1021</v>
      </c>
      <c r="C328" s="186" t="s">
        <v>941</v>
      </c>
      <c r="D328" s="164">
        <v>0.5</v>
      </c>
      <c r="E328" s="164">
        <f>'МЕДИЧНІ М'!E181</f>
        <v>2</v>
      </c>
      <c r="F328" s="164">
        <f t="shared" ref="F328:F333" si="9">ROUND(D328*E328,2)</f>
        <v>1</v>
      </c>
      <c r="G328" s="180"/>
      <c r="H328" s="180"/>
      <c r="I328" s="180"/>
      <c r="J328" s="187"/>
      <c r="K328" s="866"/>
      <c r="L328" s="861"/>
      <c r="M328" s="861"/>
      <c r="N328" s="861"/>
    </row>
    <row r="329" spans="1:14" x14ac:dyDescent="0.3">
      <c r="B329" s="15" t="s">
        <v>1216</v>
      </c>
      <c r="C329" s="73" t="s">
        <v>941</v>
      </c>
      <c r="D329" s="17">
        <v>0.1</v>
      </c>
      <c r="E329" s="16">
        <f>'МЕДИЧНІ М'!E113</f>
        <v>8</v>
      </c>
      <c r="F329" s="17">
        <f t="shared" si="9"/>
        <v>0.8</v>
      </c>
    </row>
    <row r="330" spans="1:14" x14ac:dyDescent="0.3">
      <c r="B330" s="15" t="str">
        <f>'МЕДИЧНІ М'!B327</f>
        <v>Суха медична плівка 35*43*100</v>
      </c>
      <c r="C330" s="73" t="s">
        <v>941</v>
      </c>
      <c r="D330" s="17">
        <v>1</v>
      </c>
      <c r="E330" s="16">
        <f>'МЕДИЧНІ М'!F327</f>
        <v>15.841125</v>
      </c>
      <c r="F330" s="17">
        <f t="shared" si="9"/>
        <v>15.84</v>
      </c>
    </row>
    <row r="331" spans="1:14" x14ac:dyDescent="0.3">
      <c r="B331" s="15" t="s">
        <v>964</v>
      </c>
      <c r="C331" s="73" t="s">
        <v>941</v>
      </c>
      <c r="D331" s="17">
        <v>0.1</v>
      </c>
      <c r="E331" s="16">
        <f>'МЕДИЧНІ М'!E119</f>
        <v>2.8</v>
      </c>
      <c r="F331" s="17">
        <f t="shared" si="9"/>
        <v>0.28000000000000003</v>
      </c>
    </row>
    <row r="332" spans="1:14" x14ac:dyDescent="0.3">
      <c r="B332" s="27" t="s">
        <v>942</v>
      </c>
      <c r="C332" s="28" t="s">
        <v>941</v>
      </c>
      <c r="D332" s="29">
        <v>0.01</v>
      </c>
      <c r="E332" s="29">
        <f>'МЕДИЧНІ М'!E120</f>
        <v>24.6</v>
      </c>
      <c r="F332" s="30">
        <f t="shared" si="9"/>
        <v>0.25</v>
      </c>
    </row>
    <row r="333" spans="1:14" x14ac:dyDescent="0.3">
      <c r="B333" s="27" t="s">
        <v>1124</v>
      </c>
      <c r="C333" s="28" t="s">
        <v>944</v>
      </c>
      <c r="D333" s="29">
        <v>0.5</v>
      </c>
      <c r="E333" s="29">
        <f>'МЕДИЧНІ М'!E114</f>
        <v>0.5</v>
      </c>
      <c r="F333" s="30">
        <f t="shared" si="9"/>
        <v>0.25</v>
      </c>
    </row>
    <row r="334" spans="1:14" x14ac:dyDescent="0.3">
      <c r="B334" s="1019" t="s">
        <v>945</v>
      </c>
      <c r="C334" s="1019"/>
      <c r="D334" s="1019"/>
      <c r="E334" s="1019"/>
      <c r="F334" s="31">
        <f>SUM(F327:F333)</f>
        <v>18.720000000000002</v>
      </c>
    </row>
    <row r="335" spans="1:14" ht="8.25" customHeight="1" x14ac:dyDescent="0.3"/>
    <row r="336" spans="1:14" x14ac:dyDescent="0.3">
      <c r="B336" s="12" t="s">
        <v>968</v>
      </c>
      <c r="C336" s="227"/>
      <c r="D336" s="12"/>
      <c r="E336" s="11">
        <f>SUM(G339:G340)</f>
        <v>48.15</v>
      </c>
      <c r="F336" s="12" t="s">
        <v>971</v>
      </c>
    </row>
    <row r="337" spans="2:8" ht="9" customHeight="1" x14ac:dyDescent="0.3">
      <c r="B337" s="22"/>
      <c r="C337" s="36"/>
      <c r="D337" s="22"/>
      <c r="E337" s="23"/>
      <c r="F337" s="22"/>
    </row>
    <row r="338" spans="2:8" ht="27.6" x14ac:dyDescent="0.3">
      <c r="B338" s="14" t="s">
        <v>513</v>
      </c>
      <c r="C338" s="14" t="s">
        <v>1108</v>
      </c>
      <c r="D338" s="14" t="s">
        <v>516</v>
      </c>
      <c r="E338" s="14" t="s">
        <v>970</v>
      </c>
      <c r="F338" s="14" t="s">
        <v>930</v>
      </c>
      <c r="G338" s="14" t="s">
        <v>961</v>
      </c>
    </row>
    <row r="339" spans="2:8" x14ac:dyDescent="0.3">
      <c r="B339" s="46" t="s">
        <v>1158</v>
      </c>
      <c r="C339" s="73">
        <f>C288</f>
        <v>0</v>
      </c>
      <c r="D339" s="62">
        <f>H316</f>
        <v>1932.7</v>
      </c>
      <c r="E339" s="16">
        <f>ROUND((C339/D339)/60,2)</f>
        <v>0</v>
      </c>
      <c r="F339" s="17">
        <f>D320</f>
        <v>10</v>
      </c>
      <c r="G339" s="16">
        <f>ROUND(E339*F339,2)</f>
        <v>0</v>
      </c>
    </row>
    <row r="340" spans="2:8" x14ac:dyDescent="0.3">
      <c r="B340" s="27" t="s">
        <v>1093</v>
      </c>
      <c r="C340" s="73">
        <f>C289</f>
        <v>290000</v>
      </c>
      <c r="D340" s="62">
        <f>H317</f>
        <v>1506</v>
      </c>
      <c r="E340" s="17">
        <f>ROUND((C340/D340)/60,2)</f>
        <v>3.21</v>
      </c>
      <c r="F340" s="17">
        <f>D321</f>
        <v>15</v>
      </c>
      <c r="G340" s="16">
        <f>ROUND(E340*F340,2)</f>
        <v>48.15</v>
      </c>
      <c r="H340" s="38"/>
    </row>
    <row r="341" spans="2:8" ht="6.75" customHeight="1" x14ac:dyDescent="0.3"/>
    <row r="342" spans="2:8" x14ac:dyDescent="0.3">
      <c r="B342" s="12" t="s">
        <v>948</v>
      </c>
      <c r="C342" s="227"/>
      <c r="D342" s="12"/>
      <c r="E342" s="11">
        <f>G355</f>
        <v>3.45</v>
      </c>
      <c r="F342" s="12" t="s">
        <v>971</v>
      </c>
    </row>
    <row r="343" spans="2:8" ht="6.75" customHeight="1" x14ac:dyDescent="0.3">
      <c r="B343" s="22"/>
      <c r="C343" s="36"/>
      <c r="D343" s="22"/>
      <c r="E343" s="23"/>
    </row>
    <row r="344" spans="2:8" ht="27.6" x14ac:dyDescent="0.3">
      <c r="B344" s="14" t="s">
        <v>948</v>
      </c>
      <c r="C344" s="14" t="s">
        <v>1110</v>
      </c>
      <c r="D344" s="14" t="s">
        <v>516</v>
      </c>
      <c r="E344" s="14" t="s">
        <v>954</v>
      </c>
      <c r="F344" s="14" t="s">
        <v>930</v>
      </c>
      <c r="G344" s="14" t="s">
        <v>1111</v>
      </c>
    </row>
    <row r="345" spans="2:8" x14ac:dyDescent="0.3">
      <c r="B345" s="1009" t="str">
        <f>B316</f>
        <v>Лікар-рентгенолог</v>
      </c>
      <c r="C345" s="1010"/>
      <c r="D345" s="1010"/>
      <c r="E345" s="1010"/>
      <c r="F345" s="1010"/>
      <c r="G345" s="1011"/>
    </row>
    <row r="346" spans="2:8" x14ac:dyDescent="0.3">
      <c r="B346" s="17" t="s">
        <v>951</v>
      </c>
      <c r="C346" s="221">
        <f>C295</f>
        <v>12188.608008565312</v>
      </c>
      <c r="D346" s="17">
        <f>H316</f>
        <v>1932.7</v>
      </c>
      <c r="E346" s="17">
        <f>ROUND((C346/D346)/60,2)</f>
        <v>0.11</v>
      </c>
      <c r="F346" s="17">
        <f>D320</f>
        <v>10</v>
      </c>
      <c r="G346" s="16">
        <f>ROUND(E346*F346,2)</f>
        <v>1.1000000000000001</v>
      </c>
    </row>
    <row r="347" spans="2:8" x14ac:dyDescent="0.3">
      <c r="B347" s="17" t="s">
        <v>952</v>
      </c>
      <c r="C347" s="221">
        <f>C296</f>
        <v>53.149721627408987</v>
      </c>
      <c r="D347" s="17">
        <f>H316</f>
        <v>1932.7</v>
      </c>
      <c r="E347" s="17">
        <f>ROUND((C347/D347)/60,2)</f>
        <v>0</v>
      </c>
      <c r="F347" s="17">
        <f>D320</f>
        <v>10</v>
      </c>
      <c r="G347" s="16">
        <f>ROUND(E347*F347,2)</f>
        <v>0</v>
      </c>
    </row>
    <row r="348" spans="2:8" x14ac:dyDescent="0.3">
      <c r="B348" s="17" t="s">
        <v>953</v>
      </c>
      <c r="C348" s="221">
        <f>C297</f>
        <v>374.98368308351178</v>
      </c>
      <c r="D348" s="17">
        <f>H316</f>
        <v>1932.7</v>
      </c>
      <c r="E348" s="17">
        <f>ROUND((C348/D348)/60,2)</f>
        <v>0</v>
      </c>
      <c r="F348" s="17">
        <f>D320</f>
        <v>10</v>
      </c>
      <c r="G348" s="16">
        <f>ROUND(E348*F348,2)</f>
        <v>0</v>
      </c>
    </row>
    <row r="349" spans="2:8" x14ac:dyDescent="0.3">
      <c r="B349" s="17" t="s">
        <v>1109</v>
      </c>
      <c r="C349" s="221">
        <f>C298</f>
        <v>1686.0389293361886</v>
      </c>
      <c r="D349" s="17">
        <f>H316</f>
        <v>1932.7</v>
      </c>
      <c r="E349" s="17">
        <f>ROUND((C349/D349)/60,2)</f>
        <v>0.01</v>
      </c>
      <c r="F349" s="17">
        <f>D320</f>
        <v>10</v>
      </c>
      <c r="G349" s="16">
        <f>ROUND(E349*F349,2)</f>
        <v>0.1</v>
      </c>
    </row>
    <row r="350" spans="2:8" x14ac:dyDescent="0.3">
      <c r="B350" s="1009" t="str">
        <f>B317</f>
        <v>Рентгенолаборант</v>
      </c>
      <c r="C350" s="1010"/>
      <c r="D350" s="1010"/>
      <c r="E350" s="1010"/>
      <c r="F350" s="1010"/>
      <c r="G350" s="1011"/>
    </row>
    <row r="351" spans="2:8" x14ac:dyDescent="0.3">
      <c r="B351" s="17" t="s">
        <v>951</v>
      </c>
      <c r="C351" s="221">
        <f>C346</f>
        <v>12188.608008565312</v>
      </c>
      <c r="D351" s="17">
        <f>H317</f>
        <v>1506</v>
      </c>
      <c r="E351" s="17">
        <f>ROUND((C351/D351)/60,2)</f>
        <v>0.13</v>
      </c>
      <c r="F351" s="17">
        <f>D321</f>
        <v>15</v>
      </c>
      <c r="G351" s="16">
        <f>ROUND(E351*F351,2)</f>
        <v>1.95</v>
      </c>
    </row>
    <row r="352" spans="2:8" x14ac:dyDescent="0.3">
      <c r="B352" s="17" t="s">
        <v>952</v>
      </c>
      <c r="C352" s="221">
        <f>C347</f>
        <v>53.149721627408987</v>
      </c>
      <c r="D352" s="17">
        <f>H317</f>
        <v>1506</v>
      </c>
      <c r="E352" s="17">
        <f>ROUND((C352/D352)/60,2)</f>
        <v>0</v>
      </c>
      <c r="F352" s="17">
        <f>D321</f>
        <v>15</v>
      </c>
      <c r="G352" s="16">
        <f>ROUND(E352*F352,2)</f>
        <v>0</v>
      </c>
    </row>
    <row r="353" spans="1:14" x14ac:dyDescent="0.3">
      <c r="B353" s="17" t="s">
        <v>953</v>
      </c>
      <c r="C353" s="221">
        <f>C348</f>
        <v>374.98368308351178</v>
      </c>
      <c r="D353" s="17">
        <f>H317</f>
        <v>1506</v>
      </c>
      <c r="E353" s="17">
        <f>ROUND((C353/D353)/60,2)</f>
        <v>0</v>
      </c>
      <c r="F353" s="17">
        <f>D321</f>
        <v>15</v>
      </c>
      <c r="G353" s="16">
        <f>ROUND(E353*F353,2)</f>
        <v>0</v>
      </c>
    </row>
    <row r="354" spans="1:14" x14ac:dyDescent="0.3">
      <c r="B354" s="17" t="s">
        <v>1109</v>
      </c>
      <c r="C354" s="221">
        <f>C349</f>
        <v>1686.0389293361886</v>
      </c>
      <c r="D354" s="17">
        <f>H317</f>
        <v>1506</v>
      </c>
      <c r="E354" s="17">
        <f>ROUND((C354/D354)/60,2)</f>
        <v>0.02</v>
      </c>
      <c r="F354" s="17">
        <f>D321</f>
        <v>15</v>
      </c>
      <c r="G354" s="16">
        <f>ROUND(E354*F354,2)</f>
        <v>0.3</v>
      </c>
    </row>
    <row r="355" spans="1:14" x14ac:dyDescent="0.3">
      <c r="B355" s="1012" t="s">
        <v>957</v>
      </c>
      <c r="C355" s="1013"/>
      <c r="D355" s="1013"/>
      <c r="E355" s="1013"/>
      <c r="F355" s="1014"/>
      <c r="G355" s="18">
        <f>SUM(G346:G354)</f>
        <v>3.45</v>
      </c>
    </row>
    <row r="356" spans="1:14" ht="2.25" customHeight="1" x14ac:dyDescent="0.3"/>
    <row r="357" spans="1:14" ht="7.5" customHeight="1" x14ac:dyDescent="0.3"/>
    <row r="358" spans="1:14" x14ac:dyDescent="0.3">
      <c r="B358" s="1015" t="s">
        <v>959</v>
      </c>
      <c r="C358" s="1015"/>
      <c r="D358" s="1015"/>
      <c r="E358" s="1015"/>
      <c r="F358" s="1015"/>
      <c r="G358" s="32">
        <f>E313+E325+E336+E342</f>
        <v>102.10000000000001</v>
      </c>
    </row>
    <row r="359" spans="1:14" x14ac:dyDescent="0.3">
      <c r="B359" s="33"/>
      <c r="C359" s="33"/>
      <c r="D359" s="33"/>
      <c r="E359" s="33"/>
      <c r="F359" s="33"/>
      <c r="G359" s="34"/>
    </row>
    <row r="360" spans="1:14" s="54" customFormat="1" ht="19.8" x14ac:dyDescent="0.4">
      <c r="A360" s="7"/>
      <c r="B360" s="1015" t="s">
        <v>960</v>
      </c>
      <c r="C360" s="1015"/>
      <c r="D360" s="1015"/>
      <c r="E360" s="1015"/>
      <c r="F360" s="1015"/>
      <c r="G360" s="32">
        <f>ROUND(G358,0)</f>
        <v>102</v>
      </c>
      <c r="H360" s="7"/>
      <c r="I360" s="7"/>
      <c r="J360" s="130"/>
      <c r="K360" s="868"/>
      <c r="L360" s="65"/>
      <c r="M360" s="65"/>
      <c r="N360" s="65"/>
    </row>
    <row r="361" spans="1:14" s="54" customFormat="1" ht="14.25" customHeight="1" x14ac:dyDescent="0.4">
      <c r="A361" s="7"/>
      <c r="B361" s="7"/>
      <c r="C361" s="74"/>
      <c r="D361" s="7"/>
      <c r="E361" s="7"/>
      <c r="F361" s="7"/>
      <c r="G361" s="7"/>
      <c r="H361" s="7"/>
      <c r="I361" s="7"/>
      <c r="J361" s="130"/>
      <c r="K361" s="868"/>
      <c r="L361" s="65"/>
      <c r="M361" s="65"/>
      <c r="N361" s="65"/>
    </row>
    <row r="362" spans="1:14" s="54" customFormat="1" ht="18.75" customHeight="1" x14ac:dyDescent="0.4">
      <c r="A362" s="50" t="s">
        <v>289</v>
      </c>
      <c r="B362" s="1017" t="s">
        <v>673</v>
      </c>
      <c r="C362" s="1017"/>
      <c r="D362" s="1017"/>
      <c r="E362" s="52">
        <f>G411</f>
        <v>118</v>
      </c>
      <c r="F362" s="52" t="s">
        <v>971</v>
      </c>
      <c r="G362" s="53"/>
      <c r="H362" s="124"/>
      <c r="I362" s="125" t="s">
        <v>1023</v>
      </c>
      <c r="J362" s="130"/>
      <c r="K362" s="868"/>
      <c r="L362" s="65"/>
      <c r="M362" s="65"/>
      <c r="N362" s="65"/>
    </row>
    <row r="363" spans="1:14" ht="18.600000000000001" x14ac:dyDescent="0.3">
      <c r="I363" s="125" t="s">
        <v>232</v>
      </c>
    </row>
    <row r="364" spans="1:14" x14ac:dyDescent="0.3">
      <c r="B364" s="1018" t="s">
        <v>932</v>
      </c>
      <c r="C364" s="1018"/>
      <c r="D364" s="10"/>
      <c r="E364" s="11">
        <f>E371+E374+E372</f>
        <v>31.78</v>
      </c>
      <c r="F364" s="12" t="s">
        <v>971</v>
      </c>
    </row>
    <row r="366" spans="1:14" ht="27.6" x14ac:dyDescent="0.3">
      <c r="B366" s="13" t="s">
        <v>929</v>
      </c>
      <c r="C366" s="14" t="s">
        <v>928</v>
      </c>
      <c r="D366" s="14" t="s">
        <v>514</v>
      </c>
      <c r="E366" s="14" t="s">
        <v>515</v>
      </c>
      <c r="F366" s="14" t="s">
        <v>962</v>
      </c>
      <c r="G366" s="14" t="s">
        <v>926</v>
      </c>
      <c r="H366" s="14" t="s">
        <v>516</v>
      </c>
      <c r="I366" s="14" t="s">
        <v>961</v>
      </c>
    </row>
    <row r="367" spans="1:14" x14ac:dyDescent="0.3">
      <c r="B367" s="16" t="str">
        <f>B316</f>
        <v>Лікар-рентгенолог</v>
      </c>
      <c r="C367" s="78">
        <f>C316</f>
        <v>8463.5400000000009</v>
      </c>
      <c r="D367" s="16">
        <f>C367*12</f>
        <v>101562.48000000001</v>
      </c>
      <c r="E367" s="16">
        <f>E316</f>
        <v>7052.95</v>
      </c>
      <c r="F367" s="16">
        <f>F316</f>
        <v>3526.4749999999999</v>
      </c>
      <c r="G367" s="16">
        <f>D367+E367+F367</f>
        <v>112141.90500000001</v>
      </c>
      <c r="H367" s="17">
        <v>1932.7</v>
      </c>
      <c r="I367" s="16">
        <f>ROUND((G367/H367)/60,2)</f>
        <v>0.97</v>
      </c>
    </row>
    <row r="368" spans="1:14" x14ac:dyDescent="0.3">
      <c r="B368" s="16" t="str">
        <f>B317</f>
        <v>Рентгенолаборант</v>
      </c>
      <c r="C368" s="78">
        <f>C317</f>
        <v>7482.48</v>
      </c>
      <c r="D368" s="24">
        <f>C368*12</f>
        <v>89789.759999999995</v>
      </c>
      <c r="E368" s="16">
        <f>E317</f>
        <v>5755.75</v>
      </c>
      <c r="F368" s="16">
        <f>F317</f>
        <v>2877.875</v>
      </c>
      <c r="G368" s="16">
        <f>D368+E368+F368</f>
        <v>98423.384999999995</v>
      </c>
      <c r="H368" s="62">
        <v>1506</v>
      </c>
      <c r="I368" s="16">
        <f>ROUND((G368/H368)/60,2)</f>
        <v>1.0900000000000001</v>
      </c>
    </row>
    <row r="370" spans="1:14" ht="27.6" x14ac:dyDescent="0.3">
      <c r="B370" s="13" t="s">
        <v>929</v>
      </c>
      <c r="C370" s="14" t="s">
        <v>961</v>
      </c>
      <c r="D370" s="14" t="s">
        <v>930</v>
      </c>
      <c r="E370" s="14" t="s">
        <v>931</v>
      </c>
    </row>
    <row r="371" spans="1:14" x14ac:dyDescent="0.3">
      <c r="B371" s="15" t="str">
        <f>B367</f>
        <v>Лікар-рентгенолог</v>
      </c>
      <c r="C371" s="78">
        <f>I367</f>
        <v>0.97</v>
      </c>
      <c r="D371" s="17">
        <v>10</v>
      </c>
      <c r="E371" s="18">
        <f>ROUND(C371*D371,2)</f>
        <v>9.6999999999999993</v>
      </c>
    </row>
    <row r="372" spans="1:14" x14ac:dyDescent="0.3">
      <c r="B372" s="15" t="str">
        <f>B368</f>
        <v>Рентгенолаборант</v>
      </c>
      <c r="C372" s="78">
        <f>I368</f>
        <v>1.0900000000000001</v>
      </c>
      <c r="D372" s="17">
        <v>15</v>
      </c>
      <c r="E372" s="18">
        <f>ROUND(C372*D372,2)</f>
        <v>16.350000000000001</v>
      </c>
    </row>
    <row r="373" spans="1:14" x14ac:dyDescent="0.3">
      <c r="C373" s="19"/>
    </row>
    <row r="374" spans="1:14" x14ac:dyDescent="0.3">
      <c r="B374" s="17" t="s">
        <v>933</v>
      </c>
      <c r="C374" s="78">
        <f>E371+E372</f>
        <v>26.05</v>
      </c>
      <c r="D374" s="20">
        <v>0.22</v>
      </c>
      <c r="E374" s="21">
        <f>ROUND(C374*D374,2)</f>
        <v>5.73</v>
      </c>
    </row>
    <row r="376" spans="1:14" x14ac:dyDescent="0.3">
      <c r="B376" s="12" t="s">
        <v>946</v>
      </c>
      <c r="C376" s="227"/>
      <c r="D376" s="12"/>
      <c r="E376" s="12">
        <f>F385</f>
        <v>34.56</v>
      </c>
      <c r="F376" s="12" t="s">
        <v>971</v>
      </c>
    </row>
    <row r="378" spans="1:14" x14ac:dyDescent="0.3">
      <c r="B378" s="27" t="str">
        <f>B327</f>
        <v>Мікрасепт</v>
      </c>
      <c r="C378" s="27" t="str">
        <f>C327</f>
        <v>мл</v>
      </c>
      <c r="D378" s="27">
        <f>D327</f>
        <v>1</v>
      </c>
      <c r="E378" s="27">
        <f>E327</f>
        <v>0.3</v>
      </c>
      <c r="F378" s="30">
        <f>ROUND(D378*E378,2)</f>
        <v>0.3</v>
      </c>
    </row>
    <row r="379" spans="1:14" s="184" customFormat="1" x14ac:dyDescent="0.3">
      <c r="A379" s="180"/>
      <c r="B379" s="27" t="str">
        <f t="shared" ref="B379:E384" si="10">B328</f>
        <v>Маска на резинці, стерильна</v>
      </c>
      <c r="C379" s="27" t="str">
        <f t="shared" si="10"/>
        <v>шт</v>
      </c>
      <c r="D379" s="27">
        <f t="shared" si="10"/>
        <v>0.5</v>
      </c>
      <c r="E379" s="27">
        <f t="shared" si="10"/>
        <v>2</v>
      </c>
      <c r="F379" s="164">
        <f t="shared" ref="F379:F384" si="11">ROUND(D379*E379,2)</f>
        <v>1</v>
      </c>
      <c r="G379" s="180"/>
      <c r="H379" s="180"/>
      <c r="I379" s="180"/>
      <c r="J379" s="187"/>
      <c r="K379" s="866"/>
      <c r="L379" s="861"/>
      <c r="M379" s="861"/>
      <c r="N379" s="861"/>
    </row>
    <row r="380" spans="1:14" x14ac:dyDescent="0.3">
      <c r="B380" s="27" t="str">
        <f t="shared" si="10"/>
        <v>Бинт марлевий 7х14</v>
      </c>
      <c r="C380" s="27" t="str">
        <f t="shared" si="10"/>
        <v>шт</v>
      </c>
      <c r="D380" s="27">
        <f t="shared" si="10"/>
        <v>0.1</v>
      </c>
      <c r="E380" s="27">
        <f t="shared" si="10"/>
        <v>8</v>
      </c>
      <c r="F380" s="17">
        <f t="shared" si="11"/>
        <v>0.8</v>
      </c>
    </row>
    <row r="381" spans="1:14" x14ac:dyDescent="0.3">
      <c r="B381" s="27" t="str">
        <f t="shared" si="10"/>
        <v>Суха медична плівка 35*43*100</v>
      </c>
      <c r="C381" s="27" t="str">
        <f t="shared" si="10"/>
        <v>шт</v>
      </c>
      <c r="D381" s="27">
        <v>2</v>
      </c>
      <c r="E381" s="27">
        <f t="shared" si="10"/>
        <v>15.841125</v>
      </c>
      <c r="F381" s="17">
        <f t="shared" si="11"/>
        <v>31.68</v>
      </c>
    </row>
    <row r="382" spans="1:14" x14ac:dyDescent="0.3">
      <c r="B382" s="27" t="str">
        <f t="shared" si="10"/>
        <v>Рукавиці не стерильні</v>
      </c>
      <c r="C382" s="27" t="str">
        <f t="shared" si="10"/>
        <v>шт</v>
      </c>
      <c r="D382" s="27">
        <f t="shared" si="10"/>
        <v>0.1</v>
      </c>
      <c r="E382" s="27">
        <f t="shared" si="10"/>
        <v>2.8</v>
      </c>
      <c r="F382" s="17">
        <f t="shared" si="11"/>
        <v>0.28000000000000003</v>
      </c>
    </row>
    <row r="383" spans="1:14" x14ac:dyDescent="0.3">
      <c r="B383" s="27" t="str">
        <f t="shared" si="10"/>
        <v xml:space="preserve">Спирт 70% 100мл </v>
      </c>
      <c r="C383" s="27" t="str">
        <f t="shared" si="10"/>
        <v>шт</v>
      </c>
      <c r="D383" s="27">
        <f t="shared" si="10"/>
        <v>0.01</v>
      </c>
      <c r="E383" s="27">
        <f t="shared" si="10"/>
        <v>24.6</v>
      </c>
      <c r="F383" s="30">
        <f t="shared" si="11"/>
        <v>0.25</v>
      </c>
    </row>
    <row r="384" spans="1:14" x14ac:dyDescent="0.3">
      <c r="B384" s="27" t="str">
        <f t="shared" si="10"/>
        <v>Деззасоби</v>
      </c>
      <c r="C384" s="27" t="str">
        <f t="shared" si="10"/>
        <v>г</v>
      </c>
      <c r="D384" s="27">
        <f t="shared" si="10"/>
        <v>0.5</v>
      </c>
      <c r="E384" s="27">
        <f t="shared" si="10"/>
        <v>0.5</v>
      </c>
      <c r="F384" s="30">
        <f t="shared" si="11"/>
        <v>0.25</v>
      </c>
    </row>
    <row r="385" spans="2:8" x14ac:dyDescent="0.3">
      <c r="B385" s="1019" t="s">
        <v>945</v>
      </c>
      <c r="C385" s="1019"/>
      <c r="D385" s="1019"/>
      <c r="E385" s="1019"/>
      <c r="F385" s="31">
        <f>SUM(F378:F384)</f>
        <v>34.56</v>
      </c>
    </row>
    <row r="386" spans="2:8" ht="8.25" customHeight="1" x14ac:dyDescent="0.3"/>
    <row r="387" spans="2:8" x14ac:dyDescent="0.3">
      <c r="B387" s="12" t="s">
        <v>968</v>
      </c>
      <c r="C387" s="227"/>
      <c r="D387" s="12"/>
      <c r="E387" s="11">
        <f>SUM(G390:G391)</f>
        <v>48.15</v>
      </c>
      <c r="F387" s="12" t="s">
        <v>971</v>
      </c>
    </row>
    <row r="388" spans="2:8" ht="9" customHeight="1" x14ac:dyDescent="0.3">
      <c r="B388" s="22"/>
      <c r="C388" s="36"/>
      <c r="D388" s="22"/>
      <c r="E388" s="23"/>
      <c r="F388" s="22"/>
    </row>
    <row r="389" spans="2:8" ht="27.6" x14ac:dyDescent="0.3">
      <c r="B389" s="14" t="s">
        <v>513</v>
      </c>
      <c r="C389" s="14" t="s">
        <v>1108</v>
      </c>
      <c r="D389" s="14" t="s">
        <v>516</v>
      </c>
      <c r="E389" s="14" t="s">
        <v>970</v>
      </c>
      <c r="F389" s="14" t="s">
        <v>930</v>
      </c>
      <c r="G389" s="14" t="s">
        <v>961</v>
      </c>
    </row>
    <row r="390" spans="2:8" x14ac:dyDescent="0.3">
      <c r="B390" s="46" t="s">
        <v>1158</v>
      </c>
      <c r="C390" s="73">
        <f>C339</f>
        <v>0</v>
      </c>
      <c r="D390" s="62">
        <f>H367</f>
        <v>1932.7</v>
      </c>
      <c r="E390" s="16">
        <f>ROUND((C390/D390)/60,2)</f>
        <v>0</v>
      </c>
      <c r="F390" s="17">
        <f>D371</f>
        <v>10</v>
      </c>
      <c r="G390" s="16">
        <f>ROUND(E390*F390,2)</f>
        <v>0</v>
      </c>
    </row>
    <row r="391" spans="2:8" x14ac:dyDescent="0.3">
      <c r="B391" s="27" t="s">
        <v>1093</v>
      </c>
      <c r="C391" s="73">
        <f>C340</f>
        <v>290000</v>
      </c>
      <c r="D391" s="62">
        <f>H368</f>
        <v>1506</v>
      </c>
      <c r="E391" s="17">
        <f>ROUND((C391/D391)/60,2)</f>
        <v>3.21</v>
      </c>
      <c r="F391" s="17">
        <f>D372</f>
        <v>15</v>
      </c>
      <c r="G391" s="16">
        <f>ROUND(E391*F391,2)</f>
        <v>48.15</v>
      </c>
      <c r="H391" s="38"/>
    </row>
    <row r="392" spans="2:8" ht="6.75" customHeight="1" x14ac:dyDescent="0.3"/>
    <row r="393" spans="2:8" x14ac:dyDescent="0.3">
      <c r="B393" s="12" t="s">
        <v>948</v>
      </c>
      <c r="C393" s="227"/>
      <c r="D393" s="12"/>
      <c r="E393" s="11">
        <f>G406</f>
        <v>3.45</v>
      </c>
      <c r="F393" s="12" t="s">
        <v>971</v>
      </c>
    </row>
    <row r="394" spans="2:8" ht="6.75" customHeight="1" x14ac:dyDescent="0.3">
      <c r="B394" s="22"/>
      <c r="C394" s="36"/>
      <c r="D394" s="22"/>
      <c r="E394" s="23"/>
    </row>
    <row r="395" spans="2:8" ht="27.6" x14ac:dyDescent="0.3">
      <c r="B395" s="14" t="s">
        <v>948</v>
      </c>
      <c r="C395" s="14" t="s">
        <v>1110</v>
      </c>
      <c r="D395" s="14" t="s">
        <v>516</v>
      </c>
      <c r="E395" s="14" t="s">
        <v>954</v>
      </c>
      <c r="F395" s="14" t="s">
        <v>930</v>
      </c>
      <c r="G395" s="14" t="s">
        <v>1111</v>
      </c>
    </row>
    <row r="396" spans="2:8" x14ac:dyDescent="0.3">
      <c r="B396" s="1009" t="str">
        <f>B367</f>
        <v>Лікар-рентгенолог</v>
      </c>
      <c r="C396" s="1010"/>
      <c r="D396" s="1010"/>
      <c r="E396" s="1010"/>
      <c r="F396" s="1010"/>
      <c r="G396" s="1011"/>
    </row>
    <row r="397" spans="2:8" x14ac:dyDescent="0.3">
      <c r="B397" s="17" t="s">
        <v>951</v>
      </c>
      <c r="C397" s="221">
        <f>C346</f>
        <v>12188.608008565312</v>
      </c>
      <c r="D397" s="17">
        <f>H367</f>
        <v>1932.7</v>
      </c>
      <c r="E397" s="17">
        <f>ROUND((C397/D397)/60,2)</f>
        <v>0.11</v>
      </c>
      <c r="F397" s="17">
        <f>D371</f>
        <v>10</v>
      </c>
      <c r="G397" s="16">
        <f>ROUND(E397*F397,2)</f>
        <v>1.1000000000000001</v>
      </c>
    </row>
    <row r="398" spans="2:8" x14ac:dyDescent="0.3">
      <c r="B398" s="17" t="s">
        <v>952</v>
      </c>
      <c r="C398" s="221">
        <f>C347</f>
        <v>53.149721627408987</v>
      </c>
      <c r="D398" s="17">
        <f>H367</f>
        <v>1932.7</v>
      </c>
      <c r="E398" s="17">
        <f>ROUND((C398/D398)/60,2)</f>
        <v>0</v>
      </c>
      <c r="F398" s="17">
        <f>D371</f>
        <v>10</v>
      </c>
      <c r="G398" s="16">
        <f>ROUND(E398*F398,2)</f>
        <v>0</v>
      </c>
    </row>
    <row r="399" spans="2:8" x14ac:dyDescent="0.3">
      <c r="B399" s="17" t="s">
        <v>953</v>
      </c>
      <c r="C399" s="221">
        <f>C348</f>
        <v>374.98368308351178</v>
      </c>
      <c r="D399" s="17">
        <f>H367</f>
        <v>1932.7</v>
      </c>
      <c r="E399" s="17">
        <f>ROUND((C399/D399)/60,2)</f>
        <v>0</v>
      </c>
      <c r="F399" s="17">
        <f>D371</f>
        <v>10</v>
      </c>
      <c r="G399" s="16">
        <f>ROUND(E399*F399,2)</f>
        <v>0</v>
      </c>
    </row>
    <row r="400" spans="2:8" x14ac:dyDescent="0.3">
      <c r="B400" s="17" t="s">
        <v>1109</v>
      </c>
      <c r="C400" s="221">
        <f>C349</f>
        <v>1686.0389293361886</v>
      </c>
      <c r="D400" s="17">
        <f>H367</f>
        <v>1932.7</v>
      </c>
      <c r="E400" s="17">
        <f>ROUND((C400/D400)/60,2)</f>
        <v>0.01</v>
      </c>
      <c r="F400" s="17">
        <f>D371</f>
        <v>10</v>
      </c>
      <c r="G400" s="16">
        <f>ROUND(E400*F400,2)</f>
        <v>0.1</v>
      </c>
    </row>
    <row r="401" spans="1:14" x14ac:dyDescent="0.3">
      <c r="B401" s="1009" t="str">
        <f>B368</f>
        <v>Рентгенолаборант</v>
      </c>
      <c r="C401" s="1010"/>
      <c r="D401" s="1010"/>
      <c r="E401" s="1010"/>
      <c r="F401" s="1010"/>
      <c r="G401" s="1011"/>
    </row>
    <row r="402" spans="1:14" x14ac:dyDescent="0.3">
      <c r="B402" s="17" t="s">
        <v>951</v>
      </c>
      <c r="C402" s="221">
        <f>C397</f>
        <v>12188.608008565312</v>
      </c>
      <c r="D402" s="17">
        <f>H368</f>
        <v>1506</v>
      </c>
      <c r="E402" s="17">
        <f>ROUND((C402/D402)/60,2)</f>
        <v>0.13</v>
      </c>
      <c r="F402" s="17">
        <f>D372</f>
        <v>15</v>
      </c>
      <c r="G402" s="16">
        <f>ROUND(E402*F402,2)</f>
        <v>1.95</v>
      </c>
    </row>
    <row r="403" spans="1:14" x14ac:dyDescent="0.3">
      <c r="B403" s="17" t="s">
        <v>952</v>
      </c>
      <c r="C403" s="221">
        <f>C398</f>
        <v>53.149721627408987</v>
      </c>
      <c r="D403" s="17">
        <f>H368</f>
        <v>1506</v>
      </c>
      <c r="E403" s="17">
        <f>ROUND((C403/D403)/60,2)</f>
        <v>0</v>
      </c>
      <c r="F403" s="17">
        <f>D372</f>
        <v>15</v>
      </c>
      <c r="G403" s="16">
        <f>ROUND(E403*F403,2)</f>
        <v>0</v>
      </c>
    </row>
    <row r="404" spans="1:14" x14ac:dyDescent="0.3">
      <c r="B404" s="17" t="s">
        <v>953</v>
      </c>
      <c r="C404" s="221">
        <f>C399</f>
        <v>374.98368308351178</v>
      </c>
      <c r="D404" s="17">
        <f>H368</f>
        <v>1506</v>
      </c>
      <c r="E404" s="17">
        <f>ROUND((C404/D404)/60,2)</f>
        <v>0</v>
      </c>
      <c r="F404" s="17">
        <f>D372</f>
        <v>15</v>
      </c>
      <c r="G404" s="16">
        <f>ROUND(E404*F404,2)</f>
        <v>0</v>
      </c>
    </row>
    <row r="405" spans="1:14" x14ac:dyDescent="0.3">
      <c r="B405" s="17" t="s">
        <v>1109</v>
      </c>
      <c r="C405" s="221">
        <f>C400</f>
        <v>1686.0389293361886</v>
      </c>
      <c r="D405" s="17">
        <f>H368</f>
        <v>1506</v>
      </c>
      <c r="E405" s="17">
        <f>ROUND((C405/D405)/60,2)</f>
        <v>0.02</v>
      </c>
      <c r="F405" s="17">
        <f>D372</f>
        <v>15</v>
      </c>
      <c r="G405" s="16">
        <f>ROUND(E405*F405,2)</f>
        <v>0.3</v>
      </c>
    </row>
    <row r="406" spans="1:14" x14ac:dyDescent="0.3">
      <c r="B406" s="1012" t="s">
        <v>957</v>
      </c>
      <c r="C406" s="1013"/>
      <c r="D406" s="1013"/>
      <c r="E406" s="1013"/>
      <c r="F406" s="1014"/>
      <c r="G406" s="18">
        <f>SUM(G397:G405)</f>
        <v>3.45</v>
      </c>
    </row>
    <row r="407" spans="1:14" ht="2.25" customHeight="1" x14ac:dyDescent="0.3"/>
    <row r="408" spans="1:14" ht="7.5" customHeight="1" x14ac:dyDescent="0.3"/>
    <row r="409" spans="1:14" x14ac:dyDescent="0.3">
      <c r="B409" s="1015" t="s">
        <v>959</v>
      </c>
      <c r="C409" s="1015"/>
      <c r="D409" s="1015"/>
      <c r="E409" s="1015"/>
      <c r="F409" s="1015"/>
      <c r="G409" s="32">
        <f>E364+E376+E387+E393</f>
        <v>117.94000000000001</v>
      </c>
    </row>
    <row r="410" spans="1:14" x14ac:dyDescent="0.3">
      <c r="B410" s="33"/>
      <c r="C410" s="33"/>
      <c r="D410" s="33"/>
      <c r="E410" s="33"/>
      <c r="F410" s="33"/>
      <c r="G410" s="34"/>
    </row>
    <row r="411" spans="1:14" s="54" customFormat="1" ht="19.8" x14ac:dyDescent="0.4">
      <c r="A411" s="7"/>
      <c r="B411" s="1015" t="s">
        <v>960</v>
      </c>
      <c r="C411" s="1015"/>
      <c r="D411" s="1015"/>
      <c r="E411" s="1015"/>
      <c r="F411" s="1015"/>
      <c r="G411" s="32">
        <f>ROUND(G409,0)</f>
        <v>118</v>
      </c>
      <c r="H411" s="7"/>
      <c r="I411" s="7"/>
      <c r="J411" s="130"/>
      <c r="K411" s="868"/>
      <c r="L411" s="65"/>
      <c r="M411" s="65"/>
      <c r="N411" s="65"/>
    </row>
    <row r="412" spans="1:14" s="54" customFormat="1" ht="14.25" customHeight="1" x14ac:dyDescent="0.4">
      <c r="A412" s="7"/>
      <c r="B412" s="7"/>
      <c r="C412" s="74"/>
      <c r="D412" s="7"/>
      <c r="E412" s="7"/>
      <c r="F412" s="7"/>
      <c r="G412" s="7"/>
      <c r="H412" s="7"/>
      <c r="I412" s="7"/>
      <c r="J412" s="130"/>
      <c r="K412" s="868"/>
      <c r="L412" s="65"/>
      <c r="M412" s="65"/>
      <c r="N412" s="65"/>
    </row>
    <row r="413" spans="1:14" s="54" customFormat="1" ht="19.8" x14ac:dyDescent="0.4">
      <c r="A413" s="50" t="s">
        <v>252</v>
      </c>
      <c r="B413" s="1017" t="s">
        <v>673</v>
      </c>
      <c r="C413" s="1017"/>
      <c r="D413" s="1017"/>
      <c r="E413" s="52">
        <f>G461</f>
        <v>86</v>
      </c>
      <c r="F413" s="52" t="s">
        <v>971</v>
      </c>
      <c r="G413" s="53"/>
      <c r="H413" s="124"/>
      <c r="I413" s="125" t="s">
        <v>1128</v>
      </c>
      <c r="J413" s="130"/>
      <c r="K413" s="868"/>
      <c r="L413" s="65"/>
      <c r="M413" s="65"/>
      <c r="N413" s="65"/>
    </row>
    <row r="414" spans="1:14" ht="14.25" customHeight="1" x14ac:dyDescent="0.3"/>
    <row r="415" spans="1:14" ht="14.25" customHeight="1" x14ac:dyDescent="0.3">
      <c r="B415" s="1018" t="s">
        <v>932</v>
      </c>
      <c r="C415" s="1018"/>
      <c r="D415" s="10"/>
      <c r="E415" s="11">
        <f>E422+E425+E423</f>
        <v>31.78</v>
      </c>
      <c r="F415" s="12" t="s">
        <v>971</v>
      </c>
    </row>
    <row r="416" spans="1:14" ht="14.25" customHeight="1" x14ac:dyDescent="0.3"/>
    <row r="417" spans="1:14" ht="27.6" x14ac:dyDescent="0.3">
      <c r="B417" s="13" t="s">
        <v>929</v>
      </c>
      <c r="C417" s="14" t="s">
        <v>928</v>
      </c>
      <c r="D417" s="14" t="s">
        <v>514</v>
      </c>
      <c r="E417" s="14" t="s">
        <v>515</v>
      </c>
      <c r="F417" s="14" t="s">
        <v>962</v>
      </c>
      <c r="G417" s="14" t="s">
        <v>926</v>
      </c>
      <c r="H417" s="14" t="s">
        <v>516</v>
      </c>
      <c r="I417" s="14" t="s">
        <v>961</v>
      </c>
    </row>
    <row r="418" spans="1:14" ht="14.25" customHeight="1" x14ac:dyDescent="0.3">
      <c r="B418" s="16" t="str">
        <f>B316</f>
        <v>Лікар-рентгенолог</v>
      </c>
      <c r="C418" s="78">
        <f>C316</f>
        <v>8463.5400000000009</v>
      </c>
      <c r="D418" s="16">
        <f>C418*12</f>
        <v>101562.48000000001</v>
      </c>
      <c r="E418" s="16">
        <f>E316</f>
        <v>7052.95</v>
      </c>
      <c r="F418" s="16">
        <f>F316</f>
        <v>3526.4749999999999</v>
      </c>
      <c r="G418" s="16">
        <f>D418+E418+F418</f>
        <v>112141.90500000001</v>
      </c>
      <c r="H418" s="17">
        <v>1932.7</v>
      </c>
      <c r="I418" s="16">
        <f>ROUND((G418/H418)/60,2)</f>
        <v>0.97</v>
      </c>
    </row>
    <row r="419" spans="1:14" ht="14.25" customHeight="1" x14ac:dyDescent="0.3">
      <c r="B419" s="24" t="str">
        <f>B317</f>
        <v>Рентгенолаборант</v>
      </c>
      <c r="C419" s="226">
        <f>C317</f>
        <v>7482.48</v>
      </c>
      <c r="D419" s="24">
        <f>C419*12</f>
        <v>89789.759999999995</v>
      </c>
      <c r="E419" s="24">
        <f>E317</f>
        <v>5755.75</v>
      </c>
      <c r="F419" s="24">
        <f>F317</f>
        <v>2877.875</v>
      </c>
      <c r="G419" s="16">
        <f>D419+E419+F419</f>
        <v>98423.384999999995</v>
      </c>
      <c r="H419" s="62">
        <v>1506</v>
      </c>
      <c r="I419" s="16">
        <f>ROUND((G419/H419)/60,2)</f>
        <v>1.0900000000000001</v>
      </c>
    </row>
    <row r="420" spans="1:14" ht="14.25" customHeight="1" x14ac:dyDescent="0.3"/>
    <row r="421" spans="1:14" ht="14.25" customHeight="1" x14ac:dyDescent="0.3">
      <c r="B421" s="13" t="s">
        <v>929</v>
      </c>
      <c r="C421" s="14" t="s">
        <v>961</v>
      </c>
      <c r="D421" s="14" t="s">
        <v>930</v>
      </c>
      <c r="E421" s="14" t="s">
        <v>931</v>
      </c>
    </row>
    <row r="422" spans="1:14" ht="14.25" customHeight="1" x14ac:dyDescent="0.3">
      <c r="B422" s="15" t="str">
        <f>B418</f>
        <v>Лікар-рентгенолог</v>
      </c>
      <c r="C422" s="78">
        <f>I418</f>
        <v>0.97</v>
      </c>
      <c r="D422" s="17">
        <v>10</v>
      </c>
      <c r="E422" s="18">
        <f>ROUND(C422*D422,2)</f>
        <v>9.6999999999999993</v>
      </c>
    </row>
    <row r="423" spans="1:14" ht="14.25" customHeight="1" x14ac:dyDescent="0.3">
      <c r="B423" s="15" t="str">
        <f>B419</f>
        <v>Рентгенолаборант</v>
      </c>
      <c r="C423" s="78">
        <f>I419</f>
        <v>1.0900000000000001</v>
      </c>
      <c r="D423" s="17">
        <v>15</v>
      </c>
      <c r="E423" s="18">
        <f>ROUND(C423*D423,2)</f>
        <v>16.350000000000001</v>
      </c>
    </row>
    <row r="424" spans="1:14" ht="14.25" customHeight="1" x14ac:dyDescent="0.3">
      <c r="C424" s="19"/>
    </row>
    <row r="425" spans="1:14" ht="14.25" customHeight="1" x14ac:dyDescent="0.3">
      <c r="B425" s="17" t="s">
        <v>933</v>
      </c>
      <c r="C425" s="78">
        <f>E422+E423</f>
        <v>26.05</v>
      </c>
      <c r="D425" s="20">
        <v>0.22</v>
      </c>
      <c r="E425" s="21">
        <f>ROUND(C425*D425,2)</f>
        <v>5.73</v>
      </c>
    </row>
    <row r="426" spans="1:14" ht="14.25" customHeight="1" x14ac:dyDescent="0.3"/>
    <row r="427" spans="1:14" ht="14.25" customHeight="1" x14ac:dyDescent="0.3">
      <c r="B427" s="12" t="s">
        <v>946</v>
      </c>
      <c r="C427" s="227"/>
      <c r="D427" s="12"/>
      <c r="E427" s="11">
        <f>F435</f>
        <v>2.88</v>
      </c>
      <c r="F427" s="12" t="s">
        <v>971</v>
      </c>
    </row>
    <row r="428" spans="1:14" ht="14.25" customHeight="1" x14ac:dyDescent="0.3"/>
    <row r="429" spans="1:14" ht="14.25" customHeight="1" x14ac:dyDescent="0.3">
      <c r="B429" s="15" t="s">
        <v>966</v>
      </c>
      <c r="C429" s="73" t="s">
        <v>941</v>
      </c>
      <c r="D429" s="29">
        <v>1</v>
      </c>
      <c r="E429" s="30">
        <f>'МЕДИЧНІ М'!F115</f>
        <v>0.3</v>
      </c>
      <c r="F429" s="30">
        <f t="shared" ref="F429:F434" si="12">ROUND(D429*E429,2)</f>
        <v>0.3</v>
      </c>
    </row>
    <row r="430" spans="1:14" s="184" customFormat="1" ht="14.25" customHeight="1" x14ac:dyDescent="0.3">
      <c r="A430" s="180"/>
      <c r="B430" s="185" t="s">
        <v>1021</v>
      </c>
      <c r="C430" s="186" t="s">
        <v>941</v>
      </c>
      <c r="D430" s="164">
        <v>0.5</v>
      </c>
      <c r="E430" s="164">
        <f>'МЕДИЧНІ М'!E181</f>
        <v>2</v>
      </c>
      <c r="F430" s="164">
        <f t="shared" si="12"/>
        <v>1</v>
      </c>
      <c r="G430" s="180"/>
      <c r="H430" s="180"/>
      <c r="I430" s="180"/>
      <c r="J430" s="187"/>
      <c r="K430" s="866"/>
      <c r="L430" s="861"/>
      <c r="M430" s="861"/>
      <c r="N430" s="861"/>
    </row>
    <row r="431" spans="1:14" ht="14.25" customHeight="1" x14ac:dyDescent="0.3">
      <c r="B431" s="15" t="s">
        <v>1216</v>
      </c>
      <c r="C431" s="73" t="s">
        <v>941</v>
      </c>
      <c r="D431" s="17">
        <v>0.1</v>
      </c>
      <c r="E431" s="16">
        <f>'МЕДИЧНІ М'!E113</f>
        <v>8</v>
      </c>
      <c r="F431" s="17">
        <f t="shared" si="12"/>
        <v>0.8</v>
      </c>
    </row>
    <row r="432" spans="1:14" ht="14.25" customHeight="1" x14ac:dyDescent="0.3">
      <c r="B432" s="15" t="s">
        <v>964</v>
      </c>
      <c r="C432" s="73" t="s">
        <v>941</v>
      </c>
      <c r="D432" s="17">
        <v>0.1</v>
      </c>
      <c r="E432" s="16">
        <f>'МЕДИЧНІ М'!E119</f>
        <v>2.8</v>
      </c>
      <c r="F432" s="17">
        <f t="shared" si="12"/>
        <v>0.28000000000000003</v>
      </c>
    </row>
    <row r="433" spans="2:8" ht="14.25" customHeight="1" x14ac:dyDescent="0.3">
      <c r="B433" s="27" t="s">
        <v>942</v>
      </c>
      <c r="C433" s="28" t="s">
        <v>941</v>
      </c>
      <c r="D433" s="29">
        <v>0.01</v>
      </c>
      <c r="E433" s="29">
        <f>'МЕДИЧНІ М'!E120</f>
        <v>24.6</v>
      </c>
      <c r="F433" s="30">
        <f t="shared" si="12"/>
        <v>0.25</v>
      </c>
    </row>
    <row r="434" spans="2:8" ht="14.25" customHeight="1" x14ac:dyDescent="0.3">
      <c r="B434" s="27" t="s">
        <v>1124</v>
      </c>
      <c r="C434" s="28" t="s">
        <v>944</v>
      </c>
      <c r="D434" s="29">
        <v>0.5</v>
      </c>
      <c r="E434" s="29">
        <f>'МЕДИЧНІ М'!E114</f>
        <v>0.5</v>
      </c>
      <c r="F434" s="30">
        <f t="shared" si="12"/>
        <v>0.25</v>
      </c>
    </row>
    <row r="435" spans="2:8" ht="14.25" customHeight="1" x14ac:dyDescent="0.3">
      <c r="B435" s="1019" t="s">
        <v>945</v>
      </c>
      <c r="C435" s="1019"/>
      <c r="D435" s="1019"/>
      <c r="E435" s="1019"/>
      <c r="F435" s="89">
        <f>SUM(F429:F434)</f>
        <v>2.88</v>
      </c>
    </row>
    <row r="436" spans="2:8" ht="14.25" customHeight="1" x14ac:dyDescent="0.3"/>
    <row r="437" spans="2:8" ht="14.25" customHeight="1" x14ac:dyDescent="0.3">
      <c r="B437" s="12" t="s">
        <v>968</v>
      </c>
      <c r="C437" s="227"/>
      <c r="D437" s="12"/>
      <c r="E437" s="11">
        <f>SUM(G440:G441)</f>
        <v>48.15</v>
      </c>
      <c r="F437" s="12" t="s">
        <v>971</v>
      </c>
    </row>
    <row r="438" spans="2:8" ht="14.25" customHeight="1" x14ac:dyDescent="0.3">
      <c r="B438" s="22"/>
      <c r="C438" s="36"/>
      <c r="D438" s="22"/>
      <c r="E438" s="23"/>
      <c r="F438" s="22"/>
    </row>
    <row r="439" spans="2:8" ht="27.6" x14ac:dyDescent="0.3">
      <c r="B439" s="14" t="s">
        <v>513</v>
      </c>
      <c r="C439" s="14" t="s">
        <v>969</v>
      </c>
      <c r="D439" s="14" t="s">
        <v>516</v>
      </c>
      <c r="E439" s="14" t="s">
        <v>970</v>
      </c>
      <c r="F439" s="14" t="s">
        <v>930</v>
      </c>
      <c r="G439" s="14" t="s">
        <v>961</v>
      </c>
    </row>
    <row r="440" spans="2:8" x14ac:dyDescent="0.3">
      <c r="B440" s="46" t="s">
        <v>1158</v>
      </c>
      <c r="C440" s="73">
        <f>C339</f>
        <v>0</v>
      </c>
      <c r="D440" s="62">
        <f>H418</f>
        <v>1932.7</v>
      </c>
      <c r="E440" s="17">
        <f>ROUND((C440/D440)/60,2)</f>
        <v>0</v>
      </c>
      <c r="F440" s="17">
        <f>D422</f>
        <v>10</v>
      </c>
      <c r="G440" s="16">
        <f>ROUND(E440*F440,2)</f>
        <v>0</v>
      </c>
    </row>
    <row r="441" spans="2:8" ht="14.25" customHeight="1" x14ac:dyDescent="0.3">
      <c r="B441" s="27" t="s">
        <v>1093</v>
      </c>
      <c r="C441" s="73">
        <f>C340</f>
        <v>290000</v>
      </c>
      <c r="D441" s="62">
        <f>H419</f>
        <v>1506</v>
      </c>
      <c r="E441" s="17">
        <f>ROUND((C441/D441)/60,2)</f>
        <v>3.21</v>
      </c>
      <c r="F441" s="17">
        <f>D423</f>
        <v>15</v>
      </c>
      <c r="G441" s="16">
        <f>ROUND(E441*F441,2)</f>
        <v>48.15</v>
      </c>
      <c r="H441" s="38"/>
    </row>
    <row r="442" spans="2:8" ht="14.25" customHeight="1" x14ac:dyDescent="0.3"/>
    <row r="443" spans="2:8" ht="14.25" customHeight="1" x14ac:dyDescent="0.3">
      <c r="B443" s="12" t="s">
        <v>948</v>
      </c>
      <c r="C443" s="227"/>
      <c r="D443" s="12"/>
      <c r="E443" s="11">
        <f>G456</f>
        <v>3.45</v>
      </c>
      <c r="F443" s="12" t="s">
        <v>971</v>
      </c>
    </row>
    <row r="444" spans="2:8" ht="14.25" customHeight="1" x14ac:dyDescent="0.3">
      <c r="B444" s="22"/>
      <c r="C444" s="36"/>
      <c r="D444" s="22"/>
      <c r="E444" s="23"/>
    </row>
    <row r="445" spans="2:8" ht="27.6" x14ac:dyDescent="0.3">
      <c r="B445" s="14" t="s">
        <v>948</v>
      </c>
      <c r="C445" s="14" t="s">
        <v>1110</v>
      </c>
      <c r="D445" s="14" t="s">
        <v>516</v>
      </c>
      <c r="E445" s="14" t="s">
        <v>954</v>
      </c>
      <c r="F445" s="14" t="s">
        <v>930</v>
      </c>
      <c r="G445" s="14" t="s">
        <v>1111</v>
      </c>
    </row>
    <row r="446" spans="2:8" ht="14.25" customHeight="1" x14ac:dyDescent="0.3">
      <c r="B446" s="1009" t="str">
        <f>B418</f>
        <v>Лікар-рентгенолог</v>
      </c>
      <c r="C446" s="1010"/>
      <c r="D446" s="1010"/>
      <c r="E446" s="1010"/>
      <c r="F446" s="1010"/>
      <c r="G446" s="1011"/>
    </row>
    <row r="447" spans="2:8" ht="14.25" customHeight="1" x14ac:dyDescent="0.3">
      <c r="B447" s="17" t="s">
        <v>951</v>
      </c>
      <c r="C447" s="221">
        <f>C346</f>
        <v>12188.608008565312</v>
      </c>
      <c r="D447" s="17">
        <f>H418</f>
        <v>1932.7</v>
      </c>
      <c r="E447" s="17">
        <f>ROUND((C447/D447)/60,2)</f>
        <v>0.11</v>
      </c>
      <c r="F447" s="17">
        <f>D422</f>
        <v>10</v>
      </c>
      <c r="G447" s="16">
        <f>ROUND(E447*F447,2)</f>
        <v>1.1000000000000001</v>
      </c>
    </row>
    <row r="448" spans="2:8" ht="14.25" customHeight="1" x14ac:dyDescent="0.3">
      <c r="B448" s="17" t="s">
        <v>952</v>
      </c>
      <c r="C448" s="221">
        <f>C347</f>
        <v>53.149721627408987</v>
      </c>
      <c r="D448" s="17">
        <f>H418</f>
        <v>1932.7</v>
      </c>
      <c r="E448" s="17">
        <f>ROUND((C448/D448)/60,2)</f>
        <v>0</v>
      </c>
      <c r="F448" s="17">
        <f>D422</f>
        <v>10</v>
      </c>
      <c r="G448" s="16">
        <f>ROUND(E448*F448,2)</f>
        <v>0</v>
      </c>
    </row>
    <row r="449" spans="1:14" ht="14.25" customHeight="1" x14ac:dyDescent="0.3">
      <c r="B449" s="17" t="s">
        <v>953</v>
      </c>
      <c r="C449" s="221">
        <f>C348</f>
        <v>374.98368308351178</v>
      </c>
      <c r="D449" s="17">
        <f>H418</f>
        <v>1932.7</v>
      </c>
      <c r="E449" s="17">
        <f>ROUND((C449/D449)/60,2)</f>
        <v>0</v>
      </c>
      <c r="F449" s="17">
        <f>D422</f>
        <v>10</v>
      </c>
      <c r="G449" s="16">
        <f>ROUND(E449*F449,2)</f>
        <v>0</v>
      </c>
    </row>
    <row r="450" spans="1:14" ht="14.25" customHeight="1" x14ac:dyDescent="0.3">
      <c r="B450" s="17" t="s">
        <v>1109</v>
      </c>
      <c r="C450" s="221">
        <f>C349</f>
        <v>1686.0389293361886</v>
      </c>
      <c r="D450" s="17">
        <f>H418</f>
        <v>1932.7</v>
      </c>
      <c r="E450" s="17">
        <f>ROUND((C450/D450)/60,2)</f>
        <v>0.01</v>
      </c>
      <c r="F450" s="17">
        <f>D422</f>
        <v>10</v>
      </c>
      <c r="G450" s="16">
        <f>ROUND(E450*F450,2)</f>
        <v>0.1</v>
      </c>
    </row>
    <row r="451" spans="1:14" ht="14.25" customHeight="1" x14ac:dyDescent="0.3">
      <c r="B451" s="1009" t="str">
        <f>B419</f>
        <v>Рентгенолаборант</v>
      </c>
      <c r="C451" s="1010"/>
      <c r="D451" s="1010"/>
      <c r="E451" s="1010"/>
      <c r="F451" s="1010"/>
      <c r="G451" s="1011"/>
    </row>
    <row r="452" spans="1:14" ht="14.25" customHeight="1" x14ac:dyDescent="0.3">
      <c r="B452" s="17" t="s">
        <v>951</v>
      </c>
      <c r="C452" s="221">
        <f>C447</f>
        <v>12188.608008565312</v>
      </c>
      <c r="D452" s="17">
        <f>H419</f>
        <v>1506</v>
      </c>
      <c r="E452" s="17">
        <f>ROUND((C452/D452)/60,2)</f>
        <v>0.13</v>
      </c>
      <c r="F452" s="17">
        <f>D423</f>
        <v>15</v>
      </c>
      <c r="G452" s="16">
        <f>ROUND(E452*F452,2)</f>
        <v>1.95</v>
      </c>
    </row>
    <row r="453" spans="1:14" ht="14.25" customHeight="1" x14ac:dyDescent="0.3">
      <c r="B453" s="17" t="s">
        <v>952</v>
      </c>
      <c r="C453" s="221">
        <f>C448</f>
        <v>53.149721627408987</v>
      </c>
      <c r="D453" s="17">
        <f>H419</f>
        <v>1506</v>
      </c>
      <c r="E453" s="17">
        <f>ROUND((C453/D453)/60,2)</f>
        <v>0</v>
      </c>
      <c r="F453" s="17">
        <f>D423</f>
        <v>15</v>
      </c>
      <c r="G453" s="16">
        <f>ROUND(E453*F453,2)</f>
        <v>0</v>
      </c>
    </row>
    <row r="454" spans="1:14" ht="14.25" customHeight="1" x14ac:dyDescent="0.3">
      <c r="B454" s="17" t="s">
        <v>953</v>
      </c>
      <c r="C454" s="221">
        <f>C449</f>
        <v>374.98368308351178</v>
      </c>
      <c r="D454" s="17">
        <f>H419</f>
        <v>1506</v>
      </c>
      <c r="E454" s="17">
        <f>ROUND((C454/D454)/60,2)</f>
        <v>0</v>
      </c>
      <c r="F454" s="17">
        <f>D423</f>
        <v>15</v>
      </c>
      <c r="G454" s="16">
        <f>ROUND(E454*F454,2)</f>
        <v>0</v>
      </c>
    </row>
    <row r="455" spans="1:14" ht="14.25" customHeight="1" x14ac:dyDescent="0.3">
      <c r="B455" s="17" t="s">
        <v>1109</v>
      </c>
      <c r="C455" s="221">
        <f>C450</f>
        <v>1686.0389293361886</v>
      </c>
      <c r="D455" s="17">
        <f>H419</f>
        <v>1506</v>
      </c>
      <c r="E455" s="17">
        <f>ROUND((C455/D455)/60,2)</f>
        <v>0.02</v>
      </c>
      <c r="F455" s="17">
        <f>D423</f>
        <v>15</v>
      </c>
      <c r="G455" s="16">
        <f>ROUND(E455*F455,2)</f>
        <v>0.3</v>
      </c>
    </row>
    <row r="456" spans="1:14" ht="14.25" customHeight="1" x14ac:dyDescent="0.3">
      <c r="B456" s="1012" t="s">
        <v>957</v>
      </c>
      <c r="C456" s="1013"/>
      <c r="D456" s="1013"/>
      <c r="E456" s="1013"/>
      <c r="F456" s="1014"/>
      <c r="G456" s="18">
        <f>SUM(G447:G455)</f>
        <v>3.45</v>
      </c>
    </row>
    <row r="457" spans="1:14" ht="14.25" customHeight="1" x14ac:dyDescent="0.3"/>
    <row r="458" spans="1:14" ht="14.25" customHeight="1" x14ac:dyDescent="0.3"/>
    <row r="459" spans="1:14" x14ac:dyDescent="0.3">
      <c r="B459" s="1015" t="s">
        <v>959</v>
      </c>
      <c r="C459" s="1015"/>
      <c r="D459" s="1015"/>
      <c r="E459" s="1015"/>
      <c r="F459" s="1015"/>
      <c r="G459" s="32">
        <f>E415+E427+E437+E443</f>
        <v>86.26</v>
      </c>
    </row>
    <row r="460" spans="1:14" ht="14.25" customHeight="1" x14ac:dyDescent="0.3">
      <c r="B460" s="33"/>
      <c r="C460" s="33"/>
      <c r="D460" s="33"/>
      <c r="E460" s="33"/>
      <c r="F460" s="33"/>
      <c r="G460" s="34"/>
    </row>
    <row r="461" spans="1:14" x14ac:dyDescent="0.3">
      <c r="B461" s="1015" t="s">
        <v>960</v>
      </c>
      <c r="C461" s="1015"/>
      <c r="D461" s="1015"/>
      <c r="E461" s="1015"/>
      <c r="F461" s="1015"/>
      <c r="G461" s="32">
        <f>ROUND(G459,0)</f>
        <v>86</v>
      </c>
    </row>
    <row r="462" spans="1:14" ht="14.25" customHeight="1" x14ac:dyDescent="0.3"/>
    <row r="463" spans="1:14" s="54" customFormat="1" ht="19.8" x14ac:dyDescent="0.4">
      <c r="A463" s="1016" t="s">
        <v>958</v>
      </c>
      <c r="B463" s="1016"/>
      <c r="C463" s="1016"/>
      <c r="D463" s="1016"/>
      <c r="E463" s="1016"/>
      <c r="F463" s="1016"/>
      <c r="G463" s="1016"/>
      <c r="H463" s="1016"/>
      <c r="I463" s="1016"/>
      <c r="J463" s="130"/>
      <c r="K463" s="868"/>
      <c r="L463" s="65"/>
      <c r="M463" s="65"/>
      <c r="N463" s="65"/>
    </row>
    <row r="464" spans="1:14" s="54" customFormat="1" ht="19.8" x14ac:dyDescent="0.4">
      <c r="A464" s="53"/>
      <c r="B464" s="53"/>
      <c r="C464" s="225"/>
      <c r="D464" s="53"/>
      <c r="E464" s="53"/>
      <c r="F464" s="53"/>
      <c r="G464" s="53"/>
      <c r="H464" s="53"/>
      <c r="I464" s="53"/>
      <c r="J464" s="130"/>
      <c r="K464" s="868"/>
      <c r="L464" s="65"/>
      <c r="M464" s="65"/>
      <c r="N464" s="65"/>
    </row>
    <row r="465" spans="1:14" s="54" customFormat="1" ht="19.8" x14ac:dyDescent="0.4">
      <c r="A465" s="50" t="s">
        <v>246</v>
      </c>
      <c r="B465" s="1017" t="s">
        <v>677</v>
      </c>
      <c r="C465" s="1017"/>
      <c r="D465" s="1017"/>
      <c r="E465" s="52">
        <f>G514</f>
        <v>87</v>
      </c>
      <c r="F465" s="52" t="s">
        <v>971</v>
      </c>
      <c r="G465" s="53"/>
      <c r="H465" s="124"/>
      <c r="I465" s="125" t="s">
        <v>1022</v>
      </c>
      <c r="J465" s="130"/>
      <c r="K465" s="868"/>
      <c r="L465" s="65"/>
      <c r="M465" s="65"/>
      <c r="N465" s="65"/>
    </row>
    <row r="467" spans="1:14" x14ac:dyDescent="0.3">
      <c r="B467" s="1018" t="s">
        <v>932</v>
      </c>
      <c r="C467" s="1018"/>
      <c r="D467" s="10"/>
      <c r="E467" s="11">
        <f>E474+E477+E475</f>
        <v>31.78</v>
      </c>
      <c r="F467" s="12" t="s">
        <v>971</v>
      </c>
    </row>
    <row r="469" spans="1:14" ht="27.6" x14ac:dyDescent="0.3">
      <c r="B469" s="13" t="s">
        <v>929</v>
      </c>
      <c r="C469" s="14" t="s">
        <v>928</v>
      </c>
      <c r="D469" s="14" t="s">
        <v>514</v>
      </c>
      <c r="E469" s="14" t="s">
        <v>515</v>
      </c>
      <c r="F469" s="14" t="s">
        <v>962</v>
      </c>
      <c r="G469" s="14" t="s">
        <v>926</v>
      </c>
      <c r="H469" s="14" t="s">
        <v>516</v>
      </c>
      <c r="I469" s="14" t="s">
        <v>961</v>
      </c>
    </row>
    <row r="470" spans="1:14" x14ac:dyDescent="0.3">
      <c r="B470" s="16" t="str">
        <f t="shared" ref="B470:G471" si="13">B418</f>
        <v>Лікар-рентгенолог</v>
      </c>
      <c r="C470" s="16">
        <f t="shared" si="13"/>
        <v>8463.5400000000009</v>
      </c>
      <c r="D470" s="16">
        <f t="shared" si="13"/>
        <v>101562.48000000001</v>
      </c>
      <c r="E470" s="16">
        <f t="shared" si="13"/>
        <v>7052.95</v>
      </c>
      <c r="F470" s="16">
        <f t="shared" si="13"/>
        <v>3526.4749999999999</v>
      </c>
      <c r="G470" s="16">
        <f t="shared" si="13"/>
        <v>112141.90500000001</v>
      </c>
      <c r="H470" s="17">
        <v>1932.7</v>
      </c>
      <c r="I470" s="16">
        <f>ROUND((G470/H470)/60,2)</f>
        <v>0.97</v>
      </c>
    </row>
    <row r="471" spans="1:14" x14ac:dyDescent="0.3">
      <c r="B471" s="16" t="str">
        <f t="shared" si="13"/>
        <v>Рентгенолаборант</v>
      </c>
      <c r="C471" s="16">
        <f t="shared" si="13"/>
        <v>7482.48</v>
      </c>
      <c r="D471" s="16">
        <f t="shared" si="13"/>
        <v>89789.759999999995</v>
      </c>
      <c r="E471" s="16">
        <f t="shared" si="13"/>
        <v>5755.75</v>
      </c>
      <c r="F471" s="16">
        <f t="shared" si="13"/>
        <v>2877.875</v>
      </c>
      <c r="G471" s="16">
        <f t="shared" si="13"/>
        <v>98423.384999999995</v>
      </c>
      <c r="H471" s="62">
        <v>1506</v>
      </c>
      <c r="I471" s="16">
        <f>ROUND((G471/H471)/60,2)</f>
        <v>1.0900000000000001</v>
      </c>
    </row>
    <row r="473" spans="1:14" ht="27.6" x14ac:dyDescent="0.3">
      <c r="B473" s="13" t="s">
        <v>929</v>
      </c>
      <c r="C473" s="14" t="s">
        <v>961</v>
      </c>
      <c r="D473" s="14" t="s">
        <v>930</v>
      </c>
      <c r="E473" s="14" t="s">
        <v>931</v>
      </c>
    </row>
    <row r="474" spans="1:14" x14ac:dyDescent="0.3">
      <c r="B474" s="15" t="str">
        <f>B470</f>
        <v>Лікар-рентгенолог</v>
      </c>
      <c r="C474" s="78">
        <f>I470</f>
        <v>0.97</v>
      </c>
      <c r="D474" s="17">
        <v>10</v>
      </c>
      <c r="E474" s="18">
        <f>ROUND(C474*D474,2)</f>
        <v>9.6999999999999993</v>
      </c>
    </row>
    <row r="475" spans="1:14" x14ac:dyDescent="0.3">
      <c r="B475" s="15" t="str">
        <f>B471</f>
        <v>Рентгенолаборант</v>
      </c>
      <c r="C475" s="78">
        <f>I471</f>
        <v>1.0900000000000001</v>
      </c>
      <c r="D475" s="17">
        <v>15</v>
      </c>
      <c r="E475" s="18">
        <f>ROUND(C475*D475,2)</f>
        <v>16.350000000000001</v>
      </c>
    </row>
    <row r="476" spans="1:14" x14ac:dyDescent="0.3">
      <c r="C476" s="19"/>
    </row>
    <row r="477" spans="1:14" x14ac:dyDescent="0.3">
      <c r="B477" s="17" t="s">
        <v>933</v>
      </c>
      <c r="C477" s="78">
        <f>E474+E475</f>
        <v>26.05</v>
      </c>
      <c r="D477" s="20">
        <v>0.22</v>
      </c>
      <c r="E477" s="21">
        <f>ROUND(C477*D477,2)</f>
        <v>5.73</v>
      </c>
    </row>
    <row r="479" spans="1:14" x14ac:dyDescent="0.3">
      <c r="B479" s="12" t="s">
        <v>946</v>
      </c>
      <c r="C479" s="227"/>
      <c r="D479" s="12"/>
      <c r="E479" s="12">
        <f>F488</f>
        <v>3.1799999999999997</v>
      </c>
      <c r="F479" s="12" t="s">
        <v>971</v>
      </c>
    </row>
    <row r="481" spans="1:14" x14ac:dyDescent="0.3">
      <c r="B481" s="27" t="s">
        <v>936</v>
      </c>
      <c r="C481" s="28" t="s">
        <v>937</v>
      </c>
      <c r="D481" s="29">
        <v>1</v>
      </c>
      <c r="E481" s="30">
        <f>'МЕДИЧНІ М'!F115</f>
        <v>0.3</v>
      </c>
      <c r="F481" s="30">
        <f>ROUND(D481*E481,2)</f>
        <v>0.3</v>
      </c>
    </row>
    <row r="482" spans="1:14" s="184" customFormat="1" x14ac:dyDescent="0.3">
      <c r="A482" s="180"/>
      <c r="B482" s="185" t="s">
        <v>1021</v>
      </c>
      <c r="C482" s="186" t="s">
        <v>941</v>
      </c>
      <c r="D482" s="164">
        <v>0.5</v>
      </c>
      <c r="E482" s="164">
        <f>'МЕДИЧНІ М'!E181</f>
        <v>2</v>
      </c>
      <c r="F482" s="164">
        <f t="shared" ref="F482:F487" si="14">ROUND(D482*E482,2)</f>
        <v>1</v>
      </c>
      <c r="G482" s="180"/>
      <c r="H482" s="180"/>
      <c r="I482" s="180"/>
      <c r="J482" s="187"/>
      <c r="K482" s="866"/>
      <c r="L482" s="861"/>
      <c r="M482" s="861"/>
      <c r="N482" s="861"/>
    </row>
    <row r="483" spans="1:14" x14ac:dyDescent="0.3">
      <c r="B483" s="15" t="s">
        <v>1216</v>
      </c>
      <c r="C483" s="73" t="s">
        <v>941</v>
      </c>
      <c r="D483" s="17">
        <v>0.1</v>
      </c>
      <c r="E483" s="16">
        <f>'МЕДИЧНІ М'!E113</f>
        <v>8</v>
      </c>
      <c r="F483" s="17">
        <f t="shared" si="14"/>
        <v>0.8</v>
      </c>
    </row>
    <row r="484" spans="1:14" x14ac:dyDescent="0.3">
      <c r="B484" s="15" t="s">
        <v>98</v>
      </c>
      <c r="C484" s="73" t="s">
        <v>941</v>
      </c>
      <c r="D484" s="17">
        <v>1</v>
      </c>
      <c r="E484" s="16">
        <f>МАТЕРІАЛИ!E4</f>
        <v>0.3</v>
      </c>
      <c r="F484" s="17">
        <f t="shared" si="14"/>
        <v>0.3</v>
      </c>
    </row>
    <row r="485" spans="1:14" x14ac:dyDescent="0.3">
      <c r="B485" s="15" t="s">
        <v>964</v>
      </c>
      <c r="C485" s="73" t="s">
        <v>941</v>
      </c>
      <c r="D485" s="17">
        <v>0.1</v>
      </c>
      <c r="E485" s="16">
        <f>'МЕДИЧНІ М'!E119</f>
        <v>2.8</v>
      </c>
      <c r="F485" s="17">
        <f t="shared" si="14"/>
        <v>0.28000000000000003</v>
      </c>
    </row>
    <row r="486" spans="1:14" x14ac:dyDescent="0.3">
      <c r="B486" s="27" t="s">
        <v>942</v>
      </c>
      <c r="C486" s="28" t="s">
        <v>941</v>
      </c>
      <c r="D486" s="29">
        <v>0.01</v>
      </c>
      <c r="E486" s="29">
        <f>'МЕДИЧНІ М'!E120</f>
        <v>24.6</v>
      </c>
      <c r="F486" s="30">
        <f t="shared" si="14"/>
        <v>0.25</v>
      </c>
    </row>
    <row r="487" spans="1:14" x14ac:dyDescent="0.3">
      <c r="B487" s="27" t="s">
        <v>1124</v>
      </c>
      <c r="C487" s="28" t="s">
        <v>944</v>
      </c>
      <c r="D487" s="29">
        <v>0.5</v>
      </c>
      <c r="E487" s="29">
        <f>'МЕДИЧНІ М'!E114</f>
        <v>0.5</v>
      </c>
      <c r="F487" s="30">
        <f t="shared" si="14"/>
        <v>0.25</v>
      </c>
    </row>
    <row r="488" spans="1:14" x14ac:dyDescent="0.3">
      <c r="B488" s="1019" t="s">
        <v>945</v>
      </c>
      <c r="C488" s="1019"/>
      <c r="D488" s="1019"/>
      <c r="E488" s="1019"/>
      <c r="F488" s="31">
        <f>SUM(F481:F487)</f>
        <v>3.1799999999999997</v>
      </c>
    </row>
    <row r="490" spans="1:14" x14ac:dyDescent="0.3">
      <c r="B490" s="12" t="s">
        <v>968</v>
      </c>
      <c r="C490" s="227"/>
      <c r="D490" s="12"/>
      <c r="E490" s="11">
        <f>SUM(G493:G494)</f>
        <v>48.15</v>
      </c>
      <c r="F490" s="12" t="s">
        <v>971</v>
      </c>
    </row>
    <row r="491" spans="1:14" x14ac:dyDescent="0.3">
      <c r="B491" s="22"/>
      <c r="C491" s="36"/>
      <c r="D491" s="22"/>
      <c r="E491" s="23"/>
      <c r="F491" s="22"/>
    </row>
    <row r="492" spans="1:14" ht="27.6" x14ac:dyDescent="0.3">
      <c r="B492" s="14" t="s">
        <v>513</v>
      </c>
      <c r="C492" s="14" t="s">
        <v>969</v>
      </c>
      <c r="D492" s="14" t="s">
        <v>516</v>
      </c>
      <c r="E492" s="14" t="s">
        <v>970</v>
      </c>
      <c r="F492" s="14" t="s">
        <v>930</v>
      </c>
      <c r="G492" s="14" t="s">
        <v>961</v>
      </c>
    </row>
    <row r="493" spans="1:14" x14ac:dyDescent="0.3">
      <c r="B493" s="46" t="s">
        <v>1158</v>
      </c>
      <c r="C493" s="73">
        <f>C440</f>
        <v>0</v>
      </c>
      <c r="D493" s="62">
        <f>H470</f>
        <v>1932.7</v>
      </c>
      <c r="E493" s="17">
        <f>ROUND((C493/D493)/60,2)</f>
        <v>0</v>
      </c>
      <c r="F493" s="17">
        <f>D474</f>
        <v>10</v>
      </c>
      <c r="G493" s="16">
        <f>ROUND(E493*F493,2)</f>
        <v>0</v>
      </c>
    </row>
    <row r="494" spans="1:14" x14ac:dyDescent="0.3">
      <c r="B494" s="27" t="s">
        <v>1093</v>
      </c>
      <c r="C494" s="73">
        <f>C441</f>
        <v>290000</v>
      </c>
      <c r="D494" s="62">
        <f>H471</f>
        <v>1506</v>
      </c>
      <c r="E494" s="17">
        <f>ROUND((C494/D494)/60,2)</f>
        <v>3.21</v>
      </c>
      <c r="F494" s="17">
        <f>D475</f>
        <v>15</v>
      </c>
      <c r="G494" s="16">
        <f>ROUND(E494*F494,2)</f>
        <v>48.15</v>
      </c>
      <c r="H494" s="38"/>
    </row>
    <row r="496" spans="1:14" x14ac:dyDescent="0.3">
      <c r="B496" s="12" t="s">
        <v>948</v>
      </c>
      <c r="C496" s="227"/>
      <c r="D496" s="12"/>
      <c r="E496" s="11">
        <f>G509</f>
        <v>3.45</v>
      </c>
      <c r="F496" s="12" t="s">
        <v>971</v>
      </c>
    </row>
    <row r="497" spans="2:7" x14ac:dyDescent="0.3">
      <c r="B497" s="22"/>
      <c r="C497" s="36"/>
      <c r="D497" s="22"/>
      <c r="E497" s="23"/>
    </row>
    <row r="498" spans="2:7" ht="27.6" x14ac:dyDescent="0.3">
      <c r="B498" s="14" t="s">
        <v>948</v>
      </c>
      <c r="C498" s="14" t="s">
        <v>1110</v>
      </c>
      <c r="D498" s="14" t="s">
        <v>516</v>
      </c>
      <c r="E498" s="14" t="s">
        <v>954</v>
      </c>
      <c r="F498" s="14" t="s">
        <v>930</v>
      </c>
      <c r="G498" s="14" t="s">
        <v>1111</v>
      </c>
    </row>
    <row r="499" spans="2:7" x14ac:dyDescent="0.3">
      <c r="B499" s="1009" t="str">
        <f>B470</f>
        <v>Лікар-рентгенолог</v>
      </c>
      <c r="C499" s="1010"/>
      <c r="D499" s="1010"/>
      <c r="E499" s="1010"/>
      <c r="F499" s="1010"/>
      <c r="G499" s="1011"/>
    </row>
    <row r="500" spans="2:7" x14ac:dyDescent="0.3">
      <c r="B500" s="17" t="s">
        <v>951</v>
      </c>
      <c r="C500" s="221">
        <f>C447</f>
        <v>12188.608008565312</v>
      </c>
      <c r="D500" s="17">
        <f>H470</f>
        <v>1932.7</v>
      </c>
      <c r="E500" s="17">
        <f>ROUND((C500/D500)/60,2)</f>
        <v>0.11</v>
      </c>
      <c r="F500" s="17">
        <f>D474</f>
        <v>10</v>
      </c>
      <c r="G500" s="16">
        <f>ROUND(E500*F500,2)</f>
        <v>1.1000000000000001</v>
      </c>
    </row>
    <row r="501" spans="2:7" x14ac:dyDescent="0.3">
      <c r="B501" s="17" t="s">
        <v>952</v>
      </c>
      <c r="C501" s="221">
        <f>C448</f>
        <v>53.149721627408987</v>
      </c>
      <c r="D501" s="17">
        <f>H470</f>
        <v>1932.7</v>
      </c>
      <c r="E501" s="17">
        <f>ROUND((C501/D501)/60,2)</f>
        <v>0</v>
      </c>
      <c r="F501" s="17">
        <f>D474</f>
        <v>10</v>
      </c>
      <c r="G501" s="16">
        <f>ROUND(E501*F501,2)</f>
        <v>0</v>
      </c>
    </row>
    <row r="502" spans="2:7" x14ac:dyDescent="0.3">
      <c r="B502" s="17" t="s">
        <v>953</v>
      </c>
      <c r="C502" s="221">
        <f>C449</f>
        <v>374.98368308351178</v>
      </c>
      <c r="D502" s="17">
        <f>H470</f>
        <v>1932.7</v>
      </c>
      <c r="E502" s="17">
        <f>ROUND((C502/D502)/60,2)</f>
        <v>0</v>
      </c>
      <c r="F502" s="17">
        <f>D474</f>
        <v>10</v>
      </c>
      <c r="G502" s="16">
        <f>ROUND(E502*F502,2)</f>
        <v>0</v>
      </c>
    </row>
    <row r="503" spans="2:7" x14ac:dyDescent="0.3">
      <c r="B503" s="17" t="s">
        <v>1109</v>
      </c>
      <c r="C503" s="221">
        <f>C450</f>
        <v>1686.0389293361886</v>
      </c>
      <c r="D503" s="17">
        <f>H470</f>
        <v>1932.7</v>
      </c>
      <c r="E503" s="17">
        <f>ROUND((C503/D503)/60,2)</f>
        <v>0.01</v>
      </c>
      <c r="F503" s="17">
        <f>D474</f>
        <v>10</v>
      </c>
      <c r="G503" s="16">
        <f>ROUND(E503*F503,2)</f>
        <v>0.1</v>
      </c>
    </row>
    <row r="504" spans="2:7" x14ac:dyDescent="0.3">
      <c r="B504" s="1009" t="str">
        <f>B471</f>
        <v>Рентгенолаборант</v>
      </c>
      <c r="C504" s="1010"/>
      <c r="D504" s="1010"/>
      <c r="E504" s="1010"/>
      <c r="F504" s="1010"/>
      <c r="G504" s="1011"/>
    </row>
    <row r="505" spans="2:7" x14ac:dyDescent="0.3">
      <c r="B505" s="17" t="s">
        <v>951</v>
      </c>
      <c r="C505" s="221">
        <f>C500</f>
        <v>12188.608008565312</v>
      </c>
      <c r="D505" s="17">
        <f>H471</f>
        <v>1506</v>
      </c>
      <c r="E505" s="17">
        <f>ROUND((C505/D505)/60,2)</f>
        <v>0.13</v>
      </c>
      <c r="F505" s="17">
        <f>D475</f>
        <v>15</v>
      </c>
      <c r="G505" s="16">
        <f>ROUND(E505*F505,2)</f>
        <v>1.95</v>
      </c>
    </row>
    <row r="506" spans="2:7" x14ac:dyDescent="0.3">
      <c r="B506" s="17" t="s">
        <v>952</v>
      </c>
      <c r="C506" s="221">
        <f>C501</f>
        <v>53.149721627408987</v>
      </c>
      <c r="D506" s="17">
        <f>H471</f>
        <v>1506</v>
      </c>
      <c r="E506" s="17">
        <f>ROUND((C506/D506)/60,2)</f>
        <v>0</v>
      </c>
      <c r="F506" s="17">
        <f>D475</f>
        <v>15</v>
      </c>
      <c r="G506" s="16">
        <f>ROUND(E506*F506,2)</f>
        <v>0</v>
      </c>
    </row>
    <row r="507" spans="2:7" x14ac:dyDescent="0.3">
      <c r="B507" s="17" t="s">
        <v>953</v>
      </c>
      <c r="C507" s="221">
        <f>C502</f>
        <v>374.98368308351178</v>
      </c>
      <c r="D507" s="17">
        <f>H471</f>
        <v>1506</v>
      </c>
      <c r="E507" s="17">
        <f>ROUND((C507/D507)/60,2)</f>
        <v>0</v>
      </c>
      <c r="F507" s="17">
        <f>D475</f>
        <v>15</v>
      </c>
      <c r="G507" s="16">
        <f>ROUND(E507*F507,2)</f>
        <v>0</v>
      </c>
    </row>
    <row r="508" spans="2:7" x14ac:dyDescent="0.3">
      <c r="B508" s="17" t="s">
        <v>1109</v>
      </c>
      <c r="C508" s="221">
        <f>C503</f>
        <v>1686.0389293361886</v>
      </c>
      <c r="D508" s="17">
        <f>H471</f>
        <v>1506</v>
      </c>
      <c r="E508" s="17">
        <f>ROUND((C508/D508)/60,2)</f>
        <v>0.02</v>
      </c>
      <c r="F508" s="17">
        <f>D475</f>
        <v>15</v>
      </c>
      <c r="G508" s="16">
        <f>ROUND(E508*F508,2)</f>
        <v>0.3</v>
      </c>
    </row>
    <row r="509" spans="2:7" x14ac:dyDescent="0.3">
      <c r="B509" s="1012" t="s">
        <v>957</v>
      </c>
      <c r="C509" s="1013"/>
      <c r="D509" s="1013"/>
      <c r="E509" s="1013"/>
      <c r="F509" s="1014"/>
      <c r="G509" s="18">
        <f>SUM(G500:G508)</f>
        <v>3.45</v>
      </c>
    </row>
    <row r="512" spans="2:7" x14ac:dyDescent="0.3">
      <c r="B512" s="1015" t="s">
        <v>959</v>
      </c>
      <c r="C512" s="1015"/>
      <c r="D512" s="1015"/>
      <c r="E512" s="1015"/>
      <c r="F512" s="1015"/>
      <c r="G512" s="32">
        <f>E467+E479+E490+E496</f>
        <v>86.56</v>
      </c>
    </row>
    <row r="513" spans="1:14" x14ac:dyDescent="0.3">
      <c r="B513" s="33"/>
      <c r="C513" s="33"/>
      <c r="D513" s="33"/>
      <c r="E513" s="33"/>
      <c r="F513" s="33"/>
      <c r="G513" s="34"/>
    </row>
    <row r="514" spans="1:14" x14ac:dyDescent="0.3">
      <c r="B514" s="1015" t="s">
        <v>960</v>
      </c>
      <c r="C514" s="1015"/>
      <c r="D514" s="1015"/>
      <c r="E514" s="1015"/>
      <c r="F514" s="1015"/>
      <c r="G514" s="32">
        <f>ROUND(G512,0)</f>
        <v>87</v>
      </c>
    </row>
    <row r="515" spans="1:14" x14ac:dyDescent="0.3">
      <c r="B515" s="33"/>
      <c r="C515" s="33"/>
      <c r="D515" s="33"/>
      <c r="E515" s="33"/>
      <c r="F515" s="33"/>
      <c r="G515" s="34"/>
    </row>
    <row r="516" spans="1:14" s="54" customFormat="1" ht="19.8" x14ac:dyDescent="0.4">
      <c r="A516" s="50" t="s">
        <v>253</v>
      </c>
      <c r="B516" s="1017" t="s">
        <v>677</v>
      </c>
      <c r="C516" s="1017"/>
      <c r="D516" s="1017"/>
      <c r="E516" s="52">
        <f>G565</f>
        <v>114</v>
      </c>
      <c r="F516" s="52" t="s">
        <v>971</v>
      </c>
      <c r="G516" s="53"/>
      <c r="H516" s="124"/>
      <c r="I516" s="125" t="s">
        <v>1023</v>
      </c>
      <c r="J516" s="130"/>
      <c r="K516" s="868"/>
      <c r="L516" s="65"/>
      <c r="M516" s="65"/>
      <c r="N516" s="65"/>
    </row>
    <row r="517" spans="1:14" ht="18.600000000000001" x14ac:dyDescent="0.3">
      <c r="I517" s="125" t="s">
        <v>230</v>
      </c>
    </row>
    <row r="518" spans="1:14" x14ac:dyDescent="0.3">
      <c r="B518" s="1018" t="s">
        <v>932</v>
      </c>
      <c r="C518" s="1018"/>
      <c r="D518" s="10"/>
      <c r="E518" s="11">
        <f>E525+E528+E526</f>
        <v>31.78</v>
      </c>
      <c r="F518" s="12" t="s">
        <v>971</v>
      </c>
    </row>
    <row r="520" spans="1:14" ht="27.6" x14ac:dyDescent="0.3">
      <c r="B520" s="13" t="s">
        <v>929</v>
      </c>
      <c r="C520" s="14" t="s">
        <v>928</v>
      </c>
      <c r="D520" s="14" t="s">
        <v>514</v>
      </c>
      <c r="E520" s="14" t="s">
        <v>515</v>
      </c>
      <c r="F520" s="14" t="s">
        <v>962</v>
      </c>
      <c r="G520" s="14" t="s">
        <v>926</v>
      </c>
      <c r="H520" s="14" t="s">
        <v>516</v>
      </c>
      <c r="I520" s="14" t="s">
        <v>961</v>
      </c>
    </row>
    <row r="521" spans="1:14" x14ac:dyDescent="0.3">
      <c r="B521" s="16" t="str">
        <f>B470</f>
        <v>Лікар-рентгенолог</v>
      </c>
      <c r="C521" s="78">
        <f>C470</f>
        <v>8463.5400000000009</v>
      </c>
      <c r="D521" s="16">
        <f>C521*12</f>
        <v>101562.48000000001</v>
      </c>
      <c r="E521" s="16">
        <f>E470</f>
        <v>7052.95</v>
      </c>
      <c r="F521" s="16">
        <f>F470</f>
        <v>3526.4749999999999</v>
      </c>
      <c r="G521" s="16">
        <f>D521+E521+F521</f>
        <v>112141.90500000001</v>
      </c>
      <c r="H521" s="17">
        <v>1932.7</v>
      </c>
      <c r="I521" s="16">
        <f>ROUND((G521/H521)/60,2)</f>
        <v>0.97</v>
      </c>
    </row>
    <row r="522" spans="1:14" x14ac:dyDescent="0.3">
      <c r="B522" s="16" t="str">
        <f>B471</f>
        <v>Рентгенолаборант</v>
      </c>
      <c r="C522" s="78">
        <f>C471</f>
        <v>7482.48</v>
      </c>
      <c r="D522" s="24">
        <f>C522*12</f>
        <v>89789.759999999995</v>
      </c>
      <c r="E522" s="16">
        <f>E471</f>
        <v>5755.75</v>
      </c>
      <c r="F522" s="16">
        <f>F471</f>
        <v>2877.875</v>
      </c>
      <c r="G522" s="16">
        <f>D522+E522+F522</f>
        <v>98423.384999999995</v>
      </c>
      <c r="H522" s="62">
        <v>1506</v>
      </c>
      <c r="I522" s="16">
        <f>ROUND((G522/H522)/60,2)</f>
        <v>1.0900000000000001</v>
      </c>
    </row>
    <row r="524" spans="1:14" ht="27.6" x14ac:dyDescent="0.3">
      <c r="B524" s="13" t="s">
        <v>929</v>
      </c>
      <c r="C524" s="14" t="s">
        <v>961</v>
      </c>
      <c r="D524" s="14" t="s">
        <v>930</v>
      </c>
      <c r="E524" s="14" t="s">
        <v>931</v>
      </c>
    </row>
    <row r="525" spans="1:14" x14ac:dyDescent="0.3">
      <c r="B525" s="15" t="str">
        <f>B521</f>
        <v>Лікар-рентгенолог</v>
      </c>
      <c r="C525" s="78">
        <f>I521</f>
        <v>0.97</v>
      </c>
      <c r="D525" s="17">
        <v>10</v>
      </c>
      <c r="E525" s="18">
        <f>ROUND(C525*D525,2)</f>
        <v>9.6999999999999993</v>
      </c>
    </row>
    <row r="526" spans="1:14" x14ac:dyDescent="0.3">
      <c r="B526" s="15" t="str">
        <f>B522</f>
        <v>Рентгенолаборант</v>
      </c>
      <c r="C526" s="78">
        <f>I522</f>
        <v>1.0900000000000001</v>
      </c>
      <c r="D526" s="17">
        <v>15</v>
      </c>
      <c r="E526" s="18">
        <f>ROUND(C526*D526,2)</f>
        <v>16.350000000000001</v>
      </c>
    </row>
    <row r="527" spans="1:14" x14ac:dyDescent="0.3">
      <c r="C527" s="19"/>
    </row>
    <row r="528" spans="1:14" x14ac:dyDescent="0.3">
      <c r="B528" s="17" t="s">
        <v>933</v>
      </c>
      <c r="C528" s="78">
        <f>E525+E526</f>
        <v>26.05</v>
      </c>
      <c r="D528" s="20">
        <v>0.22</v>
      </c>
      <c r="E528" s="21">
        <f>ROUND(C528*D528,2)</f>
        <v>5.73</v>
      </c>
    </row>
    <row r="530" spans="1:14" x14ac:dyDescent="0.3">
      <c r="B530" s="12" t="s">
        <v>946</v>
      </c>
      <c r="C530" s="227"/>
      <c r="D530" s="12"/>
      <c r="E530" s="11">
        <f>F539</f>
        <v>31.1</v>
      </c>
      <c r="F530" s="12" t="s">
        <v>971</v>
      </c>
    </row>
    <row r="532" spans="1:14" x14ac:dyDescent="0.3">
      <c r="B532" s="27" t="s">
        <v>936</v>
      </c>
      <c r="C532" s="28" t="s">
        <v>937</v>
      </c>
      <c r="D532" s="29">
        <v>1</v>
      </c>
      <c r="E532" s="30">
        <f>'МЕДИЧНІ М'!F115</f>
        <v>0.3</v>
      </c>
      <c r="F532" s="30">
        <f>ROUND(D532*E532,2)</f>
        <v>0.3</v>
      </c>
    </row>
    <row r="533" spans="1:14" s="184" customFormat="1" x14ac:dyDescent="0.3">
      <c r="A533" s="180"/>
      <c r="B533" s="185" t="s">
        <v>1021</v>
      </c>
      <c r="C533" s="186" t="s">
        <v>941</v>
      </c>
      <c r="D533" s="164">
        <v>0.5</v>
      </c>
      <c r="E533" s="164">
        <f>'МЕДИЧНІ М'!E181</f>
        <v>2</v>
      </c>
      <c r="F533" s="164">
        <f t="shared" ref="F533:F538" si="15">ROUND(D533*E533,2)</f>
        <v>1</v>
      </c>
      <c r="G533" s="180"/>
      <c r="H533" s="180"/>
      <c r="I533" s="180"/>
      <c r="J533" s="187"/>
      <c r="K533" s="866"/>
      <c r="L533" s="861"/>
      <c r="M533" s="861"/>
      <c r="N533" s="861"/>
    </row>
    <row r="534" spans="1:14" x14ac:dyDescent="0.3">
      <c r="B534" s="15" t="s">
        <v>1216</v>
      </c>
      <c r="C534" s="73" t="s">
        <v>941</v>
      </c>
      <c r="D534" s="17">
        <v>0.1</v>
      </c>
      <c r="E534" s="16">
        <f>'МЕДИЧНІ М'!E113</f>
        <v>8</v>
      </c>
      <c r="F534" s="17">
        <f t="shared" si="15"/>
        <v>0.8</v>
      </c>
    </row>
    <row r="535" spans="1:14" x14ac:dyDescent="0.3">
      <c r="B535" s="15" t="str">
        <f>'МЕДИЧНІ М'!B326</f>
        <v>Суха медична плівка 20*25*100</v>
      </c>
      <c r="C535" s="73" t="s">
        <v>941</v>
      </c>
      <c r="D535" s="17">
        <v>1</v>
      </c>
      <c r="E535" s="16">
        <f>'МЕДИЧНІ М'!F326</f>
        <v>28.224299999999999</v>
      </c>
      <c r="F535" s="17">
        <f t="shared" si="15"/>
        <v>28.22</v>
      </c>
    </row>
    <row r="536" spans="1:14" x14ac:dyDescent="0.3">
      <c r="B536" s="15" t="s">
        <v>964</v>
      </c>
      <c r="C536" s="73" t="s">
        <v>941</v>
      </c>
      <c r="D536" s="17">
        <v>0.1</v>
      </c>
      <c r="E536" s="16">
        <f>'МЕДИЧНІ М'!E119</f>
        <v>2.8</v>
      </c>
      <c r="F536" s="17">
        <f t="shared" si="15"/>
        <v>0.28000000000000003</v>
      </c>
    </row>
    <row r="537" spans="1:14" x14ac:dyDescent="0.3">
      <c r="B537" s="27" t="s">
        <v>942</v>
      </c>
      <c r="C537" s="28" t="s">
        <v>941</v>
      </c>
      <c r="D537" s="29">
        <v>0.01</v>
      </c>
      <c r="E537" s="29">
        <f>'МЕДИЧНІ М'!E120</f>
        <v>24.6</v>
      </c>
      <c r="F537" s="30">
        <f t="shared" si="15"/>
        <v>0.25</v>
      </c>
    </row>
    <row r="538" spans="1:14" x14ac:dyDescent="0.3">
      <c r="B538" s="27" t="s">
        <v>1124</v>
      </c>
      <c r="C538" s="28" t="s">
        <v>944</v>
      </c>
      <c r="D538" s="29">
        <v>0.5</v>
      </c>
      <c r="E538" s="29">
        <f>'МЕДИЧНІ М'!E114</f>
        <v>0.5</v>
      </c>
      <c r="F538" s="30">
        <f t="shared" si="15"/>
        <v>0.25</v>
      </c>
    </row>
    <row r="539" spans="1:14" x14ac:dyDescent="0.3">
      <c r="B539" s="1019" t="s">
        <v>945</v>
      </c>
      <c r="C539" s="1019"/>
      <c r="D539" s="1019"/>
      <c r="E539" s="1019"/>
      <c r="F539" s="89">
        <f>SUM(F532:F538)</f>
        <v>31.1</v>
      </c>
    </row>
    <row r="541" spans="1:14" x14ac:dyDescent="0.3">
      <c r="B541" s="12" t="s">
        <v>968</v>
      </c>
      <c r="C541" s="227"/>
      <c r="D541" s="12"/>
      <c r="E541" s="11">
        <f>SUM(G544:G545)</f>
        <v>48.15</v>
      </c>
      <c r="F541" s="12" t="s">
        <v>971</v>
      </c>
    </row>
    <row r="542" spans="1:14" ht="6" customHeight="1" x14ac:dyDescent="0.3">
      <c r="B542" s="22"/>
      <c r="C542" s="36"/>
      <c r="D542" s="22"/>
      <c r="E542" s="23"/>
      <c r="F542" s="22"/>
    </row>
    <row r="543" spans="1:14" ht="27.6" x14ac:dyDescent="0.3">
      <c r="B543" s="14" t="s">
        <v>513</v>
      </c>
      <c r="C543" s="14" t="s">
        <v>1108</v>
      </c>
      <c r="D543" s="14" t="s">
        <v>516</v>
      </c>
      <c r="E543" s="14" t="s">
        <v>970</v>
      </c>
      <c r="F543" s="14" t="s">
        <v>930</v>
      </c>
      <c r="G543" s="14" t="s">
        <v>961</v>
      </c>
    </row>
    <row r="544" spans="1:14" x14ac:dyDescent="0.3">
      <c r="B544" s="46" t="s">
        <v>1158</v>
      </c>
      <c r="C544" s="73">
        <f>C493</f>
        <v>0</v>
      </c>
      <c r="D544" s="62">
        <f>H521</f>
        <v>1932.7</v>
      </c>
      <c r="E544" s="17">
        <f>ROUND((C544/D544)/60,2)</f>
        <v>0</v>
      </c>
      <c r="F544" s="17">
        <f>D525</f>
        <v>10</v>
      </c>
      <c r="G544" s="16">
        <f>ROUND(E544*F544,2)</f>
        <v>0</v>
      </c>
    </row>
    <row r="545" spans="2:8" x14ac:dyDescent="0.3">
      <c r="B545" s="27" t="s">
        <v>1093</v>
      </c>
      <c r="C545" s="73">
        <f>C494</f>
        <v>290000</v>
      </c>
      <c r="D545" s="62">
        <f>H522</f>
        <v>1506</v>
      </c>
      <c r="E545" s="17">
        <f>ROUND((C545/D545)/60,2)</f>
        <v>3.21</v>
      </c>
      <c r="F545" s="17">
        <f>D526</f>
        <v>15</v>
      </c>
      <c r="G545" s="16">
        <f>ROUND(E545*F545,2)</f>
        <v>48.15</v>
      </c>
      <c r="H545" s="38"/>
    </row>
    <row r="546" spans="2:8" ht="10.5" customHeight="1" x14ac:dyDescent="0.3"/>
    <row r="547" spans="2:8" x14ac:dyDescent="0.3">
      <c r="B547" s="12" t="s">
        <v>948</v>
      </c>
      <c r="C547" s="227"/>
      <c r="D547" s="12"/>
      <c r="E547" s="11">
        <f>G560</f>
        <v>3.45</v>
      </c>
      <c r="F547" s="12" t="s">
        <v>971</v>
      </c>
    </row>
    <row r="548" spans="2:8" ht="9" customHeight="1" x14ac:dyDescent="0.3">
      <c r="B548" s="22"/>
      <c r="C548" s="36"/>
      <c r="D548" s="22"/>
      <c r="E548" s="23"/>
    </row>
    <row r="549" spans="2:8" ht="27.6" x14ac:dyDescent="0.3">
      <c r="B549" s="14" t="s">
        <v>948</v>
      </c>
      <c r="C549" s="14" t="s">
        <v>1110</v>
      </c>
      <c r="D549" s="14" t="s">
        <v>516</v>
      </c>
      <c r="E549" s="14" t="s">
        <v>954</v>
      </c>
      <c r="F549" s="14" t="s">
        <v>930</v>
      </c>
      <c r="G549" s="14" t="s">
        <v>1111</v>
      </c>
    </row>
    <row r="550" spans="2:8" x14ac:dyDescent="0.3">
      <c r="B550" s="1009" t="str">
        <f>B521</f>
        <v>Лікар-рентгенолог</v>
      </c>
      <c r="C550" s="1010"/>
      <c r="D550" s="1010"/>
      <c r="E550" s="1010"/>
      <c r="F550" s="1010"/>
      <c r="G550" s="1011"/>
    </row>
    <row r="551" spans="2:8" x14ac:dyDescent="0.3">
      <c r="B551" s="17" t="s">
        <v>951</v>
      </c>
      <c r="C551" s="221">
        <f>C500</f>
        <v>12188.608008565312</v>
      </c>
      <c r="D551" s="17">
        <f>H521</f>
        <v>1932.7</v>
      </c>
      <c r="E551" s="17">
        <f>ROUND((C551/D551)/60,2)</f>
        <v>0.11</v>
      </c>
      <c r="F551" s="17">
        <f>D525</f>
        <v>10</v>
      </c>
      <c r="G551" s="16">
        <f>ROUND(E551*F551,2)</f>
        <v>1.1000000000000001</v>
      </c>
    </row>
    <row r="552" spans="2:8" x14ac:dyDescent="0.3">
      <c r="B552" s="17" t="s">
        <v>952</v>
      </c>
      <c r="C552" s="221">
        <f>C501</f>
        <v>53.149721627408987</v>
      </c>
      <c r="D552" s="17">
        <f>H521</f>
        <v>1932.7</v>
      </c>
      <c r="E552" s="17">
        <f>ROUND((C552/D552)/60,2)</f>
        <v>0</v>
      </c>
      <c r="F552" s="17">
        <f>D525</f>
        <v>10</v>
      </c>
      <c r="G552" s="16">
        <f>ROUND(E552*F552,2)</f>
        <v>0</v>
      </c>
    </row>
    <row r="553" spans="2:8" x14ac:dyDescent="0.3">
      <c r="B553" s="17" t="s">
        <v>953</v>
      </c>
      <c r="C553" s="221">
        <f>C502</f>
        <v>374.98368308351178</v>
      </c>
      <c r="D553" s="17">
        <f>H521</f>
        <v>1932.7</v>
      </c>
      <c r="E553" s="17">
        <f>ROUND((C553/D553)/60,2)</f>
        <v>0</v>
      </c>
      <c r="F553" s="17">
        <f>D525</f>
        <v>10</v>
      </c>
      <c r="G553" s="16">
        <f>ROUND(E553*F553,2)</f>
        <v>0</v>
      </c>
    </row>
    <row r="554" spans="2:8" x14ac:dyDescent="0.3">
      <c r="B554" s="17" t="s">
        <v>1109</v>
      </c>
      <c r="C554" s="221">
        <f>C503</f>
        <v>1686.0389293361886</v>
      </c>
      <c r="D554" s="17">
        <f>H521</f>
        <v>1932.7</v>
      </c>
      <c r="E554" s="17">
        <f>ROUND((C554/D554)/60,2)</f>
        <v>0.01</v>
      </c>
      <c r="F554" s="17">
        <f>D525</f>
        <v>10</v>
      </c>
      <c r="G554" s="16">
        <f>ROUND(E554*F554,2)</f>
        <v>0.1</v>
      </c>
    </row>
    <row r="555" spans="2:8" x14ac:dyDescent="0.3">
      <c r="B555" s="1009" t="str">
        <f>B522</f>
        <v>Рентгенолаборант</v>
      </c>
      <c r="C555" s="1010"/>
      <c r="D555" s="1010"/>
      <c r="E555" s="1010"/>
      <c r="F555" s="1010"/>
      <c r="G555" s="1011"/>
    </row>
    <row r="556" spans="2:8" x14ac:dyDescent="0.3">
      <c r="B556" s="17" t="s">
        <v>951</v>
      </c>
      <c r="C556" s="221">
        <f>C551</f>
        <v>12188.608008565312</v>
      </c>
      <c r="D556" s="17">
        <f>H522</f>
        <v>1506</v>
      </c>
      <c r="E556" s="17">
        <f>ROUND((C556/D556)/60,2)</f>
        <v>0.13</v>
      </c>
      <c r="F556" s="17">
        <f>D526</f>
        <v>15</v>
      </c>
      <c r="G556" s="16">
        <f>ROUND(E556*F556,2)</f>
        <v>1.95</v>
      </c>
    </row>
    <row r="557" spans="2:8" x14ac:dyDescent="0.3">
      <c r="B557" s="17" t="s">
        <v>952</v>
      </c>
      <c r="C557" s="221">
        <f>C552</f>
        <v>53.149721627408987</v>
      </c>
      <c r="D557" s="17">
        <f>H522</f>
        <v>1506</v>
      </c>
      <c r="E557" s="17">
        <f>ROUND((C557/D557)/60,2)</f>
        <v>0</v>
      </c>
      <c r="F557" s="17">
        <f>D526</f>
        <v>15</v>
      </c>
      <c r="G557" s="16">
        <f>ROUND(E557*F557,2)</f>
        <v>0</v>
      </c>
    </row>
    <row r="558" spans="2:8" x14ac:dyDescent="0.3">
      <c r="B558" s="17" t="s">
        <v>953</v>
      </c>
      <c r="C558" s="221">
        <f>C553</f>
        <v>374.98368308351178</v>
      </c>
      <c r="D558" s="17">
        <f>H522</f>
        <v>1506</v>
      </c>
      <c r="E558" s="17">
        <f>ROUND((C558/D558)/60,2)</f>
        <v>0</v>
      </c>
      <c r="F558" s="17">
        <f>D526</f>
        <v>15</v>
      </c>
      <c r="G558" s="16">
        <f>ROUND(E558*F558,2)</f>
        <v>0</v>
      </c>
    </row>
    <row r="559" spans="2:8" x14ac:dyDescent="0.3">
      <c r="B559" s="17" t="s">
        <v>1109</v>
      </c>
      <c r="C559" s="221">
        <f>C554</f>
        <v>1686.0389293361886</v>
      </c>
      <c r="D559" s="17">
        <f>H522</f>
        <v>1506</v>
      </c>
      <c r="E559" s="17">
        <f>ROUND((C559/D559)/60,2)</f>
        <v>0.02</v>
      </c>
      <c r="F559" s="17">
        <f>D526</f>
        <v>15</v>
      </c>
      <c r="G559" s="16">
        <f>ROUND(E559*F559,2)</f>
        <v>0.3</v>
      </c>
    </row>
    <row r="560" spans="2:8" x14ac:dyDescent="0.3">
      <c r="B560" s="1012" t="s">
        <v>957</v>
      </c>
      <c r="C560" s="1013"/>
      <c r="D560" s="1013"/>
      <c r="E560" s="1013"/>
      <c r="F560" s="1014"/>
      <c r="G560" s="18">
        <f>SUM(G551:G559)</f>
        <v>3.45</v>
      </c>
    </row>
    <row r="561" spans="1:14" ht="9" customHeight="1" x14ac:dyDescent="0.3"/>
    <row r="562" spans="1:14" ht="3.75" customHeight="1" x14ac:dyDescent="0.3"/>
    <row r="563" spans="1:14" x14ac:dyDescent="0.3">
      <c r="B563" s="1015" t="s">
        <v>959</v>
      </c>
      <c r="C563" s="1015"/>
      <c r="D563" s="1015"/>
      <c r="E563" s="1015"/>
      <c r="F563" s="1015"/>
      <c r="G563" s="32">
        <f>E518+E530+E541+E547</f>
        <v>114.48</v>
      </c>
    </row>
    <row r="564" spans="1:14" ht="9" customHeight="1" x14ac:dyDescent="0.3">
      <c r="B564" s="33"/>
      <c r="C564" s="33"/>
      <c r="D564" s="33"/>
      <c r="E564" s="33"/>
      <c r="F564" s="33"/>
      <c r="G564" s="34"/>
    </row>
    <row r="565" spans="1:14" x14ac:dyDescent="0.3">
      <c r="B565" s="1015" t="s">
        <v>960</v>
      </c>
      <c r="C565" s="1015"/>
      <c r="D565" s="1015"/>
      <c r="E565" s="1015"/>
      <c r="F565" s="1015"/>
      <c r="G565" s="32">
        <f>ROUND(G563,0)</f>
        <v>114</v>
      </c>
    </row>
    <row r="567" spans="1:14" s="54" customFormat="1" ht="19.8" x14ac:dyDescent="0.4">
      <c r="A567" s="50" t="s">
        <v>254</v>
      </c>
      <c r="B567" s="1017" t="s">
        <v>677</v>
      </c>
      <c r="C567" s="1017"/>
      <c r="D567" s="1017"/>
      <c r="E567" s="52">
        <f>G616</f>
        <v>102</v>
      </c>
      <c r="F567" s="52" t="s">
        <v>971</v>
      </c>
      <c r="G567" s="53"/>
      <c r="H567" s="124"/>
      <c r="I567" s="125" t="s">
        <v>1023</v>
      </c>
      <c r="J567" s="130"/>
      <c r="K567" s="868"/>
      <c r="L567" s="65"/>
      <c r="M567" s="65"/>
      <c r="N567" s="65"/>
    </row>
    <row r="568" spans="1:14" ht="18.600000000000001" x14ac:dyDescent="0.3">
      <c r="I568" s="125" t="s">
        <v>231</v>
      </c>
    </row>
    <row r="569" spans="1:14" x14ac:dyDescent="0.3">
      <c r="B569" s="1018" t="s">
        <v>932</v>
      </c>
      <c r="C569" s="1018"/>
      <c r="D569" s="10"/>
      <c r="E569" s="11">
        <f>E576+E579+E577</f>
        <v>31.78</v>
      </c>
      <c r="F569" s="12" t="s">
        <v>971</v>
      </c>
    </row>
    <row r="571" spans="1:14" ht="27.6" x14ac:dyDescent="0.3">
      <c r="B571" s="13" t="s">
        <v>929</v>
      </c>
      <c r="C571" s="14" t="s">
        <v>928</v>
      </c>
      <c r="D571" s="14" t="s">
        <v>514</v>
      </c>
      <c r="E571" s="14" t="s">
        <v>515</v>
      </c>
      <c r="F571" s="14" t="s">
        <v>962</v>
      </c>
      <c r="G571" s="14" t="s">
        <v>926</v>
      </c>
      <c r="H571" s="14" t="s">
        <v>516</v>
      </c>
      <c r="I571" s="14" t="s">
        <v>961</v>
      </c>
    </row>
    <row r="572" spans="1:14" x14ac:dyDescent="0.3">
      <c r="B572" s="16" t="str">
        <f>B521</f>
        <v>Лікар-рентгенолог</v>
      </c>
      <c r="C572" s="78">
        <f>C521</f>
        <v>8463.5400000000009</v>
      </c>
      <c r="D572" s="16">
        <f>C572*12</f>
        <v>101562.48000000001</v>
      </c>
      <c r="E572" s="16">
        <f>E521</f>
        <v>7052.95</v>
      </c>
      <c r="F572" s="16">
        <f>F521</f>
        <v>3526.4749999999999</v>
      </c>
      <c r="G572" s="16">
        <f>D572+E572+F572</f>
        <v>112141.90500000001</v>
      </c>
      <c r="H572" s="17">
        <v>1932.7</v>
      </c>
      <c r="I572" s="16">
        <f>ROUND((G572/H572)/60,2)</f>
        <v>0.97</v>
      </c>
    </row>
    <row r="573" spans="1:14" x14ac:dyDescent="0.3">
      <c r="B573" s="16" t="str">
        <f>B522</f>
        <v>Рентгенолаборант</v>
      </c>
      <c r="C573" s="78">
        <f>C522</f>
        <v>7482.48</v>
      </c>
      <c r="D573" s="24">
        <f>C573*12</f>
        <v>89789.759999999995</v>
      </c>
      <c r="E573" s="16">
        <f>E522</f>
        <v>5755.75</v>
      </c>
      <c r="F573" s="16">
        <f>F522</f>
        <v>2877.875</v>
      </c>
      <c r="G573" s="16">
        <f>D573+E573+F573</f>
        <v>98423.384999999995</v>
      </c>
      <c r="H573" s="62">
        <v>1506</v>
      </c>
      <c r="I573" s="16">
        <f>ROUND((G573/H573)/60,2)</f>
        <v>1.0900000000000001</v>
      </c>
    </row>
    <row r="575" spans="1:14" ht="27.6" x14ac:dyDescent="0.3">
      <c r="B575" s="13" t="s">
        <v>929</v>
      </c>
      <c r="C575" s="14" t="s">
        <v>961</v>
      </c>
      <c r="D575" s="14" t="s">
        <v>930</v>
      </c>
      <c r="E575" s="14" t="s">
        <v>931</v>
      </c>
    </row>
    <row r="576" spans="1:14" x14ac:dyDescent="0.3">
      <c r="B576" s="15" t="str">
        <f>B572</f>
        <v>Лікар-рентгенолог</v>
      </c>
      <c r="C576" s="78">
        <f>I572</f>
        <v>0.97</v>
      </c>
      <c r="D576" s="17">
        <v>10</v>
      </c>
      <c r="E576" s="18">
        <f>ROUND(C576*D576,2)</f>
        <v>9.6999999999999993</v>
      </c>
    </row>
    <row r="577" spans="1:14" x14ac:dyDescent="0.3">
      <c r="B577" s="15" t="str">
        <f>B573</f>
        <v>Рентгенолаборант</v>
      </c>
      <c r="C577" s="78">
        <f>I573</f>
        <v>1.0900000000000001</v>
      </c>
      <c r="D577" s="17">
        <v>15</v>
      </c>
      <c r="E577" s="18">
        <f>ROUND(C577*D577,2)</f>
        <v>16.350000000000001</v>
      </c>
    </row>
    <row r="578" spans="1:14" x14ac:dyDescent="0.3">
      <c r="C578" s="19"/>
    </row>
    <row r="579" spans="1:14" x14ac:dyDescent="0.3">
      <c r="B579" s="17" t="s">
        <v>933</v>
      </c>
      <c r="C579" s="78">
        <f>E576+E577</f>
        <v>26.05</v>
      </c>
      <c r="D579" s="20">
        <v>0.22</v>
      </c>
      <c r="E579" s="21">
        <f>ROUND(C579*D579,2)</f>
        <v>5.73</v>
      </c>
    </row>
    <row r="581" spans="1:14" x14ac:dyDescent="0.3">
      <c r="B581" s="12" t="s">
        <v>946</v>
      </c>
      <c r="C581" s="227"/>
      <c r="D581" s="12"/>
      <c r="E581" s="11">
        <f>F590</f>
        <v>18.720000000000002</v>
      </c>
      <c r="F581" s="12" t="s">
        <v>971</v>
      </c>
    </row>
    <row r="583" spans="1:14" x14ac:dyDescent="0.3">
      <c r="B583" s="27" t="str">
        <f>B532</f>
        <v>Мікрасепт</v>
      </c>
      <c r="C583" s="27" t="str">
        <f>C532</f>
        <v>мл</v>
      </c>
      <c r="D583" s="27">
        <f>D532</f>
        <v>1</v>
      </c>
      <c r="E583" s="27">
        <f>E532</f>
        <v>0.3</v>
      </c>
      <c r="F583" s="30">
        <f>ROUND(D583*E583,2)</f>
        <v>0.3</v>
      </c>
    </row>
    <row r="584" spans="1:14" s="184" customFormat="1" x14ac:dyDescent="0.3">
      <c r="A584" s="180"/>
      <c r="B584" s="27" t="str">
        <f t="shared" ref="B584:E589" si="16">B533</f>
        <v>Маска на резинці, стерильна</v>
      </c>
      <c r="C584" s="27" t="str">
        <f t="shared" si="16"/>
        <v>шт</v>
      </c>
      <c r="D584" s="27">
        <f t="shared" si="16"/>
        <v>0.5</v>
      </c>
      <c r="E584" s="27">
        <f t="shared" si="16"/>
        <v>2</v>
      </c>
      <c r="F584" s="164">
        <f t="shared" ref="F584:F589" si="17">ROUND(D584*E584,2)</f>
        <v>1</v>
      </c>
      <c r="G584" s="180"/>
      <c r="H584" s="180"/>
      <c r="I584" s="180"/>
      <c r="J584" s="187"/>
      <c r="K584" s="866"/>
      <c r="L584" s="861"/>
      <c r="M584" s="861"/>
      <c r="N584" s="861"/>
    </row>
    <row r="585" spans="1:14" x14ac:dyDescent="0.3">
      <c r="B585" s="27" t="str">
        <f t="shared" si="16"/>
        <v>Бинт марлевий 7х14</v>
      </c>
      <c r="C585" s="27" t="str">
        <f t="shared" si="16"/>
        <v>шт</v>
      </c>
      <c r="D585" s="27">
        <f t="shared" si="16"/>
        <v>0.1</v>
      </c>
      <c r="E585" s="27">
        <f t="shared" si="16"/>
        <v>8</v>
      </c>
      <c r="F585" s="17">
        <f t="shared" si="17"/>
        <v>0.8</v>
      </c>
    </row>
    <row r="586" spans="1:14" x14ac:dyDescent="0.3">
      <c r="B586" s="27" t="str">
        <f>'МЕДИЧНІ М'!B327</f>
        <v>Суха медична плівка 35*43*100</v>
      </c>
      <c r="C586" s="27" t="str">
        <f t="shared" si="16"/>
        <v>шт</v>
      </c>
      <c r="D586" s="27">
        <f t="shared" si="16"/>
        <v>1</v>
      </c>
      <c r="E586" s="847">
        <f>'МЕДИЧНІ М'!F327</f>
        <v>15.841125</v>
      </c>
      <c r="F586" s="17">
        <f t="shared" si="17"/>
        <v>15.84</v>
      </c>
    </row>
    <row r="587" spans="1:14" x14ac:dyDescent="0.3">
      <c r="B587" s="27" t="str">
        <f t="shared" si="16"/>
        <v>Рукавиці не стерильні</v>
      </c>
      <c r="C587" s="27" t="str">
        <f t="shared" si="16"/>
        <v>шт</v>
      </c>
      <c r="D587" s="27">
        <f t="shared" si="16"/>
        <v>0.1</v>
      </c>
      <c r="E587" s="27">
        <f t="shared" si="16"/>
        <v>2.8</v>
      </c>
      <c r="F587" s="17">
        <f t="shared" si="17"/>
        <v>0.28000000000000003</v>
      </c>
    </row>
    <row r="588" spans="1:14" x14ac:dyDescent="0.3">
      <c r="B588" s="27" t="str">
        <f t="shared" si="16"/>
        <v xml:space="preserve">Спирт 70% 100мл </v>
      </c>
      <c r="C588" s="27" t="str">
        <f t="shared" si="16"/>
        <v>шт</v>
      </c>
      <c r="D588" s="27">
        <f t="shared" si="16"/>
        <v>0.01</v>
      </c>
      <c r="E588" s="27">
        <f t="shared" si="16"/>
        <v>24.6</v>
      </c>
      <c r="F588" s="30">
        <f t="shared" si="17"/>
        <v>0.25</v>
      </c>
    </row>
    <row r="589" spans="1:14" x14ac:dyDescent="0.3">
      <c r="B589" s="27" t="str">
        <f t="shared" si="16"/>
        <v>Деззасоби</v>
      </c>
      <c r="C589" s="27" t="str">
        <f t="shared" si="16"/>
        <v>г</v>
      </c>
      <c r="D589" s="27">
        <f t="shared" si="16"/>
        <v>0.5</v>
      </c>
      <c r="E589" s="27">
        <f t="shared" si="16"/>
        <v>0.5</v>
      </c>
      <c r="F589" s="30">
        <f t="shared" si="17"/>
        <v>0.25</v>
      </c>
    </row>
    <row r="590" spans="1:14" x14ac:dyDescent="0.3">
      <c r="B590" s="1019" t="s">
        <v>945</v>
      </c>
      <c r="C590" s="1019"/>
      <c r="D590" s="1019"/>
      <c r="E590" s="1019"/>
      <c r="F590" s="89">
        <f>SUM(F583:F589)</f>
        <v>18.720000000000002</v>
      </c>
    </row>
    <row r="592" spans="1:14" x14ac:dyDescent="0.3">
      <c r="B592" s="12" t="s">
        <v>968</v>
      </c>
      <c r="C592" s="227"/>
      <c r="D592" s="12"/>
      <c r="E592" s="11">
        <f>SUM(G595:G596)</f>
        <v>48.15</v>
      </c>
      <c r="F592" s="12" t="s">
        <v>971</v>
      </c>
    </row>
    <row r="593" spans="2:8" ht="6" customHeight="1" x14ac:dyDescent="0.3">
      <c r="B593" s="22"/>
      <c r="C593" s="36"/>
      <c r="D593" s="22"/>
      <c r="E593" s="23"/>
      <c r="F593" s="22"/>
    </row>
    <row r="594" spans="2:8" ht="27.6" x14ac:dyDescent="0.3">
      <c r="B594" s="14" t="s">
        <v>513</v>
      </c>
      <c r="C594" s="14" t="s">
        <v>1108</v>
      </c>
      <c r="D594" s="14" t="s">
        <v>516</v>
      </c>
      <c r="E594" s="14" t="s">
        <v>970</v>
      </c>
      <c r="F594" s="14" t="s">
        <v>930</v>
      </c>
      <c r="G594" s="14" t="s">
        <v>961</v>
      </c>
    </row>
    <row r="595" spans="2:8" x14ac:dyDescent="0.3">
      <c r="B595" s="46" t="s">
        <v>1158</v>
      </c>
      <c r="C595" s="73">
        <f>C544</f>
        <v>0</v>
      </c>
      <c r="D595" s="62">
        <f>H572</f>
        <v>1932.7</v>
      </c>
      <c r="E595" s="17">
        <f>ROUND((C595/D595)/60,2)</f>
        <v>0</v>
      </c>
      <c r="F595" s="17">
        <f>D576</f>
        <v>10</v>
      </c>
      <c r="G595" s="16">
        <f>ROUND(E595*F595,2)</f>
        <v>0</v>
      </c>
    </row>
    <row r="596" spans="2:8" x14ac:dyDescent="0.3">
      <c r="B596" s="27" t="s">
        <v>1093</v>
      </c>
      <c r="C596" s="73">
        <f>C545</f>
        <v>290000</v>
      </c>
      <c r="D596" s="62">
        <f>H573</f>
        <v>1506</v>
      </c>
      <c r="E596" s="17">
        <f>ROUND((C596/D596)/60,2)</f>
        <v>3.21</v>
      </c>
      <c r="F596" s="17">
        <f>D577</f>
        <v>15</v>
      </c>
      <c r="G596" s="16">
        <f>ROUND(E596*F596,2)</f>
        <v>48.15</v>
      </c>
      <c r="H596" s="38"/>
    </row>
    <row r="597" spans="2:8" ht="10.5" customHeight="1" x14ac:dyDescent="0.3"/>
    <row r="598" spans="2:8" x14ac:dyDescent="0.3">
      <c r="B598" s="12" t="s">
        <v>948</v>
      </c>
      <c r="C598" s="227"/>
      <c r="D598" s="12"/>
      <c r="E598" s="11">
        <f>G611</f>
        <v>3.45</v>
      </c>
      <c r="F598" s="12" t="s">
        <v>971</v>
      </c>
    </row>
    <row r="599" spans="2:8" ht="9" customHeight="1" x14ac:dyDescent="0.3">
      <c r="B599" s="22"/>
      <c r="C599" s="36"/>
      <c r="D599" s="22"/>
      <c r="E599" s="23"/>
    </row>
    <row r="600" spans="2:8" ht="27.6" x14ac:dyDescent="0.3">
      <c r="B600" s="14" t="s">
        <v>948</v>
      </c>
      <c r="C600" s="14" t="s">
        <v>1110</v>
      </c>
      <c r="D600" s="14" t="s">
        <v>516</v>
      </c>
      <c r="E600" s="14" t="s">
        <v>954</v>
      </c>
      <c r="F600" s="14" t="s">
        <v>930</v>
      </c>
      <c r="G600" s="14" t="s">
        <v>1111</v>
      </c>
    </row>
    <row r="601" spans="2:8" x14ac:dyDescent="0.3">
      <c r="B601" s="1009" t="str">
        <f>B572</f>
        <v>Лікар-рентгенолог</v>
      </c>
      <c r="C601" s="1010"/>
      <c r="D601" s="1010"/>
      <c r="E601" s="1010"/>
      <c r="F601" s="1010"/>
      <c r="G601" s="1011"/>
    </row>
    <row r="602" spans="2:8" x14ac:dyDescent="0.3">
      <c r="B602" s="17" t="s">
        <v>951</v>
      </c>
      <c r="C602" s="221">
        <f>C551</f>
        <v>12188.608008565312</v>
      </c>
      <c r="D602" s="17">
        <f>H572</f>
        <v>1932.7</v>
      </c>
      <c r="E602" s="17">
        <f>ROUND((C602/D602)/60,2)</f>
        <v>0.11</v>
      </c>
      <c r="F602" s="17">
        <f>D576</f>
        <v>10</v>
      </c>
      <c r="G602" s="16">
        <f>ROUND(E602*F602,2)</f>
        <v>1.1000000000000001</v>
      </c>
    </row>
    <row r="603" spans="2:8" x14ac:dyDescent="0.3">
      <c r="B603" s="17" t="s">
        <v>952</v>
      </c>
      <c r="C603" s="221">
        <f>C552</f>
        <v>53.149721627408987</v>
      </c>
      <c r="D603" s="17">
        <f>H572</f>
        <v>1932.7</v>
      </c>
      <c r="E603" s="17">
        <f>ROUND((C603/D603)/60,2)</f>
        <v>0</v>
      </c>
      <c r="F603" s="17">
        <f>D576</f>
        <v>10</v>
      </c>
      <c r="G603" s="16">
        <f>ROUND(E603*F603,2)</f>
        <v>0</v>
      </c>
    </row>
    <row r="604" spans="2:8" x14ac:dyDescent="0.3">
      <c r="B604" s="17" t="s">
        <v>953</v>
      </c>
      <c r="C604" s="221">
        <f>C553</f>
        <v>374.98368308351178</v>
      </c>
      <c r="D604" s="17">
        <f>H572</f>
        <v>1932.7</v>
      </c>
      <c r="E604" s="17">
        <f>ROUND((C604/D604)/60,2)</f>
        <v>0</v>
      </c>
      <c r="F604" s="17">
        <f>D576</f>
        <v>10</v>
      </c>
      <c r="G604" s="16">
        <f>ROUND(E604*F604,2)</f>
        <v>0</v>
      </c>
    </row>
    <row r="605" spans="2:8" x14ac:dyDescent="0.3">
      <c r="B605" s="17" t="s">
        <v>1109</v>
      </c>
      <c r="C605" s="221">
        <f>C554</f>
        <v>1686.0389293361886</v>
      </c>
      <c r="D605" s="17">
        <f>H572</f>
        <v>1932.7</v>
      </c>
      <c r="E605" s="17">
        <f>ROUND((C605/D605)/60,2)</f>
        <v>0.01</v>
      </c>
      <c r="F605" s="17">
        <f>D576</f>
        <v>10</v>
      </c>
      <c r="G605" s="16">
        <f>ROUND(E605*F605,2)</f>
        <v>0.1</v>
      </c>
    </row>
    <row r="606" spans="2:8" x14ac:dyDescent="0.3">
      <c r="B606" s="1009" t="str">
        <f>B573</f>
        <v>Рентгенолаборант</v>
      </c>
      <c r="C606" s="1010"/>
      <c r="D606" s="1010"/>
      <c r="E606" s="1010"/>
      <c r="F606" s="1010"/>
      <c r="G606" s="1011"/>
    </row>
    <row r="607" spans="2:8" x14ac:dyDescent="0.3">
      <c r="B607" s="17" t="s">
        <v>951</v>
      </c>
      <c r="C607" s="221">
        <f>C602</f>
        <v>12188.608008565312</v>
      </c>
      <c r="D607" s="17">
        <f>H573</f>
        <v>1506</v>
      </c>
      <c r="E607" s="17">
        <f>ROUND((C607/D607)/60,2)</f>
        <v>0.13</v>
      </c>
      <c r="F607" s="17">
        <f>D577</f>
        <v>15</v>
      </c>
      <c r="G607" s="16">
        <f>ROUND(E607*F607,2)</f>
        <v>1.95</v>
      </c>
    </row>
    <row r="608" spans="2:8" x14ac:dyDescent="0.3">
      <c r="B608" s="17" t="s">
        <v>952</v>
      </c>
      <c r="C608" s="221">
        <f>C603</f>
        <v>53.149721627408987</v>
      </c>
      <c r="D608" s="17">
        <f>H573</f>
        <v>1506</v>
      </c>
      <c r="E608" s="17">
        <f>ROUND((C608/D608)/60,2)</f>
        <v>0</v>
      </c>
      <c r="F608" s="17">
        <f>D577</f>
        <v>15</v>
      </c>
      <c r="G608" s="16">
        <f>ROUND(E608*F608,2)</f>
        <v>0</v>
      </c>
    </row>
    <row r="609" spans="1:14" x14ac:dyDescent="0.3">
      <c r="B609" s="17" t="s">
        <v>953</v>
      </c>
      <c r="C609" s="221">
        <f>C604</f>
        <v>374.98368308351178</v>
      </c>
      <c r="D609" s="17">
        <f>H573</f>
        <v>1506</v>
      </c>
      <c r="E609" s="17">
        <f>ROUND((C609/D609)/60,2)</f>
        <v>0</v>
      </c>
      <c r="F609" s="17">
        <f>D577</f>
        <v>15</v>
      </c>
      <c r="G609" s="16">
        <f>ROUND(E609*F609,2)</f>
        <v>0</v>
      </c>
    </row>
    <row r="610" spans="1:14" x14ac:dyDescent="0.3">
      <c r="B610" s="17" t="s">
        <v>1109</v>
      </c>
      <c r="C610" s="221">
        <f>C605</f>
        <v>1686.0389293361886</v>
      </c>
      <c r="D610" s="17">
        <f>H573</f>
        <v>1506</v>
      </c>
      <c r="E610" s="17">
        <f>ROUND((C610/D610)/60,2)</f>
        <v>0.02</v>
      </c>
      <c r="F610" s="17">
        <f>D577</f>
        <v>15</v>
      </c>
      <c r="G610" s="16">
        <f>ROUND(E610*F610,2)</f>
        <v>0.3</v>
      </c>
    </row>
    <row r="611" spans="1:14" x14ac:dyDescent="0.3">
      <c r="B611" s="1012" t="s">
        <v>957</v>
      </c>
      <c r="C611" s="1013"/>
      <c r="D611" s="1013"/>
      <c r="E611" s="1013"/>
      <c r="F611" s="1014"/>
      <c r="G611" s="18">
        <f>SUM(G602:G610)</f>
        <v>3.45</v>
      </c>
    </row>
    <row r="612" spans="1:14" ht="9" customHeight="1" x14ac:dyDescent="0.3"/>
    <row r="613" spans="1:14" ht="3.75" customHeight="1" x14ac:dyDescent="0.3"/>
    <row r="614" spans="1:14" x14ac:dyDescent="0.3">
      <c r="B614" s="1015" t="s">
        <v>959</v>
      </c>
      <c r="C614" s="1015"/>
      <c r="D614" s="1015"/>
      <c r="E614" s="1015"/>
      <c r="F614" s="1015"/>
      <c r="G614" s="32">
        <f>E569+E581+E592+E598</f>
        <v>102.10000000000001</v>
      </c>
    </row>
    <row r="615" spans="1:14" ht="9" customHeight="1" x14ac:dyDescent="0.3">
      <c r="B615" s="33"/>
      <c r="C615" s="33"/>
      <c r="D615" s="33"/>
      <c r="E615" s="33"/>
      <c r="F615" s="33"/>
      <c r="G615" s="34"/>
    </row>
    <row r="616" spans="1:14" x14ac:dyDescent="0.3">
      <c r="B616" s="1015" t="s">
        <v>960</v>
      </c>
      <c r="C616" s="1015"/>
      <c r="D616" s="1015"/>
      <c r="E616" s="1015"/>
      <c r="F616" s="1015"/>
      <c r="G616" s="32">
        <f>ROUND(G614,0)</f>
        <v>102</v>
      </c>
    </row>
    <row r="618" spans="1:14" s="54" customFormat="1" ht="19.8" x14ac:dyDescent="0.4">
      <c r="A618" s="50" t="s">
        <v>255</v>
      </c>
      <c r="B618" s="1017" t="s">
        <v>677</v>
      </c>
      <c r="C618" s="1017"/>
      <c r="D618" s="1017"/>
      <c r="E618" s="52">
        <f>G667</f>
        <v>118</v>
      </c>
      <c r="F618" s="52" t="s">
        <v>971</v>
      </c>
      <c r="G618" s="53"/>
      <c r="H618" s="124"/>
      <c r="I618" s="125" t="s">
        <v>1023</v>
      </c>
      <c r="J618" s="130"/>
      <c r="K618" s="868"/>
      <c r="L618" s="65"/>
      <c r="M618" s="65"/>
      <c r="N618" s="65"/>
    </row>
    <row r="619" spans="1:14" ht="18.600000000000001" x14ac:dyDescent="0.3">
      <c r="I619" s="125" t="s">
        <v>232</v>
      </c>
    </row>
    <row r="620" spans="1:14" x14ac:dyDescent="0.3">
      <c r="B620" s="1018" t="s">
        <v>932</v>
      </c>
      <c r="C620" s="1018"/>
      <c r="D620" s="10"/>
      <c r="E620" s="11">
        <f>E627+E630+E628</f>
        <v>31.78</v>
      </c>
      <c r="F620" s="12" t="s">
        <v>971</v>
      </c>
    </row>
    <row r="622" spans="1:14" ht="27.6" x14ac:dyDescent="0.3">
      <c r="B622" s="13" t="s">
        <v>929</v>
      </c>
      <c r="C622" s="14" t="s">
        <v>928</v>
      </c>
      <c r="D622" s="14" t="s">
        <v>514</v>
      </c>
      <c r="E622" s="14" t="s">
        <v>515</v>
      </c>
      <c r="F622" s="14" t="s">
        <v>962</v>
      </c>
      <c r="G622" s="14" t="s">
        <v>926</v>
      </c>
      <c r="H622" s="14" t="s">
        <v>516</v>
      </c>
      <c r="I622" s="14" t="s">
        <v>961</v>
      </c>
    </row>
    <row r="623" spans="1:14" x14ac:dyDescent="0.3">
      <c r="B623" s="16" t="str">
        <f>B572</f>
        <v>Лікар-рентгенолог</v>
      </c>
      <c r="C623" s="78">
        <f>C572</f>
        <v>8463.5400000000009</v>
      </c>
      <c r="D623" s="16">
        <f>C623*12</f>
        <v>101562.48000000001</v>
      </c>
      <c r="E623" s="16">
        <f>E572</f>
        <v>7052.95</v>
      </c>
      <c r="F623" s="16">
        <f>F572</f>
        <v>3526.4749999999999</v>
      </c>
      <c r="G623" s="16">
        <f>D623+E623+F623</f>
        <v>112141.90500000001</v>
      </c>
      <c r="H623" s="17">
        <v>1932.7</v>
      </c>
      <c r="I623" s="16">
        <f>ROUND((G623/H623)/60,2)</f>
        <v>0.97</v>
      </c>
    </row>
    <row r="624" spans="1:14" x14ac:dyDescent="0.3">
      <c r="B624" s="16" t="str">
        <f>B573</f>
        <v>Рентгенолаборант</v>
      </c>
      <c r="C624" s="78">
        <f>C573</f>
        <v>7482.48</v>
      </c>
      <c r="D624" s="24">
        <f>C624*12</f>
        <v>89789.759999999995</v>
      </c>
      <c r="E624" s="16">
        <f>E573</f>
        <v>5755.75</v>
      </c>
      <c r="F624" s="16">
        <f>F573</f>
        <v>2877.875</v>
      </c>
      <c r="G624" s="16">
        <f>D624+E624+F624</f>
        <v>98423.384999999995</v>
      </c>
      <c r="H624" s="62">
        <v>1506</v>
      </c>
      <c r="I624" s="16">
        <f>ROUND((G624/H624)/60,2)</f>
        <v>1.0900000000000001</v>
      </c>
    </row>
    <row r="626" spans="1:14" ht="27.6" x14ac:dyDescent="0.3">
      <c r="B626" s="13" t="s">
        <v>929</v>
      </c>
      <c r="C626" s="14" t="s">
        <v>961</v>
      </c>
      <c r="D626" s="14" t="s">
        <v>930</v>
      </c>
      <c r="E626" s="14" t="s">
        <v>931</v>
      </c>
    </row>
    <row r="627" spans="1:14" x14ac:dyDescent="0.3">
      <c r="B627" s="15" t="str">
        <f>B623</f>
        <v>Лікар-рентгенолог</v>
      </c>
      <c r="C627" s="78">
        <f>I623</f>
        <v>0.97</v>
      </c>
      <c r="D627" s="17">
        <v>10</v>
      </c>
      <c r="E627" s="18">
        <f>ROUND(C627*D627,2)</f>
        <v>9.6999999999999993</v>
      </c>
    </row>
    <row r="628" spans="1:14" x14ac:dyDescent="0.3">
      <c r="B628" s="15" t="str">
        <f>B624</f>
        <v>Рентгенолаборант</v>
      </c>
      <c r="C628" s="78">
        <f>I624</f>
        <v>1.0900000000000001</v>
      </c>
      <c r="D628" s="17">
        <v>15</v>
      </c>
      <c r="E628" s="18">
        <f>ROUND(C628*D628,2)</f>
        <v>16.350000000000001</v>
      </c>
    </row>
    <row r="629" spans="1:14" x14ac:dyDescent="0.3">
      <c r="C629" s="19"/>
    </row>
    <row r="630" spans="1:14" x14ac:dyDescent="0.3">
      <c r="B630" s="17" t="s">
        <v>933</v>
      </c>
      <c r="C630" s="78">
        <f>E627+E628</f>
        <v>26.05</v>
      </c>
      <c r="D630" s="20">
        <v>0.22</v>
      </c>
      <c r="E630" s="21">
        <f>ROUND(C630*D630,2)</f>
        <v>5.73</v>
      </c>
    </row>
    <row r="632" spans="1:14" x14ac:dyDescent="0.3">
      <c r="B632" s="12" t="s">
        <v>946</v>
      </c>
      <c r="C632" s="227"/>
      <c r="D632" s="12"/>
      <c r="E632" s="11">
        <f>F641</f>
        <v>34.56</v>
      </c>
      <c r="F632" s="12" t="s">
        <v>971</v>
      </c>
    </row>
    <row r="634" spans="1:14" x14ac:dyDescent="0.3">
      <c r="B634" s="27" t="str">
        <f t="shared" ref="B634:E636" si="18">B583</f>
        <v>Мікрасепт</v>
      </c>
      <c r="C634" s="27" t="str">
        <f t="shared" si="18"/>
        <v>мл</v>
      </c>
      <c r="D634" s="27">
        <f t="shared" si="18"/>
        <v>1</v>
      </c>
      <c r="E634" s="27">
        <f t="shared" si="18"/>
        <v>0.3</v>
      </c>
      <c r="F634" s="30">
        <f>ROUND(D634*E634,2)</f>
        <v>0.3</v>
      </c>
    </row>
    <row r="635" spans="1:14" s="184" customFormat="1" x14ac:dyDescent="0.3">
      <c r="A635" s="180"/>
      <c r="B635" s="27" t="str">
        <f t="shared" si="18"/>
        <v>Маска на резинці, стерильна</v>
      </c>
      <c r="C635" s="27" t="str">
        <f t="shared" si="18"/>
        <v>шт</v>
      </c>
      <c r="D635" s="27">
        <f t="shared" si="18"/>
        <v>0.5</v>
      </c>
      <c r="E635" s="27">
        <f t="shared" si="18"/>
        <v>2</v>
      </c>
      <c r="F635" s="164">
        <f t="shared" ref="F635:F640" si="19">ROUND(D635*E635,2)</f>
        <v>1</v>
      </c>
      <c r="G635" s="180"/>
      <c r="H635" s="180"/>
      <c r="I635" s="180"/>
      <c r="J635" s="187"/>
      <c r="K635" s="866"/>
      <c r="L635" s="861"/>
      <c r="M635" s="861"/>
      <c r="N635" s="861"/>
    </row>
    <row r="636" spans="1:14" x14ac:dyDescent="0.3">
      <c r="B636" s="27" t="str">
        <f t="shared" si="18"/>
        <v>Бинт марлевий 7х14</v>
      </c>
      <c r="C636" s="27" t="str">
        <f t="shared" si="18"/>
        <v>шт</v>
      </c>
      <c r="D636" s="27">
        <f t="shared" si="18"/>
        <v>0.1</v>
      </c>
      <c r="E636" s="27">
        <f t="shared" si="18"/>
        <v>8</v>
      </c>
      <c r="F636" s="17">
        <f t="shared" si="19"/>
        <v>0.8</v>
      </c>
    </row>
    <row r="637" spans="1:14" x14ac:dyDescent="0.3">
      <c r="B637" s="27" t="str">
        <f>'МЕДИЧНІ М'!B327</f>
        <v>Суха медична плівка 35*43*100</v>
      </c>
      <c r="C637" s="27" t="str">
        <f>C586</f>
        <v>шт</v>
      </c>
      <c r="D637" s="27">
        <v>2</v>
      </c>
      <c r="E637" s="847">
        <f>'МЕДИЧНІ М'!F327</f>
        <v>15.841125</v>
      </c>
      <c r="F637" s="17">
        <f t="shared" si="19"/>
        <v>31.68</v>
      </c>
    </row>
    <row r="638" spans="1:14" x14ac:dyDescent="0.3">
      <c r="B638" s="27" t="str">
        <f>B587</f>
        <v>Рукавиці не стерильні</v>
      </c>
      <c r="C638" s="27" t="str">
        <f>C587</f>
        <v>шт</v>
      </c>
      <c r="D638" s="27">
        <f t="shared" ref="D638:E640" si="20">D587</f>
        <v>0.1</v>
      </c>
      <c r="E638" s="27">
        <f t="shared" si="20"/>
        <v>2.8</v>
      </c>
      <c r="F638" s="17">
        <f t="shared" si="19"/>
        <v>0.28000000000000003</v>
      </c>
    </row>
    <row r="639" spans="1:14" x14ac:dyDescent="0.3">
      <c r="B639" s="27" t="str">
        <f>B588</f>
        <v xml:space="preserve">Спирт 70% 100мл </v>
      </c>
      <c r="C639" s="27" t="str">
        <f>C588</f>
        <v>шт</v>
      </c>
      <c r="D639" s="27">
        <f t="shared" si="20"/>
        <v>0.01</v>
      </c>
      <c r="E639" s="27">
        <f t="shared" si="20"/>
        <v>24.6</v>
      </c>
      <c r="F639" s="30">
        <f t="shared" si="19"/>
        <v>0.25</v>
      </c>
    </row>
    <row r="640" spans="1:14" x14ac:dyDescent="0.3">
      <c r="B640" s="27" t="str">
        <f>B589</f>
        <v>Деззасоби</v>
      </c>
      <c r="C640" s="27" t="str">
        <f>C589</f>
        <v>г</v>
      </c>
      <c r="D640" s="27">
        <f t="shared" si="20"/>
        <v>0.5</v>
      </c>
      <c r="E640" s="27">
        <f t="shared" si="20"/>
        <v>0.5</v>
      </c>
      <c r="F640" s="30">
        <f t="shared" si="19"/>
        <v>0.25</v>
      </c>
    </row>
    <row r="641" spans="2:8" x14ac:dyDescent="0.3">
      <c r="B641" s="1019" t="s">
        <v>945</v>
      </c>
      <c r="C641" s="1019"/>
      <c r="D641" s="1019"/>
      <c r="E641" s="1019"/>
      <c r="F641" s="89">
        <f>SUM(F634:F640)</f>
        <v>34.56</v>
      </c>
    </row>
    <row r="643" spans="2:8" x14ac:dyDescent="0.3">
      <c r="B643" s="12" t="s">
        <v>968</v>
      </c>
      <c r="C643" s="227"/>
      <c r="D643" s="12"/>
      <c r="E643" s="11">
        <f>SUM(G646:G647)</f>
        <v>48.15</v>
      </c>
      <c r="F643" s="12" t="s">
        <v>971</v>
      </c>
    </row>
    <row r="644" spans="2:8" ht="6" customHeight="1" x14ac:dyDescent="0.3">
      <c r="B644" s="22"/>
      <c r="C644" s="36"/>
      <c r="D644" s="22"/>
      <c r="E644" s="23"/>
      <c r="F644" s="22"/>
    </row>
    <row r="645" spans="2:8" ht="27.6" x14ac:dyDescent="0.3">
      <c r="B645" s="14" t="s">
        <v>513</v>
      </c>
      <c r="C645" s="14" t="s">
        <v>1108</v>
      </c>
      <c r="D645" s="14" t="s">
        <v>516</v>
      </c>
      <c r="E645" s="14" t="s">
        <v>970</v>
      </c>
      <c r="F645" s="14" t="s">
        <v>930</v>
      </c>
      <c r="G645" s="14" t="s">
        <v>961</v>
      </c>
    </row>
    <row r="646" spans="2:8" x14ac:dyDescent="0.3">
      <c r="B646" s="46" t="s">
        <v>1158</v>
      </c>
      <c r="C646" s="73">
        <f>C595</f>
        <v>0</v>
      </c>
      <c r="D646" s="62">
        <f>H623</f>
        <v>1932.7</v>
      </c>
      <c r="E646" s="17">
        <f>ROUND((C646/D646)/60,2)</f>
        <v>0</v>
      </c>
      <c r="F646" s="17">
        <f>D627</f>
        <v>10</v>
      </c>
      <c r="G646" s="16">
        <f>ROUND(E646*F646,2)</f>
        <v>0</v>
      </c>
    </row>
    <row r="647" spans="2:8" x14ac:dyDescent="0.3">
      <c r="B647" s="27" t="s">
        <v>1093</v>
      </c>
      <c r="C647" s="73">
        <f>C596</f>
        <v>290000</v>
      </c>
      <c r="D647" s="62">
        <f>H624</f>
        <v>1506</v>
      </c>
      <c r="E647" s="17">
        <f>ROUND((C647/D647)/60,2)</f>
        <v>3.21</v>
      </c>
      <c r="F647" s="17">
        <f>D628</f>
        <v>15</v>
      </c>
      <c r="G647" s="16">
        <f>ROUND(E647*F647,2)</f>
        <v>48.15</v>
      </c>
      <c r="H647" s="38"/>
    </row>
    <row r="648" spans="2:8" ht="10.5" customHeight="1" x14ac:dyDescent="0.3"/>
    <row r="649" spans="2:8" x14ac:dyDescent="0.3">
      <c r="B649" s="12" t="s">
        <v>948</v>
      </c>
      <c r="C649" s="227"/>
      <c r="D649" s="12"/>
      <c r="E649" s="11">
        <f>G662</f>
        <v>3.45</v>
      </c>
      <c r="F649" s="12" t="s">
        <v>971</v>
      </c>
    </row>
    <row r="650" spans="2:8" ht="9" customHeight="1" x14ac:dyDescent="0.3">
      <c r="B650" s="22"/>
      <c r="C650" s="36"/>
      <c r="D650" s="22"/>
      <c r="E650" s="23"/>
    </row>
    <row r="651" spans="2:8" ht="27.6" x14ac:dyDescent="0.3">
      <c r="B651" s="14" t="s">
        <v>948</v>
      </c>
      <c r="C651" s="14" t="s">
        <v>1110</v>
      </c>
      <c r="D651" s="14" t="s">
        <v>516</v>
      </c>
      <c r="E651" s="14" t="s">
        <v>954</v>
      </c>
      <c r="F651" s="14" t="s">
        <v>930</v>
      </c>
      <c r="G651" s="14" t="s">
        <v>1111</v>
      </c>
    </row>
    <row r="652" spans="2:8" x14ac:dyDescent="0.3">
      <c r="B652" s="1009" t="str">
        <f>B623</f>
        <v>Лікар-рентгенолог</v>
      </c>
      <c r="C652" s="1010"/>
      <c r="D652" s="1010"/>
      <c r="E652" s="1010"/>
      <c r="F652" s="1010"/>
      <c r="G652" s="1011"/>
    </row>
    <row r="653" spans="2:8" x14ac:dyDescent="0.3">
      <c r="B653" s="17" t="s">
        <v>951</v>
      </c>
      <c r="C653" s="221">
        <f>C602</f>
        <v>12188.608008565312</v>
      </c>
      <c r="D653" s="17">
        <f>H623</f>
        <v>1932.7</v>
      </c>
      <c r="E653" s="17">
        <f>ROUND((C653/D653)/60,2)</f>
        <v>0.11</v>
      </c>
      <c r="F653" s="17">
        <f>D627</f>
        <v>10</v>
      </c>
      <c r="G653" s="16">
        <f>ROUND(E653*F653,2)</f>
        <v>1.1000000000000001</v>
      </c>
    </row>
    <row r="654" spans="2:8" x14ac:dyDescent="0.3">
      <c r="B654" s="17" t="s">
        <v>952</v>
      </c>
      <c r="C654" s="221">
        <f>C603</f>
        <v>53.149721627408987</v>
      </c>
      <c r="D654" s="17">
        <f>H623</f>
        <v>1932.7</v>
      </c>
      <c r="E654" s="17">
        <f>ROUND((C654/D654)/60,2)</f>
        <v>0</v>
      </c>
      <c r="F654" s="17">
        <f>D627</f>
        <v>10</v>
      </c>
      <c r="G654" s="16">
        <f>ROUND(E654*F654,2)</f>
        <v>0</v>
      </c>
    </row>
    <row r="655" spans="2:8" x14ac:dyDescent="0.3">
      <c r="B655" s="17" t="s">
        <v>953</v>
      </c>
      <c r="C655" s="221">
        <f>C604</f>
        <v>374.98368308351178</v>
      </c>
      <c r="D655" s="17">
        <f>H623</f>
        <v>1932.7</v>
      </c>
      <c r="E655" s="17">
        <f>ROUND((C655/D655)/60,2)</f>
        <v>0</v>
      </c>
      <c r="F655" s="17">
        <f>D627</f>
        <v>10</v>
      </c>
      <c r="G655" s="16">
        <f>ROUND(E655*F655,2)</f>
        <v>0</v>
      </c>
    </row>
    <row r="656" spans="2:8" x14ac:dyDescent="0.3">
      <c r="B656" s="17" t="s">
        <v>1109</v>
      </c>
      <c r="C656" s="221">
        <f>C605</f>
        <v>1686.0389293361886</v>
      </c>
      <c r="D656" s="17">
        <f>H623</f>
        <v>1932.7</v>
      </c>
      <c r="E656" s="17">
        <f>ROUND((C656/D656)/60,2)</f>
        <v>0.01</v>
      </c>
      <c r="F656" s="17">
        <f>D627</f>
        <v>10</v>
      </c>
      <c r="G656" s="16">
        <f>ROUND(E656*F656,2)</f>
        <v>0.1</v>
      </c>
    </row>
    <row r="657" spans="1:14" x14ac:dyDescent="0.3">
      <c r="B657" s="1009" t="str">
        <f>B624</f>
        <v>Рентгенолаборант</v>
      </c>
      <c r="C657" s="1010"/>
      <c r="D657" s="1010"/>
      <c r="E657" s="1010"/>
      <c r="F657" s="1010"/>
      <c r="G657" s="1011"/>
    </row>
    <row r="658" spans="1:14" x14ac:dyDescent="0.3">
      <c r="B658" s="17" t="s">
        <v>951</v>
      </c>
      <c r="C658" s="221">
        <f>C653</f>
        <v>12188.608008565312</v>
      </c>
      <c r="D658" s="17">
        <f>H624</f>
        <v>1506</v>
      </c>
      <c r="E658" s="17">
        <f>ROUND((C658/D658)/60,2)</f>
        <v>0.13</v>
      </c>
      <c r="F658" s="17">
        <f>D628</f>
        <v>15</v>
      </c>
      <c r="G658" s="16">
        <f>ROUND(E658*F658,2)</f>
        <v>1.95</v>
      </c>
    </row>
    <row r="659" spans="1:14" x14ac:dyDescent="0.3">
      <c r="B659" s="17" t="s">
        <v>952</v>
      </c>
      <c r="C659" s="221">
        <f>C654</f>
        <v>53.149721627408987</v>
      </c>
      <c r="D659" s="17">
        <f>H624</f>
        <v>1506</v>
      </c>
      <c r="E659" s="17">
        <f>ROUND((C659/D659)/60,2)</f>
        <v>0</v>
      </c>
      <c r="F659" s="17">
        <f>D628</f>
        <v>15</v>
      </c>
      <c r="G659" s="16">
        <f>ROUND(E659*F659,2)</f>
        <v>0</v>
      </c>
    </row>
    <row r="660" spans="1:14" x14ac:dyDescent="0.3">
      <c r="B660" s="17" t="s">
        <v>953</v>
      </c>
      <c r="C660" s="221">
        <f>C655</f>
        <v>374.98368308351178</v>
      </c>
      <c r="D660" s="17">
        <f>H624</f>
        <v>1506</v>
      </c>
      <c r="E660" s="17">
        <f>ROUND((C660/D660)/60,2)</f>
        <v>0</v>
      </c>
      <c r="F660" s="17">
        <f>D628</f>
        <v>15</v>
      </c>
      <c r="G660" s="16">
        <f>ROUND(E660*F660,2)</f>
        <v>0</v>
      </c>
    </row>
    <row r="661" spans="1:14" x14ac:dyDescent="0.3">
      <c r="B661" s="17" t="s">
        <v>1109</v>
      </c>
      <c r="C661" s="221">
        <f>C656</f>
        <v>1686.0389293361886</v>
      </c>
      <c r="D661" s="17">
        <f>H624</f>
        <v>1506</v>
      </c>
      <c r="E661" s="17">
        <f>ROUND((C661/D661)/60,2)</f>
        <v>0.02</v>
      </c>
      <c r="F661" s="17">
        <f>D628</f>
        <v>15</v>
      </c>
      <c r="G661" s="16">
        <f>ROUND(E661*F661,2)</f>
        <v>0.3</v>
      </c>
    </row>
    <row r="662" spans="1:14" x14ac:dyDescent="0.3">
      <c r="B662" s="1012" t="s">
        <v>957</v>
      </c>
      <c r="C662" s="1013"/>
      <c r="D662" s="1013"/>
      <c r="E662" s="1013"/>
      <c r="F662" s="1014"/>
      <c r="G662" s="18">
        <f>SUM(G653:G661)</f>
        <v>3.45</v>
      </c>
    </row>
    <row r="663" spans="1:14" ht="9" customHeight="1" x14ac:dyDescent="0.3"/>
    <row r="664" spans="1:14" ht="3.75" customHeight="1" x14ac:dyDescent="0.3"/>
    <row r="665" spans="1:14" x14ac:dyDescent="0.3">
      <c r="B665" s="1015" t="s">
        <v>959</v>
      </c>
      <c r="C665" s="1015"/>
      <c r="D665" s="1015"/>
      <c r="E665" s="1015"/>
      <c r="F665" s="1015"/>
      <c r="G665" s="32">
        <f>E620+E632+E643+E649</f>
        <v>117.94000000000001</v>
      </c>
    </row>
    <row r="666" spans="1:14" ht="9" customHeight="1" x14ac:dyDescent="0.3">
      <c r="B666" s="33"/>
      <c r="C666" s="33"/>
      <c r="D666" s="33"/>
      <c r="E666" s="33"/>
      <c r="F666" s="33"/>
      <c r="G666" s="34"/>
    </row>
    <row r="667" spans="1:14" x14ac:dyDescent="0.3">
      <c r="B667" s="1015" t="s">
        <v>960</v>
      </c>
      <c r="C667" s="1015"/>
      <c r="D667" s="1015"/>
      <c r="E667" s="1015"/>
      <c r="F667" s="1015"/>
      <c r="G667" s="32">
        <f>ROUND(G665,0)</f>
        <v>118</v>
      </c>
    </row>
    <row r="669" spans="1:14" s="54" customFormat="1" ht="19.8" x14ac:dyDescent="0.4">
      <c r="A669" s="50" t="s">
        <v>256</v>
      </c>
      <c r="B669" s="1017" t="s">
        <v>677</v>
      </c>
      <c r="C669" s="1017"/>
      <c r="D669" s="1017"/>
      <c r="E669" s="52">
        <f>G718</f>
        <v>134</v>
      </c>
      <c r="F669" s="52" t="s">
        <v>971</v>
      </c>
      <c r="G669" s="53"/>
      <c r="H669" s="124"/>
      <c r="I669" s="125" t="s">
        <v>1023</v>
      </c>
      <c r="J669" s="130"/>
      <c r="K669" s="868"/>
      <c r="L669" s="65"/>
      <c r="M669" s="65"/>
      <c r="N669" s="65"/>
    </row>
    <row r="670" spans="1:14" ht="18.600000000000001" x14ac:dyDescent="0.3">
      <c r="I670" s="125" t="s">
        <v>233</v>
      </c>
    </row>
    <row r="671" spans="1:14" x14ac:dyDescent="0.3">
      <c r="B671" s="1018" t="s">
        <v>932</v>
      </c>
      <c r="C671" s="1018"/>
      <c r="D671" s="10"/>
      <c r="E671" s="11">
        <f>E678+E681+E679</f>
        <v>31.78</v>
      </c>
      <c r="F671" s="12" t="s">
        <v>971</v>
      </c>
    </row>
    <row r="673" spans="1:14" ht="27.6" x14ac:dyDescent="0.3">
      <c r="B673" s="13" t="s">
        <v>929</v>
      </c>
      <c r="C673" s="14" t="s">
        <v>928</v>
      </c>
      <c r="D673" s="14" t="s">
        <v>514</v>
      </c>
      <c r="E673" s="14" t="s">
        <v>515</v>
      </c>
      <c r="F673" s="14" t="s">
        <v>962</v>
      </c>
      <c r="G673" s="14" t="s">
        <v>926</v>
      </c>
      <c r="H673" s="14" t="s">
        <v>516</v>
      </c>
      <c r="I673" s="14" t="s">
        <v>961</v>
      </c>
    </row>
    <row r="674" spans="1:14" x14ac:dyDescent="0.3">
      <c r="B674" s="16" t="str">
        <f>B623</f>
        <v>Лікар-рентгенолог</v>
      </c>
      <c r="C674" s="78">
        <f>C623</f>
        <v>8463.5400000000009</v>
      </c>
      <c r="D674" s="16">
        <f>C674*12</f>
        <v>101562.48000000001</v>
      </c>
      <c r="E674" s="16">
        <f>E623</f>
        <v>7052.95</v>
      </c>
      <c r="F674" s="16">
        <f>F623</f>
        <v>3526.4749999999999</v>
      </c>
      <c r="G674" s="16">
        <f>D674+E674+F674</f>
        <v>112141.90500000001</v>
      </c>
      <c r="H674" s="17">
        <v>1932.7</v>
      </c>
      <c r="I674" s="16">
        <f>ROUND((G674/H674)/60,2)</f>
        <v>0.97</v>
      </c>
    </row>
    <row r="675" spans="1:14" x14ac:dyDescent="0.3">
      <c r="B675" s="16" t="str">
        <f>B624</f>
        <v>Рентгенолаборант</v>
      </c>
      <c r="C675" s="78">
        <f>C624</f>
        <v>7482.48</v>
      </c>
      <c r="D675" s="24">
        <f>C675*12</f>
        <v>89789.759999999995</v>
      </c>
      <c r="E675" s="16">
        <f>E624</f>
        <v>5755.75</v>
      </c>
      <c r="F675" s="16">
        <f>F624</f>
        <v>2877.875</v>
      </c>
      <c r="G675" s="16">
        <f>D675+E675+F675</f>
        <v>98423.384999999995</v>
      </c>
      <c r="H675" s="62">
        <v>1506</v>
      </c>
      <c r="I675" s="16">
        <f>ROUND((G675/H675)/60,2)</f>
        <v>1.0900000000000001</v>
      </c>
    </row>
    <row r="677" spans="1:14" ht="27.6" x14ac:dyDescent="0.3">
      <c r="B677" s="13" t="s">
        <v>929</v>
      </c>
      <c r="C677" s="14" t="s">
        <v>961</v>
      </c>
      <c r="D677" s="14" t="s">
        <v>930</v>
      </c>
      <c r="E677" s="14" t="s">
        <v>931</v>
      </c>
    </row>
    <row r="678" spans="1:14" x14ac:dyDescent="0.3">
      <c r="B678" s="15" t="str">
        <f>B674</f>
        <v>Лікар-рентгенолог</v>
      </c>
      <c r="C678" s="78">
        <f>I674</f>
        <v>0.97</v>
      </c>
      <c r="D678" s="17">
        <v>10</v>
      </c>
      <c r="E678" s="18">
        <f>ROUND(C678*D678,2)</f>
        <v>9.6999999999999993</v>
      </c>
    </row>
    <row r="679" spans="1:14" x14ac:dyDescent="0.3">
      <c r="B679" s="15" t="str">
        <f>B675</f>
        <v>Рентгенолаборант</v>
      </c>
      <c r="C679" s="78">
        <f>I675</f>
        <v>1.0900000000000001</v>
      </c>
      <c r="D679" s="17">
        <v>15</v>
      </c>
      <c r="E679" s="18">
        <f>ROUND(C679*D679,2)</f>
        <v>16.350000000000001</v>
      </c>
    </row>
    <row r="680" spans="1:14" x14ac:dyDescent="0.3">
      <c r="C680" s="19"/>
    </row>
    <row r="681" spans="1:14" x14ac:dyDescent="0.3">
      <c r="B681" s="17" t="s">
        <v>933</v>
      </c>
      <c r="C681" s="78">
        <f>E678+E679</f>
        <v>26.05</v>
      </c>
      <c r="D681" s="20">
        <v>0.22</v>
      </c>
      <c r="E681" s="21">
        <f>ROUND(C681*D681,2)</f>
        <v>5.73</v>
      </c>
    </row>
    <row r="683" spans="1:14" x14ac:dyDescent="0.3">
      <c r="B683" s="12" t="s">
        <v>946</v>
      </c>
      <c r="C683" s="227"/>
      <c r="D683" s="12"/>
      <c r="E683" s="11">
        <f>F692</f>
        <v>50.400000000000006</v>
      </c>
      <c r="F683" s="12" t="s">
        <v>971</v>
      </c>
    </row>
    <row r="685" spans="1:14" x14ac:dyDescent="0.3">
      <c r="B685" s="27" t="str">
        <f t="shared" ref="B685:E687" si="21">B634</f>
        <v>Мікрасепт</v>
      </c>
      <c r="C685" s="27" t="str">
        <f t="shared" si="21"/>
        <v>мл</v>
      </c>
      <c r="D685" s="27">
        <f t="shared" si="21"/>
        <v>1</v>
      </c>
      <c r="E685" s="27">
        <f t="shared" si="21"/>
        <v>0.3</v>
      </c>
      <c r="F685" s="30">
        <f>ROUND(D685*E685,2)</f>
        <v>0.3</v>
      </c>
    </row>
    <row r="686" spans="1:14" s="184" customFormat="1" x14ac:dyDescent="0.3">
      <c r="A686" s="180"/>
      <c r="B686" s="27" t="str">
        <f t="shared" si="21"/>
        <v>Маска на резинці, стерильна</v>
      </c>
      <c r="C686" s="27" t="str">
        <f t="shared" si="21"/>
        <v>шт</v>
      </c>
      <c r="D686" s="27">
        <f t="shared" si="21"/>
        <v>0.5</v>
      </c>
      <c r="E686" s="27">
        <f t="shared" si="21"/>
        <v>2</v>
      </c>
      <c r="F686" s="164">
        <f t="shared" ref="F686:F691" si="22">ROUND(D686*E686,2)</f>
        <v>1</v>
      </c>
      <c r="G686" s="180"/>
      <c r="H686" s="180"/>
      <c r="I686" s="180"/>
      <c r="J686" s="187"/>
      <c r="K686" s="866"/>
      <c r="L686" s="861"/>
      <c r="M686" s="861"/>
      <c r="N686" s="861"/>
    </row>
    <row r="687" spans="1:14" x14ac:dyDescent="0.3">
      <c r="B687" s="27" t="str">
        <f t="shared" si="21"/>
        <v>Бинт марлевий 7х14</v>
      </c>
      <c r="C687" s="27" t="str">
        <f t="shared" si="21"/>
        <v>шт</v>
      </c>
      <c r="D687" s="27">
        <f t="shared" si="21"/>
        <v>0.1</v>
      </c>
      <c r="E687" s="27">
        <f t="shared" si="21"/>
        <v>8</v>
      </c>
      <c r="F687" s="17">
        <f t="shared" si="22"/>
        <v>0.8</v>
      </c>
    </row>
    <row r="688" spans="1:14" x14ac:dyDescent="0.3">
      <c r="B688" s="27" t="str">
        <f>'МЕДИЧНІ М'!B327</f>
        <v>Суха медична плівка 35*43*100</v>
      </c>
      <c r="C688" s="27" t="str">
        <f>C637</f>
        <v>шт</v>
      </c>
      <c r="D688" s="27">
        <v>3</v>
      </c>
      <c r="E688" s="847">
        <f>'МЕДИЧНІ М'!F327</f>
        <v>15.841125</v>
      </c>
      <c r="F688" s="17">
        <f t="shared" si="22"/>
        <v>47.52</v>
      </c>
    </row>
    <row r="689" spans="2:8" x14ac:dyDescent="0.3">
      <c r="B689" s="27" t="str">
        <f>B638</f>
        <v>Рукавиці не стерильні</v>
      </c>
      <c r="C689" s="27" t="str">
        <f>C638</f>
        <v>шт</v>
      </c>
      <c r="D689" s="27">
        <f t="shared" ref="D689:E691" si="23">D638</f>
        <v>0.1</v>
      </c>
      <c r="E689" s="27">
        <f t="shared" si="23"/>
        <v>2.8</v>
      </c>
      <c r="F689" s="17">
        <f t="shared" si="22"/>
        <v>0.28000000000000003</v>
      </c>
    </row>
    <row r="690" spans="2:8" x14ac:dyDescent="0.3">
      <c r="B690" s="27" t="str">
        <f>B639</f>
        <v xml:space="preserve">Спирт 70% 100мл </v>
      </c>
      <c r="C690" s="27" t="str">
        <f>C639</f>
        <v>шт</v>
      </c>
      <c r="D690" s="27">
        <f t="shared" si="23"/>
        <v>0.01</v>
      </c>
      <c r="E690" s="27">
        <f t="shared" si="23"/>
        <v>24.6</v>
      </c>
      <c r="F690" s="30">
        <f t="shared" si="22"/>
        <v>0.25</v>
      </c>
    </row>
    <row r="691" spans="2:8" x14ac:dyDescent="0.3">
      <c r="B691" s="27" t="str">
        <f>B640</f>
        <v>Деззасоби</v>
      </c>
      <c r="C691" s="27" t="str">
        <f>C640</f>
        <v>г</v>
      </c>
      <c r="D691" s="27">
        <f t="shared" si="23"/>
        <v>0.5</v>
      </c>
      <c r="E691" s="27">
        <f t="shared" si="23"/>
        <v>0.5</v>
      </c>
      <c r="F691" s="30">
        <f t="shared" si="22"/>
        <v>0.25</v>
      </c>
    </row>
    <row r="692" spans="2:8" x14ac:dyDescent="0.3">
      <c r="B692" s="1019" t="s">
        <v>945</v>
      </c>
      <c r="C692" s="1019"/>
      <c r="D692" s="1019"/>
      <c r="E692" s="1019"/>
      <c r="F692" s="89">
        <f>SUM(F685:F691)</f>
        <v>50.400000000000006</v>
      </c>
    </row>
    <row r="694" spans="2:8" x14ac:dyDescent="0.3">
      <c r="B694" s="12" t="s">
        <v>968</v>
      </c>
      <c r="C694" s="227"/>
      <c r="D694" s="12"/>
      <c r="E694" s="11">
        <f>SUM(G697:G698)</f>
        <v>48.15</v>
      </c>
      <c r="F694" s="12" t="s">
        <v>971</v>
      </c>
    </row>
    <row r="695" spans="2:8" ht="6" customHeight="1" x14ac:dyDescent="0.3">
      <c r="B695" s="22"/>
      <c r="C695" s="36"/>
      <c r="D695" s="22"/>
      <c r="E695" s="23"/>
      <c r="F695" s="22"/>
    </row>
    <row r="696" spans="2:8" ht="27.6" x14ac:dyDescent="0.3">
      <c r="B696" s="14" t="s">
        <v>513</v>
      </c>
      <c r="C696" s="14" t="s">
        <v>1108</v>
      </c>
      <c r="D696" s="14" t="s">
        <v>516</v>
      </c>
      <c r="E696" s="14" t="s">
        <v>970</v>
      </c>
      <c r="F696" s="14" t="s">
        <v>930</v>
      </c>
      <c r="G696" s="14" t="s">
        <v>961</v>
      </c>
    </row>
    <row r="697" spans="2:8" x14ac:dyDescent="0.3">
      <c r="B697" s="46" t="s">
        <v>1158</v>
      </c>
      <c r="C697" s="73">
        <f>C646</f>
        <v>0</v>
      </c>
      <c r="D697" s="62">
        <f>H674</f>
        <v>1932.7</v>
      </c>
      <c r="E697" s="17">
        <f>ROUND((C697/D697)/60,2)</f>
        <v>0</v>
      </c>
      <c r="F697" s="17">
        <f>D678</f>
        <v>10</v>
      </c>
      <c r="G697" s="16">
        <f>ROUND(E697*F697,2)</f>
        <v>0</v>
      </c>
    </row>
    <row r="698" spans="2:8" x14ac:dyDescent="0.3">
      <c r="B698" s="27" t="s">
        <v>1093</v>
      </c>
      <c r="C698" s="73">
        <f>C647</f>
        <v>290000</v>
      </c>
      <c r="D698" s="62">
        <f>H675</f>
        <v>1506</v>
      </c>
      <c r="E698" s="17">
        <f>ROUND((C698/D698)/60,2)</f>
        <v>3.21</v>
      </c>
      <c r="F698" s="17">
        <f>D679</f>
        <v>15</v>
      </c>
      <c r="G698" s="16">
        <f>ROUND(E698*F698,2)</f>
        <v>48.15</v>
      </c>
      <c r="H698" s="38"/>
    </row>
    <row r="699" spans="2:8" ht="10.5" customHeight="1" x14ac:dyDescent="0.3"/>
    <row r="700" spans="2:8" x14ac:dyDescent="0.3">
      <c r="B700" s="12" t="s">
        <v>948</v>
      </c>
      <c r="C700" s="227"/>
      <c r="D700" s="12"/>
      <c r="E700" s="11">
        <f>G713</f>
        <v>3.45</v>
      </c>
      <c r="F700" s="12" t="s">
        <v>971</v>
      </c>
    </row>
    <row r="701" spans="2:8" ht="9" customHeight="1" x14ac:dyDescent="0.3">
      <c r="B701" s="22"/>
      <c r="C701" s="36"/>
      <c r="D701" s="22"/>
      <c r="E701" s="23"/>
    </row>
    <row r="702" spans="2:8" ht="27.6" x14ac:dyDescent="0.3">
      <c r="B702" s="14" t="s">
        <v>948</v>
      </c>
      <c r="C702" s="14" t="s">
        <v>1110</v>
      </c>
      <c r="D702" s="14" t="s">
        <v>516</v>
      </c>
      <c r="E702" s="14" t="s">
        <v>954</v>
      </c>
      <c r="F702" s="14" t="s">
        <v>930</v>
      </c>
      <c r="G702" s="14" t="s">
        <v>1111</v>
      </c>
    </row>
    <row r="703" spans="2:8" x14ac:dyDescent="0.3">
      <c r="B703" s="1009" t="str">
        <f>B674</f>
        <v>Лікар-рентгенолог</v>
      </c>
      <c r="C703" s="1010"/>
      <c r="D703" s="1010"/>
      <c r="E703" s="1010"/>
      <c r="F703" s="1010"/>
      <c r="G703" s="1011"/>
    </row>
    <row r="704" spans="2:8" x14ac:dyDescent="0.3">
      <c r="B704" s="17" t="s">
        <v>951</v>
      </c>
      <c r="C704" s="221">
        <f>C653</f>
        <v>12188.608008565312</v>
      </c>
      <c r="D704" s="17">
        <f>H674</f>
        <v>1932.7</v>
      </c>
      <c r="E704" s="17">
        <f>ROUND((C704/D704)/60,2)</f>
        <v>0.11</v>
      </c>
      <c r="F704" s="17">
        <f>D678</f>
        <v>10</v>
      </c>
      <c r="G704" s="16">
        <f>ROUND(E704*F704,2)</f>
        <v>1.1000000000000001</v>
      </c>
    </row>
    <row r="705" spans="1:14" x14ac:dyDescent="0.3">
      <c r="B705" s="17" t="s">
        <v>952</v>
      </c>
      <c r="C705" s="221">
        <f>C654</f>
        <v>53.149721627408987</v>
      </c>
      <c r="D705" s="17">
        <f>H674</f>
        <v>1932.7</v>
      </c>
      <c r="E705" s="17">
        <f>ROUND((C705/D705)/60,2)</f>
        <v>0</v>
      </c>
      <c r="F705" s="17">
        <f>D678</f>
        <v>10</v>
      </c>
      <c r="G705" s="16">
        <f>ROUND(E705*F705,2)</f>
        <v>0</v>
      </c>
    </row>
    <row r="706" spans="1:14" x14ac:dyDescent="0.3">
      <c r="B706" s="17" t="s">
        <v>953</v>
      </c>
      <c r="C706" s="221">
        <f>C655</f>
        <v>374.98368308351178</v>
      </c>
      <c r="D706" s="17">
        <f>H674</f>
        <v>1932.7</v>
      </c>
      <c r="E706" s="17">
        <f>ROUND((C706/D706)/60,2)</f>
        <v>0</v>
      </c>
      <c r="F706" s="17">
        <f>D678</f>
        <v>10</v>
      </c>
      <c r="G706" s="16">
        <f>ROUND(E706*F706,2)</f>
        <v>0</v>
      </c>
    </row>
    <row r="707" spans="1:14" x14ac:dyDescent="0.3">
      <c r="B707" s="17" t="s">
        <v>1109</v>
      </c>
      <c r="C707" s="221">
        <f>C656</f>
        <v>1686.0389293361886</v>
      </c>
      <c r="D707" s="17">
        <f>H674</f>
        <v>1932.7</v>
      </c>
      <c r="E707" s="17">
        <f>ROUND((C707/D707)/60,2)</f>
        <v>0.01</v>
      </c>
      <c r="F707" s="17">
        <f>D678</f>
        <v>10</v>
      </c>
      <c r="G707" s="16">
        <f>ROUND(E707*F707,2)</f>
        <v>0.1</v>
      </c>
    </row>
    <row r="708" spans="1:14" x14ac:dyDescent="0.3">
      <c r="B708" s="1009" t="str">
        <f>B675</f>
        <v>Рентгенолаборант</v>
      </c>
      <c r="C708" s="1010"/>
      <c r="D708" s="1010"/>
      <c r="E708" s="1010"/>
      <c r="F708" s="1010"/>
      <c r="G708" s="1011"/>
    </row>
    <row r="709" spans="1:14" x14ac:dyDescent="0.3">
      <c r="B709" s="17" t="s">
        <v>951</v>
      </c>
      <c r="C709" s="221">
        <f>C704</f>
        <v>12188.608008565312</v>
      </c>
      <c r="D709" s="17">
        <f>H675</f>
        <v>1506</v>
      </c>
      <c r="E709" s="17">
        <f>ROUND((C709/D709)/60,2)</f>
        <v>0.13</v>
      </c>
      <c r="F709" s="17">
        <f>D679</f>
        <v>15</v>
      </c>
      <c r="G709" s="16">
        <f>ROUND(E709*F709,2)</f>
        <v>1.95</v>
      </c>
    </row>
    <row r="710" spans="1:14" x14ac:dyDescent="0.3">
      <c r="B710" s="17" t="s">
        <v>952</v>
      </c>
      <c r="C710" s="221">
        <f>C705</f>
        <v>53.149721627408987</v>
      </c>
      <c r="D710" s="17">
        <f>H675</f>
        <v>1506</v>
      </c>
      <c r="E710" s="17">
        <f>ROUND((C710/D710)/60,2)</f>
        <v>0</v>
      </c>
      <c r="F710" s="17">
        <f>D679</f>
        <v>15</v>
      </c>
      <c r="G710" s="16">
        <f>ROUND(E710*F710,2)</f>
        <v>0</v>
      </c>
    </row>
    <row r="711" spans="1:14" x14ac:dyDescent="0.3">
      <c r="B711" s="17" t="s">
        <v>953</v>
      </c>
      <c r="C711" s="221">
        <f>C706</f>
        <v>374.98368308351178</v>
      </c>
      <c r="D711" s="17">
        <f>H675</f>
        <v>1506</v>
      </c>
      <c r="E711" s="17">
        <f>ROUND((C711/D711)/60,2)</f>
        <v>0</v>
      </c>
      <c r="F711" s="17">
        <f>D679</f>
        <v>15</v>
      </c>
      <c r="G711" s="16">
        <f>ROUND(E711*F711,2)</f>
        <v>0</v>
      </c>
    </row>
    <row r="712" spans="1:14" x14ac:dyDescent="0.3">
      <c r="B712" s="17" t="s">
        <v>1109</v>
      </c>
      <c r="C712" s="221">
        <f>C707</f>
        <v>1686.0389293361886</v>
      </c>
      <c r="D712" s="17">
        <f>H675</f>
        <v>1506</v>
      </c>
      <c r="E712" s="17">
        <f>ROUND((C712/D712)/60,2)</f>
        <v>0.02</v>
      </c>
      <c r="F712" s="17">
        <f>D679</f>
        <v>15</v>
      </c>
      <c r="G712" s="16">
        <f>ROUND(E712*F712,2)</f>
        <v>0.3</v>
      </c>
    </row>
    <row r="713" spans="1:14" x14ac:dyDescent="0.3">
      <c r="B713" s="1012" t="s">
        <v>957</v>
      </c>
      <c r="C713" s="1013"/>
      <c r="D713" s="1013"/>
      <c r="E713" s="1013"/>
      <c r="F713" s="1014"/>
      <c r="G713" s="18">
        <f>SUM(G704:G712)</f>
        <v>3.45</v>
      </c>
    </row>
    <row r="714" spans="1:14" ht="9" customHeight="1" x14ac:dyDescent="0.3"/>
    <row r="715" spans="1:14" ht="3.75" customHeight="1" x14ac:dyDescent="0.3"/>
    <row r="716" spans="1:14" x14ac:dyDescent="0.3">
      <c r="B716" s="1015" t="s">
        <v>959</v>
      </c>
      <c r="C716" s="1015"/>
      <c r="D716" s="1015"/>
      <c r="E716" s="1015"/>
      <c r="F716" s="1015"/>
      <c r="G716" s="32">
        <f>E671+E683+E694+E700</f>
        <v>133.78</v>
      </c>
    </row>
    <row r="717" spans="1:14" ht="9" customHeight="1" x14ac:dyDescent="0.3">
      <c r="B717" s="33"/>
      <c r="C717" s="33"/>
      <c r="D717" s="33"/>
      <c r="E717" s="33"/>
      <c r="F717" s="33"/>
      <c r="G717" s="34"/>
    </row>
    <row r="718" spans="1:14" x14ac:dyDescent="0.3">
      <c r="B718" s="1015" t="s">
        <v>960</v>
      </c>
      <c r="C718" s="1015"/>
      <c r="D718" s="1015"/>
      <c r="E718" s="1015"/>
      <c r="F718" s="1015"/>
      <c r="G718" s="32">
        <f>ROUND(G716,0)</f>
        <v>134</v>
      </c>
    </row>
    <row r="720" spans="1:14" s="54" customFormat="1" ht="19.8" x14ac:dyDescent="0.4">
      <c r="A720" s="50" t="s">
        <v>257</v>
      </c>
      <c r="B720" s="1017" t="s">
        <v>677</v>
      </c>
      <c r="C720" s="1017"/>
      <c r="D720" s="1017"/>
      <c r="E720" s="52">
        <f>G769</f>
        <v>150</v>
      </c>
      <c r="F720" s="52" t="s">
        <v>971</v>
      </c>
      <c r="G720" s="53"/>
      <c r="H720" s="124"/>
      <c r="I720" s="125" t="s">
        <v>1023</v>
      </c>
      <c r="J720" s="130"/>
      <c r="K720" s="868"/>
      <c r="L720" s="65"/>
      <c r="M720" s="65"/>
      <c r="N720" s="65"/>
    </row>
    <row r="721" spans="2:9" ht="18.600000000000001" x14ac:dyDescent="0.3">
      <c r="I721" s="125" t="s">
        <v>234</v>
      </c>
    </row>
    <row r="722" spans="2:9" x14ac:dyDescent="0.3">
      <c r="B722" s="1018" t="s">
        <v>932</v>
      </c>
      <c r="C722" s="1018"/>
      <c r="D722" s="10"/>
      <c r="E722" s="11">
        <f>E729+E732+E730</f>
        <v>31.78</v>
      </c>
      <c r="F722" s="12" t="s">
        <v>971</v>
      </c>
    </row>
    <row r="724" spans="2:9" ht="27.6" x14ac:dyDescent="0.3">
      <c r="B724" s="13" t="s">
        <v>929</v>
      </c>
      <c r="C724" s="14" t="s">
        <v>928</v>
      </c>
      <c r="D724" s="14" t="s">
        <v>514</v>
      </c>
      <c r="E724" s="14" t="s">
        <v>515</v>
      </c>
      <c r="F724" s="14" t="s">
        <v>962</v>
      </c>
      <c r="G724" s="14" t="s">
        <v>926</v>
      </c>
      <c r="H724" s="14" t="s">
        <v>516</v>
      </c>
      <c r="I724" s="14" t="s">
        <v>961</v>
      </c>
    </row>
    <row r="725" spans="2:9" x14ac:dyDescent="0.3">
      <c r="B725" s="16" t="str">
        <f>B674</f>
        <v>Лікар-рентгенолог</v>
      </c>
      <c r="C725" s="78">
        <f>C674</f>
        <v>8463.5400000000009</v>
      </c>
      <c r="D725" s="16">
        <f>C725*12</f>
        <v>101562.48000000001</v>
      </c>
      <c r="E725" s="16">
        <f>E674</f>
        <v>7052.95</v>
      </c>
      <c r="F725" s="16">
        <f>F674</f>
        <v>3526.4749999999999</v>
      </c>
      <c r="G725" s="16">
        <f>D725+E725+F725</f>
        <v>112141.90500000001</v>
      </c>
      <c r="H725" s="17">
        <v>1932.7</v>
      </c>
      <c r="I725" s="16">
        <f>ROUND((G725/H725)/60,2)</f>
        <v>0.97</v>
      </c>
    </row>
    <row r="726" spans="2:9" x14ac:dyDescent="0.3">
      <c r="B726" s="16" t="str">
        <f>B675</f>
        <v>Рентгенолаборант</v>
      </c>
      <c r="C726" s="78">
        <f>C675</f>
        <v>7482.48</v>
      </c>
      <c r="D726" s="24">
        <f>C726*12</f>
        <v>89789.759999999995</v>
      </c>
      <c r="E726" s="16">
        <f>E675</f>
        <v>5755.75</v>
      </c>
      <c r="F726" s="16">
        <f>F675</f>
        <v>2877.875</v>
      </c>
      <c r="G726" s="16">
        <f>D726+E726+F726</f>
        <v>98423.384999999995</v>
      </c>
      <c r="H726" s="62">
        <v>1506</v>
      </c>
      <c r="I726" s="16">
        <f>ROUND((G726/H726)/60,2)</f>
        <v>1.0900000000000001</v>
      </c>
    </row>
    <row r="728" spans="2:9" ht="27.6" x14ac:dyDescent="0.3">
      <c r="B728" s="13" t="s">
        <v>929</v>
      </c>
      <c r="C728" s="14" t="s">
        <v>961</v>
      </c>
      <c r="D728" s="14" t="s">
        <v>930</v>
      </c>
      <c r="E728" s="14" t="s">
        <v>931</v>
      </c>
    </row>
    <row r="729" spans="2:9" x14ac:dyDescent="0.3">
      <c r="B729" s="15" t="str">
        <f>B725</f>
        <v>Лікар-рентгенолог</v>
      </c>
      <c r="C729" s="78">
        <f>I725</f>
        <v>0.97</v>
      </c>
      <c r="D729" s="17">
        <v>10</v>
      </c>
      <c r="E729" s="18">
        <f>ROUND(C729*D729,2)</f>
        <v>9.6999999999999993</v>
      </c>
    </row>
    <row r="730" spans="2:9" x14ac:dyDescent="0.3">
      <c r="B730" s="15" t="str">
        <f>B726</f>
        <v>Рентгенолаборант</v>
      </c>
      <c r="C730" s="78">
        <f>I726</f>
        <v>1.0900000000000001</v>
      </c>
      <c r="D730" s="17">
        <v>15</v>
      </c>
      <c r="E730" s="18">
        <f>ROUND(C730*D730,2)</f>
        <v>16.350000000000001</v>
      </c>
    </row>
    <row r="731" spans="2:9" x14ac:dyDescent="0.3">
      <c r="C731" s="19"/>
    </row>
    <row r="732" spans="2:9" x14ac:dyDescent="0.3">
      <c r="B732" s="17" t="s">
        <v>933</v>
      </c>
      <c r="C732" s="78">
        <f>E729+E730</f>
        <v>26.05</v>
      </c>
      <c r="D732" s="20">
        <v>0.22</v>
      </c>
      <c r="E732" s="21">
        <f>ROUND(C732*D732,2)</f>
        <v>5.73</v>
      </c>
    </row>
    <row r="734" spans="2:9" x14ac:dyDescent="0.3">
      <c r="B734" s="12" t="s">
        <v>946</v>
      </c>
      <c r="C734" s="227"/>
      <c r="D734" s="12"/>
      <c r="E734" s="11">
        <f>F743</f>
        <v>66.239999999999995</v>
      </c>
      <c r="F734" s="12" t="s">
        <v>971</v>
      </c>
    </row>
    <row r="736" spans="2:9" x14ac:dyDescent="0.3">
      <c r="B736" s="27" t="str">
        <f t="shared" ref="B736:E738" si="24">B685</f>
        <v>Мікрасепт</v>
      </c>
      <c r="C736" s="27" t="str">
        <f t="shared" si="24"/>
        <v>мл</v>
      </c>
      <c r="D736" s="27">
        <f t="shared" si="24"/>
        <v>1</v>
      </c>
      <c r="E736" s="27">
        <f t="shared" si="24"/>
        <v>0.3</v>
      </c>
      <c r="F736" s="30">
        <f>ROUND(D736*E736,2)</f>
        <v>0.3</v>
      </c>
    </row>
    <row r="737" spans="1:14" s="184" customFormat="1" x14ac:dyDescent="0.3">
      <c r="A737" s="180"/>
      <c r="B737" s="27" t="str">
        <f t="shared" si="24"/>
        <v>Маска на резинці, стерильна</v>
      </c>
      <c r="C737" s="27" t="str">
        <f t="shared" si="24"/>
        <v>шт</v>
      </c>
      <c r="D737" s="27">
        <f t="shared" si="24"/>
        <v>0.5</v>
      </c>
      <c r="E737" s="27">
        <f t="shared" si="24"/>
        <v>2</v>
      </c>
      <c r="F737" s="164">
        <f t="shared" ref="F737:F742" si="25">ROUND(D737*E737,2)</f>
        <v>1</v>
      </c>
      <c r="G737" s="180"/>
      <c r="H737" s="180"/>
      <c r="I737" s="180"/>
      <c r="J737" s="187"/>
      <c r="K737" s="866"/>
      <c r="L737" s="861"/>
      <c r="M737" s="861"/>
      <c r="N737" s="861"/>
    </row>
    <row r="738" spans="1:14" x14ac:dyDescent="0.3">
      <c r="B738" s="27" t="str">
        <f t="shared" si="24"/>
        <v>Бинт марлевий 7х14</v>
      </c>
      <c r="C738" s="27" t="str">
        <f t="shared" si="24"/>
        <v>шт</v>
      </c>
      <c r="D738" s="27">
        <f t="shared" si="24"/>
        <v>0.1</v>
      </c>
      <c r="E738" s="27">
        <f t="shared" si="24"/>
        <v>8</v>
      </c>
      <c r="F738" s="17">
        <f t="shared" si="25"/>
        <v>0.8</v>
      </c>
    </row>
    <row r="739" spans="1:14" x14ac:dyDescent="0.3">
      <c r="B739" s="27" t="str">
        <f>'МЕДИЧНІ М'!B327</f>
        <v>Суха медична плівка 35*43*100</v>
      </c>
      <c r="C739" s="27" t="str">
        <f>C688</f>
        <v>шт</v>
      </c>
      <c r="D739" s="27">
        <v>4</v>
      </c>
      <c r="E739" s="847">
        <f>'МЕДИЧНІ М'!F327</f>
        <v>15.841125</v>
      </c>
      <c r="F739" s="17">
        <f t="shared" si="25"/>
        <v>63.36</v>
      </c>
    </row>
    <row r="740" spans="1:14" x14ac:dyDescent="0.3">
      <c r="B740" s="27" t="str">
        <f>B689</f>
        <v>Рукавиці не стерильні</v>
      </c>
      <c r="C740" s="27" t="str">
        <f>C689</f>
        <v>шт</v>
      </c>
      <c r="D740" s="27">
        <f t="shared" ref="D740:E742" si="26">D689</f>
        <v>0.1</v>
      </c>
      <c r="E740" s="27">
        <f t="shared" si="26"/>
        <v>2.8</v>
      </c>
      <c r="F740" s="17">
        <f t="shared" si="25"/>
        <v>0.28000000000000003</v>
      </c>
    </row>
    <row r="741" spans="1:14" x14ac:dyDescent="0.3">
      <c r="B741" s="27" t="str">
        <f>B690</f>
        <v xml:space="preserve">Спирт 70% 100мл </v>
      </c>
      <c r="C741" s="27" t="str">
        <f>C690</f>
        <v>шт</v>
      </c>
      <c r="D741" s="27">
        <f t="shared" si="26"/>
        <v>0.01</v>
      </c>
      <c r="E741" s="27">
        <f t="shared" si="26"/>
        <v>24.6</v>
      </c>
      <c r="F741" s="30">
        <f t="shared" si="25"/>
        <v>0.25</v>
      </c>
    </row>
    <row r="742" spans="1:14" x14ac:dyDescent="0.3">
      <c r="B742" s="27" t="str">
        <f>B691</f>
        <v>Деззасоби</v>
      </c>
      <c r="C742" s="27" t="str">
        <f>C691</f>
        <v>г</v>
      </c>
      <c r="D742" s="27">
        <f t="shared" si="26"/>
        <v>0.5</v>
      </c>
      <c r="E742" s="27">
        <f t="shared" si="26"/>
        <v>0.5</v>
      </c>
      <c r="F742" s="30">
        <f t="shared" si="25"/>
        <v>0.25</v>
      </c>
    </row>
    <row r="743" spans="1:14" x14ac:dyDescent="0.3">
      <c r="B743" s="1019" t="s">
        <v>945</v>
      </c>
      <c r="C743" s="1019"/>
      <c r="D743" s="1019"/>
      <c r="E743" s="1019"/>
      <c r="F743" s="89">
        <f>SUM(F736:F742)</f>
        <v>66.239999999999995</v>
      </c>
    </row>
    <row r="745" spans="1:14" x14ac:dyDescent="0.3">
      <c r="B745" s="12" t="s">
        <v>968</v>
      </c>
      <c r="C745" s="227"/>
      <c r="D745" s="12"/>
      <c r="E745" s="11">
        <f>SUM(G748:G749)</f>
        <v>48.15</v>
      </c>
      <c r="F745" s="12" t="s">
        <v>971</v>
      </c>
    </row>
    <row r="746" spans="1:14" ht="6" customHeight="1" x14ac:dyDescent="0.3">
      <c r="B746" s="22"/>
      <c r="C746" s="36"/>
      <c r="D746" s="22"/>
      <c r="E746" s="23"/>
      <c r="F746" s="22"/>
    </row>
    <row r="747" spans="1:14" ht="27.6" x14ac:dyDescent="0.3">
      <c r="B747" s="14" t="s">
        <v>513</v>
      </c>
      <c r="C747" s="14" t="s">
        <v>1108</v>
      </c>
      <c r="D747" s="14" t="s">
        <v>516</v>
      </c>
      <c r="E747" s="14" t="s">
        <v>970</v>
      </c>
      <c r="F747" s="14" t="s">
        <v>930</v>
      </c>
      <c r="G747" s="14" t="s">
        <v>961</v>
      </c>
    </row>
    <row r="748" spans="1:14" x14ac:dyDescent="0.3">
      <c r="B748" s="46" t="s">
        <v>1158</v>
      </c>
      <c r="C748" s="73">
        <f>C697</f>
        <v>0</v>
      </c>
      <c r="D748" s="62">
        <f>H725</f>
        <v>1932.7</v>
      </c>
      <c r="E748" s="17">
        <f>ROUND((C748/D748)/60,2)</f>
        <v>0</v>
      </c>
      <c r="F748" s="17">
        <f>D729</f>
        <v>10</v>
      </c>
      <c r="G748" s="16">
        <f>ROUND(E748*F748,2)</f>
        <v>0</v>
      </c>
    </row>
    <row r="749" spans="1:14" x14ac:dyDescent="0.3">
      <c r="B749" s="27" t="s">
        <v>1093</v>
      </c>
      <c r="C749" s="73">
        <f>C698</f>
        <v>290000</v>
      </c>
      <c r="D749" s="62">
        <f>H726</f>
        <v>1506</v>
      </c>
      <c r="E749" s="17">
        <f>ROUND((C749/D749)/60,2)</f>
        <v>3.21</v>
      </c>
      <c r="F749" s="17">
        <f>D730</f>
        <v>15</v>
      </c>
      <c r="G749" s="16">
        <f>ROUND(E749*F749,2)</f>
        <v>48.15</v>
      </c>
      <c r="H749" s="38"/>
    </row>
    <row r="750" spans="1:14" ht="10.5" customHeight="1" x14ac:dyDescent="0.3"/>
    <row r="751" spans="1:14" x14ac:dyDescent="0.3">
      <c r="B751" s="12" t="s">
        <v>948</v>
      </c>
      <c r="C751" s="227"/>
      <c r="D751" s="12"/>
      <c r="E751" s="11">
        <f>G764</f>
        <v>3.45</v>
      </c>
      <c r="F751" s="12" t="s">
        <v>971</v>
      </c>
    </row>
    <row r="752" spans="1:14" ht="9" customHeight="1" x14ac:dyDescent="0.3">
      <c r="B752" s="22"/>
      <c r="C752" s="36"/>
      <c r="D752" s="22"/>
      <c r="E752" s="23"/>
    </row>
    <row r="753" spans="2:7" ht="27.6" x14ac:dyDescent="0.3">
      <c r="B753" s="14" t="s">
        <v>948</v>
      </c>
      <c r="C753" s="14" t="s">
        <v>1110</v>
      </c>
      <c r="D753" s="14" t="s">
        <v>516</v>
      </c>
      <c r="E753" s="14" t="s">
        <v>954</v>
      </c>
      <c r="F753" s="14" t="s">
        <v>930</v>
      </c>
      <c r="G753" s="14" t="s">
        <v>1111</v>
      </c>
    </row>
    <row r="754" spans="2:7" x14ac:dyDescent="0.3">
      <c r="B754" s="1009" t="str">
        <f>B725</f>
        <v>Лікар-рентгенолог</v>
      </c>
      <c r="C754" s="1010"/>
      <c r="D754" s="1010"/>
      <c r="E754" s="1010"/>
      <c r="F754" s="1010"/>
      <c r="G754" s="1011"/>
    </row>
    <row r="755" spans="2:7" x14ac:dyDescent="0.3">
      <c r="B755" s="17" t="s">
        <v>951</v>
      </c>
      <c r="C755" s="221">
        <f>C704</f>
        <v>12188.608008565312</v>
      </c>
      <c r="D755" s="17">
        <f>H725</f>
        <v>1932.7</v>
      </c>
      <c r="E755" s="17">
        <f>ROUND((C755/D755)/60,2)</f>
        <v>0.11</v>
      </c>
      <c r="F755" s="17">
        <f>D729</f>
        <v>10</v>
      </c>
      <c r="G755" s="16">
        <f>ROUND(E755*F755,2)</f>
        <v>1.1000000000000001</v>
      </c>
    </row>
    <row r="756" spans="2:7" x14ac:dyDescent="0.3">
      <c r="B756" s="17" t="s">
        <v>952</v>
      </c>
      <c r="C756" s="221">
        <f>C705</f>
        <v>53.149721627408987</v>
      </c>
      <c r="D756" s="17">
        <f>H725</f>
        <v>1932.7</v>
      </c>
      <c r="E756" s="17">
        <f>ROUND((C756/D756)/60,2)</f>
        <v>0</v>
      </c>
      <c r="F756" s="17">
        <f>D729</f>
        <v>10</v>
      </c>
      <c r="G756" s="16">
        <f>ROUND(E756*F756,2)</f>
        <v>0</v>
      </c>
    </row>
    <row r="757" spans="2:7" x14ac:dyDescent="0.3">
      <c r="B757" s="17" t="s">
        <v>953</v>
      </c>
      <c r="C757" s="221">
        <f>C706</f>
        <v>374.98368308351178</v>
      </c>
      <c r="D757" s="17">
        <f>H725</f>
        <v>1932.7</v>
      </c>
      <c r="E757" s="17">
        <f>ROUND((C757/D757)/60,2)</f>
        <v>0</v>
      </c>
      <c r="F757" s="17">
        <f>D729</f>
        <v>10</v>
      </c>
      <c r="G757" s="16">
        <f>ROUND(E757*F757,2)</f>
        <v>0</v>
      </c>
    </row>
    <row r="758" spans="2:7" x14ac:dyDescent="0.3">
      <c r="B758" s="17" t="s">
        <v>1109</v>
      </c>
      <c r="C758" s="221">
        <f>C707</f>
        <v>1686.0389293361886</v>
      </c>
      <c r="D758" s="17">
        <f>H725</f>
        <v>1932.7</v>
      </c>
      <c r="E758" s="17">
        <f>ROUND((C758/D758)/60,2)</f>
        <v>0.01</v>
      </c>
      <c r="F758" s="17">
        <f>D729</f>
        <v>10</v>
      </c>
      <c r="G758" s="16">
        <f>ROUND(E758*F758,2)</f>
        <v>0.1</v>
      </c>
    </row>
    <row r="759" spans="2:7" x14ac:dyDescent="0.3">
      <c r="B759" s="1009" t="str">
        <f>B726</f>
        <v>Рентгенолаборант</v>
      </c>
      <c r="C759" s="1010"/>
      <c r="D759" s="1010"/>
      <c r="E759" s="1010"/>
      <c r="F759" s="1010"/>
      <c r="G759" s="1011"/>
    </row>
    <row r="760" spans="2:7" x14ac:dyDescent="0.3">
      <c r="B760" s="17" t="s">
        <v>951</v>
      </c>
      <c r="C760" s="221">
        <f>C755</f>
        <v>12188.608008565312</v>
      </c>
      <c r="D760" s="17">
        <f>H726</f>
        <v>1506</v>
      </c>
      <c r="E760" s="17">
        <f>ROUND((C760/D760)/60,2)</f>
        <v>0.13</v>
      </c>
      <c r="F760" s="17">
        <f>D730</f>
        <v>15</v>
      </c>
      <c r="G760" s="16">
        <f>ROUND(E760*F760,2)</f>
        <v>1.95</v>
      </c>
    </row>
    <row r="761" spans="2:7" x14ac:dyDescent="0.3">
      <c r="B761" s="17" t="s">
        <v>952</v>
      </c>
      <c r="C761" s="221">
        <f>C756</f>
        <v>53.149721627408987</v>
      </c>
      <c r="D761" s="17">
        <f>H726</f>
        <v>1506</v>
      </c>
      <c r="E761" s="17">
        <f>ROUND((C761/D761)/60,2)</f>
        <v>0</v>
      </c>
      <c r="F761" s="17">
        <f>D730</f>
        <v>15</v>
      </c>
      <c r="G761" s="16">
        <f>ROUND(E761*F761,2)</f>
        <v>0</v>
      </c>
    </row>
    <row r="762" spans="2:7" x14ac:dyDescent="0.3">
      <c r="B762" s="17" t="s">
        <v>953</v>
      </c>
      <c r="C762" s="221">
        <f>C757</f>
        <v>374.98368308351178</v>
      </c>
      <c r="D762" s="17">
        <f>H726</f>
        <v>1506</v>
      </c>
      <c r="E762" s="17">
        <f>ROUND((C762/D762)/60,2)</f>
        <v>0</v>
      </c>
      <c r="F762" s="17">
        <f>D730</f>
        <v>15</v>
      </c>
      <c r="G762" s="16">
        <f>ROUND(E762*F762,2)</f>
        <v>0</v>
      </c>
    </row>
    <row r="763" spans="2:7" x14ac:dyDescent="0.3">
      <c r="B763" s="17" t="s">
        <v>1109</v>
      </c>
      <c r="C763" s="221">
        <f>C758</f>
        <v>1686.0389293361886</v>
      </c>
      <c r="D763" s="17">
        <f>H726</f>
        <v>1506</v>
      </c>
      <c r="E763" s="17">
        <f>ROUND((C763/D763)/60,2)</f>
        <v>0.02</v>
      </c>
      <c r="F763" s="17">
        <f>D730</f>
        <v>15</v>
      </c>
      <c r="G763" s="16">
        <f>ROUND(E763*F763,2)</f>
        <v>0.3</v>
      </c>
    </row>
    <row r="764" spans="2:7" x14ac:dyDescent="0.3">
      <c r="B764" s="1012" t="s">
        <v>957</v>
      </c>
      <c r="C764" s="1013"/>
      <c r="D764" s="1013"/>
      <c r="E764" s="1013"/>
      <c r="F764" s="1014"/>
      <c r="G764" s="18">
        <f>SUM(G755:G763)</f>
        <v>3.45</v>
      </c>
    </row>
    <row r="765" spans="2:7" ht="9" customHeight="1" x14ac:dyDescent="0.3"/>
    <row r="766" spans="2:7" ht="3.75" customHeight="1" x14ac:dyDescent="0.3"/>
    <row r="767" spans="2:7" x14ac:dyDescent="0.3">
      <c r="B767" s="1015" t="s">
        <v>959</v>
      </c>
      <c r="C767" s="1015"/>
      <c r="D767" s="1015"/>
      <c r="E767" s="1015"/>
      <c r="F767" s="1015"/>
      <c r="G767" s="32">
        <f>E722+E734+E745+E751</f>
        <v>149.61999999999998</v>
      </c>
    </row>
    <row r="768" spans="2:7" ht="9" customHeight="1" x14ac:dyDescent="0.3">
      <c r="B768" s="33"/>
      <c r="C768" s="33"/>
      <c r="D768" s="33"/>
      <c r="E768" s="33"/>
      <c r="F768" s="33"/>
      <c r="G768" s="34"/>
    </row>
    <row r="769" spans="1:14" x14ac:dyDescent="0.3">
      <c r="B769" s="1015" t="s">
        <v>960</v>
      </c>
      <c r="C769" s="1015"/>
      <c r="D769" s="1015"/>
      <c r="E769" s="1015"/>
      <c r="F769" s="1015"/>
      <c r="G769" s="32">
        <f>ROUND(G767,0)</f>
        <v>150</v>
      </c>
    </row>
    <row r="771" spans="1:14" s="54" customFormat="1" ht="19.8" x14ac:dyDescent="0.4">
      <c r="A771" s="50" t="s">
        <v>258</v>
      </c>
      <c r="B771" s="1017" t="s">
        <v>677</v>
      </c>
      <c r="C771" s="1017"/>
      <c r="D771" s="1017"/>
      <c r="E771" s="52">
        <f>G819</f>
        <v>86</v>
      </c>
      <c r="F771" s="52" t="s">
        <v>971</v>
      </c>
      <c r="G771" s="53"/>
      <c r="H771" s="124"/>
      <c r="I771" s="125" t="s">
        <v>1128</v>
      </c>
      <c r="J771" s="130"/>
      <c r="K771" s="868"/>
      <c r="L771" s="65"/>
      <c r="M771" s="65"/>
      <c r="N771" s="65"/>
    </row>
    <row r="773" spans="1:14" x14ac:dyDescent="0.3">
      <c r="B773" s="1018" t="s">
        <v>932</v>
      </c>
      <c r="C773" s="1018"/>
      <c r="D773" s="10"/>
      <c r="E773" s="11">
        <f>E780+E783+E781</f>
        <v>31.78</v>
      </c>
      <c r="F773" s="12" t="s">
        <v>971</v>
      </c>
    </row>
    <row r="775" spans="1:14" ht="27.6" x14ac:dyDescent="0.3">
      <c r="B775" s="13" t="s">
        <v>929</v>
      </c>
      <c r="C775" s="14" t="s">
        <v>928</v>
      </c>
      <c r="D775" s="14" t="s">
        <v>514</v>
      </c>
      <c r="E775" s="14" t="s">
        <v>515</v>
      </c>
      <c r="F775" s="14" t="s">
        <v>962</v>
      </c>
      <c r="G775" s="14" t="s">
        <v>926</v>
      </c>
      <c r="H775" s="14" t="s">
        <v>516</v>
      </c>
      <c r="I775" s="14" t="s">
        <v>961</v>
      </c>
    </row>
    <row r="776" spans="1:14" x14ac:dyDescent="0.3">
      <c r="B776" s="16" t="str">
        <f>B521</f>
        <v>Лікар-рентгенолог</v>
      </c>
      <c r="C776" s="78">
        <f>C521</f>
        <v>8463.5400000000009</v>
      </c>
      <c r="D776" s="16">
        <f>C776*12</f>
        <v>101562.48000000001</v>
      </c>
      <c r="E776" s="16">
        <f>E521</f>
        <v>7052.95</v>
      </c>
      <c r="F776" s="16">
        <f>F521</f>
        <v>3526.4749999999999</v>
      </c>
      <c r="G776" s="16">
        <f>D776+E776+F776</f>
        <v>112141.90500000001</v>
      </c>
      <c r="H776" s="17">
        <v>1932.7</v>
      </c>
      <c r="I776" s="16">
        <f>ROUND((G776/H776)/60,2)</f>
        <v>0.97</v>
      </c>
    </row>
    <row r="777" spans="1:14" x14ac:dyDescent="0.3">
      <c r="B777" s="16" t="str">
        <f>B522</f>
        <v>Рентгенолаборант</v>
      </c>
      <c r="C777" s="78">
        <f>C522</f>
        <v>7482.48</v>
      </c>
      <c r="D777" s="24">
        <f>C777*12</f>
        <v>89789.759999999995</v>
      </c>
      <c r="E777" s="16">
        <f>E522</f>
        <v>5755.75</v>
      </c>
      <c r="F777" s="16">
        <f>F522</f>
        <v>2877.875</v>
      </c>
      <c r="G777" s="16">
        <f>D777+E777+F777</f>
        <v>98423.384999999995</v>
      </c>
      <c r="H777" s="62">
        <v>1506</v>
      </c>
      <c r="I777" s="16">
        <f>ROUND((G777/H777)/60,2)</f>
        <v>1.0900000000000001</v>
      </c>
    </row>
    <row r="779" spans="1:14" ht="27.6" x14ac:dyDescent="0.3">
      <c r="B779" s="13" t="s">
        <v>929</v>
      </c>
      <c r="C779" s="14" t="s">
        <v>961</v>
      </c>
      <c r="D779" s="14" t="s">
        <v>930</v>
      </c>
      <c r="E779" s="14" t="s">
        <v>931</v>
      </c>
    </row>
    <row r="780" spans="1:14" x14ac:dyDescent="0.3">
      <c r="B780" s="15" t="str">
        <f>B776</f>
        <v>Лікар-рентгенолог</v>
      </c>
      <c r="C780" s="78">
        <f>I776</f>
        <v>0.97</v>
      </c>
      <c r="D780" s="17">
        <v>10</v>
      </c>
      <c r="E780" s="18">
        <f>ROUND(C780*D780,2)</f>
        <v>9.6999999999999993</v>
      </c>
    </row>
    <row r="781" spans="1:14" x14ac:dyDescent="0.3">
      <c r="B781" s="15" t="str">
        <f>B777</f>
        <v>Рентгенолаборант</v>
      </c>
      <c r="C781" s="78">
        <f>I777</f>
        <v>1.0900000000000001</v>
      </c>
      <c r="D781" s="17">
        <v>15</v>
      </c>
      <c r="E781" s="18">
        <f>ROUND(C781*D781,2)</f>
        <v>16.350000000000001</v>
      </c>
    </row>
    <row r="782" spans="1:14" x14ac:dyDescent="0.3">
      <c r="C782" s="19"/>
    </row>
    <row r="783" spans="1:14" x14ac:dyDescent="0.3">
      <c r="B783" s="17" t="s">
        <v>933</v>
      </c>
      <c r="C783" s="78">
        <f>E780+E781</f>
        <v>26.05</v>
      </c>
      <c r="D783" s="20">
        <v>0.22</v>
      </c>
      <c r="E783" s="21">
        <f>ROUND(C783*D783,2)</f>
        <v>5.73</v>
      </c>
    </row>
    <row r="785" spans="1:14" x14ac:dyDescent="0.3">
      <c r="B785" s="12" t="s">
        <v>946</v>
      </c>
      <c r="C785" s="227"/>
      <c r="D785" s="12"/>
      <c r="E785" s="11">
        <f>F793</f>
        <v>2.88</v>
      </c>
      <c r="F785" s="12" t="s">
        <v>971</v>
      </c>
    </row>
    <row r="787" spans="1:14" x14ac:dyDescent="0.3">
      <c r="B787" s="27" t="s">
        <v>936</v>
      </c>
      <c r="C787" s="28" t="s">
        <v>937</v>
      </c>
      <c r="D787" s="29">
        <v>1</v>
      </c>
      <c r="E787" s="30">
        <f>'МЕДИЧНІ М'!F115</f>
        <v>0.3</v>
      </c>
      <c r="F787" s="30">
        <f t="shared" ref="F787:F792" si="27">ROUND(D787*E787,2)</f>
        <v>0.3</v>
      </c>
    </row>
    <row r="788" spans="1:14" s="184" customFormat="1" x14ac:dyDescent="0.3">
      <c r="A788" s="180"/>
      <c r="B788" s="185" t="s">
        <v>1021</v>
      </c>
      <c r="C788" s="186" t="s">
        <v>941</v>
      </c>
      <c r="D788" s="164">
        <v>0.5</v>
      </c>
      <c r="E788" s="164">
        <f>'МЕДИЧНІ М'!E181</f>
        <v>2</v>
      </c>
      <c r="F788" s="164">
        <f t="shared" si="27"/>
        <v>1</v>
      </c>
      <c r="G788" s="180"/>
      <c r="H788" s="180"/>
      <c r="I788" s="180"/>
      <c r="J788" s="187"/>
      <c r="K788" s="866"/>
      <c r="L788" s="861"/>
      <c r="M788" s="861"/>
      <c r="N788" s="861"/>
    </row>
    <row r="789" spans="1:14" x14ac:dyDescent="0.3">
      <c r="B789" s="15" t="s">
        <v>1216</v>
      </c>
      <c r="C789" s="73" t="s">
        <v>941</v>
      </c>
      <c r="D789" s="17">
        <v>0.1</v>
      </c>
      <c r="E789" s="16">
        <f>'МЕДИЧНІ М'!E113</f>
        <v>8</v>
      </c>
      <c r="F789" s="17">
        <f t="shared" si="27"/>
        <v>0.8</v>
      </c>
    </row>
    <row r="790" spans="1:14" x14ac:dyDescent="0.3">
      <c r="B790" s="15" t="s">
        <v>964</v>
      </c>
      <c r="C790" s="73" t="s">
        <v>941</v>
      </c>
      <c r="D790" s="17">
        <v>0.1</v>
      </c>
      <c r="E790" s="16">
        <f>'МЕДИЧНІ М'!E119</f>
        <v>2.8</v>
      </c>
      <c r="F790" s="17">
        <f t="shared" si="27"/>
        <v>0.28000000000000003</v>
      </c>
    </row>
    <row r="791" spans="1:14" x14ac:dyDescent="0.3">
      <c r="B791" s="27" t="s">
        <v>942</v>
      </c>
      <c r="C791" s="28" t="s">
        <v>941</v>
      </c>
      <c r="D791" s="29">
        <v>0.01</v>
      </c>
      <c r="E791" s="29">
        <f>'МЕДИЧНІ М'!E120</f>
        <v>24.6</v>
      </c>
      <c r="F791" s="30">
        <f t="shared" si="27"/>
        <v>0.25</v>
      </c>
    </row>
    <row r="792" spans="1:14" x14ac:dyDescent="0.3">
      <c r="B792" s="27" t="s">
        <v>1124</v>
      </c>
      <c r="C792" s="28" t="s">
        <v>944</v>
      </c>
      <c r="D792" s="29">
        <v>0.5</v>
      </c>
      <c r="E792" s="29">
        <f>'МЕДИЧНІ М'!E114</f>
        <v>0.5</v>
      </c>
      <c r="F792" s="30">
        <f t="shared" si="27"/>
        <v>0.25</v>
      </c>
    </row>
    <row r="793" spans="1:14" x14ac:dyDescent="0.3">
      <c r="B793" s="1019" t="s">
        <v>945</v>
      </c>
      <c r="C793" s="1019"/>
      <c r="D793" s="1019"/>
      <c r="E793" s="1019"/>
      <c r="F793" s="89">
        <f>SUM(F787:F792)</f>
        <v>2.88</v>
      </c>
    </row>
    <row r="795" spans="1:14" x14ac:dyDescent="0.3">
      <c r="B795" s="12" t="s">
        <v>968</v>
      </c>
      <c r="C795" s="227"/>
      <c r="D795" s="12"/>
      <c r="E795" s="11">
        <f>SUM(G798:G799)</f>
        <v>48.15</v>
      </c>
      <c r="F795" s="12" t="s">
        <v>971</v>
      </c>
    </row>
    <row r="796" spans="1:14" x14ac:dyDescent="0.3">
      <c r="B796" s="22"/>
      <c r="C796" s="36"/>
      <c r="D796" s="22"/>
      <c r="E796" s="23"/>
      <c r="F796" s="22"/>
    </row>
    <row r="797" spans="1:14" ht="27.6" x14ac:dyDescent="0.3">
      <c r="B797" s="14" t="s">
        <v>513</v>
      </c>
      <c r="C797" s="14" t="s">
        <v>1108</v>
      </c>
      <c r="D797" s="14" t="s">
        <v>516</v>
      </c>
      <c r="E797" s="14" t="s">
        <v>970</v>
      </c>
      <c r="F797" s="14" t="s">
        <v>930</v>
      </c>
      <c r="G797" s="14" t="s">
        <v>961</v>
      </c>
    </row>
    <row r="798" spans="1:14" x14ac:dyDescent="0.3">
      <c r="B798" s="46" t="s">
        <v>1161</v>
      </c>
      <c r="C798" s="73">
        <f>C544</f>
        <v>0</v>
      </c>
      <c r="D798" s="62">
        <f>H776</f>
        <v>1932.7</v>
      </c>
      <c r="E798" s="17">
        <f>ROUND((C798/D798)/60,2)</f>
        <v>0</v>
      </c>
      <c r="F798" s="17">
        <f>D780</f>
        <v>10</v>
      </c>
      <c r="G798" s="16">
        <f>ROUND(E798*F798,2)</f>
        <v>0</v>
      </c>
    </row>
    <row r="799" spans="1:14" x14ac:dyDescent="0.3">
      <c r="B799" s="27" t="s">
        <v>1093</v>
      </c>
      <c r="C799" s="73">
        <f>C545</f>
        <v>290000</v>
      </c>
      <c r="D799" s="62">
        <f>H777</f>
        <v>1506</v>
      </c>
      <c r="E799" s="17">
        <f>ROUND((C799/D799)/60,2)</f>
        <v>3.21</v>
      </c>
      <c r="F799" s="17">
        <f>D781</f>
        <v>15</v>
      </c>
      <c r="G799" s="16">
        <f>ROUND(E799*F799,2)</f>
        <v>48.15</v>
      </c>
      <c r="H799" s="38"/>
    </row>
    <row r="801" spans="2:7" x14ac:dyDescent="0.3">
      <c r="B801" s="12" t="s">
        <v>948</v>
      </c>
      <c r="C801" s="227"/>
      <c r="D801" s="12"/>
      <c r="E801" s="11">
        <f>G814</f>
        <v>3.45</v>
      </c>
      <c r="F801" s="12" t="s">
        <v>971</v>
      </c>
    </row>
    <row r="802" spans="2:7" x14ac:dyDescent="0.3">
      <c r="B802" s="22"/>
      <c r="C802" s="36"/>
      <c r="D802" s="22"/>
      <c r="E802" s="23"/>
    </row>
    <row r="803" spans="2:7" ht="27.6" x14ac:dyDescent="0.3">
      <c r="B803" s="14" t="s">
        <v>948</v>
      </c>
      <c r="C803" s="14" t="s">
        <v>1110</v>
      </c>
      <c r="D803" s="14" t="s">
        <v>516</v>
      </c>
      <c r="E803" s="14" t="s">
        <v>954</v>
      </c>
      <c r="F803" s="14" t="s">
        <v>930</v>
      </c>
      <c r="G803" s="14" t="s">
        <v>1111</v>
      </c>
    </row>
    <row r="804" spans="2:7" x14ac:dyDescent="0.3">
      <c r="B804" s="1009" t="str">
        <f>B776</f>
        <v>Лікар-рентгенолог</v>
      </c>
      <c r="C804" s="1010"/>
      <c r="D804" s="1010"/>
      <c r="E804" s="1010"/>
      <c r="F804" s="1010"/>
      <c r="G804" s="1011"/>
    </row>
    <row r="805" spans="2:7" x14ac:dyDescent="0.3">
      <c r="B805" s="17" t="s">
        <v>951</v>
      </c>
      <c r="C805" s="221">
        <f>C551</f>
        <v>12188.608008565312</v>
      </c>
      <c r="D805" s="17">
        <f>H776</f>
        <v>1932.7</v>
      </c>
      <c r="E805" s="17">
        <f>ROUND((C805/D805)/60,2)</f>
        <v>0.11</v>
      </c>
      <c r="F805" s="17">
        <f>D780</f>
        <v>10</v>
      </c>
      <c r="G805" s="16">
        <f>ROUND(E805*F805,2)</f>
        <v>1.1000000000000001</v>
      </c>
    </row>
    <row r="806" spans="2:7" x14ac:dyDescent="0.3">
      <c r="B806" s="17" t="s">
        <v>952</v>
      </c>
      <c r="C806" s="221">
        <f>C552</f>
        <v>53.149721627408987</v>
      </c>
      <c r="D806" s="17">
        <f>H776</f>
        <v>1932.7</v>
      </c>
      <c r="E806" s="17">
        <f>ROUND((C806/D806)/60,2)</f>
        <v>0</v>
      </c>
      <c r="F806" s="17">
        <f>D780</f>
        <v>10</v>
      </c>
      <c r="G806" s="16">
        <f>ROUND(E806*F806,2)</f>
        <v>0</v>
      </c>
    </row>
    <row r="807" spans="2:7" x14ac:dyDescent="0.3">
      <c r="B807" s="17" t="s">
        <v>953</v>
      </c>
      <c r="C807" s="221">
        <f>C553</f>
        <v>374.98368308351178</v>
      </c>
      <c r="D807" s="17">
        <f>H776</f>
        <v>1932.7</v>
      </c>
      <c r="E807" s="17">
        <f>ROUND((C807/D807)/60,2)</f>
        <v>0</v>
      </c>
      <c r="F807" s="17">
        <f>D780</f>
        <v>10</v>
      </c>
      <c r="G807" s="16">
        <f>ROUND(E807*F807,2)</f>
        <v>0</v>
      </c>
    </row>
    <row r="808" spans="2:7" x14ac:dyDescent="0.3">
      <c r="B808" s="17" t="s">
        <v>1109</v>
      </c>
      <c r="C808" s="221">
        <f>C554</f>
        <v>1686.0389293361886</v>
      </c>
      <c r="D808" s="17">
        <f>H776</f>
        <v>1932.7</v>
      </c>
      <c r="E808" s="17">
        <f>ROUND((C808/D808)/60,2)</f>
        <v>0.01</v>
      </c>
      <c r="F808" s="17">
        <f>D780</f>
        <v>10</v>
      </c>
      <c r="G808" s="16">
        <f>ROUND(E808*F808,2)</f>
        <v>0.1</v>
      </c>
    </row>
    <row r="809" spans="2:7" x14ac:dyDescent="0.3">
      <c r="B809" s="1009" t="str">
        <f>B777</f>
        <v>Рентгенолаборант</v>
      </c>
      <c r="C809" s="1010"/>
      <c r="D809" s="1010"/>
      <c r="E809" s="1010"/>
      <c r="F809" s="1010"/>
      <c r="G809" s="1011"/>
    </row>
    <row r="810" spans="2:7" x14ac:dyDescent="0.3">
      <c r="B810" s="17" t="s">
        <v>951</v>
      </c>
      <c r="C810" s="221">
        <f>C805</f>
        <v>12188.608008565312</v>
      </c>
      <c r="D810" s="17">
        <f>H777</f>
        <v>1506</v>
      </c>
      <c r="E810" s="17">
        <f>ROUND((C810/D810)/60,2)</f>
        <v>0.13</v>
      </c>
      <c r="F810" s="17">
        <f>D781</f>
        <v>15</v>
      </c>
      <c r="G810" s="16">
        <f>ROUND(E810*F810,2)</f>
        <v>1.95</v>
      </c>
    </row>
    <row r="811" spans="2:7" x14ac:dyDescent="0.3">
      <c r="B811" s="17" t="s">
        <v>952</v>
      </c>
      <c r="C811" s="221">
        <f>C806</f>
        <v>53.149721627408987</v>
      </c>
      <c r="D811" s="17">
        <f>H777</f>
        <v>1506</v>
      </c>
      <c r="E811" s="17">
        <f>ROUND((C811/D811)/60,2)</f>
        <v>0</v>
      </c>
      <c r="F811" s="17">
        <f>D781</f>
        <v>15</v>
      </c>
      <c r="G811" s="16">
        <f>ROUND(E811*F811,2)</f>
        <v>0</v>
      </c>
    </row>
    <row r="812" spans="2:7" x14ac:dyDescent="0.3">
      <c r="B812" s="17" t="s">
        <v>953</v>
      </c>
      <c r="C812" s="221">
        <f>C807</f>
        <v>374.98368308351178</v>
      </c>
      <c r="D812" s="17">
        <f>H777</f>
        <v>1506</v>
      </c>
      <c r="E812" s="17">
        <f>ROUND((C812/D812)/60,2)</f>
        <v>0</v>
      </c>
      <c r="F812" s="17">
        <f>D781</f>
        <v>15</v>
      </c>
      <c r="G812" s="16">
        <f>ROUND(E812*F812,2)</f>
        <v>0</v>
      </c>
    </row>
    <row r="813" spans="2:7" x14ac:dyDescent="0.3">
      <c r="B813" s="17" t="s">
        <v>1109</v>
      </c>
      <c r="C813" s="221">
        <f>C808</f>
        <v>1686.0389293361886</v>
      </c>
      <c r="D813" s="17">
        <f>H777</f>
        <v>1506</v>
      </c>
      <c r="E813" s="17">
        <f>ROUND((C813/D813)/60,2)</f>
        <v>0.02</v>
      </c>
      <c r="F813" s="17">
        <f>D781</f>
        <v>15</v>
      </c>
      <c r="G813" s="16">
        <f>ROUND(E813*F813,2)</f>
        <v>0.3</v>
      </c>
    </row>
    <row r="814" spans="2:7" x14ac:dyDescent="0.3">
      <c r="B814" s="1012" t="s">
        <v>957</v>
      </c>
      <c r="C814" s="1013"/>
      <c r="D814" s="1013"/>
      <c r="E814" s="1013"/>
      <c r="F814" s="1014"/>
      <c r="G814" s="18">
        <f>SUM(G805:G813)</f>
        <v>3.45</v>
      </c>
    </row>
    <row r="815" spans="2:7" ht="14.25" customHeight="1" x14ac:dyDescent="0.3"/>
    <row r="817" spans="1:14" x14ac:dyDescent="0.3">
      <c r="B817" s="1015" t="s">
        <v>959</v>
      </c>
      <c r="C817" s="1015"/>
      <c r="D817" s="1015"/>
      <c r="E817" s="1015"/>
      <c r="F817" s="1015"/>
      <c r="G817" s="32">
        <f>E773+E785+E795+E801</f>
        <v>86.26</v>
      </c>
    </row>
    <row r="818" spans="1:14" x14ac:dyDescent="0.3">
      <c r="B818" s="33"/>
      <c r="C818" s="33"/>
      <c r="D818" s="33"/>
      <c r="E818" s="33"/>
      <c r="F818" s="33"/>
      <c r="G818" s="34"/>
    </row>
    <row r="819" spans="1:14" x14ac:dyDescent="0.3">
      <c r="B819" s="1015" t="s">
        <v>960</v>
      </c>
      <c r="C819" s="1015"/>
      <c r="D819" s="1015"/>
      <c r="E819" s="1015"/>
      <c r="F819" s="1015"/>
      <c r="G819" s="32">
        <f>ROUND(G817,0)</f>
        <v>86</v>
      </c>
    </row>
    <row r="821" spans="1:14" s="54" customFormat="1" ht="19.8" x14ac:dyDescent="0.4">
      <c r="A821" s="1016" t="s">
        <v>958</v>
      </c>
      <c r="B821" s="1016"/>
      <c r="C821" s="1016"/>
      <c r="D821" s="1016"/>
      <c r="E821" s="1016"/>
      <c r="F821" s="1016"/>
      <c r="G821" s="1016"/>
      <c r="H821" s="1016"/>
      <c r="I821" s="1016"/>
      <c r="J821" s="132"/>
      <c r="K821" s="868"/>
      <c r="L821" s="65"/>
      <c r="M821" s="65"/>
      <c r="N821" s="65"/>
    </row>
    <row r="822" spans="1:14" s="54" customFormat="1" ht="19.8" x14ac:dyDescent="0.4">
      <c r="A822" s="53"/>
      <c r="B822" s="53"/>
      <c r="C822" s="225"/>
      <c r="D822" s="53"/>
      <c r="E822" s="53"/>
      <c r="F822" s="53"/>
      <c r="G822" s="53"/>
      <c r="H822" s="53"/>
      <c r="I822" s="53"/>
      <c r="J822" s="132"/>
      <c r="K822" s="868"/>
      <c r="L822" s="65"/>
      <c r="M822" s="65"/>
      <c r="N822" s="65"/>
    </row>
    <row r="823" spans="1:14" s="54" customFormat="1" ht="19.8" x14ac:dyDescent="0.4">
      <c r="A823" s="50" t="s">
        <v>247</v>
      </c>
      <c r="B823" s="1032" t="s">
        <v>681</v>
      </c>
      <c r="C823" s="1032"/>
      <c r="D823" s="1032"/>
      <c r="E823" s="52">
        <f>G872</f>
        <v>87</v>
      </c>
      <c r="F823" s="52" t="s">
        <v>971</v>
      </c>
      <c r="G823" s="53"/>
      <c r="H823" s="124"/>
      <c r="I823" s="125" t="s">
        <v>1022</v>
      </c>
      <c r="J823" s="132"/>
      <c r="K823" s="868"/>
      <c r="L823" s="65"/>
      <c r="M823" s="65"/>
      <c r="N823" s="65"/>
    </row>
    <row r="825" spans="1:14" x14ac:dyDescent="0.3">
      <c r="B825" s="1018" t="s">
        <v>932</v>
      </c>
      <c r="C825" s="1018"/>
      <c r="D825" s="10"/>
      <c r="E825" s="11">
        <f>E832+E835+E833</f>
        <v>31.78</v>
      </c>
      <c r="F825" s="12" t="s">
        <v>971</v>
      </c>
    </row>
    <row r="827" spans="1:14" ht="27.6" x14ac:dyDescent="0.3">
      <c r="B827" s="13" t="s">
        <v>929</v>
      </c>
      <c r="C827" s="14" t="s">
        <v>928</v>
      </c>
      <c r="D827" s="14" t="s">
        <v>514</v>
      </c>
      <c r="E827" s="14" t="s">
        <v>515</v>
      </c>
      <c r="F827" s="14" t="s">
        <v>962</v>
      </c>
      <c r="G827" s="14" t="s">
        <v>926</v>
      </c>
      <c r="H827" s="14" t="s">
        <v>516</v>
      </c>
      <c r="I827" s="14" t="s">
        <v>961</v>
      </c>
    </row>
    <row r="828" spans="1:14" x14ac:dyDescent="0.3">
      <c r="B828" s="16" t="str">
        <f>B776</f>
        <v>Лікар-рентгенолог</v>
      </c>
      <c r="C828" s="16">
        <f t="shared" ref="C828:H828" si="28">C776</f>
        <v>8463.5400000000009</v>
      </c>
      <c r="D828" s="16">
        <f t="shared" si="28"/>
        <v>101562.48000000001</v>
      </c>
      <c r="E828" s="16">
        <f t="shared" si="28"/>
        <v>7052.95</v>
      </c>
      <c r="F828" s="16">
        <f t="shared" si="28"/>
        <v>3526.4749999999999</v>
      </c>
      <c r="G828" s="16">
        <f t="shared" si="28"/>
        <v>112141.90500000001</v>
      </c>
      <c r="H828" s="16">
        <f t="shared" si="28"/>
        <v>1932.7</v>
      </c>
      <c r="I828" s="16">
        <f>ROUND((G828/H828)/60,2)</f>
        <v>0.97</v>
      </c>
    </row>
    <row r="829" spans="1:14" x14ac:dyDescent="0.3">
      <c r="B829" s="16" t="str">
        <f>B777</f>
        <v>Рентгенолаборант</v>
      </c>
      <c r="C829" s="16">
        <f t="shared" ref="C829:H829" si="29">C777</f>
        <v>7482.48</v>
      </c>
      <c r="D829" s="16">
        <f t="shared" si="29"/>
        <v>89789.759999999995</v>
      </c>
      <c r="E829" s="16">
        <f t="shared" si="29"/>
        <v>5755.75</v>
      </c>
      <c r="F829" s="16">
        <f t="shared" si="29"/>
        <v>2877.875</v>
      </c>
      <c r="G829" s="16">
        <f t="shared" si="29"/>
        <v>98423.384999999995</v>
      </c>
      <c r="H829" s="16">
        <f t="shared" si="29"/>
        <v>1506</v>
      </c>
      <c r="I829" s="16">
        <f>ROUND((G829/H829)/60,2)</f>
        <v>1.0900000000000001</v>
      </c>
    </row>
    <row r="831" spans="1:14" ht="27.6" x14ac:dyDescent="0.3">
      <c r="B831" s="13" t="s">
        <v>929</v>
      </c>
      <c r="C831" s="14" t="s">
        <v>961</v>
      </c>
      <c r="D831" s="14" t="s">
        <v>930</v>
      </c>
      <c r="E831" s="14" t="s">
        <v>931</v>
      </c>
    </row>
    <row r="832" spans="1:14" x14ac:dyDescent="0.3">
      <c r="B832" s="15" t="str">
        <f>B828</f>
        <v>Лікар-рентгенолог</v>
      </c>
      <c r="C832" s="78">
        <f>I828</f>
        <v>0.97</v>
      </c>
      <c r="D832" s="17">
        <v>10</v>
      </c>
      <c r="E832" s="18">
        <f>ROUND(C832*D832,2)</f>
        <v>9.6999999999999993</v>
      </c>
    </row>
    <row r="833" spans="1:14" x14ac:dyDescent="0.3">
      <c r="B833" s="15" t="str">
        <f>B829</f>
        <v>Рентгенолаборант</v>
      </c>
      <c r="C833" s="78">
        <f>I829</f>
        <v>1.0900000000000001</v>
      </c>
      <c r="D833" s="17">
        <v>15</v>
      </c>
      <c r="E833" s="18">
        <f>ROUND(C833*D833,2)</f>
        <v>16.350000000000001</v>
      </c>
    </row>
    <row r="834" spans="1:14" x14ac:dyDescent="0.3">
      <c r="C834" s="19"/>
    </row>
    <row r="835" spans="1:14" x14ac:dyDescent="0.3">
      <c r="B835" s="17" t="s">
        <v>933</v>
      </c>
      <c r="C835" s="78">
        <f>E832+E833</f>
        <v>26.05</v>
      </c>
      <c r="D835" s="20">
        <v>0.22</v>
      </c>
      <c r="E835" s="21">
        <f>ROUND(C835*D835,2)</f>
        <v>5.73</v>
      </c>
    </row>
    <row r="837" spans="1:14" x14ac:dyDescent="0.3">
      <c r="B837" s="12" t="s">
        <v>946</v>
      </c>
      <c r="C837" s="227"/>
      <c r="D837" s="12"/>
      <c r="E837" s="12">
        <f>F846</f>
        <v>3.1799999999999997</v>
      </c>
      <c r="F837" s="12" t="s">
        <v>971</v>
      </c>
    </row>
    <row r="839" spans="1:14" x14ac:dyDescent="0.3">
      <c r="B839" s="27" t="s">
        <v>936</v>
      </c>
      <c r="C839" s="28" t="s">
        <v>937</v>
      </c>
      <c r="D839" s="29">
        <v>1</v>
      </c>
      <c r="E839" s="30">
        <f>'МЕДИЧНІ М'!F115</f>
        <v>0.3</v>
      </c>
      <c r="F839" s="30">
        <f>ROUND(D839*E839,2)</f>
        <v>0.3</v>
      </c>
    </row>
    <row r="840" spans="1:14" s="184" customFormat="1" x14ac:dyDescent="0.3">
      <c r="A840" s="180"/>
      <c r="B840" s="185" t="s">
        <v>1021</v>
      </c>
      <c r="C840" s="186" t="s">
        <v>941</v>
      </c>
      <c r="D840" s="164">
        <v>0.5</v>
      </c>
      <c r="E840" s="164">
        <f>'МЕДИЧНІ М'!E181</f>
        <v>2</v>
      </c>
      <c r="F840" s="164">
        <f t="shared" ref="F840:F845" si="30">ROUND(D840*E840,2)</f>
        <v>1</v>
      </c>
      <c r="G840" s="180"/>
      <c r="H840" s="180"/>
      <c r="I840" s="180"/>
      <c r="J840" s="187"/>
      <c r="K840" s="866"/>
      <c r="L840" s="861"/>
      <c r="M840" s="861"/>
      <c r="N840" s="861"/>
    </row>
    <row r="841" spans="1:14" x14ac:dyDescent="0.3">
      <c r="B841" s="15" t="s">
        <v>1216</v>
      </c>
      <c r="C841" s="73" t="s">
        <v>941</v>
      </c>
      <c r="D841" s="17">
        <v>0.1</v>
      </c>
      <c r="E841" s="16">
        <f>'МЕДИЧНІ М'!E113</f>
        <v>8</v>
      </c>
      <c r="F841" s="17">
        <f t="shared" si="30"/>
        <v>0.8</v>
      </c>
    </row>
    <row r="842" spans="1:14" x14ac:dyDescent="0.3">
      <c r="B842" s="15" t="s">
        <v>98</v>
      </c>
      <c r="C842" s="73" t="s">
        <v>941</v>
      </c>
      <c r="D842" s="17">
        <v>1</v>
      </c>
      <c r="E842" s="16">
        <f>МАТЕРІАЛИ!E4</f>
        <v>0.3</v>
      </c>
      <c r="F842" s="17">
        <f t="shared" si="30"/>
        <v>0.3</v>
      </c>
    </row>
    <row r="843" spans="1:14" x14ac:dyDescent="0.3">
      <c r="B843" s="15" t="s">
        <v>964</v>
      </c>
      <c r="C843" s="73" t="s">
        <v>941</v>
      </c>
      <c r="D843" s="17">
        <v>0.1</v>
      </c>
      <c r="E843" s="16">
        <f>'МЕДИЧНІ М'!E119</f>
        <v>2.8</v>
      </c>
      <c r="F843" s="17">
        <f t="shared" si="30"/>
        <v>0.28000000000000003</v>
      </c>
    </row>
    <row r="844" spans="1:14" x14ac:dyDescent="0.3">
      <c r="B844" s="27" t="s">
        <v>942</v>
      </c>
      <c r="C844" s="28" t="s">
        <v>941</v>
      </c>
      <c r="D844" s="29">
        <v>0.01</v>
      </c>
      <c r="E844" s="29">
        <f>'МЕДИЧНІ М'!E120</f>
        <v>24.6</v>
      </c>
      <c r="F844" s="30">
        <f t="shared" si="30"/>
        <v>0.25</v>
      </c>
    </row>
    <row r="845" spans="1:14" x14ac:dyDescent="0.3">
      <c r="B845" s="27" t="s">
        <v>1124</v>
      </c>
      <c r="C845" s="28" t="s">
        <v>944</v>
      </c>
      <c r="D845" s="29">
        <v>0.5</v>
      </c>
      <c r="E845" s="29">
        <f>'МЕДИЧНІ М'!E114</f>
        <v>0.5</v>
      </c>
      <c r="F845" s="30">
        <f t="shared" si="30"/>
        <v>0.25</v>
      </c>
    </row>
    <row r="846" spans="1:14" x14ac:dyDescent="0.3">
      <c r="B846" s="1019" t="s">
        <v>945</v>
      </c>
      <c r="C846" s="1019"/>
      <c r="D846" s="1019"/>
      <c r="E846" s="1019"/>
      <c r="F846" s="31">
        <f>SUM(F839:F845)</f>
        <v>3.1799999999999997</v>
      </c>
    </row>
    <row r="848" spans="1:14" x14ac:dyDescent="0.3">
      <c r="B848" s="12" t="s">
        <v>968</v>
      </c>
      <c r="C848" s="227"/>
      <c r="D848" s="12"/>
      <c r="E848" s="11">
        <f>SUM(G851:G852)</f>
        <v>48.15</v>
      </c>
      <c r="F848" s="12" t="s">
        <v>971</v>
      </c>
    </row>
    <row r="849" spans="2:8" x14ac:dyDescent="0.3">
      <c r="B849" s="22"/>
      <c r="C849" s="36"/>
      <c r="D849" s="22"/>
      <c r="E849" s="23"/>
      <c r="F849" s="22"/>
    </row>
    <row r="850" spans="2:8" ht="27.6" x14ac:dyDescent="0.3">
      <c r="B850" s="14" t="s">
        <v>513</v>
      </c>
      <c r="C850" s="14" t="s">
        <v>969</v>
      </c>
      <c r="D850" s="14" t="s">
        <v>516</v>
      </c>
      <c r="E850" s="14" t="s">
        <v>970</v>
      </c>
      <c r="F850" s="14" t="s">
        <v>930</v>
      </c>
      <c r="G850" s="14" t="s">
        <v>961</v>
      </c>
    </row>
    <row r="851" spans="2:8" x14ac:dyDescent="0.3">
      <c r="B851" s="46" t="s">
        <v>1161</v>
      </c>
      <c r="C851" s="73">
        <f>C798</f>
        <v>0</v>
      </c>
      <c r="D851" s="62">
        <f>H828</f>
        <v>1932.7</v>
      </c>
      <c r="E851" s="17">
        <f>ROUND((C851/D851)/60,2)</f>
        <v>0</v>
      </c>
      <c r="F851" s="17">
        <f>D832</f>
        <v>10</v>
      </c>
      <c r="G851" s="16">
        <f>ROUND(E851*F851,2)</f>
        <v>0</v>
      </c>
    </row>
    <row r="852" spans="2:8" x14ac:dyDescent="0.3">
      <c r="B852" s="27" t="s">
        <v>1093</v>
      </c>
      <c r="C852" s="73">
        <f>C799</f>
        <v>290000</v>
      </c>
      <c r="D852" s="62">
        <f>H829</f>
        <v>1506</v>
      </c>
      <c r="E852" s="17">
        <f>ROUND((C852/D852)/60,2)</f>
        <v>3.21</v>
      </c>
      <c r="F852" s="17">
        <f>D833</f>
        <v>15</v>
      </c>
      <c r="G852" s="16">
        <f>ROUND(E852*F852,2)</f>
        <v>48.15</v>
      </c>
      <c r="H852" s="38"/>
    </row>
    <row r="854" spans="2:8" x14ac:dyDescent="0.3">
      <c r="B854" s="12" t="s">
        <v>948</v>
      </c>
      <c r="C854" s="227"/>
      <c r="D854" s="12"/>
      <c r="E854" s="11">
        <f>G867</f>
        <v>3.45</v>
      </c>
      <c r="F854" s="12" t="s">
        <v>971</v>
      </c>
    </row>
    <row r="855" spans="2:8" x14ac:dyDescent="0.3">
      <c r="B855" s="22"/>
      <c r="C855" s="36"/>
      <c r="D855" s="22"/>
      <c r="E855" s="23"/>
    </row>
    <row r="856" spans="2:8" ht="27.6" x14ac:dyDescent="0.3">
      <c r="B856" s="14" t="s">
        <v>948</v>
      </c>
      <c r="C856" s="14" t="s">
        <v>1110</v>
      </c>
      <c r="D856" s="14" t="s">
        <v>516</v>
      </c>
      <c r="E856" s="14" t="s">
        <v>954</v>
      </c>
      <c r="F856" s="14" t="s">
        <v>930</v>
      </c>
      <c r="G856" s="14" t="s">
        <v>1111</v>
      </c>
    </row>
    <row r="857" spans="2:8" x14ac:dyDescent="0.3">
      <c r="B857" s="1009" t="str">
        <f>B828</f>
        <v>Лікар-рентгенолог</v>
      </c>
      <c r="C857" s="1010"/>
      <c r="D857" s="1010"/>
      <c r="E857" s="1010"/>
      <c r="F857" s="1010"/>
      <c r="G857" s="1011"/>
    </row>
    <row r="858" spans="2:8" x14ac:dyDescent="0.3">
      <c r="B858" s="17" t="s">
        <v>951</v>
      </c>
      <c r="C858" s="221">
        <f>C805</f>
        <v>12188.608008565312</v>
      </c>
      <c r="D858" s="17">
        <f>H828</f>
        <v>1932.7</v>
      </c>
      <c r="E858" s="17">
        <f>ROUND((C858/D858)/60,2)</f>
        <v>0.11</v>
      </c>
      <c r="F858" s="17">
        <f>D832</f>
        <v>10</v>
      </c>
      <c r="G858" s="16">
        <f>ROUND(E858*F858,2)</f>
        <v>1.1000000000000001</v>
      </c>
    </row>
    <row r="859" spans="2:8" x14ac:dyDescent="0.3">
      <c r="B859" s="17" t="s">
        <v>952</v>
      </c>
      <c r="C859" s="221">
        <f>C806</f>
        <v>53.149721627408987</v>
      </c>
      <c r="D859" s="17">
        <f>H828</f>
        <v>1932.7</v>
      </c>
      <c r="E859" s="17">
        <f>ROUND((C859/D859)/60,2)</f>
        <v>0</v>
      </c>
      <c r="F859" s="17">
        <f>D832</f>
        <v>10</v>
      </c>
      <c r="G859" s="16">
        <f>ROUND(E859*F859,2)</f>
        <v>0</v>
      </c>
    </row>
    <row r="860" spans="2:8" x14ac:dyDescent="0.3">
      <c r="B860" s="17" t="s">
        <v>953</v>
      </c>
      <c r="C860" s="221">
        <f>C807</f>
        <v>374.98368308351178</v>
      </c>
      <c r="D860" s="17">
        <f>H828</f>
        <v>1932.7</v>
      </c>
      <c r="E860" s="17">
        <f>ROUND((C860/D860)/60,2)</f>
        <v>0</v>
      </c>
      <c r="F860" s="17">
        <f>D832</f>
        <v>10</v>
      </c>
      <c r="G860" s="16">
        <f>ROUND(E860*F860,2)</f>
        <v>0</v>
      </c>
    </row>
    <row r="861" spans="2:8" x14ac:dyDescent="0.3">
      <c r="B861" s="17" t="s">
        <v>1109</v>
      </c>
      <c r="C861" s="221">
        <f>C808</f>
        <v>1686.0389293361886</v>
      </c>
      <c r="D861" s="17">
        <f>H828</f>
        <v>1932.7</v>
      </c>
      <c r="E861" s="17">
        <f>ROUND((C861/D861)/60,2)</f>
        <v>0.01</v>
      </c>
      <c r="F861" s="17">
        <f>D832</f>
        <v>10</v>
      </c>
      <c r="G861" s="16">
        <f>ROUND(E861*F861,2)</f>
        <v>0.1</v>
      </c>
    </row>
    <row r="862" spans="2:8" x14ac:dyDescent="0.3">
      <c r="B862" s="1009" t="str">
        <f>B829</f>
        <v>Рентгенолаборант</v>
      </c>
      <c r="C862" s="1010"/>
      <c r="D862" s="1010"/>
      <c r="E862" s="1010"/>
      <c r="F862" s="1010"/>
      <c r="G862" s="1011"/>
    </row>
    <row r="863" spans="2:8" x14ac:dyDescent="0.3">
      <c r="B863" s="17" t="s">
        <v>951</v>
      </c>
      <c r="C863" s="221">
        <f>C858</f>
        <v>12188.608008565312</v>
      </c>
      <c r="D863" s="17">
        <f>H829</f>
        <v>1506</v>
      </c>
      <c r="E863" s="17">
        <f>ROUND((C863/D863)/60,2)</f>
        <v>0.13</v>
      </c>
      <c r="F863" s="17">
        <f>D833</f>
        <v>15</v>
      </c>
      <c r="G863" s="16">
        <f>ROUND(E863*F863,2)</f>
        <v>1.95</v>
      </c>
    </row>
    <row r="864" spans="2:8" x14ac:dyDescent="0.3">
      <c r="B864" s="17" t="s">
        <v>952</v>
      </c>
      <c r="C864" s="221">
        <f>C859</f>
        <v>53.149721627408987</v>
      </c>
      <c r="D864" s="17">
        <f>H829</f>
        <v>1506</v>
      </c>
      <c r="E864" s="17">
        <f>ROUND((C864/D864)/60,2)</f>
        <v>0</v>
      </c>
      <c r="F864" s="17">
        <f>D833</f>
        <v>15</v>
      </c>
      <c r="G864" s="16">
        <f>ROUND(E864*F864,2)</f>
        <v>0</v>
      </c>
    </row>
    <row r="865" spans="1:14" x14ac:dyDescent="0.3">
      <c r="B865" s="17" t="s">
        <v>953</v>
      </c>
      <c r="C865" s="221">
        <f>C860</f>
        <v>374.98368308351178</v>
      </c>
      <c r="D865" s="17">
        <f>H829</f>
        <v>1506</v>
      </c>
      <c r="E865" s="17">
        <f>ROUND((C865/D865)/60,2)</f>
        <v>0</v>
      </c>
      <c r="F865" s="17">
        <f>D833</f>
        <v>15</v>
      </c>
      <c r="G865" s="16">
        <f>ROUND(E865*F865,2)</f>
        <v>0</v>
      </c>
    </row>
    <row r="866" spans="1:14" x14ac:dyDescent="0.3">
      <c r="B866" s="17" t="s">
        <v>1109</v>
      </c>
      <c r="C866" s="221">
        <f>C861</f>
        <v>1686.0389293361886</v>
      </c>
      <c r="D866" s="17">
        <f>H829</f>
        <v>1506</v>
      </c>
      <c r="E866" s="17">
        <f>ROUND((C866/D866)/60,2)</f>
        <v>0.02</v>
      </c>
      <c r="F866" s="17">
        <f>D833</f>
        <v>15</v>
      </c>
      <c r="G866" s="16">
        <f>ROUND(E866*F866,2)</f>
        <v>0.3</v>
      </c>
    </row>
    <row r="867" spans="1:14" x14ac:dyDescent="0.3">
      <c r="B867" s="1012" t="s">
        <v>957</v>
      </c>
      <c r="C867" s="1013"/>
      <c r="D867" s="1013"/>
      <c r="E867" s="1013"/>
      <c r="F867" s="1014"/>
      <c r="G867" s="18">
        <f>SUM(G858:G866)</f>
        <v>3.45</v>
      </c>
    </row>
    <row r="868" spans="1:14" ht="12.75" customHeight="1" x14ac:dyDescent="0.3"/>
    <row r="870" spans="1:14" x14ac:dyDescent="0.3">
      <c r="B870" s="1015" t="s">
        <v>959</v>
      </c>
      <c r="C870" s="1015"/>
      <c r="D870" s="1015"/>
      <c r="E870" s="1015"/>
      <c r="F870" s="1015"/>
      <c r="G870" s="32">
        <f>E825+E837+E848+E854</f>
        <v>86.56</v>
      </c>
    </row>
    <row r="871" spans="1:14" x14ac:dyDescent="0.3">
      <c r="B871" s="33"/>
      <c r="C871" s="33"/>
      <c r="D871" s="33"/>
      <c r="E871" s="33"/>
      <c r="F871" s="33"/>
      <c r="G871" s="34"/>
    </row>
    <row r="872" spans="1:14" s="54" customFormat="1" ht="19.8" x14ac:dyDescent="0.4">
      <c r="A872" s="53"/>
      <c r="B872" s="1051" t="s">
        <v>960</v>
      </c>
      <c r="C872" s="1051"/>
      <c r="D872" s="1051"/>
      <c r="E872" s="1051"/>
      <c r="F872" s="1051"/>
      <c r="G872" s="32">
        <f>ROUND(G870,0)</f>
        <v>87</v>
      </c>
      <c r="H872" s="53"/>
      <c r="I872" s="53"/>
      <c r="J872" s="132"/>
      <c r="K872" s="868"/>
      <c r="L872" s="65"/>
      <c r="M872" s="65"/>
      <c r="N872" s="65"/>
    </row>
    <row r="873" spans="1:14" s="54" customFormat="1" ht="19.8" x14ac:dyDescent="0.4">
      <c r="A873" s="53"/>
      <c r="B873" s="149"/>
      <c r="C873" s="149"/>
      <c r="D873" s="149"/>
      <c r="E873" s="149"/>
      <c r="F873" s="149"/>
      <c r="G873" s="152"/>
      <c r="H873" s="53"/>
      <c r="I873" s="53"/>
      <c r="J873" s="132"/>
      <c r="K873" s="868"/>
      <c r="L873" s="65"/>
      <c r="M873" s="65"/>
      <c r="N873" s="65"/>
    </row>
    <row r="874" spans="1:14" s="54" customFormat="1" ht="19.8" x14ac:dyDescent="0.4">
      <c r="A874" s="53"/>
      <c r="B874" s="53"/>
      <c r="C874" s="225"/>
      <c r="D874" s="53"/>
      <c r="E874" s="53"/>
      <c r="F874" s="53"/>
      <c r="G874" s="53"/>
      <c r="H874" s="53"/>
      <c r="I874" s="53"/>
      <c r="J874" s="132"/>
      <c r="K874" s="868"/>
      <c r="L874" s="65"/>
      <c r="M874" s="65"/>
      <c r="N874" s="65"/>
    </row>
    <row r="875" spans="1:14" s="54" customFormat="1" ht="19.8" x14ac:dyDescent="0.4">
      <c r="A875" s="50" t="s">
        <v>259</v>
      </c>
      <c r="B875" s="1032" t="s">
        <v>681</v>
      </c>
      <c r="C875" s="1032"/>
      <c r="D875" s="1032"/>
      <c r="E875" s="52">
        <f>G924</f>
        <v>114</v>
      </c>
      <c r="F875" s="52" t="s">
        <v>971</v>
      </c>
      <c r="G875" s="53"/>
      <c r="H875" s="124"/>
      <c r="I875" s="125" t="s">
        <v>1023</v>
      </c>
      <c r="J875" s="132"/>
      <c r="K875" s="868"/>
      <c r="L875" s="65"/>
      <c r="M875" s="65"/>
      <c r="N875" s="65"/>
    </row>
    <row r="876" spans="1:14" ht="18.600000000000001" x14ac:dyDescent="0.3">
      <c r="I876" s="125" t="s">
        <v>230</v>
      </c>
    </row>
    <row r="877" spans="1:14" x14ac:dyDescent="0.3">
      <c r="B877" s="1018" t="s">
        <v>932</v>
      </c>
      <c r="C877" s="1018"/>
      <c r="D877" s="10"/>
      <c r="E877" s="11">
        <f>E884+E887+E885</f>
        <v>31.78</v>
      </c>
      <c r="F877" s="12" t="s">
        <v>971</v>
      </c>
    </row>
    <row r="879" spans="1:14" ht="27.6" x14ac:dyDescent="0.3">
      <c r="B879" s="13" t="s">
        <v>929</v>
      </c>
      <c r="C879" s="14" t="s">
        <v>928</v>
      </c>
      <c r="D879" s="14" t="s">
        <v>514</v>
      </c>
      <c r="E879" s="14" t="s">
        <v>515</v>
      </c>
      <c r="F879" s="14" t="s">
        <v>962</v>
      </c>
      <c r="G879" s="14" t="s">
        <v>926</v>
      </c>
      <c r="H879" s="14" t="s">
        <v>516</v>
      </c>
      <c r="I879" s="14" t="s">
        <v>961</v>
      </c>
    </row>
    <row r="880" spans="1:14" x14ac:dyDescent="0.3">
      <c r="B880" s="16" t="str">
        <f>B828</f>
        <v>Лікар-рентгенолог</v>
      </c>
      <c r="C880" s="78">
        <f>C828</f>
        <v>8463.5400000000009</v>
      </c>
      <c r="D880" s="16">
        <f>C880*12</f>
        <v>101562.48000000001</v>
      </c>
      <c r="E880" s="16">
        <f>E828</f>
        <v>7052.95</v>
      </c>
      <c r="F880" s="16">
        <f>F828</f>
        <v>3526.4749999999999</v>
      </c>
      <c r="G880" s="16">
        <f>D880+E880+F880</f>
        <v>112141.90500000001</v>
      </c>
      <c r="H880" s="17">
        <v>1932.7</v>
      </c>
      <c r="I880" s="16">
        <f>ROUND((G880/H880)/60,2)</f>
        <v>0.97</v>
      </c>
    </row>
    <row r="881" spans="1:14" x14ac:dyDescent="0.3">
      <c r="B881" s="16" t="str">
        <f>B829</f>
        <v>Рентгенолаборант</v>
      </c>
      <c r="C881" s="78">
        <f>C829</f>
        <v>7482.48</v>
      </c>
      <c r="D881" s="24">
        <f>C881*12</f>
        <v>89789.759999999995</v>
      </c>
      <c r="E881" s="16">
        <f>E829</f>
        <v>5755.75</v>
      </c>
      <c r="F881" s="16">
        <f>F829</f>
        <v>2877.875</v>
      </c>
      <c r="G881" s="16">
        <f>D881+E881+F881</f>
        <v>98423.384999999995</v>
      </c>
      <c r="H881" s="62">
        <v>1506</v>
      </c>
      <c r="I881" s="16">
        <f>ROUND((G881/H881)/60,2)</f>
        <v>1.0900000000000001</v>
      </c>
    </row>
    <row r="883" spans="1:14" ht="27.6" x14ac:dyDescent="0.3">
      <c r="B883" s="13" t="s">
        <v>929</v>
      </c>
      <c r="C883" s="14" t="s">
        <v>961</v>
      </c>
      <c r="D883" s="14" t="s">
        <v>930</v>
      </c>
      <c r="E883" s="14" t="s">
        <v>931</v>
      </c>
    </row>
    <row r="884" spans="1:14" x14ac:dyDescent="0.3">
      <c r="B884" s="15" t="str">
        <f>B880</f>
        <v>Лікар-рентгенолог</v>
      </c>
      <c r="C884" s="78">
        <f>I880</f>
        <v>0.97</v>
      </c>
      <c r="D884" s="17">
        <v>10</v>
      </c>
      <c r="E884" s="18">
        <f>ROUND(C884*D884,2)</f>
        <v>9.6999999999999993</v>
      </c>
    </row>
    <row r="885" spans="1:14" x14ac:dyDescent="0.3">
      <c r="B885" s="15" t="str">
        <f>B881</f>
        <v>Рентгенолаборант</v>
      </c>
      <c r="C885" s="78">
        <f>I881</f>
        <v>1.0900000000000001</v>
      </c>
      <c r="D885" s="17">
        <v>15</v>
      </c>
      <c r="E885" s="18">
        <f>ROUND(C885*D885,2)</f>
        <v>16.350000000000001</v>
      </c>
    </row>
    <row r="886" spans="1:14" x14ac:dyDescent="0.3">
      <c r="C886" s="19"/>
    </row>
    <row r="887" spans="1:14" x14ac:dyDescent="0.3">
      <c r="B887" s="17" t="s">
        <v>933</v>
      </c>
      <c r="C887" s="78">
        <f>E884+E885</f>
        <v>26.05</v>
      </c>
      <c r="D887" s="20">
        <v>0.22</v>
      </c>
      <c r="E887" s="21">
        <f>ROUND(C887*D887,2)</f>
        <v>5.73</v>
      </c>
    </row>
    <row r="889" spans="1:14" x14ac:dyDescent="0.3">
      <c r="B889" s="12" t="s">
        <v>946</v>
      </c>
      <c r="C889" s="227"/>
      <c r="D889" s="12"/>
      <c r="E889" s="11">
        <f>F898</f>
        <v>31.1</v>
      </c>
      <c r="F889" s="12" t="s">
        <v>971</v>
      </c>
    </row>
    <row r="891" spans="1:14" x14ac:dyDescent="0.3">
      <c r="B891" s="15" t="s">
        <v>966</v>
      </c>
      <c r="C891" s="73" t="s">
        <v>941</v>
      </c>
      <c r="D891" s="29">
        <v>1</v>
      </c>
      <c r="E891" s="30">
        <f>'МЕДИЧНІ М'!F115</f>
        <v>0.3</v>
      </c>
      <c r="F891" s="30">
        <f>ROUND(D891*E891,2)</f>
        <v>0.3</v>
      </c>
    </row>
    <row r="892" spans="1:14" s="184" customFormat="1" x14ac:dyDescent="0.3">
      <c r="A892" s="180"/>
      <c r="B892" s="185" t="s">
        <v>1021</v>
      </c>
      <c r="C892" s="186" t="s">
        <v>941</v>
      </c>
      <c r="D892" s="164">
        <v>0.5</v>
      </c>
      <c r="E892" s="164">
        <f>'МЕДИЧНІ М'!E181</f>
        <v>2</v>
      </c>
      <c r="F892" s="164">
        <f t="shared" ref="F892:F897" si="31">ROUND(D892*E892,2)</f>
        <v>1</v>
      </c>
      <c r="G892" s="180"/>
      <c r="H892" s="180"/>
      <c r="I892" s="180"/>
      <c r="J892" s="187"/>
      <c r="K892" s="866"/>
      <c r="L892" s="861"/>
      <c r="M892" s="861"/>
      <c r="N892" s="861"/>
    </row>
    <row r="893" spans="1:14" x14ac:dyDescent="0.3">
      <c r="B893" s="15" t="s">
        <v>1216</v>
      </c>
      <c r="C893" s="73" t="s">
        <v>941</v>
      </c>
      <c r="D893" s="17">
        <v>0.1</v>
      </c>
      <c r="E893" s="16">
        <f>'МЕДИЧНІ М'!E113</f>
        <v>8</v>
      </c>
      <c r="F893" s="17">
        <f t="shared" si="31"/>
        <v>0.8</v>
      </c>
    </row>
    <row r="894" spans="1:14" x14ac:dyDescent="0.3">
      <c r="B894" s="15" t="str">
        <f>'МЕДИЧНІ М'!B326</f>
        <v>Суха медична плівка 20*25*100</v>
      </c>
      <c r="C894" s="73" t="s">
        <v>941</v>
      </c>
      <c r="D894" s="17">
        <v>1</v>
      </c>
      <c r="E894" s="16">
        <f>'МЕДИЧНІ М'!F326</f>
        <v>28.224299999999999</v>
      </c>
      <c r="F894" s="17">
        <f t="shared" si="31"/>
        <v>28.22</v>
      </c>
    </row>
    <row r="895" spans="1:14" x14ac:dyDescent="0.3">
      <c r="B895" s="15" t="s">
        <v>964</v>
      </c>
      <c r="C895" s="73" t="s">
        <v>941</v>
      </c>
      <c r="D895" s="17">
        <v>0.1</v>
      </c>
      <c r="E895" s="16">
        <f>'МЕДИЧНІ М'!E119</f>
        <v>2.8</v>
      </c>
      <c r="F895" s="17">
        <f t="shared" si="31"/>
        <v>0.28000000000000003</v>
      </c>
    </row>
    <row r="896" spans="1:14" x14ac:dyDescent="0.3">
      <c r="B896" s="27" t="s">
        <v>942</v>
      </c>
      <c r="C896" s="28" t="s">
        <v>941</v>
      </c>
      <c r="D896" s="29">
        <v>0.01</v>
      </c>
      <c r="E896" s="29">
        <f>'МЕДИЧНІ М'!E120</f>
        <v>24.6</v>
      </c>
      <c r="F896" s="30">
        <f t="shared" si="31"/>
        <v>0.25</v>
      </c>
    </row>
    <row r="897" spans="2:8" x14ac:dyDescent="0.3">
      <c r="B897" s="27" t="s">
        <v>1124</v>
      </c>
      <c r="C897" s="28" t="s">
        <v>944</v>
      </c>
      <c r="D897" s="29">
        <v>0.5</v>
      </c>
      <c r="E897" s="29">
        <f>'МЕДИЧНІ М'!E114</f>
        <v>0.5</v>
      </c>
      <c r="F897" s="30">
        <f t="shared" si="31"/>
        <v>0.25</v>
      </c>
    </row>
    <row r="898" spans="2:8" x14ac:dyDescent="0.3">
      <c r="B898" s="1019" t="s">
        <v>945</v>
      </c>
      <c r="C898" s="1019"/>
      <c r="D898" s="1019"/>
      <c r="E898" s="1019"/>
      <c r="F898" s="89">
        <f>SUM(F891:F897)</f>
        <v>31.1</v>
      </c>
    </row>
    <row r="899" spans="2:8" ht="8.25" customHeight="1" x14ac:dyDescent="0.3"/>
    <row r="900" spans="2:8" x14ac:dyDescent="0.3">
      <c r="B900" s="12" t="s">
        <v>968</v>
      </c>
      <c r="C900" s="227"/>
      <c r="D900" s="12"/>
      <c r="E900" s="11">
        <f>SUM(G903:G904)</f>
        <v>48.15</v>
      </c>
      <c r="F900" s="12" t="s">
        <v>971</v>
      </c>
    </row>
    <row r="901" spans="2:8" ht="5.25" customHeight="1" x14ac:dyDescent="0.3">
      <c r="B901" s="22"/>
      <c r="C901" s="36"/>
      <c r="D901" s="22"/>
      <c r="E901" s="23"/>
      <c r="F901" s="22"/>
    </row>
    <row r="902" spans="2:8" ht="27.6" x14ac:dyDescent="0.3">
      <c r="B902" s="14" t="s">
        <v>513</v>
      </c>
      <c r="C902" s="14" t="s">
        <v>1108</v>
      </c>
      <c r="D902" s="14" t="s">
        <v>516</v>
      </c>
      <c r="E902" s="14" t="s">
        <v>970</v>
      </c>
      <c r="F902" s="14" t="s">
        <v>930</v>
      </c>
      <c r="G902" s="14" t="s">
        <v>961</v>
      </c>
    </row>
    <row r="903" spans="2:8" x14ac:dyDescent="0.3">
      <c r="B903" s="46" t="s">
        <v>1161</v>
      </c>
      <c r="C903" s="73">
        <f>C851</f>
        <v>0</v>
      </c>
      <c r="D903" s="62">
        <f>H880</f>
        <v>1932.7</v>
      </c>
      <c r="E903" s="17">
        <f>ROUND((C903/D903)/60,2)</f>
        <v>0</v>
      </c>
      <c r="F903" s="17">
        <f>D884</f>
        <v>10</v>
      </c>
      <c r="G903" s="16">
        <f>ROUND(E903*F903,2)</f>
        <v>0</v>
      </c>
    </row>
    <row r="904" spans="2:8" x14ac:dyDescent="0.3">
      <c r="B904" s="27" t="s">
        <v>1093</v>
      </c>
      <c r="C904" s="73">
        <f>C852</f>
        <v>290000</v>
      </c>
      <c r="D904" s="62">
        <f>H881</f>
        <v>1506</v>
      </c>
      <c r="E904" s="17">
        <f>ROUND((C904/D904)/60,2)</f>
        <v>3.21</v>
      </c>
      <c r="F904" s="17">
        <f>D885</f>
        <v>15</v>
      </c>
      <c r="G904" s="16">
        <f>ROUND(E904*F904,2)</f>
        <v>48.15</v>
      </c>
      <c r="H904" s="38"/>
    </row>
    <row r="905" spans="2:8" ht="6" customHeight="1" x14ac:dyDescent="0.3"/>
    <row r="906" spans="2:8" x14ac:dyDescent="0.3">
      <c r="B906" s="12" t="s">
        <v>948</v>
      </c>
      <c r="C906" s="227"/>
      <c r="D906" s="12"/>
      <c r="E906" s="11">
        <f>G919</f>
        <v>3.45</v>
      </c>
      <c r="F906" s="12" t="s">
        <v>971</v>
      </c>
    </row>
    <row r="907" spans="2:8" ht="4.5" customHeight="1" x14ac:dyDescent="0.3">
      <c r="B907" s="22"/>
      <c r="C907" s="36"/>
      <c r="D907" s="22"/>
      <c r="E907" s="23"/>
    </row>
    <row r="908" spans="2:8" ht="27.6" x14ac:dyDescent="0.3">
      <c r="B908" s="14" t="s">
        <v>948</v>
      </c>
      <c r="C908" s="14" t="s">
        <v>1110</v>
      </c>
      <c r="D908" s="14" t="s">
        <v>516</v>
      </c>
      <c r="E908" s="14" t="s">
        <v>954</v>
      </c>
      <c r="F908" s="14" t="s">
        <v>930</v>
      </c>
      <c r="G908" s="14" t="s">
        <v>1111</v>
      </c>
    </row>
    <row r="909" spans="2:8" x14ac:dyDescent="0.3">
      <c r="B909" s="1009" t="str">
        <f>B880</f>
        <v>Лікар-рентгенолог</v>
      </c>
      <c r="C909" s="1010"/>
      <c r="D909" s="1010"/>
      <c r="E909" s="1010"/>
      <c r="F909" s="1010"/>
      <c r="G909" s="1011"/>
    </row>
    <row r="910" spans="2:8" x14ac:dyDescent="0.3">
      <c r="B910" s="17" t="s">
        <v>951</v>
      </c>
      <c r="C910" s="221">
        <f>C858</f>
        <v>12188.608008565312</v>
      </c>
      <c r="D910" s="17">
        <f>H880</f>
        <v>1932.7</v>
      </c>
      <c r="E910" s="17">
        <f>ROUND((C910/D910)/60,2)</f>
        <v>0.11</v>
      </c>
      <c r="F910" s="17">
        <f>D884</f>
        <v>10</v>
      </c>
      <c r="G910" s="16">
        <f>ROUND(E910*F910,2)</f>
        <v>1.1000000000000001</v>
      </c>
    </row>
    <row r="911" spans="2:8" x14ac:dyDescent="0.3">
      <c r="B911" s="17" t="s">
        <v>952</v>
      </c>
      <c r="C911" s="221">
        <f>C859</f>
        <v>53.149721627408987</v>
      </c>
      <c r="D911" s="17">
        <f>H880</f>
        <v>1932.7</v>
      </c>
      <c r="E911" s="17">
        <f>ROUND((C911/D911)/60,2)</f>
        <v>0</v>
      </c>
      <c r="F911" s="17">
        <f>D884</f>
        <v>10</v>
      </c>
      <c r="G911" s="16">
        <f>ROUND(E911*F911,2)</f>
        <v>0</v>
      </c>
    </row>
    <row r="912" spans="2:8" x14ac:dyDescent="0.3">
      <c r="B912" s="17" t="s">
        <v>953</v>
      </c>
      <c r="C912" s="221">
        <f>C860</f>
        <v>374.98368308351178</v>
      </c>
      <c r="D912" s="17">
        <f>H880</f>
        <v>1932.7</v>
      </c>
      <c r="E912" s="17">
        <f>ROUND((C912/D912)/60,2)</f>
        <v>0</v>
      </c>
      <c r="F912" s="17">
        <f>D884</f>
        <v>10</v>
      </c>
      <c r="G912" s="16">
        <f>ROUND(E912*F912,2)</f>
        <v>0</v>
      </c>
    </row>
    <row r="913" spans="1:14" x14ac:dyDescent="0.3">
      <c r="B913" s="17" t="s">
        <v>1109</v>
      </c>
      <c r="C913" s="221">
        <f>C861</f>
        <v>1686.0389293361886</v>
      </c>
      <c r="D913" s="17">
        <f>H880</f>
        <v>1932.7</v>
      </c>
      <c r="E913" s="17">
        <f>ROUND((C913/D913)/60,2)</f>
        <v>0.01</v>
      </c>
      <c r="F913" s="17">
        <f>D884</f>
        <v>10</v>
      </c>
      <c r="G913" s="16">
        <f>ROUND(E913*F913,2)</f>
        <v>0.1</v>
      </c>
    </row>
    <row r="914" spans="1:14" x14ac:dyDescent="0.3">
      <c r="B914" s="1009" t="str">
        <f>B881</f>
        <v>Рентгенолаборант</v>
      </c>
      <c r="C914" s="1010"/>
      <c r="D914" s="1010"/>
      <c r="E914" s="1010"/>
      <c r="F914" s="1010"/>
      <c r="G914" s="1011"/>
    </row>
    <row r="915" spans="1:14" x14ac:dyDescent="0.3">
      <c r="B915" s="17" t="s">
        <v>951</v>
      </c>
      <c r="C915" s="221">
        <f>C910</f>
        <v>12188.608008565312</v>
      </c>
      <c r="D915" s="17">
        <f>H881</f>
        <v>1506</v>
      </c>
      <c r="E915" s="17">
        <f>ROUND((C915/D915)/60,2)</f>
        <v>0.13</v>
      </c>
      <c r="F915" s="17">
        <f>D885</f>
        <v>15</v>
      </c>
      <c r="G915" s="16">
        <f>ROUND(E915*F915,2)</f>
        <v>1.95</v>
      </c>
    </row>
    <row r="916" spans="1:14" x14ac:dyDescent="0.3">
      <c r="B916" s="17" t="s">
        <v>952</v>
      </c>
      <c r="C916" s="221">
        <f>C911</f>
        <v>53.149721627408987</v>
      </c>
      <c r="D916" s="17">
        <f>H881</f>
        <v>1506</v>
      </c>
      <c r="E916" s="17">
        <f>ROUND((C916/D916)/60,2)</f>
        <v>0</v>
      </c>
      <c r="F916" s="17">
        <f>D885</f>
        <v>15</v>
      </c>
      <c r="G916" s="16">
        <f>ROUND(E916*F916,2)</f>
        <v>0</v>
      </c>
    </row>
    <row r="917" spans="1:14" x14ac:dyDescent="0.3">
      <c r="B917" s="17" t="s">
        <v>953</v>
      </c>
      <c r="C917" s="221">
        <f>C912</f>
        <v>374.98368308351178</v>
      </c>
      <c r="D917" s="17">
        <f>H881</f>
        <v>1506</v>
      </c>
      <c r="E917" s="17">
        <f>ROUND((C917/D917)/60,2)</f>
        <v>0</v>
      </c>
      <c r="F917" s="17">
        <f>D885</f>
        <v>15</v>
      </c>
      <c r="G917" s="16">
        <f>ROUND(E917*F917,2)</f>
        <v>0</v>
      </c>
    </row>
    <row r="918" spans="1:14" x14ac:dyDescent="0.3">
      <c r="B918" s="17" t="s">
        <v>1109</v>
      </c>
      <c r="C918" s="221">
        <f>C913</f>
        <v>1686.0389293361886</v>
      </c>
      <c r="D918" s="17">
        <f>H881</f>
        <v>1506</v>
      </c>
      <c r="E918" s="17">
        <f>ROUND((C918/D918)/60,2)</f>
        <v>0.02</v>
      </c>
      <c r="F918" s="17">
        <f>D885</f>
        <v>15</v>
      </c>
      <c r="G918" s="16">
        <f>ROUND(E918*F918,2)</f>
        <v>0.3</v>
      </c>
    </row>
    <row r="919" spans="1:14" x14ac:dyDescent="0.3">
      <c r="B919" s="1012" t="s">
        <v>957</v>
      </c>
      <c r="C919" s="1013"/>
      <c r="D919" s="1013"/>
      <c r="E919" s="1013"/>
      <c r="F919" s="1014"/>
      <c r="G919" s="18">
        <f>SUM(G910:G918)</f>
        <v>3.45</v>
      </c>
    </row>
    <row r="920" spans="1:14" ht="8.25" customHeight="1" x14ac:dyDescent="0.3"/>
    <row r="922" spans="1:14" x14ac:dyDescent="0.3">
      <c r="B922" s="1015" t="s">
        <v>959</v>
      </c>
      <c r="C922" s="1015"/>
      <c r="D922" s="1015"/>
      <c r="E922" s="1015"/>
      <c r="F922" s="1015"/>
      <c r="G922" s="32">
        <f>E877+E889+E900+E906</f>
        <v>114.48</v>
      </c>
    </row>
    <row r="923" spans="1:14" ht="12" customHeight="1" x14ac:dyDescent="0.3">
      <c r="B923" s="33"/>
      <c r="C923" s="33"/>
      <c r="D923" s="33"/>
      <c r="E923" s="33"/>
      <c r="F923" s="33"/>
      <c r="G923" s="34"/>
    </row>
    <row r="924" spans="1:14" x14ac:dyDescent="0.3">
      <c r="B924" s="1015" t="s">
        <v>960</v>
      </c>
      <c r="C924" s="1015"/>
      <c r="D924" s="1015"/>
      <c r="E924" s="1015"/>
      <c r="F924" s="1015"/>
      <c r="G924" s="32">
        <f>ROUND(G922,0)</f>
        <v>114</v>
      </c>
    </row>
    <row r="925" spans="1:14" x14ac:dyDescent="0.3">
      <c r="B925" s="33"/>
      <c r="C925" s="33"/>
      <c r="D925" s="33"/>
      <c r="E925" s="33"/>
      <c r="F925" s="33"/>
      <c r="G925" s="34"/>
    </row>
    <row r="927" spans="1:14" s="54" customFormat="1" ht="19.8" x14ac:dyDescent="0.4">
      <c r="A927" s="53"/>
      <c r="B927" s="53"/>
      <c r="C927" s="225"/>
      <c r="D927" s="53"/>
      <c r="E927" s="53"/>
      <c r="F927" s="53"/>
      <c r="G927" s="53"/>
      <c r="H927" s="53"/>
      <c r="I927" s="53"/>
      <c r="J927" s="132"/>
      <c r="K927" s="868"/>
      <c r="L927" s="65"/>
      <c r="M927" s="65"/>
      <c r="N927" s="65"/>
    </row>
    <row r="928" spans="1:14" s="54" customFormat="1" ht="19.8" x14ac:dyDescent="0.4">
      <c r="A928" s="50" t="s">
        <v>260</v>
      </c>
      <c r="B928" s="1032" t="s">
        <v>681</v>
      </c>
      <c r="C928" s="1032"/>
      <c r="D928" s="1032"/>
      <c r="E928" s="52">
        <f>G977</f>
        <v>102</v>
      </c>
      <c r="F928" s="52" t="s">
        <v>971</v>
      </c>
      <c r="G928" s="53"/>
      <c r="H928" s="124"/>
      <c r="I928" s="125" t="s">
        <v>1023</v>
      </c>
      <c r="J928" s="132"/>
      <c r="K928" s="868"/>
      <c r="L928" s="65"/>
      <c r="M928" s="65"/>
      <c r="N928" s="65"/>
    </row>
    <row r="929" spans="2:9" ht="18.600000000000001" x14ac:dyDescent="0.3">
      <c r="I929" s="125" t="s">
        <v>231</v>
      </c>
    </row>
    <row r="930" spans="2:9" x14ac:dyDescent="0.3">
      <c r="B930" s="1018" t="s">
        <v>932</v>
      </c>
      <c r="C930" s="1018"/>
      <c r="D930" s="10"/>
      <c r="E930" s="11">
        <f>E937+E940+E938</f>
        <v>31.78</v>
      </c>
      <c r="F930" s="12" t="s">
        <v>971</v>
      </c>
    </row>
    <row r="932" spans="2:9" ht="27.6" x14ac:dyDescent="0.3">
      <c r="B932" s="13" t="s">
        <v>929</v>
      </c>
      <c r="C932" s="14" t="s">
        <v>928</v>
      </c>
      <c r="D932" s="14" t="s">
        <v>514</v>
      </c>
      <c r="E932" s="14" t="s">
        <v>515</v>
      </c>
      <c r="F932" s="14" t="s">
        <v>962</v>
      </c>
      <c r="G932" s="14" t="s">
        <v>926</v>
      </c>
      <c r="H932" s="14" t="s">
        <v>516</v>
      </c>
      <c r="I932" s="14" t="s">
        <v>961</v>
      </c>
    </row>
    <row r="933" spans="2:9" x14ac:dyDescent="0.3">
      <c r="B933" s="16" t="str">
        <f>B880</f>
        <v>Лікар-рентгенолог</v>
      </c>
      <c r="C933" s="16">
        <f t="shared" ref="C933:H933" si="32">C880</f>
        <v>8463.5400000000009</v>
      </c>
      <c r="D933" s="16">
        <f t="shared" si="32"/>
        <v>101562.48000000001</v>
      </c>
      <c r="E933" s="16">
        <f t="shared" si="32"/>
        <v>7052.95</v>
      </c>
      <c r="F933" s="16">
        <f t="shared" si="32"/>
        <v>3526.4749999999999</v>
      </c>
      <c r="G933" s="16">
        <f t="shared" si="32"/>
        <v>112141.90500000001</v>
      </c>
      <c r="H933" s="16">
        <f t="shared" si="32"/>
        <v>1932.7</v>
      </c>
      <c r="I933" s="16">
        <f>ROUND((G933/H933)/60,2)</f>
        <v>0.97</v>
      </c>
    </row>
    <row r="934" spans="2:9" x14ac:dyDescent="0.3">
      <c r="B934" s="16" t="str">
        <f>B881</f>
        <v>Рентгенолаборант</v>
      </c>
      <c r="C934" s="16">
        <f t="shared" ref="C934:H934" si="33">C881</f>
        <v>7482.48</v>
      </c>
      <c r="D934" s="16">
        <f t="shared" si="33"/>
        <v>89789.759999999995</v>
      </c>
      <c r="E934" s="16">
        <f t="shared" si="33"/>
        <v>5755.75</v>
      </c>
      <c r="F934" s="16">
        <f t="shared" si="33"/>
        <v>2877.875</v>
      </c>
      <c r="G934" s="16">
        <f t="shared" si="33"/>
        <v>98423.384999999995</v>
      </c>
      <c r="H934" s="16">
        <f t="shared" si="33"/>
        <v>1506</v>
      </c>
      <c r="I934" s="16">
        <f>ROUND((G934/H934)/60,2)</f>
        <v>1.0900000000000001</v>
      </c>
    </row>
    <row r="936" spans="2:9" ht="27.6" x14ac:dyDescent="0.3">
      <c r="B936" s="13" t="s">
        <v>929</v>
      </c>
      <c r="C936" s="14" t="s">
        <v>961</v>
      </c>
      <c r="D936" s="14" t="s">
        <v>930</v>
      </c>
      <c r="E936" s="14" t="s">
        <v>931</v>
      </c>
    </row>
    <row r="937" spans="2:9" x14ac:dyDescent="0.3">
      <c r="B937" s="15" t="str">
        <f>B933</f>
        <v>Лікар-рентгенолог</v>
      </c>
      <c r="C937" s="78">
        <f>I933</f>
        <v>0.97</v>
      </c>
      <c r="D937" s="17">
        <v>10</v>
      </c>
      <c r="E937" s="18">
        <f>ROUND(C937*D937,2)</f>
        <v>9.6999999999999993</v>
      </c>
    </row>
    <row r="938" spans="2:9" x14ac:dyDescent="0.3">
      <c r="B938" s="15" t="str">
        <f>B934</f>
        <v>Рентгенолаборант</v>
      </c>
      <c r="C938" s="78">
        <f>I934</f>
        <v>1.0900000000000001</v>
      </c>
      <c r="D938" s="17">
        <v>15</v>
      </c>
      <c r="E938" s="18">
        <f>ROUND(C938*D938,2)</f>
        <v>16.350000000000001</v>
      </c>
    </row>
    <row r="939" spans="2:9" x14ac:dyDescent="0.3">
      <c r="C939" s="19"/>
    </row>
    <row r="940" spans="2:9" x14ac:dyDescent="0.3">
      <c r="B940" s="17" t="s">
        <v>933</v>
      </c>
      <c r="C940" s="78">
        <f>E937+E938</f>
        <v>26.05</v>
      </c>
      <c r="D940" s="20">
        <v>0.22</v>
      </c>
      <c r="E940" s="21">
        <f>ROUND(C940*D940,2)</f>
        <v>5.73</v>
      </c>
    </row>
    <row r="942" spans="2:9" x14ac:dyDescent="0.3">
      <c r="B942" s="12" t="s">
        <v>946</v>
      </c>
      <c r="C942" s="227"/>
      <c r="D942" s="12"/>
      <c r="E942" s="11">
        <f>F951</f>
        <v>18.720000000000002</v>
      </c>
      <c r="F942" s="12" t="s">
        <v>971</v>
      </c>
    </row>
    <row r="944" spans="2:9" x14ac:dyDescent="0.3">
      <c r="B944" s="15" t="str">
        <f>B891</f>
        <v xml:space="preserve">Мікрасепт 1л. </v>
      </c>
      <c r="C944" s="15" t="str">
        <f>C891</f>
        <v>шт</v>
      </c>
      <c r="D944" s="15">
        <f>D891</f>
        <v>1</v>
      </c>
      <c r="E944" s="15">
        <f>E891</f>
        <v>0.3</v>
      </c>
      <c r="F944" s="30">
        <f>ROUND(D944*E944,2)</f>
        <v>0.3</v>
      </c>
    </row>
    <row r="945" spans="1:14" s="184" customFormat="1" x14ac:dyDescent="0.3">
      <c r="A945" s="180"/>
      <c r="B945" s="15" t="str">
        <f t="shared" ref="B945:E950" si="34">B892</f>
        <v>Маска на резинці, стерильна</v>
      </c>
      <c r="C945" s="15" t="str">
        <f t="shared" si="34"/>
        <v>шт</v>
      </c>
      <c r="D945" s="15">
        <f t="shared" si="34"/>
        <v>0.5</v>
      </c>
      <c r="E945" s="15">
        <f t="shared" si="34"/>
        <v>2</v>
      </c>
      <c r="F945" s="164">
        <f t="shared" ref="F945:F950" si="35">ROUND(D945*E945,2)</f>
        <v>1</v>
      </c>
      <c r="G945" s="180"/>
      <c r="H945" s="180"/>
      <c r="I945" s="180"/>
      <c r="J945" s="187"/>
      <c r="K945" s="866"/>
      <c r="L945" s="861"/>
      <c r="M945" s="861"/>
      <c r="N945" s="861"/>
    </row>
    <row r="946" spans="1:14" x14ac:dyDescent="0.3">
      <c r="B946" s="15" t="str">
        <f t="shared" si="34"/>
        <v>Бинт марлевий 7х14</v>
      </c>
      <c r="C946" s="15" t="str">
        <f t="shared" si="34"/>
        <v>шт</v>
      </c>
      <c r="D946" s="15">
        <f t="shared" si="34"/>
        <v>0.1</v>
      </c>
      <c r="E946" s="15">
        <f t="shared" si="34"/>
        <v>8</v>
      </c>
      <c r="F946" s="17">
        <f t="shared" si="35"/>
        <v>0.8</v>
      </c>
    </row>
    <row r="947" spans="1:14" x14ac:dyDescent="0.3">
      <c r="B947" s="15" t="str">
        <f>'МЕДИЧНІ М'!B327</f>
        <v>Суха медична плівка 35*43*100</v>
      </c>
      <c r="C947" s="15" t="str">
        <f t="shared" si="34"/>
        <v>шт</v>
      </c>
      <c r="D947" s="15">
        <f t="shared" si="34"/>
        <v>1</v>
      </c>
      <c r="E947" s="278">
        <f>'МЕДИЧНІ М'!F327</f>
        <v>15.841125</v>
      </c>
      <c r="F947" s="17">
        <f t="shared" si="35"/>
        <v>15.84</v>
      </c>
    </row>
    <row r="948" spans="1:14" x14ac:dyDescent="0.3">
      <c r="B948" s="15" t="str">
        <f t="shared" si="34"/>
        <v>Рукавиці не стерильні</v>
      </c>
      <c r="C948" s="15" t="str">
        <f t="shared" si="34"/>
        <v>шт</v>
      </c>
      <c r="D948" s="15">
        <f t="shared" si="34"/>
        <v>0.1</v>
      </c>
      <c r="E948" s="15">
        <f t="shared" si="34"/>
        <v>2.8</v>
      </c>
      <c r="F948" s="17">
        <f t="shared" si="35"/>
        <v>0.28000000000000003</v>
      </c>
    </row>
    <row r="949" spans="1:14" x14ac:dyDescent="0.3">
      <c r="B949" s="15" t="str">
        <f t="shared" si="34"/>
        <v xml:space="preserve">Спирт 70% 100мл </v>
      </c>
      <c r="C949" s="15" t="str">
        <f t="shared" si="34"/>
        <v>шт</v>
      </c>
      <c r="D949" s="15">
        <f t="shared" si="34"/>
        <v>0.01</v>
      </c>
      <c r="E949" s="15">
        <f t="shared" si="34"/>
        <v>24.6</v>
      </c>
      <c r="F949" s="30">
        <f t="shared" si="35"/>
        <v>0.25</v>
      </c>
    </row>
    <row r="950" spans="1:14" x14ac:dyDescent="0.3">
      <c r="B950" s="15" t="str">
        <f t="shared" si="34"/>
        <v>Деззасоби</v>
      </c>
      <c r="C950" s="15" t="str">
        <f t="shared" si="34"/>
        <v>г</v>
      </c>
      <c r="D950" s="15">
        <f t="shared" si="34"/>
        <v>0.5</v>
      </c>
      <c r="E950" s="15">
        <f t="shared" si="34"/>
        <v>0.5</v>
      </c>
      <c r="F950" s="30">
        <f t="shared" si="35"/>
        <v>0.25</v>
      </c>
    </row>
    <row r="951" spans="1:14" x14ac:dyDescent="0.3">
      <c r="B951" s="1019" t="s">
        <v>945</v>
      </c>
      <c r="C951" s="1019"/>
      <c r="D951" s="1019"/>
      <c r="E951" s="1019"/>
      <c r="F951" s="89">
        <f>SUM(F944:F950)</f>
        <v>18.720000000000002</v>
      </c>
    </row>
    <row r="952" spans="1:14" ht="8.25" customHeight="1" x14ac:dyDescent="0.3"/>
    <row r="953" spans="1:14" x14ac:dyDescent="0.3">
      <c r="B953" s="12" t="s">
        <v>968</v>
      </c>
      <c r="C953" s="227"/>
      <c r="D953" s="12"/>
      <c r="E953" s="11">
        <f>SUM(G956:G957)</f>
        <v>48.15</v>
      </c>
      <c r="F953" s="12" t="s">
        <v>971</v>
      </c>
    </row>
    <row r="954" spans="1:14" ht="5.25" customHeight="1" x14ac:dyDescent="0.3">
      <c r="B954" s="22"/>
      <c r="C954" s="36"/>
      <c r="D954" s="22"/>
      <c r="E954" s="23"/>
      <c r="F954" s="22"/>
    </row>
    <row r="955" spans="1:14" ht="27.6" x14ac:dyDescent="0.3">
      <c r="B955" s="14" t="s">
        <v>513</v>
      </c>
      <c r="C955" s="14" t="s">
        <v>1108</v>
      </c>
      <c r="D955" s="14" t="s">
        <v>516</v>
      </c>
      <c r="E955" s="14" t="s">
        <v>970</v>
      </c>
      <c r="F955" s="14" t="s">
        <v>930</v>
      </c>
      <c r="G955" s="14" t="s">
        <v>961</v>
      </c>
    </row>
    <row r="956" spans="1:14" x14ac:dyDescent="0.3">
      <c r="B956" s="46" t="str">
        <f>B903</f>
        <v>Автоматизоване робоче місце, ПК</v>
      </c>
      <c r="C956" s="46">
        <f>C903</f>
        <v>0</v>
      </c>
      <c r="D956" s="62">
        <f>H933</f>
        <v>1932.7</v>
      </c>
      <c r="E956" s="17">
        <f>ROUND((C956/D956)/60,2)</f>
        <v>0</v>
      </c>
      <c r="F956" s="17">
        <f>D937</f>
        <v>10</v>
      </c>
      <c r="G956" s="16">
        <f>ROUND(E956*F956,2)</f>
        <v>0</v>
      </c>
    </row>
    <row r="957" spans="1:14" x14ac:dyDescent="0.3">
      <c r="B957" s="46" t="str">
        <f>B904</f>
        <v>Рентген</v>
      </c>
      <c r="C957" s="46">
        <f>C904</f>
        <v>290000</v>
      </c>
      <c r="D957" s="62">
        <f>H934</f>
        <v>1506</v>
      </c>
      <c r="E957" s="17">
        <f>ROUND((C957/D957)/60,2)</f>
        <v>3.21</v>
      </c>
      <c r="F957" s="17">
        <f>D938</f>
        <v>15</v>
      </c>
      <c r="G957" s="16">
        <f>ROUND(E957*F957,2)</f>
        <v>48.15</v>
      </c>
      <c r="H957" s="38"/>
    </row>
    <row r="958" spans="1:14" ht="6" customHeight="1" x14ac:dyDescent="0.3"/>
    <row r="959" spans="1:14" x14ac:dyDescent="0.3">
      <c r="B959" s="12" t="s">
        <v>948</v>
      </c>
      <c r="C959" s="227"/>
      <c r="D959" s="12"/>
      <c r="E959" s="11">
        <f>G972</f>
        <v>3.45</v>
      </c>
      <c r="F959" s="12" t="s">
        <v>971</v>
      </c>
    </row>
    <row r="960" spans="1:14" ht="4.5" customHeight="1" x14ac:dyDescent="0.3">
      <c r="B960" s="22"/>
      <c r="C960" s="36"/>
      <c r="D960" s="22"/>
      <c r="E960" s="23"/>
    </row>
    <row r="961" spans="2:7" ht="27.6" x14ac:dyDescent="0.3">
      <c r="B961" s="14" t="s">
        <v>948</v>
      </c>
      <c r="C961" s="14" t="s">
        <v>1110</v>
      </c>
      <c r="D961" s="14" t="s">
        <v>516</v>
      </c>
      <c r="E961" s="14" t="s">
        <v>954</v>
      </c>
      <c r="F961" s="14" t="s">
        <v>930</v>
      </c>
      <c r="G961" s="14" t="s">
        <v>1111</v>
      </c>
    </row>
    <row r="962" spans="2:7" x14ac:dyDescent="0.3">
      <c r="B962" s="1009" t="str">
        <f>B933</f>
        <v>Лікар-рентгенолог</v>
      </c>
      <c r="C962" s="1010"/>
      <c r="D962" s="1010"/>
      <c r="E962" s="1010"/>
      <c r="F962" s="1010"/>
      <c r="G962" s="1011"/>
    </row>
    <row r="963" spans="2:7" x14ac:dyDescent="0.3">
      <c r="B963" s="17" t="s">
        <v>951</v>
      </c>
      <c r="C963" s="221">
        <f>C910</f>
        <v>12188.608008565312</v>
      </c>
      <c r="D963" s="17">
        <f>H933</f>
        <v>1932.7</v>
      </c>
      <c r="E963" s="17">
        <f>ROUND((C963/D963)/60,2)</f>
        <v>0.11</v>
      </c>
      <c r="F963" s="17">
        <f>D937</f>
        <v>10</v>
      </c>
      <c r="G963" s="16">
        <f>ROUND(E963*F963,2)</f>
        <v>1.1000000000000001</v>
      </c>
    </row>
    <row r="964" spans="2:7" x14ac:dyDescent="0.3">
      <c r="B964" s="17" t="s">
        <v>952</v>
      </c>
      <c r="C964" s="221">
        <f>C911</f>
        <v>53.149721627408987</v>
      </c>
      <c r="D964" s="17">
        <f>H933</f>
        <v>1932.7</v>
      </c>
      <c r="E964" s="17">
        <f>ROUND((C964/D964)/60,2)</f>
        <v>0</v>
      </c>
      <c r="F964" s="17">
        <f>D937</f>
        <v>10</v>
      </c>
      <c r="G964" s="16">
        <f>ROUND(E964*F964,2)</f>
        <v>0</v>
      </c>
    </row>
    <row r="965" spans="2:7" x14ac:dyDescent="0.3">
      <c r="B965" s="17" t="s">
        <v>953</v>
      </c>
      <c r="C965" s="221">
        <f>C912</f>
        <v>374.98368308351178</v>
      </c>
      <c r="D965" s="17">
        <f>H933</f>
        <v>1932.7</v>
      </c>
      <c r="E965" s="17">
        <f>ROUND((C965/D965)/60,2)</f>
        <v>0</v>
      </c>
      <c r="F965" s="17">
        <f>D937</f>
        <v>10</v>
      </c>
      <c r="G965" s="16">
        <f>ROUND(E965*F965,2)</f>
        <v>0</v>
      </c>
    </row>
    <row r="966" spans="2:7" x14ac:dyDescent="0.3">
      <c r="B966" s="17" t="s">
        <v>1109</v>
      </c>
      <c r="C966" s="221">
        <f>C913</f>
        <v>1686.0389293361886</v>
      </c>
      <c r="D966" s="17">
        <f>H933</f>
        <v>1932.7</v>
      </c>
      <c r="E966" s="17">
        <f>ROUND((C966/D966)/60,2)</f>
        <v>0.01</v>
      </c>
      <c r="F966" s="17">
        <f>D937</f>
        <v>10</v>
      </c>
      <c r="G966" s="16">
        <f>ROUND(E966*F966,2)</f>
        <v>0.1</v>
      </c>
    </row>
    <row r="967" spans="2:7" x14ac:dyDescent="0.3">
      <c r="B967" s="1009" t="str">
        <f>B934</f>
        <v>Рентгенолаборант</v>
      </c>
      <c r="C967" s="1010"/>
      <c r="D967" s="1010"/>
      <c r="E967" s="1010"/>
      <c r="F967" s="1010"/>
      <c r="G967" s="1011"/>
    </row>
    <row r="968" spans="2:7" x14ac:dyDescent="0.3">
      <c r="B968" s="17" t="s">
        <v>951</v>
      </c>
      <c r="C968" s="221">
        <f>C963</f>
        <v>12188.608008565312</v>
      </c>
      <c r="D968" s="17">
        <f>H934</f>
        <v>1506</v>
      </c>
      <c r="E968" s="17">
        <f>ROUND((C968/D968)/60,2)</f>
        <v>0.13</v>
      </c>
      <c r="F968" s="17">
        <f>D938</f>
        <v>15</v>
      </c>
      <c r="G968" s="16">
        <f>ROUND(E968*F968,2)</f>
        <v>1.95</v>
      </c>
    </row>
    <row r="969" spans="2:7" x14ac:dyDescent="0.3">
      <c r="B969" s="17" t="s">
        <v>952</v>
      </c>
      <c r="C969" s="221">
        <f>C964</f>
        <v>53.149721627408987</v>
      </c>
      <c r="D969" s="17">
        <f>H934</f>
        <v>1506</v>
      </c>
      <c r="E969" s="17">
        <f>ROUND((C969/D969)/60,2)</f>
        <v>0</v>
      </c>
      <c r="F969" s="17">
        <f>D938</f>
        <v>15</v>
      </c>
      <c r="G969" s="16">
        <f>ROUND(E969*F969,2)</f>
        <v>0</v>
      </c>
    </row>
    <row r="970" spans="2:7" x14ac:dyDescent="0.3">
      <c r="B970" s="17" t="s">
        <v>953</v>
      </c>
      <c r="C970" s="221">
        <f>C965</f>
        <v>374.98368308351178</v>
      </c>
      <c r="D970" s="17">
        <f>H934</f>
        <v>1506</v>
      </c>
      <c r="E970" s="17">
        <f>ROUND((C970/D970)/60,2)</f>
        <v>0</v>
      </c>
      <c r="F970" s="17">
        <f>D938</f>
        <v>15</v>
      </c>
      <c r="G970" s="16">
        <f>ROUND(E970*F970,2)</f>
        <v>0</v>
      </c>
    </row>
    <row r="971" spans="2:7" x14ac:dyDescent="0.3">
      <c r="B971" s="17" t="s">
        <v>1109</v>
      </c>
      <c r="C971" s="221">
        <f>C966</f>
        <v>1686.0389293361886</v>
      </c>
      <c r="D971" s="17">
        <f>H934</f>
        <v>1506</v>
      </c>
      <c r="E971" s="17">
        <f>ROUND((C971/D971)/60,2)</f>
        <v>0.02</v>
      </c>
      <c r="F971" s="17">
        <f>D938</f>
        <v>15</v>
      </c>
      <c r="G971" s="16">
        <f>ROUND(E971*F971,2)</f>
        <v>0.3</v>
      </c>
    </row>
    <row r="972" spans="2:7" x14ac:dyDescent="0.3">
      <c r="B972" s="1012" t="s">
        <v>957</v>
      </c>
      <c r="C972" s="1013"/>
      <c r="D972" s="1013"/>
      <c r="E972" s="1013"/>
      <c r="F972" s="1014"/>
      <c r="G972" s="18">
        <f>SUM(G963:G971)</f>
        <v>3.45</v>
      </c>
    </row>
    <row r="973" spans="2:7" ht="8.25" customHeight="1" x14ac:dyDescent="0.3"/>
    <row r="975" spans="2:7" x14ac:dyDescent="0.3">
      <c r="B975" s="1015" t="s">
        <v>959</v>
      </c>
      <c r="C975" s="1015"/>
      <c r="D975" s="1015"/>
      <c r="E975" s="1015"/>
      <c r="F975" s="1015"/>
      <c r="G975" s="32">
        <f>E930+E942+E953+E959</f>
        <v>102.10000000000001</v>
      </c>
    </row>
    <row r="976" spans="2:7" ht="12" customHeight="1" x14ac:dyDescent="0.3">
      <c r="B976" s="33"/>
      <c r="C976" s="33"/>
      <c r="D976" s="33"/>
      <c r="E976" s="33"/>
      <c r="F976" s="33"/>
      <c r="G976" s="34"/>
    </row>
    <row r="977" spans="1:14" x14ac:dyDescent="0.3">
      <c r="B977" s="1015" t="s">
        <v>960</v>
      </c>
      <c r="C977" s="1015"/>
      <c r="D977" s="1015"/>
      <c r="E977" s="1015"/>
      <c r="F977" s="1015"/>
      <c r="G977" s="32">
        <f>ROUND(G975,0)</f>
        <v>102</v>
      </c>
    </row>
    <row r="978" spans="1:14" x14ac:dyDescent="0.3">
      <c r="B978" s="33"/>
      <c r="C978" s="33"/>
      <c r="D978" s="33"/>
      <c r="E978" s="33"/>
      <c r="F978" s="33"/>
      <c r="G978" s="34"/>
    </row>
    <row r="980" spans="1:14" s="54" customFormat="1" ht="19.8" x14ac:dyDescent="0.4">
      <c r="A980" s="50" t="s">
        <v>261</v>
      </c>
      <c r="B980" s="1032" t="s">
        <v>681</v>
      </c>
      <c r="C980" s="1032"/>
      <c r="D980" s="1032"/>
      <c r="E980" s="52">
        <f>G1028</f>
        <v>86</v>
      </c>
      <c r="F980" s="52" t="s">
        <v>971</v>
      </c>
      <c r="G980" s="53"/>
      <c r="H980" s="124"/>
      <c r="I980" s="125" t="s">
        <v>1128</v>
      </c>
      <c r="J980" s="132"/>
      <c r="K980" s="868"/>
      <c r="L980" s="65"/>
      <c r="M980" s="65"/>
      <c r="N980" s="65"/>
    </row>
    <row r="981" spans="1:14" s="54" customFormat="1" ht="19.8" x14ac:dyDescent="0.4">
      <c r="A981" s="53"/>
      <c r="B981" s="53"/>
      <c r="C981" s="225"/>
      <c r="D981" s="53"/>
      <c r="E981" s="53"/>
      <c r="F981" s="53"/>
      <c r="G981" s="53"/>
      <c r="H981" s="53"/>
      <c r="I981" s="53"/>
      <c r="J981" s="132"/>
      <c r="K981" s="868"/>
      <c r="L981" s="65"/>
      <c r="M981" s="65"/>
      <c r="N981" s="65"/>
    </row>
    <row r="982" spans="1:14" s="54" customFormat="1" ht="19.8" x14ac:dyDescent="0.4">
      <c r="A982" s="53"/>
      <c r="B982" s="1037" t="s">
        <v>932</v>
      </c>
      <c r="C982" s="1037"/>
      <c r="D982" s="68"/>
      <c r="E982" s="92">
        <f>E989+E992+E990</f>
        <v>31.78</v>
      </c>
      <c r="F982" s="93" t="s">
        <v>971</v>
      </c>
      <c r="G982" s="53"/>
      <c r="H982" s="53"/>
      <c r="I982" s="53"/>
      <c r="J982" s="132"/>
      <c r="K982" s="868"/>
      <c r="L982" s="65"/>
      <c r="M982" s="65"/>
      <c r="N982" s="65"/>
    </row>
    <row r="984" spans="1:14" ht="27.6" x14ac:dyDescent="0.3">
      <c r="B984" s="13" t="s">
        <v>929</v>
      </c>
      <c r="C984" s="14" t="s">
        <v>928</v>
      </c>
      <c r="D984" s="14" t="s">
        <v>514</v>
      </c>
      <c r="E984" s="14" t="s">
        <v>515</v>
      </c>
      <c r="F984" s="14" t="s">
        <v>962</v>
      </c>
      <c r="G984" s="14" t="s">
        <v>926</v>
      </c>
      <c r="H984" s="14" t="s">
        <v>516</v>
      </c>
      <c r="I984" s="14" t="s">
        <v>961</v>
      </c>
    </row>
    <row r="985" spans="1:14" x14ac:dyDescent="0.3">
      <c r="B985" s="16" t="str">
        <f>B880</f>
        <v>Лікар-рентгенолог</v>
      </c>
      <c r="C985" s="78">
        <f>C880</f>
        <v>8463.5400000000009</v>
      </c>
      <c r="D985" s="16">
        <f>C985*12</f>
        <v>101562.48000000001</v>
      </c>
      <c r="E985" s="16">
        <f>E880</f>
        <v>7052.95</v>
      </c>
      <c r="F985" s="16">
        <f>F880</f>
        <v>3526.4749999999999</v>
      </c>
      <c r="G985" s="16">
        <f>D985+E985+F985</f>
        <v>112141.90500000001</v>
      </c>
      <c r="H985" s="17">
        <v>1932.7</v>
      </c>
      <c r="I985" s="16">
        <f>ROUND((G985/H985)/60,2)</f>
        <v>0.97</v>
      </c>
    </row>
    <row r="986" spans="1:14" x14ac:dyDescent="0.3">
      <c r="B986" s="16" t="str">
        <f>B881</f>
        <v>Рентгенолаборант</v>
      </c>
      <c r="C986" s="78">
        <f>C881</f>
        <v>7482.48</v>
      </c>
      <c r="D986" s="24">
        <f>C986*12</f>
        <v>89789.759999999995</v>
      </c>
      <c r="E986" s="16">
        <f>E881</f>
        <v>5755.75</v>
      </c>
      <c r="F986" s="16">
        <f>F881</f>
        <v>2877.875</v>
      </c>
      <c r="G986" s="16">
        <f>D986+E986+F986</f>
        <v>98423.384999999995</v>
      </c>
      <c r="H986" s="62">
        <v>1506</v>
      </c>
      <c r="I986" s="16">
        <f>ROUND((G986/H986)/60,2)</f>
        <v>1.0900000000000001</v>
      </c>
    </row>
    <row r="988" spans="1:14" ht="27.6" x14ac:dyDescent="0.3">
      <c r="B988" s="13" t="s">
        <v>929</v>
      </c>
      <c r="C988" s="14" t="s">
        <v>961</v>
      </c>
      <c r="D988" s="14" t="s">
        <v>930</v>
      </c>
      <c r="E988" s="14" t="s">
        <v>931</v>
      </c>
    </row>
    <row r="989" spans="1:14" x14ac:dyDescent="0.3">
      <c r="B989" s="15" t="str">
        <f>B985</f>
        <v>Лікар-рентгенолог</v>
      </c>
      <c r="C989" s="78">
        <f>I985</f>
        <v>0.97</v>
      </c>
      <c r="D989" s="17">
        <v>10</v>
      </c>
      <c r="E989" s="18">
        <f>ROUND(C989*D989,2)</f>
        <v>9.6999999999999993</v>
      </c>
    </row>
    <row r="990" spans="1:14" x14ac:dyDescent="0.3">
      <c r="B990" s="15" t="str">
        <f>B986</f>
        <v>Рентгенолаборант</v>
      </c>
      <c r="C990" s="78">
        <f>I986</f>
        <v>1.0900000000000001</v>
      </c>
      <c r="D990" s="17">
        <v>15</v>
      </c>
      <c r="E990" s="18">
        <f>ROUND(C990*D990,2)</f>
        <v>16.350000000000001</v>
      </c>
    </row>
    <row r="991" spans="1:14" x14ac:dyDescent="0.3">
      <c r="C991" s="19"/>
    </row>
    <row r="992" spans="1:14" x14ac:dyDescent="0.3">
      <c r="B992" s="17" t="s">
        <v>933</v>
      </c>
      <c r="C992" s="78">
        <f>E989+E990</f>
        <v>26.05</v>
      </c>
      <c r="D992" s="20">
        <v>0.22</v>
      </c>
      <c r="E992" s="21">
        <f>ROUND(C992*D992,2)</f>
        <v>5.73</v>
      </c>
    </row>
    <row r="994" spans="1:14" x14ac:dyDescent="0.3">
      <c r="B994" s="12" t="s">
        <v>946</v>
      </c>
      <c r="C994" s="227"/>
      <c r="D994" s="12"/>
      <c r="E994" s="11">
        <f>F1002</f>
        <v>2.88</v>
      </c>
      <c r="F994" s="12" t="s">
        <v>971</v>
      </c>
    </row>
    <row r="996" spans="1:14" x14ac:dyDescent="0.3">
      <c r="B996" s="15" t="s">
        <v>966</v>
      </c>
      <c r="C996" s="73" t="s">
        <v>941</v>
      </c>
      <c r="D996" s="29">
        <v>1</v>
      </c>
      <c r="E996" s="30">
        <f>'МЕДИЧНІ М'!F115</f>
        <v>0.3</v>
      </c>
      <c r="F996" s="30">
        <f t="shared" ref="F996:F1001" si="36">ROUND(D996*E996,2)</f>
        <v>0.3</v>
      </c>
    </row>
    <row r="997" spans="1:14" s="184" customFormat="1" x14ac:dyDescent="0.3">
      <c r="A997" s="180"/>
      <c r="B997" s="185" t="s">
        <v>1021</v>
      </c>
      <c r="C997" s="186" t="s">
        <v>941</v>
      </c>
      <c r="D997" s="164">
        <v>0.5</v>
      </c>
      <c r="E997" s="164">
        <f>'МЕДИЧНІ М'!E181</f>
        <v>2</v>
      </c>
      <c r="F997" s="164">
        <f t="shared" si="36"/>
        <v>1</v>
      </c>
      <c r="G997" s="180"/>
      <c r="H997" s="180"/>
      <c r="I997" s="180"/>
      <c r="J997" s="187"/>
      <c r="K997" s="866"/>
      <c r="L997" s="861"/>
      <c r="M997" s="861"/>
      <c r="N997" s="861"/>
    </row>
    <row r="998" spans="1:14" x14ac:dyDescent="0.3">
      <c r="B998" s="15" t="s">
        <v>1216</v>
      </c>
      <c r="C998" s="73" t="s">
        <v>941</v>
      </c>
      <c r="D998" s="17">
        <v>0.1</v>
      </c>
      <c r="E998" s="16">
        <f>'МЕДИЧНІ М'!E113</f>
        <v>8</v>
      </c>
      <c r="F998" s="17">
        <f t="shared" si="36"/>
        <v>0.8</v>
      </c>
    </row>
    <row r="999" spans="1:14" x14ac:dyDescent="0.3">
      <c r="B999" s="15" t="s">
        <v>964</v>
      </c>
      <c r="C999" s="73" t="s">
        <v>941</v>
      </c>
      <c r="D999" s="17">
        <v>0.1</v>
      </c>
      <c r="E999" s="16">
        <f>'МЕДИЧНІ М'!E119</f>
        <v>2.8</v>
      </c>
      <c r="F999" s="17">
        <f t="shared" si="36"/>
        <v>0.28000000000000003</v>
      </c>
    </row>
    <row r="1000" spans="1:14" x14ac:dyDescent="0.3">
      <c r="B1000" s="27" t="s">
        <v>942</v>
      </c>
      <c r="C1000" s="28" t="s">
        <v>941</v>
      </c>
      <c r="D1000" s="29">
        <v>0.01</v>
      </c>
      <c r="E1000" s="29">
        <f>'МЕДИЧНІ М'!E120</f>
        <v>24.6</v>
      </c>
      <c r="F1000" s="30">
        <f t="shared" si="36"/>
        <v>0.25</v>
      </c>
    </row>
    <row r="1001" spans="1:14" x14ac:dyDescent="0.3">
      <c r="B1001" s="27" t="s">
        <v>1124</v>
      </c>
      <c r="C1001" s="28" t="s">
        <v>944</v>
      </c>
      <c r="D1001" s="29">
        <v>0.5</v>
      </c>
      <c r="E1001" s="29">
        <f>'МЕДИЧНІ М'!E114</f>
        <v>0.5</v>
      </c>
      <c r="F1001" s="30">
        <f t="shared" si="36"/>
        <v>0.25</v>
      </c>
    </row>
    <row r="1002" spans="1:14" x14ac:dyDescent="0.3">
      <c r="B1002" s="1019" t="s">
        <v>945</v>
      </c>
      <c r="C1002" s="1019"/>
      <c r="D1002" s="1019"/>
      <c r="E1002" s="1019"/>
      <c r="F1002" s="89">
        <f>SUM(F996:F1001)</f>
        <v>2.88</v>
      </c>
    </row>
    <row r="1003" spans="1:14" ht="7.5" customHeight="1" x14ac:dyDescent="0.3"/>
    <row r="1004" spans="1:14" x14ac:dyDescent="0.3">
      <c r="B1004" s="12" t="s">
        <v>968</v>
      </c>
      <c r="C1004" s="227"/>
      <c r="D1004" s="12"/>
      <c r="E1004" s="11">
        <f>SUM(G1007:G1008)</f>
        <v>48.15</v>
      </c>
      <c r="F1004" s="12" t="s">
        <v>971</v>
      </c>
    </row>
    <row r="1005" spans="1:14" ht="9.75" customHeight="1" x14ac:dyDescent="0.3">
      <c r="B1005" s="22"/>
      <c r="C1005" s="36"/>
      <c r="D1005" s="22"/>
      <c r="E1005" s="23"/>
      <c r="F1005" s="22"/>
    </row>
    <row r="1006" spans="1:14" ht="27.6" x14ac:dyDescent="0.3">
      <c r="B1006" s="14" t="s">
        <v>513</v>
      </c>
      <c r="C1006" s="14" t="s">
        <v>1108</v>
      </c>
      <c r="D1006" s="14" t="s">
        <v>516</v>
      </c>
      <c r="E1006" s="14" t="s">
        <v>970</v>
      </c>
      <c r="F1006" s="14" t="s">
        <v>930</v>
      </c>
      <c r="G1006" s="14" t="s">
        <v>961</v>
      </c>
    </row>
    <row r="1007" spans="1:14" x14ac:dyDescent="0.3">
      <c r="B1007" s="46" t="s">
        <v>1161</v>
      </c>
      <c r="C1007" s="73">
        <f>C903</f>
        <v>0</v>
      </c>
      <c r="D1007" s="62">
        <f>H985</f>
        <v>1932.7</v>
      </c>
      <c r="E1007" s="17">
        <f>ROUND((C1007/D1007)/60,2)</f>
        <v>0</v>
      </c>
      <c r="F1007" s="17">
        <f>D989</f>
        <v>10</v>
      </c>
      <c r="G1007" s="16">
        <f>ROUND(E1007*F1007,2)</f>
        <v>0</v>
      </c>
    </row>
    <row r="1008" spans="1:14" x14ac:dyDescent="0.3">
      <c r="B1008" s="27" t="s">
        <v>1093</v>
      </c>
      <c r="C1008" s="73">
        <f>C904</f>
        <v>290000</v>
      </c>
      <c r="D1008" s="62">
        <f>H986</f>
        <v>1506</v>
      </c>
      <c r="E1008" s="17">
        <f>ROUND((C1008/D1008)/60,2)</f>
        <v>3.21</v>
      </c>
      <c r="F1008" s="17">
        <f>D990</f>
        <v>15</v>
      </c>
      <c r="G1008" s="16">
        <f>ROUND(E1008*F1008,2)</f>
        <v>48.15</v>
      </c>
      <c r="H1008" s="38"/>
    </row>
    <row r="1010" spans="2:7" x14ac:dyDescent="0.3">
      <c r="B1010" s="12" t="s">
        <v>948</v>
      </c>
      <c r="C1010" s="227"/>
      <c r="D1010" s="12"/>
      <c r="E1010" s="11">
        <f>G1023</f>
        <v>3.45</v>
      </c>
      <c r="F1010" s="12" t="s">
        <v>971</v>
      </c>
    </row>
    <row r="1011" spans="2:7" x14ac:dyDescent="0.3">
      <c r="B1011" s="22"/>
      <c r="C1011" s="36"/>
      <c r="D1011" s="22"/>
      <c r="E1011" s="23"/>
    </row>
    <row r="1012" spans="2:7" ht="27.6" x14ac:dyDescent="0.3">
      <c r="B1012" s="14" t="s">
        <v>948</v>
      </c>
      <c r="C1012" s="14" t="s">
        <v>1110</v>
      </c>
      <c r="D1012" s="14" t="s">
        <v>516</v>
      </c>
      <c r="E1012" s="14" t="s">
        <v>954</v>
      </c>
      <c r="F1012" s="14" t="s">
        <v>930</v>
      </c>
      <c r="G1012" s="14" t="s">
        <v>1111</v>
      </c>
    </row>
    <row r="1013" spans="2:7" x14ac:dyDescent="0.3">
      <c r="B1013" s="1009" t="str">
        <f>B985</f>
        <v>Лікар-рентгенолог</v>
      </c>
      <c r="C1013" s="1010"/>
      <c r="D1013" s="1010"/>
      <c r="E1013" s="1010"/>
      <c r="F1013" s="1010"/>
      <c r="G1013" s="1011"/>
    </row>
    <row r="1014" spans="2:7" x14ac:dyDescent="0.3">
      <c r="B1014" s="17" t="s">
        <v>951</v>
      </c>
      <c r="C1014" s="221">
        <f>C910</f>
        <v>12188.608008565312</v>
      </c>
      <c r="D1014" s="17">
        <f>H985</f>
        <v>1932.7</v>
      </c>
      <c r="E1014" s="17">
        <f>ROUND((C1014/D1014)/60,2)</f>
        <v>0.11</v>
      </c>
      <c r="F1014" s="17">
        <f>D989</f>
        <v>10</v>
      </c>
      <c r="G1014" s="16">
        <f>ROUND(E1014*F1014,2)</f>
        <v>1.1000000000000001</v>
      </c>
    </row>
    <row r="1015" spans="2:7" x14ac:dyDescent="0.3">
      <c r="B1015" s="17" t="s">
        <v>952</v>
      </c>
      <c r="C1015" s="221">
        <f>C911</f>
        <v>53.149721627408987</v>
      </c>
      <c r="D1015" s="17">
        <f>H985</f>
        <v>1932.7</v>
      </c>
      <c r="E1015" s="17">
        <f>ROUND((C1015/D1015)/60,2)</f>
        <v>0</v>
      </c>
      <c r="F1015" s="17">
        <f>D989</f>
        <v>10</v>
      </c>
      <c r="G1015" s="16">
        <f>ROUND(E1015*F1015,2)</f>
        <v>0</v>
      </c>
    </row>
    <row r="1016" spans="2:7" x14ac:dyDescent="0.3">
      <c r="B1016" s="17" t="s">
        <v>953</v>
      </c>
      <c r="C1016" s="221">
        <f>C912</f>
        <v>374.98368308351178</v>
      </c>
      <c r="D1016" s="17">
        <f>H985</f>
        <v>1932.7</v>
      </c>
      <c r="E1016" s="17">
        <f>ROUND((C1016/D1016)/60,2)</f>
        <v>0</v>
      </c>
      <c r="F1016" s="17">
        <f>D989</f>
        <v>10</v>
      </c>
      <c r="G1016" s="16">
        <f>ROUND(E1016*F1016,2)</f>
        <v>0</v>
      </c>
    </row>
    <row r="1017" spans="2:7" x14ac:dyDescent="0.3">
      <c r="B1017" s="17" t="s">
        <v>1109</v>
      </c>
      <c r="C1017" s="221">
        <f>C913</f>
        <v>1686.0389293361886</v>
      </c>
      <c r="D1017" s="17">
        <f>H985</f>
        <v>1932.7</v>
      </c>
      <c r="E1017" s="17">
        <f>ROUND((C1017/D1017)/60,2)</f>
        <v>0.01</v>
      </c>
      <c r="F1017" s="17">
        <f>D989</f>
        <v>10</v>
      </c>
      <c r="G1017" s="16">
        <f>ROUND(E1017*F1017,2)</f>
        <v>0.1</v>
      </c>
    </row>
    <row r="1018" spans="2:7" x14ac:dyDescent="0.3">
      <c r="B1018" s="1009" t="str">
        <f>B986</f>
        <v>Рентгенолаборант</v>
      </c>
      <c r="C1018" s="1010"/>
      <c r="D1018" s="1010"/>
      <c r="E1018" s="1010"/>
      <c r="F1018" s="1010"/>
      <c r="G1018" s="1011"/>
    </row>
    <row r="1019" spans="2:7" x14ac:dyDescent="0.3">
      <c r="B1019" s="17" t="s">
        <v>951</v>
      </c>
      <c r="C1019" s="221">
        <f>C1014</f>
        <v>12188.608008565312</v>
      </c>
      <c r="D1019" s="17">
        <f>H986</f>
        <v>1506</v>
      </c>
      <c r="E1019" s="17">
        <f>ROUND((C1019/D1019)/60,2)</f>
        <v>0.13</v>
      </c>
      <c r="F1019" s="17">
        <f>D990</f>
        <v>15</v>
      </c>
      <c r="G1019" s="16">
        <f>ROUND(E1019*F1019,2)</f>
        <v>1.95</v>
      </c>
    </row>
    <row r="1020" spans="2:7" x14ac:dyDescent="0.3">
      <c r="B1020" s="17" t="s">
        <v>952</v>
      </c>
      <c r="C1020" s="221">
        <f>C1015</f>
        <v>53.149721627408987</v>
      </c>
      <c r="D1020" s="17">
        <f>H986</f>
        <v>1506</v>
      </c>
      <c r="E1020" s="17">
        <f>ROUND((C1020/D1020)/60,2)</f>
        <v>0</v>
      </c>
      <c r="F1020" s="17">
        <f>D990</f>
        <v>15</v>
      </c>
      <c r="G1020" s="16">
        <f>ROUND(E1020*F1020,2)</f>
        <v>0</v>
      </c>
    </row>
    <row r="1021" spans="2:7" x14ac:dyDescent="0.3">
      <c r="B1021" s="17" t="s">
        <v>953</v>
      </c>
      <c r="C1021" s="221">
        <f>C1016</f>
        <v>374.98368308351178</v>
      </c>
      <c r="D1021" s="17">
        <f>H986</f>
        <v>1506</v>
      </c>
      <c r="E1021" s="17">
        <f>ROUND((C1021/D1021)/60,2)</f>
        <v>0</v>
      </c>
      <c r="F1021" s="17">
        <f>D990</f>
        <v>15</v>
      </c>
      <c r="G1021" s="16">
        <f>ROUND(E1021*F1021,2)</f>
        <v>0</v>
      </c>
    </row>
    <row r="1022" spans="2:7" x14ac:dyDescent="0.3">
      <c r="B1022" s="17" t="s">
        <v>1109</v>
      </c>
      <c r="C1022" s="221">
        <f>C1017</f>
        <v>1686.0389293361886</v>
      </c>
      <c r="D1022" s="17">
        <f>H986</f>
        <v>1506</v>
      </c>
      <c r="E1022" s="17">
        <f>ROUND((C1022/D1022)/60,2)</f>
        <v>0.02</v>
      </c>
      <c r="F1022" s="17">
        <f>D990</f>
        <v>15</v>
      </c>
      <c r="G1022" s="16">
        <f>ROUND(E1022*F1022,2)</f>
        <v>0.3</v>
      </c>
    </row>
    <row r="1023" spans="2:7" x14ac:dyDescent="0.3">
      <c r="B1023" s="1012" t="s">
        <v>957</v>
      </c>
      <c r="C1023" s="1013"/>
      <c r="D1023" s="1013"/>
      <c r="E1023" s="1013"/>
      <c r="F1023" s="1014"/>
      <c r="G1023" s="18">
        <f>SUM(G1014:G1022)</f>
        <v>3.45</v>
      </c>
    </row>
    <row r="1024" spans="2:7" ht="14.25" customHeight="1" x14ac:dyDescent="0.3"/>
    <row r="1026" spans="1:14" x14ac:dyDescent="0.3">
      <c r="B1026" s="1015" t="s">
        <v>959</v>
      </c>
      <c r="C1026" s="1015"/>
      <c r="D1026" s="1015"/>
      <c r="E1026" s="1015"/>
      <c r="F1026" s="1015"/>
      <c r="G1026" s="32">
        <f>E982+E994+E1004+E1010</f>
        <v>86.26</v>
      </c>
    </row>
    <row r="1027" spans="1:14" x14ac:dyDescent="0.3">
      <c r="B1027" s="33"/>
      <c r="C1027" s="33"/>
      <c r="D1027" s="33"/>
      <c r="E1027" s="33"/>
      <c r="F1027" s="33"/>
      <c r="G1027" s="34"/>
    </row>
    <row r="1028" spans="1:14" x14ac:dyDescent="0.3">
      <c r="B1028" s="1015" t="s">
        <v>960</v>
      </c>
      <c r="C1028" s="1015"/>
      <c r="D1028" s="1015"/>
      <c r="E1028" s="1015"/>
      <c r="F1028" s="1015"/>
      <c r="G1028" s="32">
        <f>ROUND(G1026,0)</f>
        <v>86</v>
      </c>
    </row>
    <row r="1029" spans="1:14" x14ac:dyDescent="0.3">
      <c r="B1029" s="33"/>
      <c r="C1029" s="33"/>
      <c r="D1029" s="33"/>
      <c r="E1029" s="33"/>
      <c r="F1029" s="33"/>
      <c r="G1029" s="34"/>
    </row>
    <row r="1030" spans="1:14" s="54" customFormat="1" ht="19.8" x14ac:dyDescent="0.4">
      <c r="A1030" s="1016" t="s">
        <v>958</v>
      </c>
      <c r="B1030" s="1016"/>
      <c r="C1030" s="1016"/>
      <c r="D1030" s="1016"/>
      <c r="E1030" s="1016"/>
      <c r="F1030" s="1016"/>
      <c r="G1030" s="1016"/>
      <c r="H1030" s="1016"/>
      <c r="I1030" s="1016"/>
      <c r="J1030" s="132"/>
      <c r="K1030" s="868"/>
      <c r="L1030" s="65"/>
      <c r="M1030" s="65"/>
      <c r="N1030" s="65"/>
    </row>
    <row r="1031" spans="1:14" s="54" customFormat="1" ht="19.8" x14ac:dyDescent="0.4">
      <c r="A1031" s="53"/>
      <c r="B1031" s="53"/>
      <c r="C1031" s="225"/>
      <c r="D1031" s="53"/>
      <c r="E1031" s="53"/>
      <c r="F1031" s="53"/>
      <c r="G1031" s="53"/>
      <c r="H1031" s="53"/>
      <c r="I1031" s="53"/>
      <c r="J1031" s="132"/>
      <c r="K1031" s="868"/>
      <c r="L1031" s="65"/>
      <c r="M1031" s="65"/>
      <c r="N1031" s="65"/>
    </row>
    <row r="1032" spans="1:14" s="54" customFormat="1" ht="19.8" x14ac:dyDescent="0.4">
      <c r="A1032" s="50" t="s">
        <v>248</v>
      </c>
      <c r="B1032" s="1032" t="s">
        <v>683</v>
      </c>
      <c r="C1032" s="1032"/>
      <c r="D1032" s="1032"/>
      <c r="E1032" s="52">
        <f>G1081</f>
        <v>87</v>
      </c>
      <c r="F1032" s="52" t="s">
        <v>971</v>
      </c>
      <c r="G1032" s="53"/>
      <c r="H1032" s="124"/>
      <c r="I1032" s="125" t="s">
        <v>1022</v>
      </c>
      <c r="J1032" s="132"/>
      <c r="K1032" s="868"/>
      <c r="L1032" s="65"/>
      <c r="M1032" s="65"/>
      <c r="N1032" s="65"/>
    </row>
    <row r="1034" spans="1:14" x14ac:dyDescent="0.3">
      <c r="B1034" s="1018" t="s">
        <v>932</v>
      </c>
      <c r="C1034" s="1018"/>
      <c r="D1034" s="10"/>
      <c r="E1034" s="11">
        <f>E1041+E1044+E1042</f>
        <v>31.78</v>
      </c>
      <c r="F1034" s="12" t="s">
        <v>971</v>
      </c>
    </row>
    <row r="1036" spans="1:14" ht="27.6" x14ac:dyDescent="0.3">
      <c r="B1036" s="13" t="s">
        <v>929</v>
      </c>
      <c r="C1036" s="14" t="s">
        <v>928</v>
      </c>
      <c r="D1036" s="14" t="s">
        <v>514</v>
      </c>
      <c r="E1036" s="14" t="s">
        <v>515</v>
      </c>
      <c r="F1036" s="14" t="s">
        <v>962</v>
      </c>
      <c r="G1036" s="14" t="s">
        <v>926</v>
      </c>
      <c r="H1036" s="14" t="s">
        <v>516</v>
      </c>
      <c r="I1036" s="14" t="s">
        <v>961</v>
      </c>
    </row>
    <row r="1037" spans="1:14" x14ac:dyDescent="0.3">
      <c r="B1037" s="16" t="str">
        <f>B985</f>
        <v>Лікар-рентгенолог</v>
      </c>
      <c r="C1037" s="78">
        <f>C985</f>
        <v>8463.5400000000009</v>
      </c>
      <c r="D1037" s="16">
        <f>C1037*12</f>
        <v>101562.48000000001</v>
      </c>
      <c r="E1037" s="16">
        <f>E985</f>
        <v>7052.95</v>
      </c>
      <c r="F1037" s="16">
        <f>F985</f>
        <v>3526.4749999999999</v>
      </c>
      <c r="G1037" s="16">
        <f>D1037+E1037+F1037</f>
        <v>112141.90500000001</v>
      </c>
      <c r="H1037" s="17">
        <v>1932.7</v>
      </c>
      <c r="I1037" s="16">
        <f>ROUND((G1037/H1037)/60,2)</f>
        <v>0.97</v>
      </c>
    </row>
    <row r="1038" spans="1:14" x14ac:dyDescent="0.3">
      <c r="B1038" s="16" t="str">
        <f>B986</f>
        <v>Рентгенолаборант</v>
      </c>
      <c r="C1038" s="78">
        <f>C986</f>
        <v>7482.48</v>
      </c>
      <c r="D1038" s="24">
        <f>C1038*12</f>
        <v>89789.759999999995</v>
      </c>
      <c r="E1038" s="16">
        <f>E986</f>
        <v>5755.75</v>
      </c>
      <c r="F1038" s="16">
        <f>F986</f>
        <v>2877.875</v>
      </c>
      <c r="G1038" s="16">
        <f>D1038+E1038+F1038</f>
        <v>98423.384999999995</v>
      </c>
      <c r="H1038" s="62">
        <v>1506</v>
      </c>
      <c r="I1038" s="16">
        <f>ROUND((G1038/H1038)/60,2)</f>
        <v>1.0900000000000001</v>
      </c>
    </row>
    <row r="1040" spans="1:14" ht="27.6" x14ac:dyDescent="0.3">
      <c r="B1040" s="13" t="s">
        <v>929</v>
      </c>
      <c r="C1040" s="14" t="s">
        <v>961</v>
      </c>
      <c r="D1040" s="14" t="s">
        <v>930</v>
      </c>
      <c r="E1040" s="14" t="s">
        <v>931</v>
      </c>
    </row>
    <row r="1041" spans="1:14" x14ac:dyDescent="0.3">
      <c r="B1041" s="15" t="str">
        <f>B1037</f>
        <v>Лікар-рентгенолог</v>
      </c>
      <c r="C1041" s="78">
        <f>I1037</f>
        <v>0.97</v>
      </c>
      <c r="D1041" s="17">
        <v>10</v>
      </c>
      <c r="E1041" s="18">
        <f>ROUND(C1041*D1041,2)</f>
        <v>9.6999999999999993</v>
      </c>
    </row>
    <row r="1042" spans="1:14" x14ac:dyDescent="0.3">
      <c r="B1042" s="15" t="str">
        <f>B1038</f>
        <v>Рентгенолаборант</v>
      </c>
      <c r="C1042" s="78">
        <f>I1038</f>
        <v>1.0900000000000001</v>
      </c>
      <c r="D1042" s="17">
        <v>15</v>
      </c>
      <c r="E1042" s="18">
        <f>ROUND(C1042*D1042,2)</f>
        <v>16.350000000000001</v>
      </c>
    </row>
    <row r="1043" spans="1:14" x14ac:dyDescent="0.3">
      <c r="C1043" s="19"/>
    </row>
    <row r="1044" spans="1:14" x14ac:dyDescent="0.3">
      <c r="B1044" s="17" t="s">
        <v>933</v>
      </c>
      <c r="C1044" s="78">
        <f>E1041+E1042</f>
        <v>26.05</v>
      </c>
      <c r="D1044" s="20">
        <v>0.22</v>
      </c>
      <c r="E1044" s="21">
        <f>ROUND(C1044*D1044,2)</f>
        <v>5.73</v>
      </c>
    </row>
    <row r="1046" spans="1:14" x14ac:dyDescent="0.3">
      <c r="B1046" s="12" t="s">
        <v>946</v>
      </c>
      <c r="C1046" s="227"/>
      <c r="D1046" s="12"/>
      <c r="E1046" s="12">
        <f>F1055</f>
        <v>3.1799999999999997</v>
      </c>
      <c r="F1046" s="12" t="s">
        <v>971</v>
      </c>
    </row>
    <row r="1048" spans="1:14" x14ac:dyDescent="0.3">
      <c r="B1048" s="27" t="s">
        <v>936</v>
      </c>
      <c r="C1048" s="28" t="s">
        <v>937</v>
      </c>
      <c r="D1048" s="29">
        <v>1</v>
      </c>
      <c r="E1048" s="30">
        <f>'МЕДИЧНІ М'!F115</f>
        <v>0.3</v>
      </c>
      <c r="F1048" s="30">
        <f>ROUND(D1048*E1048,2)</f>
        <v>0.3</v>
      </c>
    </row>
    <row r="1049" spans="1:14" s="184" customFormat="1" x14ac:dyDescent="0.3">
      <c r="A1049" s="180"/>
      <c r="B1049" s="185" t="s">
        <v>1021</v>
      </c>
      <c r="C1049" s="186" t="s">
        <v>941</v>
      </c>
      <c r="D1049" s="164">
        <v>0.5</v>
      </c>
      <c r="E1049" s="164">
        <f>'МЕДИЧНІ М'!E181</f>
        <v>2</v>
      </c>
      <c r="F1049" s="164">
        <f t="shared" ref="F1049:F1054" si="37">ROUND(D1049*E1049,2)</f>
        <v>1</v>
      </c>
      <c r="G1049" s="180"/>
      <c r="H1049" s="180"/>
      <c r="I1049" s="180"/>
      <c r="J1049" s="187"/>
      <c r="K1049" s="866"/>
      <c r="L1049" s="861"/>
      <c r="M1049" s="861"/>
      <c r="N1049" s="861"/>
    </row>
    <row r="1050" spans="1:14" x14ac:dyDescent="0.3">
      <c r="B1050" s="15" t="s">
        <v>1216</v>
      </c>
      <c r="C1050" s="73" t="s">
        <v>941</v>
      </c>
      <c r="D1050" s="17">
        <v>0.1</v>
      </c>
      <c r="E1050" s="16">
        <f>'МЕДИЧНІ М'!E113</f>
        <v>8</v>
      </c>
      <c r="F1050" s="17">
        <f t="shared" si="37"/>
        <v>0.8</v>
      </c>
    </row>
    <row r="1051" spans="1:14" x14ac:dyDescent="0.3">
      <c r="B1051" s="15" t="s">
        <v>98</v>
      </c>
      <c r="C1051" s="73" t="s">
        <v>941</v>
      </c>
      <c r="D1051" s="17">
        <v>1</v>
      </c>
      <c r="E1051" s="16">
        <f>МАТЕРІАЛИ!E4</f>
        <v>0.3</v>
      </c>
      <c r="F1051" s="17">
        <f t="shared" si="37"/>
        <v>0.3</v>
      </c>
    </row>
    <row r="1052" spans="1:14" x14ac:dyDescent="0.3">
      <c r="B1052" s="15" t="s">
        <v>964</v>
      </c>
      <c r="C1052" s="73" t="s">
        <v>941</v>
      </c>
      <c r="D1052" s="17">
        <v>0.1</v>
      </c>
      <c r="E1052" s="16">
        <f>'МЕДИЧНІ М'!E119</f>
        <v>2.8</v>
      </c>
      <c r="F1052" s="17">
        <f t="shared" si="37"/>
        <v>0.28000000000000003</v>
      </c>
    </row>
    <row r="1053" spans="1:14" x14ac:dyDescent="0.3">
      <c r="B1053" s="27" t="s">
        <v>942</v>
      </c>
      <c r="C1053" s="28" t="s">
        <v>941</v>
      </c>
      <c r="D1053" s="29">
        <v>0.01</v>
      </c>
      <c r="E1053" s="29">
        <f>'МЕДИЧНІ М'!E120</f>
        <v>24.6</v>
      </c>
      <c r="F1053" s="30">
        <f t="shared" si="37"/>
        <v>0.25</v>
      </c>
    </row>
    <row r="1054" spans="1:14" x14ac:dyDescent="0.3">
      <c r="B1054" s="27" t="s">
        <v>1124</v>
      </c>
      <c r="C1054" s="28" t="s">
        <v>944</v>
      </c>
      <c r="D1054" s="29">
        <v>0.5</v>
      </c>
      <c r="E1054" s="29">
        <f>'МЕДИЧНІ М'!E114</f>
        <v>0.5</v>
      </c>
      <c r="F1054" s="30">
        <f t="shared" si="37"/>
        <v>0.25</v>
      </c>
    </row>
    <row r="1055" spans="1:14" x14ac:dyDescent="0.3">
      <c r="B1055" s="1019" t="s">
        <v>945</v>
      </c>
      <c r="C1055" s="1019"/>
      <c r="D1055" s="1019"/>
      <c r="E1055" s="1019"/>
      <c r="F1055" s="31">
        <f>SUM(F1048:F1054)</f>
        <v>3.1799999999999997</v>
      </c>
    </row>
    <row r="1057" spans="2:8" x14ac:dyDescent="0.3">
      <c r="B1057" s="12" t="s">
        <v>968</v>
      </c>
      <c r="C1057" s="227"/>
      <c r="D1057" s="12"/>
      <c r="E1057" s="11">
        <f>SUM(G1060:G1061)</f>
        <v>48.15</v>
      </c>
      <c r="F1057" s="12" t="s">
        <v>971</v>
      </c>
    </row>
    <row r="1058" spans="2:8" x14ac:dyDescent="0.3">
      <c r="B1058" s="22"/>
      <c r="C1058" s="36"/>
      <c r="D1058" s="22"/>
      <c r="E1058" s="23"/>
      <c r="F1058" s="22"/>
    </row>
    <row r="1059" spans="2:8" ht="27.6" x14ac:dyDescent="0.3">
      <c r="B1059" s="14" t="s">
        <v>513</v>
      </c>
      <c r="C1059" s="14" t="s">
        <v>969</v>
      </c>
      <c r="D1059" s="14" t="s">
        <v>516</v>
      </c>
      <c r="E1059" s="14" t="s">
        <v>970</v>
      </c>
      <c r="F1059" s="14" t="s">
        <v>930</v>
      </c>
      <c r="G1059" s="14" t="s">
        <v>961</v>
      </c>
    </row>
    <row r="1060" spans="2:8" x14ac:dyDescent="0.3">
      <c r="B1060" s="46" t="s">
        <v>1161</v>
      </c>
      <c r="C1060" s="73">
        <f>C1007</f>
        <v>0</v>
      </c>
      <c r="D1060" s="62">
        <f>H1037</f>
        <v>1932.7</v>
      </c>
      <c r="E1060" s="17">
        <f>ROUND((C1060/D1060)/60,2)</f>
        <v>0</v>
      </c>
      <c r="F1060" s="17">
        <f>D1041</f>
        <v>10</v>
      </c>
      <c r="G1060" s="16">
        <f>ROUND(E1060*F1060,2)</f>
        <v>0</v>
      </c>
    </row>
    <row r="1061" spans="2:8" x14ac:dyDescent="0.3">
      <c r="B1061" s="27" t="s">
        <v>1093</v>
      </c>
      <c r="C1061" s="73">
        <f>C1008</f>
        <v>290000</v>
      </c>
      <c r="D1061" s="62">
        <f>H1038</f>
        <v>1506</v>
      </c>
      <c r="E1061" s="17">
        <f>ROUND((C1061/D1061)/60,2)</f>
        <v>3.21</v>
      </c>
      <c r="F1061" s="17">
        <f>D1042</f>
        <v>15</v>
      </c>
      <c r="G1061" s="16">
        <f>ROUND(E1061*F1061,2)</f>
        <v>48.15</v>
      </c>
      <c r="H1061" s="38"/>
    </row>
    <row r="1063" spans="2:8" x14ac:dyDescent="0.3">
      <c r="B1063" s="12" t="s">
        <v>948</v>
      </c>
      <c r="C1063" s="227"/>
      <c r="D1063" s="12"/>
      <c r="E1063" s="11">
        <f>G1076</f>
        <v>3.45</v>
      </c>
      <c r="F1063" s="12" t="s">
        <v>971</v>
      </c>
    </row>
    <row r="1064" spans="2:8" x14ac:dyDescent="0.3">
      <c r="B1064" s="22"/>
      <c r="C1064" s="36"/>
      <c r="D1064" s="22"/>
      <c r="E1064" s="23"/>
    </row>
    <row r="1065" spans="2:8" ht="27.6" x14ac:dyDescent="0.3">
      <c r="B1065" s="14" t="s">
        <v>948</v>
      </c>
      <c r="C1065" s="14" t="s">
        <v>1110</v>
      </c>
      <c r="D1065" s="14" t="s">
        <v>516</v>
      </c>
      <c r="E1065" s="14" t="s">
        <v>954</v>
      </c>
      <c r="F1065" s="14" t="s">
        <v>930</v>
      </c>
      <c r="G1065" s="14" t="s">
        <v>1111</v>
      </c>
    </row>
    <row r="1066" spans="2:8" x14ac:dyDescent="0.3">
      <c r="B1066" s="1009" t="str">
        <f>B1037</f>
        <v>Лікар-рентгенолог</v>
      </c>
      <c r="C1066" s="1010"/>
      <c r="D1066" s="1010"/>
      <c r="E1066" s="1010"/>
      <c r="F1066" s="1010"/>
      <c r="G1066" s="1011"/>
    </row>
    <row r="1067" spans="2:8" x14ac:dyDescent="0.3">
      <c r="B1067" s="17" t="s">
        <v>951</v>
      </c>
      <c r="C1067" s="221">
        <f>C1014</f>
        <v>12188.608008565312</v>
      </c>
      <c r="D1067" s="17">
        <f>H1037</f>
        <v>1932.7</v>
      </c>
      <c r="E1067" s="17">
        <f>ROUND((C1067/D1067)/60,2)</f>
        <v>0.11</v>
      </c>
      <c r="F1067" s="17">
        <f>D1041</f>
        <v>10</v>
      </c>
      <c r="G1067" s="16">
        <f>ROUND(E1067*F1067,2)</f>
        <v>1.1000000000000001</v>
      </c>
    </row>
    <row r="1068" spans="2:8" x14ac:dyDescent="0.3">
      <c r="B1068" s="17" t="s">
        <v>952</v>
      </c>
      <c r="C1068" s="221">
        <f>C1015</f>
        <v>53.149721627408987</v>
      </c>
      <c r="D1068" s="17">
        <f>H1037</f>
        <v>1932.7</v>
      </c>
      <c r="E1068" s="17">
        <f>ROUND((C1068/D1068)/60,2)</f>
        <v>0</v>
      </c>
      <c r="F1068" s="17">
        <f>D1041</f>
        <v>10</v>
      </c>
      <c r="G1068" s="16">
        <f>ROUND(E1068*F1068,2)</f>
        <v>0</v>
      </c>
    </row>
    <row r="1069" spans="2:8" x14ac:dyDescent="0.3">
      <c r="B1069" s="17" t="s">
        <v>953</v>
      </c>
      <c r="C1069" s="221">
        <f>C1016</f>
        <v>374.98368308351178</v>
      </c>
      <c r="D1069" s="17">
        <f>H1037</f>
        <v>1932.7</v>
      </c>
      <c r="E1069" s="17">
        <f>ROUND((C1069/D1069)/60,2)</f>
        <v>0</v>
      </c>
      <c r="F1069" s="17">
        <f>D1041</f>
        <v>10</v>
      </c>
      <c r="G1069" s="16">
        <f>ROUND(E1069*F1069,2)</f>
        <v>0</v>
      </c>
    </row>
    <row r="1070" spans="2:8" x14ac:dyDescent="0.3">
      <c r="B1070" s="17" t="s">
        <v>1109</v>
      </c>
      <c r="C1070" s="221">
        <f>C1017</f>
        <v>1686.0389293361886</v>
      </c>
      <c r="D1070" s="17">
        <f>H1037</f>
        <v>1932.7</v>
      </c>
      <c r="E1070" s="17">
        <f>ROUND((C1070/D1070)/60,2)</f>
        <v>0.01</v>
      </c>
      <c r="F1070" s="17">
        <f>D1041</f>
        <v>10</v>
      </c>
      <c r="G1070" s="16">
        <f>ROUND(E1070*F1070,2)</f>
        <v>0.1</v>
      </c>
    </row>
    <row r="1071" spans="2:8" x14ac:dyDescent="0.3">
      <c r="B1071" s="1009" t="str">
        <f>B1038</f>
        <v>Рентгенолаборант</v>
      </c>
      <c r="C1071" s="1010"/>
      <c r="D1071" s="1010"/>
      <c r="E1071" s="1010"/>
      <c r="F1071" s="1010"/>
      <c r="G1071" s="1011"/>
    </row>
    <row r="1072" spans="2:8" x14ac:dyDescent="0.3">
      <c r="B1072" s="17" t="s">
        <v>951</v>
      </c>
      <c r="C1072" s="221">
        <f>C1067</f>
        <v>12188.608008565312</v>
      </c>
      <c r="D1072" s="17">
        <f>H1038</f>
        <v>1506</v>
      </c>
      <c r="E1072" s="17">
        <f>ROUND((C1072/D1072)/60,2)</f>
        <v>0.13</v>
      </c>
      <c r="F1072" s="17">
        <f>D1042</f>
        <v>15</v>
      </c>
      <c r="G1072" s="16">
        <f>ROUND(E1072*F1072,2)</f>
        <v>1.95</v>
      </c>
    </row>
    <row r="1073" spans="1:14" x14ac:dyDescent="0.3">
      <c r="B1073" s="17" t="s">
        <v>952</v>
      </c>
      <c r="C1073" s="221">
        <f>C1068</f>
        <v>53.149721627408987</v>
      </c>
      <c r="D1073" s="17">
        <f>H1038</f>
        <v>1506</v>
      </c>
      <c r="E1073" s="17">
        <f>ROUND((C1073/D1073)/60,2)</f>
        <v>0</v>
      </c>
      <c r="F1073" s="17">
        <f>D1042</f>
        <v>15</v>
      </c>
      <c r="G1073" s="16">
        <f>ROUND(E1073*F1073,2)</f>
        <v>0</v>
      </c>
    </row>
    <row r="1074" spans="1:14" x14ac:dyDescent="0.3">
      <c r="B1074" s="17" t="s">
        <v>953</v>
      </c>
      <c r="C1074" s="221">
        <f>C1069</f>
        <v>374.98368308351178</v>
      </c>
      <c r="D1074" s="17">
        <f>H1038</f>
        <v>1506</v>
      </c>
      <c r="E1074" s="17">
        <f>ROUND((C1074/D1074)/60,2)</f>
        <v>0</v>
      </c>
      <c r="F1074" s="17">
        <f>D1042</f>
        <v>15</v>
      </c>
      <c r="G1074" s="16">
        <f>ROUND(E1074*F1074,2)</f>
        <v>0</v>
      </c>
    </row>
    <row r="1075" spans="1:14" x14ac:dyDescent="0.3">
      <c r="B1075" s="17" t="s">
        <v>1109</v>
      </c>
      <c r="C1075" s="221">
        <f>C1070</f>
        <v>1686.0389293361886</v>
      </c>
      <c r="D1075" s="17">
        <f>H1038</f>
        <v>1506</v>
      </c>
      <c r="E1075" s="17">
        <f>ROUND((C1075/D1075)/60,2)</f>
        <v>0.02</v>
      </c>
      <c r="F1075" s="17">
        <f>D1042</f>
        <v>15</v>
      </c>
      <c r="G1075" s="16">
        <f>ROUND(E1075*F1075,2)</f>
        <v>0.3</v>
      </c>
    </row>
    <row r="1076" spans="1:14" x14ac:dyDescent="0.3">
      <c r="B1076" s="1012" t="s">
        <v>957</v>
      </c>
      <c r="C1076" s="1013"/>
      <c r="D1076" s="1013"/>
      <c r="E1076" s="1013"/>
      <c r="F1076" s="1014"/>
      <c r="G1076" s="18">
        <f>SUM(G1067:G1075)</f>
        <v>3.45</v>
      </c>
    </row>
    <row r="1078" spans="1:14" ht="0.75" customHeight="1" x14ac:dyDescent="0.3"/>
    <row r="1079" spans="1:14" x14ac:dyDescent="0.3">
      <c r="B1079" s="1015" t="s">
        <v>959</v>
      </c>
      <c r="C1079" s="1015"/>
      <c r="D1079" s="1015"/>
      <c r="E1079" s="1015"/>
      <c r="F1079" s="1015"/>
      <c r="G1079" s="32">
        <f>E1034+E1046+E1057+E1063</f>
        <v>86.56</v>
      </c>
    </row>
    <row r="1080" spans="1:14" x14ac:dyDescent="0.3">
      <c r="B1080" s="33"/>
      <c r="C1080" s="33"/>
      <c r="D1080" s="33"/>
      <c r="E1080" s="33"/>
      <c r="F1080" s="33"/>
      <c r="G1080" s="34"/>
    </row>
    <row r="1081" spans="1:14" s="54" customFormat="1" ht="19.8" x14ac:dyDescent="0.4">
      <c r="A1081" s="53"/>
      <c r="B1081" s="1051" t="s">
        <v>960</v>
      </c>
      <c r="C1081" s="1051"/>
      <c r="D1081" s="1051"/>
      <c r="E1081" s="1051"/>
      <c r="F1081" s="1051"/>
      <c r="G1081" s="32">
        <f>ROUND(G1079,0)</f>
        <v>87</v>
      </c>
      <c r="H1081" s="53"/>
      <c r="I1081" s="53"/>
      <c r="J1081" s="132"/>
      <c r="K1081" s="868"/>
      <c r="L1081" s="65"/>
      <c r="M1081" s="65"/>
      <c r="N1081" s="65"/>
    </row>
    <row r="1082" spans="1:14" s="54" customFormat="1" ht="19.8" x14ac:dyDescent="0.4">
      <c r="A1082" s="53"/>
      <c r="B1082" s="53"/>
      <c r="C1082" s="225"/>
      <c r="D1082" s="53"/>
      <c r="E1082" s="53"/>
      <c r="F1082" s="53"/>
      <c r="G1082" s="53"/>
      <c r="H1082" s="53"/>
      <c r="I1082" s="53"/>
      <c r="J1082" s="132"/>
      <c r="K1082" s="868"/>
      <c r="L1082" s="65"/>
      <c r="M1082" s="65"/>
      <c r="N1082" s="65"/>
    </row>
    <row r="1083" spans="1:14" s="54" customFormat="1" ht="19.8" x14ac:dyDescent="0.4">
      <c r="A1083" s="50" t="s">
        <v>262</v>
      </c>
      <c r="B1083" s="1032" t="s">
        <v>683</v>
      </c>
      <c r="C1083" s="1032"/>
      <c r="D1083" s="1032"/>
      <c r="E1083" s="52">
        <f>G1132</f>
        <v>114</v>
      </c>
      <c r="F1083" s="52" t="s">
        <v>971</v>
      </c>
      <c r="G1083" s="53"/>
      <c r="H1083" s="124"/>
      <c r="I1083" s="125" t="s">
        <v>1023</v>
      </c>
      <c r="J1083" s="132"/>
      <c r="K1083" s="868"/>
      <c r="L1083" s="65"/>
      <c r="M1083" s="65"/>
      <c r="N1083" s="65"/>
    </row>
    <row r="1084" spans="1:14" ht="18.600000000000001" x14ac:dyDescent="0.3">
      <c r="I1084" s="125" t="s">
        <v>263</v>
      </c>
    </row>
    <row r="1085" spans="1:14" x14ac:dyDescent="0.3">
      <c r="B1085" s="1018" t="s">
        <v>932</v>
      </c>
      <c r="C1085" s="1018"/>
      <c r="D1085" s="10"/>
      <c r="E1085" s="11">
        <f>E1092+E1095+E1093</f>
        <v>31.78</v>
      </c>
      <c r="F1085" s="12" t="s">
        <v>971</v>
      </c>
    </row>
    <row r="1087" spans="1:14" ht="27.6" x14ac:dyDescent="0.3">
      <c r="B1087" s="13" t="s">
        <v>929</v>
      </c>
      <c r="C1087" s="14" t="s">
        <v>928</v>
      </c>
      <c r="D1087" s="14" t="s">
        <v>514</v>
      </c>
      <c r="E1087" s="14" t="s">
        <v>515</v>
      </c>
      <c r="F1087" s="14" t="s">
        <v>962</v>
      </c>
      <c r="G1087" s="14" t="s">
        <v>926</v>
      </c>
      <c r="H1087" s="14" t="s">
        <v>516</v>
      </c>
      <c r="I1087" s="14" t="s">
        <v>961</v>
      </c>
    </row>
    <row r="1088" spans="1:14" x14ac:dyDescent="0.3">
      <c r="B1088" s="16" t="str">
        <f>B1037</f>
        <v>Лікар-рентгенолог</v>
      </c>
      <c r="C1088" s="78">
        <f>C1037</f>
        <v>8463.5400000000009</v>
      </c>
      <c r="D1088" s="16">
        <f>C1088*12</f>
        <v>101562.48000000001</v>
      </c>
      <c r="E1088" s="16">
        <f>E1037</f>
        <v>7052.95</v>
      </c>
      <c r="F1088" s="16">
        <f>F1037</f>
        <v>3526.4749999999999</v>
      </c>
      <c r="G1088" s="16">
        <f>D1088+E1088+F1088</f>
        <v>112141.90500000001</v>
      </c>
      <c r="H1088" s="17">
        <v>1932.7</v>
      </c>
      <c r="I1088" s="16">
        <f>ROUND((G1088/H1088)/60,2)</f>
        <v>0.97</v>
      </c>
    </row>
    <row r="1089" spans="1:14" x14ac:dyDescent="0.3">
      <c r="B1089" s="16" t="str">
        <f>B1038</f>
        <v>Рентгенолаборант</v>
      </c>
      <c r="C1089" s="78">
        <f>C1038</f>
        <v>7482.48</v>
      </c>
      <c r="D1089" s="24">
        <f>C1089*12</f>
        <v>89789.759999999995</v>
      </c>
      <c r="E1089" s="16">
        <f>E1038</f>
        <v>5755.75</v>
      </c>
      <c r="F1089" s="16">
        <f>F1038</f>
        <v>2877.875</v>
      </c>
      <c r="G1089" s="16">
        <f>D1089+E1089+F1089</f>
        <v>98423.384999999995</v>
      </c>
      <c r="H1089" s="62">
        <v>1506</v>
      </c>
      <c r="I1089" s="16">
        <f>ROUND((G1089/H1089)/60,2)</f>
        <v>1.0900000000000001</v>
      </c>
    </row>
    <row r="1091" spans="1:14" ht="27.6" x14ac:dyDescent="0.3">
      <c r="B1091" s="13" t="s">
        <v>929</v>
      </c>
      <c r="C1091" s="14" t="s">
        <v>961</v>
      </c>
      <c r="D1091" s="14" t="s">
        <v>930</v>
      </c>
      <c r="E1091" s="14" t="s">
        <v>931</v>
      </c>
    </row>
    <row r="1092" spans="1:14" x14ac:dyDescent="0.3">
      <c r="B1092" s="15" t="str">
        <f>B1088</f>
        <v>Лікар-рентгенолог</v>
      </c>
      <c r="C1092" s="78">
        <f>I1088</f>
        <v>0.97</v>
      </c>
      <c r="D1092" s="17">
        <v>10</v>
      </c>
      <c r="E1092" s="18">
        <f>ROUND(C1092*D1092,2)</f>
        <v>9.6999999999999993</v>
      </c>
    </row>
    <row r="1093" spans="1:14" x14ac:dyDescent="0.3">
      <c r="B1093" s="15" t="str">
        <f>B1089</f>
        <v>Рентгенолаборант</v>
      </c>
      <c r="C1093" s="78">
        <f>I1089</f>
        <v>1.0900000000000001</v>
      </c>
      <c r="D1093" s="17">
        <v>15</v>
      </c>
      <c r="E1093" s="18">
        <f>ROUND(C1093*D1093,2)</f>
        <v>16.350000000000001</v>
      </c>
    </row>
    <row r="1094" spans="1:14" x14ac:dyDescent="0.3">
      <c r="C1094" s="19"/>
    </row>
    <row r="1095" spans="1:14" x14ac:dyDescent="0.3">
      <c r="B1095" s="17" t="s">
        <v>933</v>
      </c>
      <c r="C1095" s="78">
        <f>E1092+E1093</f>
        <v>26.05</v>
      </c>
      <c r="D1095" s="20">
        <v>0.22</v>
      </c>
      <c r="E1095" s="21">
        <f>ROUND(C1095*D1095,2)</f>
        <v>5.73</v>
      </c>
    </row>
    <row r="1096" spans="1:14" ht="7.5" customHeight="1" x14ac:dyDescent="0.3"/>
    <row r="1097" spans="1:14" x14ac:dyDescent="0.3">
      <c r="B1097" s="12" t="s">
        <v>946</v>
      </c>
      <c r="C1097" s="227"/>
      <c r="D1097" s="12"/>
      <c r="E1097" s="11">
        <f>F1106</f>
        <v>31.1</v>
      </c>
      <c r="F1097" s="12" t="s">
        <v>971</v>
      </c>
    </row>
    <row r="1099" spans="1:14" x14ac:dyDescent="0.3">
      <c r="B1099" s="27" t="s">
        <v>936</v>
      </c>
      <c r="C1099" s="28" t="s">
        <v>937</v>
      </c>
      <c r="D1099" s="29">
        <v>1</v>
      </c>
      <c r="E1099" s="30">
        <f>'МЕДИЧНІ М'!F115</f>
        <v>0.3</v>
      </c>
      <c r="F1099" s="30">
        <f>ROUND(D1099*E1099,2)</f>
        <v>0.3</v>
      </c>
    </row>
    <row r="1100" spans="1:14" s="184" customFormat="1" x14ac:dyDescent="0.3">
      <c r="A1100" s="180"/>
      <c r="B1100" s="185" t="s">
        <v>1021</v>
      </c>
      <c r="C1100" s="186" t="s">
        <v>941</v>
      </c>
      <c r="D1100" s="164">
        <v>0.5</v>
      </c>
      <c r="E1100" s="164">
        <f>'МЕДИЧНІ М'!E181</f>
        <v>2</v>
      </c>
      <c r="F1100" s="164">
        <f t="shared" ref="F1100:F1105" si="38">ROUND(D1100*E1100,2)</f>
        <v>1</v>
      </c>
      <c r="G1100" s="180"/>
      <c r="H1100" s="180"/>
      <c r="I1100" s="180"/>
      <c r="J1100" s="187"/>
      <c r="K1100" s="866"/>
      <c r="L1100" s="861"/>
      <c r="M1100" s="861"/>
      <c r="N1100" s="861"/>
    </row>
    <row r="1101" spans="1:14" x14ac:dyDescent="0.3">
      <c r="B1101" s="15" t="s">
        <v>1216</v>
      </c>
      <c r="C1101" s="73" t="s">
        <v>941</v>
      </c>
      <c r="D1101" s="17">
        <v>0.1</v>
      </c>
      <c r="E1101" s="17">
        <f>'МЕДИЧНІ М'!F113</f>
        <v>8</v>
      </c>
      <c r="F1101" s="17">
        <f t="shared" si="38"/>
        <v>0.8</v>
      </c>
    </row>
    <row r="1102" spans="1:14" x14ac:dyDescent="0.3">
      <c r="B1102" s="15" t="str">
        <f>'МЕДИЧНІ М'!B326</f>
        <v>Суха медична плівка 20*25*100</v>
      </c>
      <c r="C1102" s="73" t="s">
        <v>941</v>
      </c>
      <c r="D1102" s="17">
        <v>1</v>
      </c>
      <c r="E1102" s="16">
        <f>'МЕДИЧНІ М'!F326</f>
        <v>28.224299999999999</v>
      </c>
      <c r="F1102" s="17">
        <f t="shared" si="38"/>
        <v>28.22</v>
      </c>
    </row>
    <row r="1103" spans="1:14" x14ac:dyDescent="0.3">
      <c r="B1103" s="15" t="s">
        <v>964</v>
      </c>
      <c r="C1103" s="73" t="s">
        <v>941</v>
      </c>
      <c r="D1103" s="17">
        <v>0.1</v>
      </c>
      <c r="E1103" s="16">
        <f>'МЕДИЧНІ М'!E119</f>
        <v>2.8</v>
      </c>
      <c r="F1103" s="17">
        <f t="shared" si="38"/>
        <v>0.28000000000000003</v>
      </c>
    </row>
    <row r="1104" spans="1:14" x14ac:dyDescent="0.3">
      <c r="B1104" s="27" t="s">
        <v>942</v>
      </c>
      <c r="C1104" s="28" t="s">
        <v>941</v>
      </c>
      <c r="D1104" s="29">
        <v>0.01</v>
      </c>
      <c r="E1104" s="29">
        <f>'МЕДИЧНІ М'!E120</f>
        <v>24.6</v>
      </c>
      <c r="F1104" s="30">
        <f t="shared" si="38"/>
        <v>0.25</v>
      </c>
    </row>
    <row r="1105" spans="2:8" x14ac:dyDescent="0.3">
      <c r="B1105" s="27" t="s">
        <v>1124</v>
      </c>
      <c r="C1105" s="28" t="s">
        <v>944</v>
      </c>
      <c r="D1105" s="29">
        <v>0.5</v>
      </c>
      <c r="E1105" s="29">
        <f>'МЕДИЧНІ М'!E114</f>
        <v>0.5</v>
      </c>
      <c r="F1105" s="30">
        <f t="shared" si="38"/>
        <v>0.25</v>
      </c>
    </row>
    <row r="1106" spans="2:8" x14ac:dyDescent="0.3">
      <c r="B1106" s="1019" t="s">
        <v>945</v>
      </c>
      <c r="C1106" s="1019"/>
      <c r="D1106" s="1019"/>
      <c r="E1106" s="1019"/>
      <c r="F1106" s="89">
        <f>SUM(F1099:F1105)</f>
        <v>31.1</v>
      </c>
    </row>
    <row r="1107" spans="2:8" ht="6.75" customHeight="1" x14ac:dyDescent="0.3"/>
    <row r="1108" spans="2:8" x14ac:dyDescent="0.3">
      <c r="B1108" s="12" t="s">
        <v>968</v>
      </c>
      <c r="C1108" s="227"/>
      <c r="D1108" s="12"/>
      <c r="E1108" s="11">
        <f>SUM(G1111:G1112)</f>
        <v>48.15</v>
      </c>
      <c r="F1108" s="12" t="s">
        <v>971</v>
      </c>
    </row>
    <row r="1109" spans="2:8" x14ac:dyDescent="0.3">
      <c r="B1109" s="22"/>
      <c r="C1109" s="36"/>
      <c r="D1109" s="22"/>
      <c r="E1109" s="23"/>
      <c r="F1109" s="22"/>
    </row>
    <row r="1110" spans="2:8" ht="27.6" x14ac:dyDescent="0.3">
      <c r="B1110" s="14" t="s">
        <v>513</v>
      </c>
      <c r="C1110" s="14" t="s">
        <v>1108</v>
      </c>
      <c r="D1110" s="14" t="s">
        <v>516</v>
      </c>
      <c r="E1110" s="14" t="s">
        <v>970</v>
      </c>
      <c r="F1110" s="14" t="s">
        <v>930</v>
      </c>
      <c r="G1110" s="14" t="s">
        <v>961</v>
      </c>
    </row>
    <row r="1111" spans="2:8" x14ac:dyDescent="0.3">
      <c r="B1111" s="46" t="s">
        <v>1161</v>
      </c>
      <c r="C1111" s="73">
        <f>C1060</f>
        <v>0</v>
      </c>
      <c r="D1111" s="62">
        <f>H1088</f>
        <v>1932.7</v>
      </c>
      <c r="E1111" s="17">
        <f>ROUND((C1111/D1111)/60,2)</f>
        <v>0</v>
      </c>
      <c r="F1111" s="17">
        <f>D1092</f>
        <v>10</v>
      </c>
      <c r="G1111" s="16">
        <f>ROUND(E1111*F1111,2)</f>
        <v>0</v>
      </c>
    </row>
    <row r="1112" spans="2:8" x14ac:dyDescent="0.3">
      <c r="B1112" s="27" t="s">
        <v>1093</v>
      </c>
      <c r="C1112" s="73">
        <f>C1061</f>
        <v>290000</v>
      </c>
      <c r="D1112" s="62">
        <f>H1089</f>
        <v>1506</v>
      </c>
      <c r="E1112" s="17">
        <f>ROUND((C1112/D1112)/60,2)</f>
        <v>3.21</v>
      </c>
      <c r="F1112" s="17">
        <f>D1093</f>
        <v>15</v>
      </c>
      <c r="G1112" s="16">
        <f>ROUND(E1112*F1112,2)</f>
        <v>48.15</v>
      </c>
      <c r="H1112" s="38"/>
    </row>
    <row r="1113" spans="2:8" ht="9.75" customHeight="1" x14ac:dyDescent="0.3"/>
    <row r="1114" spans="2:8" x14ac:dyDescent="0.3">
      <c r="B1114" s="12" t="s">
        <v>948</v>
      </c>
      <c r="C1114" s="227"/>
      <c r="D1114" s="12"/>
      <c r="E1114" s="11">
        <f>G1127</f>
        <v>3.45</v>
      </c>
      <c r="F1114" s="12" t="s">
        <v>971</v>
      </c>
    </row>
    <row r="1115" spans="2:8" ht="12.75" customHeight="1" x14ac:dyDescent="0.3">
      <c r="B1115" s="22"/>
      <c r="C1115" s="36"/>
      <c r="D1115" s="22"/>
      <c r="E1115" s="23"/>
    </row>
    <row r="1116" spans="2:8" ht="27.6" x14ac:dyDescent="0.3">
      <c r="B1116" s="14" t="s">
        <v>948</v>
      </c>
      <c r="C1116" s="14" t="s">
        <v>1110</v>
      </c>
      <c r="D1116" s="14" t="s">
        <v>516</v>
      </c>
      <c r="E1116" s="14" t="s">
        <v>954</v>
      </c>
      <c r="F1116" s="14" t="s">
        <v>930</v>
      </c>
      <c r="G1116" s="14" t="s">
        <v>1111</v>
      </c>
    </row>
    <row r="1117" spans="2:8" x14ac:dyDescent="0.3">
      <c r="B1117" s="1009" t="str">
        <f>B1088</f>
        <v>Лікар-рентгенолог</v>
      </c>
      <c r="C1117" s="1010"/>
      <c r="D1117" s="1010"/>
      <c r="E1117" s="1010"/>
      <c r="F1117" s="1010"/>
      <c r="G1117" s="1011"/>
    </row>
    <row r="1118" spans="2:8" x14ac:dyDescent="0.3">
      <c r="B1118" s="17" t="s">
        <v>951</v>
      </c>
      <c r="C1118" s="221">
        <f>C1067</f>
        <v>12188.608008565312</v>
      </c>
      <c r="D1118" s="17">
        <f>H1088</f>
        <v>1932.7</v>
      </c>
      <c r="E1118" s="17">
        <f>ROUND((C1118/D1118)/60,2)</f>
        <v>0.11</v>
      </c>
      <c r="F1118" s="17">
        <f>D1092</f>
        <v>10</v>
      </c>
      <c r="G1118" s="16">
        <f>ROUND(E1118*F1118,2)</f>
        <v>1.1000000000000001</v>
      </c>
    </row>
    <row r="1119" spans="2:8" x14ac:dyDescent="0.3">
      <c r="B1119" s="17" t="s">
        <v>952</v>
      </c>
      <c r="C1119" s="221">
        <f>C1068</f>
        <v>53.149721627408987</v>
      </c>
      <c r="D1119" s="17">
        <f>H1088</f>
        <v>1932.7</v>
      </c>
      <c r="E1119" s="17">
        <f>ROUND((C1119/D1119)/60,2)</f>
        <v>0</v>
      </c>
      <c r="F1119" s="17">
        <f>D1092</f>
        <v>10</v>
      </c>
      <c r="G1119" s="16">
        <f>ROUND(E1119*F1119,2)</f>
        <v>0</v>
      </c>
    </row>
    <row r="1120" spans="2:8" x14ac:dyDescent="0.3">
      <c r="B1120" s="17" t="s">
        <v>953</v>
      </c>
      <c r="C1120" s="221">
        <f>C1069</f>
        <v>374.98368308351178</v>
      </c>
      <c r="D1120" s="17">
        <f>H1088</f>
        <v>1932.7</v>
      </c>
      <c r="E1120" s="17">
        <f>ROUND((C1120/D1120)/60,2)</f>
        <v>0</v>
      </c>
      <c r="F1120" s="17">
        <f>D1092</f>
        <v>10</v>
      </c>
      <c r="G1120" s="16">
        <f>ROUND(E1120*F1120,2)</f>
        <v>0</v>
      </c>
    </row>
    <row r="1121" spans="1:14" x14ac:dyDescent="0.3">
      <c r="B1121" s="17" t="s">
        <v>1109</v>
      </c>
      <c r="C1121" s="221">
        <f>C1070</f>
        <v>1686.0389293361886</v>
      </c>
      <c r="D1121" s="17">
        <f>H1088</f>
        <v>1932.7</v>
      </c>
      <c r="E1121" s="17">
        <f>ROUND((C1121/D1121)/60,2)</f>
        <v>0.01</v>
      </c>
      <c r="F1121" s="17">
        <f>D1092</f>
        <v>10</v>
      </c>
      <c r="G1121" s="16">
        <f>ROUND(E1121*F1121,2)</f>
        <v>0.1</v>
      </c>
    </row>
    <row r="1122" spans="1:14" x14ac:dyDescent="0.3">
      <c r="B1122" s="1009" t="str">
        <f>B1089</f>
        <v>Рентгенолаборант</v>
      </c>
      <c r="C1122" s="1010"/>
      <c r="D1122" s="1010"/>
      <c r="E1122" s="1010"/>
      <c r="F1122" s="1010"/>
      <c r="G1122" s="1011"/>
    </row>
    <row r="1123" spans="1:14" x14ac:dyDescent="0.3">
      <c r="B1123" s="17" t="s">
        <v>951</v>
      </c>
      <c r="C1123" s="221">
        <f>C1118</f>
        <v>12188.608008565312</v>
      </c>
      <c r="D1123" s="17">
        <f>H1089</f>
        <v>1506</v>
      </c>
      <c r="E1123" s="17">
        <f>ROUND((C1123/D1123)/60,2)</f>
        <v>0.13</v>
      </c>
      <c r="F1123" s="17">
        <f>D1093</f>
        <v>15</v>
      </c>
      <c r="G1123" s="16">
        <f>ROUND(E1123*F1123,2)</f>
        <v>1.95</v>
      </c>
    </row>
    <row r="1124" spans="1:14" x14ac:dyDescent="0.3">
      <c r="B1124" s="17" t="s">
        <v>952</v>
      </c>
      <c r="C1124" s="221">
        <f>C1119</f>
        <v>53.149721627408987</v>
      </c>
      <c r="D1124" s="17">
        <f>H1089</f>
        <v>1506</v>
      </c>
      <c r="E1124" s="17">
        <f>ROUND((C1124/D1124)/60,2)</f>
        <v>0</v>
      </c>
      <c r="F1124" s="17">
        <f>D1093</f>
        <v>15</v>
      </c>
      <c r="G1124" s="16">
        <f>ROUND(E1124*F1124,2)</f>
        <v>0</v>
      </c>
    </row>
    <row r="1125" spans="1:14" x14ac:dyDescent="0.3">
      <c r="B1125" s="17" t="s">
        <v>953</v>
      </c>
      <c r="C1125" s="221">
        <f>C1120</f>
        <v>374.98368308351178</v>
      </c>
      <c r="D1125" s="17">
        <f>H1089</f>
        <v>1506</v>
      </c>
      <c r="E1125" s="17">
        <f>ROUND((C1125/D1125)/60,2)</f>
        <v>0</v>
      </c>
      <c r="F1125" s="17">
        <f>D1093</f>
        <v>15</v>
      </c>
      <c r="G1125" s="16">
        <f>ROUND(E1125*F1125,2)</f>
        <v>0</v>
      </c>
    </row>
    <row r="1126" spans="1:14" x14ac:dyDescent="0.3">
      <c r="B1126" s="17" t="s">
        <v>1109</v>
      </c>
      <c r="C1126" s="221">
        <f>C1121</f>
        <v>1686.0389293361886</v>
      </c>
      <c r="D1126" s="17">
        <f>H1089</f>
        <v>1506</v>
      </c>
      <c r="E1126" s="17">
        <f>ROUND((C1126/D1126)/60,2)</f>
        <v>0.02</v>
      </c>
      <c r="F1126" s="17">
        <f>D1093</f>
        <v>15</v>
      </c>
      <c r="G1126" s="16">
        <f>ROUND(E1126*F1126,2)</f>
        <v>0.3</v>
      </c>
    </row>
    <row r="1127" spans="1:14" x14ac:dyDescent="0.3">
      <c r="B1127" s="1012" t="s">
        <v>957</v>
      </c>
      <c r="C1127" s="1013"/>
      <c r="D1127" s="1013"/>
      <c r="E1127" s="1013"/>
      <c r="F1127" s="1014"/>
      <c r="G1127" s="18">
        <f>SUM(G1118:G1126)</f>
        <v>3.45</v>
      </c>
    </row>
    <row r="1128" spans="1:14" ht="12" customHeight="1" x14ac:dyDescent="0.3"/>
    <row r="1129" spans="1:14" ht="0.75" customHeight="1" x14ac:dyDescent="0.3"/>
    <row r="1130" spans="1:14" x14ac:dyDescent="0.3">
      <c r="B1130" s="1015" t="s">
        <v>959</v>
      </c>
      <c r="C1130" s="1015"/>
      <c r="D1130" s="1015"/>
      <c r="E1130" s="1015"/>
      <c r="F1130" s="1015"/>
      <c r="G1130" s="32">
        <f>E1085+E1097+E1108+E1114</f>
        <v>114.48</v>
      </c>
    </row>
    <row r="1131" spans="1:14" x14ac:dyDescent="0.3">
      <c r="B1131" s="33"/>
      <c r="C1131" s="33"/>
      <c r="D1131" s="33"/>
      <c r="E1131" s="33"/>
      <c r="F1131" s="33"/>
      <c r="G1131" s="34"/>
    </row>
    <row r="1132" spans="1:14" s="54" customFormat="1" ht="19.8" x14ac:dyDescent="0.4">
      <c r="A1132" s="53"/>
      <c r="B1132" s="1051" t="s">
        <v>960</v>
      </c>
      <c r="C1132" s="1051"/>
      <c r="D1132" s="1051"/>
      <c r="E1132" s="1051"/>
      <c r="F1132" s="1051"/>
      <c r="G1132" s="32">
        <f>ROUND(G1130,0)</f>
        <v>114</v>
      </c>
      <c r="H1132" s="53"/>
      <c r="I1132" s="53"/>
      <c r="J1132" s="132"/>
      <c r="K1132" s="868"/>
      <c r="L1132" s="65"/>
      <c r="M1132" s="65"/>
      <c r="N1132" s="65"/>
    </row>
    <row r="1133" spans="1:14" s="54" customFormat="1" ht="19.8" x14ac:dyDescent="0.4">
      <c r="A1133" s="53"/>
      <c r="B1133" s="53"/>
      <c r="C1133" s="225"/>
      <c r="D1133" s="53"/>
      <c r="E1133" s="53"/>
      <c r="F1133" s="53"/>
      <c r="G1133" s="53"/>
      <c r="H1133" s="53"/>
      <c r="I1133" s="53"/>
      <c r="J1133" s="132"/>
      <c r="K1133" s="868"/>
      <c r="L1133" s="65"/>
      <c r="M1133" s="65"/>
      <c r="N1133" s="65"/>
    </row>
    <row r="1134" spans="1:14" s="54" customFormat="1" ht="19.8" x14ac:dyDescent="0.4">
      <c r="A1134" s="50" t="s">
        <v>264</v>
      </c>
      <c r="B1134" s="1032" t="s">
        <v>683</v>
      </c>
      <c r="C1134" s="1032"/>
      <c r="D1134" s="1032"/>
      <c r="E1134" s="52">
        <f>G1183</f>
        <v>118</v>
      </c>
      <c r="F1134" s="52" t="s">
        <v>971</v>
      </c>
      <c r="G1134" s="53"/>
      <c r="H1134" s="124"/>
      <c r="I1134" s="125" t="s">
        <v>1023</v>
      </c>
      <c r="J1134" s="132"/>
      <c r="K1134" s="868"/>
      <c r="L1134" s="65"/>
      <c r="M1134" s="65"/>
      <c r="N1134" s="65"/>
    </row>
    <row r="1135" spans="1:14" ht="18.600000000000001" x14ac:dyDescent="0.3">
      <c r="I1135" s="125" t="s">
        <v>270</v>
      </c>
    </row>
    <row r="1136" spans="1:14" x14ac:dyDescent="0.3">
      <c r="B1136" s="1018" t="s">
        <v>932</v>
      </c>
      <c r="C1136" s="1018"/>
      <c r="D1136" s="10"/>
      <c r="E1136" s="11">
        <f>E1143+E1146+E1144</f>
        <v>31.78</v>
      </c>
      <c r="F1136" s="12" t="s">
        <v>971</v>
      </c>
    </row>
    <row r="1138" spans="1:14" ht="27.6" x14ac:dyDescent="0.3">
      <c r="B1138" s="13" t="s">
        <v>929</v>
      </c>
      <c r="C1138" s="14" t="s">
        <v>928</v>
      </c>
      <c r="D1138" s="14" t="s">
        <v>514</v>
      </c>
      <c r="E1138" s="14" t="s">
        <v>515</v>
      </c>
      <c r="F1138" s="14" t="s">
        <v>962</v>
      </c>
      <c r="G1138" s="14" t="s">
        <v>926</v>
      </c>
      <c r="H1138" s="14" t="s">
        <v>516</v>
      </c>
      <c r="I1138" s="14" t="s">
        <v>961</v>
      </c>
    </row>
    <row r="1139" spans="1:14" x14ac:dyDescent="0.3">
      <c r="B1139" s="16" t="str">
        <f>B1088</f>
        <v>Лікар-рентгенолог</v>
      </c>
      <c r="C1139" s="78">
        <f>C1088</f>
        <v>8463.5400000000009</v>
      </c>
      <c r="D1139" s="16">
        <f>C1139*12</f>
        <v>101562.48000000001</v>
      </c>
      <c r="E1139" s="16">
        <f>E1088</f>
        <v>7052.95</v>
      </c>
      <c r="F1139" s="16">
        <f>F1088</f>
        <v>3526.4749999999999</v>
      </c>
      <c r="G1139" s="16">
        <f>D1139+E1139+F1139</f>
        <v>112141.90500000001</v>
      </c>
      <c r="H1139" s="17">
        <v>1932.7</v>
      </c>
      <c r="I1139" s="16">
        <f>ROUND((G1139/H1139)/60,2)</f>
        <v>0.97</v>
      </c>
    </row>
    <row r="1140" spans="1:14" x14ac:dyDescent="0.3">
      <c r="B1140" s="16" t="str">
        <f>B1089</f>
        <v>Рентгенолаборант</v>
      </c>
      <c r="C1140" s="78">
        <f>C1089</f>
        <v>7482.48</v>
      </c>
      <c r="D1140" s="24">
        <f>C1140*12</f>
        <v>89789.759999999995</v>
      </c>
      <c r="E1140" s="16">
        <f>E1089</f>
        <v>5755.75</v>
      </c>
      <c r="F1140" s="16">
        <f>F1089</f>
        <v>2877.875</v>
      </c>
      <c r="G1140" s="16">
        <f>D1140+E1140+F1140</f>
        <v>98423.384999999995</v>
      </c>
      <c r="H1140" s="62">
        <v>1506</v>
      </c>
      <c r="I1140" s="16">
        <f>ROUND((G1140/H1140)/60,2)</f>
        <v>1.0900000000000001</v>
      </c>
    </row>
    <row r="1142" spans="1:14" ht="27.6" x14ac:dyDescent="0.3">
      <c r="B1142" s="13" t="s">
        <v>929</v>
      </c>
      <c r="C1142" s="14" t="s">
        <v>961</v>
      </c>
      <c r="D1142" s="14" t="s">
        <v>930</v>
      </c>
      <c r="E1142" s="14" t="s">
        <v>931</v>
      </c>
    </row>
    <row r="1143" spans="1:14" x14ac:dyDescent="0.3">
      <c r="B1143" s="15" t="str">
        <f>B1139</f>
        <v>Лікар-рентгенолог</v>
      </c>
      <c r="C1143" s="78">
        <f>I1139</f>
        <v>0.97</v>
      </c>
      <c r="D1143" s="17">
        <v>10</v>
      </c>
      <c r="E1143" s="18">
        <f>ROUND(C1143*D1143,2)</f>
        <v>9.6999999999999993</v>
      </c>
    </row>
    <row r="1144" spans="1:14" x14ac:dyDescent="0.3">
      <c r="B1144" s="15" t="str">
        <f>B1140</f>
        <v>Рентгенолаборант</v>
      </c>
      <c r="C1144" s="78">
        <f>I1140</f>
        <v>1.0900000000000001</v>
      </c>
      <c r="D1144" s="17">
        <v>15</v>
      </c>
      <c r="E1144" s="18">
        <f>ROUND(C1144*D1144,2)</f>
        <v>16.350000000000001</v>
      </c>
    </row>
    <row r="1145" spans="1:14" x14ac:dyDescent="0.3">
      <c r="C1145" s="19"/>
    </row>
    <row r="1146" spans="1:14" x14ac:dyDescent="0.3">
      <c r="B1146" s="17" t="s">
        <v>933</v>
      </c>
      <c r="C1146" s="78">
        <f>E1143+E1144</f>
        <v>26.05</v>
      </c>
      <c r="D1146" s="20">
        <v>0.22</v>
      </c>
      <c r="E1146" s="21">
        <f>ROUND(C1146*D1146,2)</f>
        <v>5.73</v>
      </c>
    </row>
    <row r="1147" spans="1:14" ht="7.5" customHeight="1" x14ac:dyDescent="0.3"/>
    <row r="1148" spans="1:14" x14ac:dyDescent="0.3">
      <c r="B1148" s="12" t="s">
        <v>946</v>
      </c>
      <c r="C1148" s="227"/>
      <c r="D1148" s="12"/>
      <c r="E1148" s="11">
        <f>F1157</f>
        <v>34.56</v>
      </c>
      <c r="F1148" s="12" t="s">
        <v>971</v>
      </c>
    </row>
    <row r="1150" spans="1:14" x14ac:dyDescent="0.3">
      <c r="B1150" s="27" t="str">
        <f>B1099</f>
        <v>Мікрасепт</v>
      </c>
      <c r="C1150" s="27" t="str">
        <f>C1099</f>
        <v>мл</v>
      </c>
      <c r="D1150" s="27">
        <f>D1099</f>
        <v>1</v>
      </c>
      <c r="E1150" s="27">
        <f>E1099</f>
        <v>0.3</v>
      </c>
      <c r="F1150" s="30">
        <f>ROUND(D1150*E1150,2)</f>
        <v>0.3</v>
      </c>
    </row>
    <row r="1151" spans="1:14" s="184" customFormat="1" x14ac:dyDescent="0.3">
      <c r="A1151" s="180"/>
      <c r="B1151" s="27" t="str">
        <f t="shared" ref="B1151:E1156" si="39">B1100</f>
        <v>Маска на резинці, стерильна</v>
      </c>
      <c r="C1151" s="27" t="str">
        <f t="shared" si="39"/>
        <v>шт</v>
      </c>
      <c r="D1151" s="27">
        <f t="shared" si="39"/>
        <v>0.5</v>
      </c>
      <c r="E1151" s="27">
        <f t="shared" si="39"/>
        <v>2</v>
      </c>
      <c r="F1151" s="164">
        <f t="shared" ref="F1151:F1156" si="40">ROUND(D1151*E1151,2)</f>
        <v>1</v>
      </c>
      <c r="G1151" s="180"/>
      <c r="H1151" s="180"/>
      <c r="I1151" s="180"/>
      <c r="J1151" s="187"/>
      <c r="K1151" s="866"/>
      <c r="L1151" s="861"/>
      <c r="M1151" s="861"/>
      <c r="N1151" s="861"/>
    </row>
    <row r="1152" spans="1:14" x14ac:dyDescent="0.3">
      <c r="B1152" s="27" t="str">
        <f t="shared" si="39"/>
        <v>Бинт марлевий 7х14</v>
      </c>
      <c r="C1152" s="27" t="str">
        <f t="shared" si="39"/>
        <v>шт</v>
      </c>
      <c r="D1152" s="27">
        <f t="shared" si="39"/>
        <v>0.1</v>
      </c>
      <c r="E1152" s="27">
        <f t="shared" si="39"/>
        <v>8</v>
      </c>
      <c r="F1152" s="17">
        <f t="shared" si="40"/>
        <v>0.8</v>
      </c>
    </row>
    <row r="1153" spans="2:8" x14ac:dyDescent="0.3">
      <c r="B1153" s="27" t="str">
        <f>'МЕДИЧНІ М'!B327</f>
        <v>Суха медична плівка 35*43*100</v>
      </c>
      <c r="C1153" s="27" t="str">
        <f t="shared" si="39"/>
        <v>шт</v>
      </c>
      <c r="D1153" s="27">
        <v>2</v>
      </c>
      <c r="E1153" s="847">
        <f>'МЕДИЧНІ М'!F327</f>
        <v>15.841125</v>
      </c>
      <c r="F1153" s="17">
        <f t="shared" si="40"/>
        <v>31.68</v>
      </c>
    </row>
    <row r="1154" spans="2:8" x14ac:dyDescent="0.3">
      <c r="B1154" s="27" t="str">
        <f t="shared" si="39"/>
        <v>Рукавиці не стерильні</v>
      </c>
      <c r="C1154" s="27" t="str">
        <f t="shared" si="39"/>
        <v>шт</v>
      </c>
      <c r="D1154" s="27">
        <f t="shared" si="39"/>
        <v>0.1</v>
      </c>
      <c r="E1154" s="27">
        <f t="shared" si="39"/>
        <v>2.8</v>
      </c>
      <c r="F1154" s="17">
        <f t="shared" si="40"/>
        <v>0.28000000000000003</v>
      </c>
    </row>
    <row r="1155" spans="2:8" x14ac:dyDescent="0.3">
      <c r="B1155" s="27" t="str">
        <f t="shared" si="39"/>
        <v xml:space="preserve">Спирт 70% 100мл </v>
      </c>
      <c r="C1155" s="27" t="str">
        <f t="shared" si="39"/>
        <v>шт</v>
      </c>
      <c r="D1155" s="27">
        <f t="shared" si="39"/>
        <v>0.01</v>
      </c>
      <c r="E1155" s="27">
        <f t="shared" si="39"/>
        <v>24.6</v>
      </c>
      <c r="F1155" s="30">
        <f t="shared" si="40"/>
        <v>0.25</v>
      </c>
    </row>
    <row r="1156" spans="2:8" x14ac:dyDescent="0.3">
      <c r="B1156" s="27" t="str">
        <f t="shared" si="39"/>
        <v>Деззасоби</v>
      </c>
      <c r="C1156" s="27" t="str">
        <f t="shared" si="39"/>
        <v>г</v>
      </c>
      <c r="D1156" s="27">
        <f t="shared" si="39"/>
        <v>0.5</v>
      </c>
      <c r="E1156" s="27">
        <f t="shared" si="39"/>
        <v>0.5</v>
      </c>
      <c r="F1156" s="30">
        <f t="shared" si="40"/>
        <v>0.25</v>
      </c>
    </row>
    <row r="1157" spans="2:8" x14ac:dyDescent="0.3">
      <c r="B1157" s="1019" t="s">
        <v>945</v>
      </c>
      <c r="C1157" s="1019"/>
      <c r="D1157" s="1019"/>
      <c r="E1157" s="1019"/>
      <c r="F1157" s="89">
        <f>SUM(F1150:F1156)</f>
        <v>34.56</v>
      </c>
    </row>
    <row r="1158" spans="2:8" ht="6.75" customHeight="1" x14ac:dyDescent="0.3"/>
    <row r="1159" spans="2:8" x14ac:dyDescent="0.3">
      <c r="B1159" s="12" t="s">
        <v>968</v>
      </c>
      <c r="C1159" s="227"/>
      <c r="D1159" s="12"/>
      <c r="E1159" s="11">
        <f>SUM(G1162:G1163)</f>
        <v>48.15</v>
      </c>
      <c r="F1159" s="12" t="s">
        <v>971</v>
      </c>
    </row>
    <row r="1160" spans="2:8" x14ac:dyDescent="0.3">
      <c r="B1160" s="22"/>
      <c r="C1160" s="36"/>
      <c r="D1160" s="22"/>
      <c r="E1160" s="23"/>
      <c r="F1160" s="22"/>
    </row>
    <row r="1161" spans="2:8" ht="27.6" x14ac:dyDescent="0.3">
      <c r="B1161" s="14" t="s">
        <v>513</v>
      </c>
      <c r="C1161" s="14" t="s">
        <v>1108</v>
      </c>
      <c r="D1161" s="14" t="s">
        <v>516</v>
      </c>
      <c r="E1161" s="14" t="s">
        <v>970</v>
      </c>
      <c r="F1161" s="14" t="s">
        <v>930</v>
      </c>
      <c r="G1161" s="14" t="s">
        <v>961</v>
      </c>
    </row>
    <row r="1162" spans="2:8" x14ac:dyDescent="0.3">
      <c r="B1162" s="46" t="s">
        <v>1161</v>
      </c>
      <c r="C1162" s="73">
        <f>C1111</f>
        <v>0</v>
      </c>
      <c r="D1162" s="62">
        <f>H1139</f>
        <v>1932.7</v>
      </c>
      <c r="E1162" s="17">
        <f>ROUND((C1162/D1162)/60,2)</f>
        <v>0</v>
      </c>
      <c r="F1162" s="17">
        <f>D1143</f>
        <v>10</v>
      </c>
      <c r="G1162" s="16">
        <f>ROUND(E1162*F1162,2)</f>
        <v>0</v>
      </c>
    </row>
    <row r="1163" spans="2:8" x14ac:dyDescent="0.3">
      <c r="B1163" s="27" t="s">
        <v>1093</v>
      </c>
      <c r="C1163" s="73">
        <f>C1112</f>
        <v>290000</v>
      </c>
      <c r="D1163" s="62">
        <f>H1140</f>
        <v>1506</v>
      </c>
      <c r="E1163" s="17">
        <f>ROUND((C1163/D1163)/60,2)</f>
        <v>3.21</v>
      </c>
      <c r="F1163" s="17">
        <f>D1144</f>
        <v>15</v>
      </c>
      <c r="G1163" s="16">
        <f>ROUND(E1163*F1163,2)</f>
        <v>48.15</v>
      </c>
      <c r="H1163" s="38"/>
    </row>
    <row r="1164" spans="2:8" ht="9.75" customHeight="1" x14ac:dyDescent="0.3"/>
    <row r="1165" spans="2:8" x14ac:dyDescent="0.3">
      <c r="B1165" s="12" t="s">
        <v>948</v>
      </c>
      <c r="C1165" s="227"/>
      <c r="D1165" s="12"/>
      <c r="E1165" s="11">
        <f>G1178</f>
        <v>3.45</v>
      </c>
      <c r="F1165" s="12" t="s">
        <v>971</v>
      </c>
    </row>
    <row r="1166" spans="2:8" ht="12.75" customHeight="1" x14ac:dyDescent="0.3">
      <c r="B1166" s="22"/>
      <c r="C1166" s="36"/>
      <c r="D1166" s="22"/>
      <c r="E1166" s="23"/>
    </row>
    <row r="1167" spans="2:8" ht="27.6" x14ac:dyDescent="0.3">
      <c r="B1167" s="14" t="s">
        <v>948</v>
      </c>
      <c r="C1167" s="14" t="s">
        <v>1110</v>
      </c>
      <c r="D1167" s="14" t="s">
        <v>516</v>
      </c>
      <c r="E1167" s="14" t="s">
        <v>954</v>
      </c>
      <c r="F1167" s="14" t="s">
        <v>930</v>
      </c>
      <c r="G1167" s="14" t="s">
        <v>1111</v>
      </c>
    </row>
    <row r="1168" spans="2:8" x14ac:dyDescent="0.3">
      <c r="B1168" s="1009" t="str">
        <f>B1139</f>
        <v>Лікар-рентгенолог</v>
      </c>
      <c r="C1168" s="1010"/>
      <c r="D1168" s="1010"/>
      <c r="E1168" s="1010"/>
      <c r="F1168" s="1010"/>
      <c r="G1168" s="1011"/>
    </row>
    <row r="1169" spans="1:14" x14ac:dyDescent="0.3">
      <c r="B1169" s="17" t="s">
        <v>951</v>
      </c>
      <c r="C1169" s="221">
        <f>C1118</f>
        <v>12188.608008565312</v>
      </c>
      <c r="D1169" s="17">
        <f>H1139</f>
        <v>1932.7</v>
      </c>
      <c r="E1169" s="17">
        <f>ROUND((C1169/D1169)/60,2)</f>
        <v>0.11</v>
      </c>
      <c r="F1169" s="17">
        <f>D1143</f>
        <v>10</v>
      </c>
      <c r="G1169" s="16">
        <f>ROUND(E1169*F1169,2)</f>
        <v>1.1000000000000001</v>
      </c>
    </row>
    <row r="1170" spans="1:14" x14ac:dyDescent="0.3">
      <c r="B1170" s="17" t="s">
        <v>952</v>
      </c>
      <c r="C1170" s="221">
        <f>C1119</f>
        <v>53.149721627408987</v>
      </c>
      <c r="D1170" s="17">
        <f>H1139</f>
        <v>1932.7</v>
      </c>
      <c r="E1170" s="17">
        <f>ROUND((C1170/D1170)/60,2)</f>
        <v>0</v>
      </c>
      <c r="F1170" s="17">
        <f>D1143</f>
        <v>10</v>
      </c>
      <c r="G1170" s="16">
        <f>ROUND(E1170*F1170,2)</f>
        <v>0</v>
      </c>
    </row>
    <row r="1171" spans="1:14" x14ac:dyDescent="0.3">
      <c r="B1171" s="17" t="s">
        <v>953</v>
      </c>
      <c r="C1171" s="221">
        <f>C1120</f>
        <v>374.98368308351178</v>
      </c>
      <c r="D1171" s="17">
        <f>H1139</f>
        <v>1932.7</v>
      </c>
      <c r="E1171" s="17">
        <f>ROUND((C1171/D1171)/60,2)</f>
        <v>0</v>
      </c>
      <c r="F1171" s="17">
        <f>D1143</f>
        <v>10</v>
      </c>
      <c r="G1171" s="16">
        <f>ROUND(E1171*F1171,2)</f>
        <v>0</v>
      </c>
    </row>
    <row r="1172" spans="1:14" x14ac:dyDescent="0.3">
      <c r="B1172" s="17" t="s">
        <v>1109</v>
      </c>
      <c r="C1172" s="221">
        <f>C1121</f>
        <v>1686.0389293361886</v>
      </c>
      <c r="D1172" s="17">
        <f>H1139</f>
        <v>1932.7</v>
      </c>
      <c r="E1172" s="17">
        <f>ROUND((C1172/D1172)/60,2)</f>
        <v>0.01</v>
      </c>
      <c r="F1172" s="17">
        <f>D1143</f>
        <v>10</v>
      </c>
      <c r="G1172" s="16">
        <f>ROUND(E1172*F1172,2)</f>
        <v>0.1</v>
      </c>
    </row>
    <row r="1173" spans="1:14" x14ac:dyDescent="0.3">
      <c r="B1173" s="1009" t="str">
        <f>B1140</f>
        <v>Рентгенолаборант</v>
      </c>
      <c r="C1173" s="1010"/>
      <c r="D1173" s="1010"/>
      <c r="E1173" s="1010"/>
      <c r="F1173" s="1010"/>
      <c r="G1173" s="1011"/>
    </row>
    <row r="1174" spans="1:14" x14ac:dyDescent="0.3">
      <c r="B1174" s="17" t="s">
        <v>951</v>
      </c>
      <c r="C1174" s="221">
        <f>C1169</f>
        <v>12188.608008565312</v>
      </c>
      <c r="D1174" s="17">
        <f>H1140</f>
        <v>1506</v>
      </c>
      <c r="E1174" s="17">
        <f>ROUND((C1174/D1174)/60,2)</f>
        <v>0.13</v>
      </c>
      <c r="F1174" s="17">
        <f>D1144</f>
        <v>15</v>
      </c>
      <c r="G1174" s="16">
        <f>ROUND(E1174*F1174,2)</f>
        <v>1.95</v>
      </c>
    </row>
    <row r="1175" spans="1:14" x14ac:dyDescent="0.3">
      <c r="B1175" s="17" t="s">
        <v>952</v>
      </c>
      <c r="C1175" s="221">
        <f>C1170</f>
        <v>53.149721627408987</v>
      </c>
      <c r="D1175" s="17">
        <f>H1140</f>
        <v>1506</v>
      </c>
      <c r="E1175" s="17">
        <f>ROUND((C1175/D1175)/60,2)</f>
        <v>0</v>
      </c>
      <c r="F1175" s="17">
        <f>D1144</f>
        <v>15</v>
      </c>
      <c r="G1175" s="16">
        <f>ROUND(E1175*F1175,2)</f>
        <v>0</v>
      </c>
    </row>
    <row r="1176" spans="1:14" x14ac:dyDescent="0.3">
      <c r="B1176" s="17" t="s">
        <v>953</v>
      </c>
      <c r="C1176" s="221">
        <f>C1171</f>
        <v>374.98368308351178</v>
      </c>
      <c r="D1176" s="17">
        <f>H1140</f>
        <v>1506</v>
      </c>
      <c r="E1176" s="17">
        <f>ROUND((C1176/D1176)/60,2)</f>
        <v>0</v>
      </c>
      <c r="F1176" s="17">
        <f>D1144</f>
        <v>15</v>
      </c>
      <c r="G1176" s="16">
        <f>ROUND(E1176*F1176,2)</f>
        <v>0</v>
      </c>
    </row>
    <row r="1177" spans="1:14" x14ac:dyDescent="0.3">
      <c r="B1177" s="17" t="s">
        <v>1109</v>
      </c>
      <c r="C1177" s="221">
        <f>C1172</f>
        <v>1686.0389293361886</v>
      </c>
      <c r="D1177" s="17">
        <f>H1140</f>
        <v>1506</v>
      </c>
      <c r="E1177" s="17">
        <f>ROUND((C1177/D1177)/60,2)</f>
        <v>0.02</v>
      </c>
      <c r="F1177" s="17">
        <f>D1144</f>
        <v>15</v>
      </c>
      <c r="G1177" s="16">
        <f>ROUND(E1177*F1177,2)</f>
        <v>0.3</v>
      </c>
    </row>
    <row r="1178" spans="1:14" x14ac:dyDescent="0.3">
      <c r="B1178" s="1012" t="s">
        <v>957</v>
      </c>
      <c r="C1178" s="1013"/>
      <c r="D1178" s="1013"/>
      <c r="E1178" s="1013"/>
      <c r="F1178" s="1014"/>
      <c r="G1178" s="18">
        <f>SUM(G1169:G1177)</f>
        <v>3.45</v>
      </c>
    </row>
    <row r="1179" spans="1:14" ht="12" customHeight="1" x14ac:dyDescent="0.3"/>
    <row r="1180" spans="1:14" ht="0.75" customHeight="1" x14ac:dyDescent="0.3"/>
    <row r="1181" spans="1:14" x14ac:dyDescent="0.3">
      <c r="B1181" s="1015" t="s">
        <v>959</v>
      </c>
      <c r="C1181" s="1015"/>
      <c r="D1181" s="1015"/>
      <c r="E1181" s="1015"/>
      <c r="F1181" s="1015"/>
      <c r="G1181" s="32">
        <f>E1136+E1148+E1159+E1165</f>
        <v>117.94000000000001</v>
      </c>
    </row>
    <row r="1182" spans="1:14" x14ac:dyDescent="0.3">
      <c r="B1182" s="33"/>
      <c r="C1182" s="33"/>
      <c r="D1182" s="33"/>
      <c r="E1182" s="33"/>
      <c r="F1182" s="33"/>
      <c r="G1182" s="34"/>
    </row>
    <row r="1183" spans="1:14" s="54" customFormat="1" ht="19.8" x14ac:dyDescent="0.4">
      <c r="A1183" s="53"/>
      <c r="B1183" s="1051" t="s">
        <v>960</v>
      </c>
      <c r="C1183" s="1051"/>
      <c r="D1183" s="1051"/>
      <c r="E1183" s="1051"/>
      <c r="F1183" s="1051"/>
      <c r="G1183" s="32">
        <f>ROUND(G1181,0)</f>
        <v>118</v>
      </c>
      <c r="H1183" s="53"/>
      <c r="I1183" s="53"/>
      <c r="J1183" s="132"/>
      <c r="K1183" s="868"/>
      <c r="L1183" s="65"/>
      <c r="M1183" s="65"/>
      <c r="N1183" s="65"/>
    </row>
    <row r="1184" spans="1:14" s="54" customFormat="1" ht="19.8" x14ac:dyDescent="0.4">
      <c r="A1184" s="53"/>
      <c r="B1184" s="53"/>
      <c r="C1184" s="225"/>
      <c r="D1184" s="53"/>
      <c r="E1184" s="53"/>
      <c r="F1184" s="53"/>
      <c r="G1184" s="53"/>
      <c r="H1184" s="53"/>
      <c r="I1184" s="53"/>
      <c r="J1184" s="132"/>
      <c r="K1184" s="868"/>
      <c r="L1184" s="65"/>
      <c r="M1184" s="65"/>
      <c r="N1184" s="65"/>
    </row>
    <row r="1185" spans="1:14" s="54" customFormat="1" ht="19.8" x14ac:dyDescent="0.4">
      <c r="A1185" s="50" t="s">
        <v>266</v>
      </c>
      <c r="B1185" s="1032" t="s">
        <v>683</v>
      </c>
      <c r="C1185" s="1032"/>
      <c r="D1185" s="1032"/>
      <c r="E1185" s="52">
        <f>G1233</f>
        <v>86</v>
      </c>
      <c r="F1185" s="52" t="s">
        <v>971</v>
      </c>
      <c r="G1185" s="53"/>
      <c r="H1185" s="124"/>
      <c r="I1185" s="125" t="s">
        <v>1128</v>
      </c>
      <c r="J1185" s="132"/>
      <c r="K1185" s="868"/>
      <c r="L1185" s="65"/>
      <c r="M1185" s="65"/>
      <c r="N1185" s="65"/>
    </row>
    <row r="1187" spans="1:14" x14ac:dyDescent="0.3">
      <c r="B1187" s="1018" t="s">
        <v>932</v>
      </c>
      <c r="C1187" s="1018"/>
      <c r="D1187" s="10"/>
      <c r="E1187" s="11">
        <f>E1194+E1197+E1195</f>
        <v>31.78</v>
      </c>
      <c r="F1187" s="12" t="s">
        <v>971</v>
      </c>
    </row>
    <row r="1189" spans="1:14" ht="27.6" x14ac:dyDescent="0.3">
      <c r="B1189" s="13" t="s">
        <v>929</v>
      </c>
      <c r="C1189" s="14" t="s">
        <v>928</v>
      </c>
      <c r="D1189" s="14" t="s">
        <v>514</v>
      </c>
      <c r="E1189" s="14" t="s">
        <v>515</v>
      </c>
      <c r="F1189" s="14" t="s">
        <v>962</v>
      </c>
      <c r="G1189" s="14" t="s">
        <v>926</v>
      </c>
      <c r="H1189" s="14" t="s">
        <v>516</v>
      </c>
      <c r="I1189" s="14" t="s">
        <v>961</v>
      </c>
    </row>
    <row r="1190" spans="1:14" x14ac:dyDescent="0.3">
      <c r="B1190" s="16" t="str">
        <f>B1088</f>
        <v>Лікар-рентгенолог</v>
      </c>
      <c r="C1190" s="78">
        <f>C1088</f>
        <v>8463.5400000000009</v>
      </c>
      <c r="D1190" s="16">
        <f>C1190*12</f>
        <v>101562.48000000001</v>
      </c>
      <c r="E1190" s="16">
        <f>E1088</f>
        <v>7052.95</v>
      </c>
      <c r="F1190" s="16">
        <f>F1088</f>
        <v>3526.4749999999999</v>
      </c>
      <c r="G1190" s="16">
        <f>D1190+E1190+F1190</f>
        <v>112141.90500000001</v>
      </c>
      <c r="H1190" s="17">
        <v>1932.7</v>
      </c>
      <c r="I1190" s="16">
        <f>ROUND((G1190/H1190)/60,2)</f>
        <v>0.97</v>
      </c>
    </row>
    <row r="1191" spans="1:14" x14ac:dyDescent="0.3">
      <c r="B1191" s="16" t="str">
        <f>B1089</f>
        <v>Рентгенолаборант</v>
      </c>
      <c r="C1191" s="78">
        <f>C1089</f>
        <v>7482.48</v>
      </c>
      <c r="D1191" s="24">
        <f>C1191*12</f>
        <v>89789.759999999995</v>
      </c>
      <c r="E1191" s="16">
        <f>E1089</f>
        <v>5755.75</v>
      </c>
      <c r="F1191" s="16">
        <f>F1089</f>
        <v>2877.875</v>
      </c>
      <c r="G1191" s="16">
        <f>D1191+E1191+F1191</f>
        <v>98423.384999999995</v>
      </c>
      <c r="H1191" s="62">
        <v>1506</v>
      </c>
      <c r="I1191" s="16">
        <f>ROUND((G1191/H1191)/60,2)</f>
        <v>1.0900000000000001</v>
      </c>
    </row>
    <row r="1193" spans="1:14" ht="27.6" x14ac:dyDescent="0.3">
      <c r="B1193" s="13" t="s">
        <v>929</v>
      </c>
      <c r="C1193" s="14" t="s">
        <v>961</v>
      </c>
      <c r="D1193" s="14" t="s">
        <v>930</v>
      </c>
      <c r="E1193" s="14" t="s">
        <v>931</v>
      </c>
    </row>
    <row r="1194" spans="1:14" x14ac:dyDescent="0.3">
      <c r="B1194" s="15" t="str">
        <f>B1190</f>
        <v>Лікар-рентгенолог</v>
      </c>
      <c r="C1194" s="78">
        <f>I1190</f>
        <v>0.97</v>
      </c>
      <c r="D1194" s="17">
        <v>10</v>
      </c>
      <c r="E1194" s="18">
        <f>ROUND(C1194*D1194,2)</f>
        <v>9.6999999999999993</v>
      </c>
    </row>
    <row r="1195" spans="1:14" x14ac:dyDescent="0.3">
      <c r="B1195" s="15" t="str">
        <f>B1191</f>
        <v>Рентгенолаборант</v>
      </c>
      <c r="C1195" s="78">
        <f>I1191</f>
        <v>1.0900000000000001</v>
      </c>
      <c r="D1195" s="17">
        <v>15</v>
      </c>
      <c r="E1195" s="18">
        <f>ROUND(C1195*D1195,2)</f>
        <v>16.350000000000001</v>
      </c>
    </row>
    <row r="1196" spans="1:14" x14ac:dyDescent="0.3">
      <c r="C1196" s="19"/>
    </row>
    <row r="1197" spans="1:14" x14ac:dyDescent="0.3">
      <c r="B1197" s="17" t="s">
        <v>933</v>
      </c>
      <c r="C1197" s="78">
        <f>E1194+E1195</f>
        <v>26.05</v>
      </c>
      <c r="D1197" s="20">
        <v>0.22</v>
      </c>
      <c r="E1197" s="21">
        <f>ROUND(C1197*D1197,2)</f>
        <v>5.73</v>
      </c>
    </row>
    <row r="1199" spans="1:14" x14ac:dyDescent="0.3">
      <c r="B1199" s="12" t="s">
        <v>946</v>
      </c>
      <c r="C1199" s="227"/>
      <c r="D1199" s="12"/>
      <c r="E1199" s="11">
        <f>F1207</f>
        <v>2.88</v>
      </c>
      <c r="F1199" s="12" t="s">
        <v>971</v>
      </c>
    </row>
    <row r="1201" spans="1:14" x14ac:dyDescent="0.3">
      <c r="B1201" s="27" t="s">
        <v>936</v>
      </c>
      <c r="C1201" s="28" t="s">
        <v>937</v>
      </c>
      <c r="D1201" s="29">
        <v>1</v>
      </c>
      <c r="E1201" s="30">
        <f>'МЕДИЧНІ М'!F115</f>
        <v>0.3</v>
      </c>
      <c r="F1201" s="30">
        <f t="shared" ref="F1201:F1206" si="41">ROUND(D1201*E1201,2)</f>
        <v>0.3</v>
      </c>
    </row>
    <row r="1202" spans="1:14" s="184" customFormat="1" x14ac:dyDescent="0.3">
      <c r="A1202" s="180"/>
      <c r="B1202" s="185" t="s">
        <v>1021</v>
      </c>
      <c r="C1202" s="186" t="s">
        <v>941</v>
      </c>
      <c r="D1202" s="164">
        <v>0.5</v>
      </c>
      <c r="E1202" s="164">
        <f>'МЕДИЧНІ М'!E181</f>
        <v>2</v>
      </c>
      <c r="F1202" s="164">
        <f t="shared" si="41"/>
        <v>1</v>
      </c>
      <c r="G1202" s="180"/>
      <c r="H1202" s="180"/>
      <c r="I1202" s="180"/>
      <c r="J1202" s="187"/>
      <c r="K1202" s="866"/>
      <c r="L1202" s="861"/>
      <c r="M1202" s="861"/>
      <c r="N1202" s="861"/>
    </row>
    <row r="1203" spans="1:14" x14ac:dyDescent="0.3">
      <c r="B1203" s="15" t="s">
        <v>1216</v>
      </c>
      <c r="C1203" s="73" t="s">
        <v>941</v>
      </c>
      <c r="D1203" s="17">
        <v>0.1</v>
      </c>
      <c r="E1203" s="16">
        <f>'МЕДИЧНІ М'!E113</f>
        <v>8</v>
      </c>
      <c r="F1203" s="17">
        <f t="shared" si="41"/>
        <v>0.8</v>
      </c>
    </row>
    <row r="1204" spans="1:14" x14ac:dyDescent="0.3">
      <c r="B1204" s="15" t="s">
        <v>964</v>
      </c>
      <c r="C1204" s="73" t="s">
        <v>941</v>
      </c>
      <c r="D1204" s="17">
        <v>0.1</v>
      </c>
      <c r="E1204" s="16">
        <f>'МЕДИЧНІ М'!E119</f>
        <v>2.8</v>
      </c>
      <c r="F1204" s="17">
        <f t="shared" si="41"/>
        <v>0.28000000000000003</v>
      </c>
    </row>
    <row r="1205" spans="1:14" x14ac:dyDescent="0.3">
      <c r="B1205" s="27" t="s">
        <v>942</v>
      </c>
      <c r="C1205" s="28" t="s">
        <v>941</v>
      </c>
      <c r="D1205" s="29">
        <v>0.01</v>
      </c>
      <c r="E1205" s="29">
        <f>'МЕДИЧНІ М'!E120</f>
        <v>24.6</v>
      </c>
      <c r="F1205" s="30">
        <f t="shared" si="41"/>
        <v>0.25</v>
      </c>
    </row>
    <row r="1206" spans="1:14" x14ac:dyDescent="0.3">
      <c r="B1206" s="27" t="s">
        <v>1124</v>
      </c>
      <c r="C1206" s="28" t="s">
        <v>944</v>
      </c>
      <c r="D1206" s="29">
        <v>0.5</v>
      </c>
      <c r="E1206" s="29">
        <f>'МЕДИЧНІ М'!E114</f>
        <v>0.5</v>
      </c>
      <c r="F1206" s="30">
        <f t="shared" si="41"/>
        <v>0.25</v>
      </c>
    </row>
    <row r="1207" spans="1:14" x14ac:dyDescent="0.3">
      <c r="B1207" s="1019" t="s">
        <v>945</v>
      </c>
      <c r="C1207" s="1019"/>
      <c r="D1207" s="1019"/>
      <c r="E1207" s="1019"/>
      <c r="F1207" s="89">
        <f>SUM(F1201:F1206)</f>
        <v>2.88</v>
      </c>
    </row>
    <row r="1209" spans="1:14" x14ac:dyDescent="0.3">
      <c r="B1209" s="12" t="s">
        <v>968</v>
      </c>
      <c r="C1209" s="227"/>
      <c r="D1209" s="12"/>
      <c r="E1209" s="11">
        <f>SUM(G1212:G1213)</f>
        <v>48.15</v>
      </c>
      <c r="F1209" s="12" t="s">
        <v>971</v>
      </c>
    </row>
    <row r="1210" spans="1:14" x14ac:dyDescent="0.3">
      <c r="B1210" s="22"/>
      <c r="C1210" s="36"/>
      <c r="D1210" s="22"/>
      <c r="E1210" s="23"/>
      <c r="F1210" s="22"/>
    </row>
    <row r="1211" spans="1:14" ht="27.6" x14ac:dyDescent="0.3">
      <c r="B1211" s="14" t="s">
        <v>513</v>
      </c>
      <c r="C1211" s="14" t="s">
        <v>1108</v>
      </c>
      <c r="D1211" s="14" t="s">
        <v>516</v>
      </c>
      <c r="E1211" s="14" t="s">
        <v>970</v>
      </c>
      <c r="F1211" s="14" t="s">
        <v>930</v>
      </c>
      <c r="G1211" s="14" t="s">
        <v>961</v>
      </c>
    </row>
    <row r="1212" spans="1:14" x14ac:dyDescent="0.3">
      <c r="B1212" s="46" t="s">
        <v>1161</v>
      </c>
      <c r="C1212" s="73">
        <f>C1111</f>
        <v>0</v>
      </c>
      <c r="D1212" s="62">
        <f>H1190</f>
        <v>1932.7</v>
      </c>
      <c r="E1212" s="17">
        <f>ROUND((C1212/D1212)/60,2)</f>
        <v>0</v>
      </c>
      <c r="F1212" s="17">
        <f>D1194</f>
        <v>10</v>
      </c>
      <c r="G1212" s="16">
        <f>ROUND(E1212*F1212,2)</f>
        <v>0</v>
      </c>
    </row>
    <row r="1213" spans="1:14" x14ac:dyDescent="0.3">
      <c r="B1213" s="27" t="s">
        <v>1093</v>
      </c>
      <c r="C1213" s="73">
        <f>C1112</f>
        <v>290000</v>
      </c>
      <c r="D1213" s="62">
        <f>H1191</f>
        <v>1506</v>
      </c>
      <c r="E1213" s="17">
        <f>ROUND((C1213/D1213)/60,2)</f>
        <v>3.21</v>
      </c>
      <c r="F1213" s="17">
        <f>D1195</f>
        <v>15</v>
      </c>
      <c r="G1213" s="16">
        <f>ROUND(E1213*F1213,2)</f>
        <v>48.15</v>
      </c>
      <c r="H1213" s="38"/>
    </row>
    <row r="1215" spans="1:14" x14ac:dyDescent="0.3">
      <c r="B1215" s="12" t="s">
        <v>948</v>
      </c>
      <c r="C1215" s="227"/>
      <c r="D1215" s="12"/>
      <c r="E1215" s="11">
        <f>G1228</f>
        <v>3.45</v>
      </c>
      <c r="F1215" s="12" t="s">
        <v>971</v>
      </c>
    </row>
    <row r="1216" spans="1:14" x14ac:dyDescent="0.3">
      <c r="B1216" s="22"/>
      <c r="C1216" s="36"/>
      <c r="D1216" s="22"/>
      <c r="E1216" s="23"/>
    </row>
    <row r="1217" spans="2:7" ht="27.6" x14ac:dyDescent="0.3">
      <c r="B1217" s="14" t="s">
        <v>948</v>
      </c>
      <c r="C1217" s="14" t="s">
        <v>1110</v>
      </c>
      <c r="D1217" s="14" t="s">
        <v>516</v>
      </c>
      <c r="E1217" s="14" t="s">
        <v>954</v>
      </c>
      <c r="F1217" s="14" t="s">
        <v>930</v>
      </c>
      <c r="G1217" s="14" t="s">
        <v>1111</v>
      </c>
    </row>
    <row r="1218" spans="2:7" x14ac:dyDescent="0.3">
      <c r="B1218" s="1009" t="str">
        <f>B1190</f>
        <v>Лікар-рентгенолог</v>
      </c>
      <c r="C1218" s="1010"/>
      <c r="D1218" s="1010"/>
      <c r="E1218" s="1010"/>
      <c r="F1218" s="1010"/>
      <c r="G1218" s="1011"/>
    </row>
    <row r="1219" spans="2:7" x14ac:dyDescent="0.3">
      <c r="B1219" s="17" t="s">
        <v>951</v>
      </c>
      <c r="C1219" s="221">
        <f>C1118</f>
        <v>12188.608008565312</v>
      </c>
      <c r="D1219" s="17">
        <f>H1190</f>
        <v>1932.7</v>
      </c>
      <c r="E1219" s="17">
        <f>ROUND((C1219/D1219)/60,2)</f>
        <v>0.11</v>
      </c>
      <c r="F1219" s="17">
        <f>D1194</f>
        <v>10</v>
      </c>
      <c r="G1219" s="16">
        <f>ROUND(E1219*F1219,2)</f>
        <v>1.1000000000000001</v>
      </c>
    </row>
    <row r="1220" spans="2:7" x14ac:dyDescent="0.3">
      <c r="B1220" s="17" t="s">
        <v>952</v>
      </c>
      <c r="C1220" s="221">
        <f>C1119</f>
        <v>53.149721627408987</v>
      </c>
      <c r="D1220" s="17">
        <f>H1190</f>
        <v>1932.7</v>
      </c>
      <c r="E1220" s="17">
        <f>ROUND((C1220/D1220)/60,2)</f>
        <v>0</v>
      </c>
      <c r="F1220" s="17">
        <f>D1194</f>
        <v>10</v>
      </c>
      <c r="G1220" s="16">
        <f>ROUND(E1220*F1220,2)</f>
        <v>0</v>
      </c>
    </row>
    <row r="1221" spans="2:7" x14ac:dyDescent="0.3">
      <c r="B1221" s="17" t="s">
        <v>953</v>
      </c>
      <c r="C1221" s="221">
        <f>C1120</f>
        <v>374.98368308351178</v>
      </c>
      <c r="D1221" s="17">
        <f>H1190</f>
        <v>1932.7</v>
      </c>
      <c r="E1221" s="17">
        <f>ROUND((C1221/D1221)/60,2)</f>
        <v>0</v>
      </c>
      <c r="F1221" s="17">
        <f>D1194</f>
        <v>10</v>
      </c>
      <c r="G1221" s="16">
        <f>ROUND(E1221*F1221,2)</f>
        <v>0</v>
      </c>
    </row>
    <row r="1222" spans="2:7" x14ac:dyDescent="0.3">
      <c r="B1222" s="17" t="s">
        <v>1109</v>
      </c>
      <c r="C1222" s="221">
        <f>C1121</f>
        <v>1686.0389293361886</v>
      </c>
      <c r="D1222" s="17">
        <f>H1190</f>
        <v>1932.7</v>
      </c>
      <c r="E1222" s="17">
        <f>ROUND((C1222/D1222)/60,2)</f>
        <v>0.01</v>
      </c>
      <c r="F1222" s="17">
        <f>D1194</f>
        <v>10</v>
      </c>
      <c r="G1222" s="16">
        <f>ROUND(E1222*F1222,2)</f>
        <v>0.1</v>
      </c>
    </row>
    <row r="1223" spans="2:7" x14ac:dyDescent="0.3">
      <c r="B1223" s="1009" t="str">
        <f>B1191</f>
        <v>Рентгенолаборант</v>
      </c>
      <c r="C1223" s="1010"/>
      <c r="D1223" s="1010"/>
      <c r="E1223" s="1010"/>
      <c r="F1223" s="1010"/>
      <c r="G1223" s="1011"/>
    </row>
    <row r="1224" spans="2:7" x14ac:dyDescent="0.3">
      <c r="B1224" s="17" t="s">
        <v>951</v>
      </c>
      <c r="C1224" s="221">
        <f>C1219</f>
        <v>12188.608008565312</v>
      </c>
      <c r="D1224" s="17">
        <f>H1191</f>
        <v>1506</v>
      </c>
      <c r="E1224" s="17">
        <f>ROUND((C1224/D1224)/60,2)</f>
        <v>0.13</v>
      </c>
      <c r="F1224" s="17">
        <f>D1195</f>
        <v>15</v>
      </c>
      <c r="G1224" s="16">
        <f>ROUND(E1224*F1224,2)</f>
        <v>1.95</v>
      </c>
    </row>
    <row r="1225" spans="2:7" x14ac:dyDescent="0.3">
      <c r="B1225" s="17" t="s">
        <v>952</v>
      </c>
      <c r="C1225" s="221">
        <f>C1220</f>
        <v>53.149721627408987</v>
      </c>
      <c r="D1225" s="17">
        <f>H1191</f>
        <v>1506</v>
      </c>
      <c r="E1225" s="17">
        <f>ROUND((C1225/D1225)/60,2)</f>
        <v>0</v>
      </c>
      <c r="F1225" s="17">
        <f>D1195</f>
        <v>15</v>
      </c>
      <c r="G1225" s="16">
        <f>ROUND(E1225*F1225,2)</f>
        <v>0</v>
      </c>
    </row>
    <row r="1226" spans="2:7" x14ac:dyDescent="0.3">
      <c r="B1226" s="17" t="s">
        <v>953</v>
      </c>
      <c r="C1226" s="221">
        <f>C1221</f>
        <v>374.98368308351178</v>
      </c>
      <c r="D1226" s="17">
        <f>H1191</f>
        <v>1506</v>
      </c>
      <c r="E1226" s="17">
        <f>ROUND((C1226/D1226)/60,2)</f>
        <v>0</v>
      </c>
      <c r="F1226" s="17">
        <f>D1195</f>
        <v>15</v>
      </c>
      <c r="G1226" s="16">
        <f>ROUND(E1226*F1226,2)</f>
        <v>0</v>
      </c>
    </row>
    <row r="1227" spans="2:7" x14ac:dyDescent="0.3">
      <c r="B1227" s="17" t="s">
        <v>1109</v>
      </c>
      <c r="C1227" s="221">
        <f>C1222</f>
        <v>1686.0389293361886</v>
      </c>
      <c r="D1227" s="17">
        <f>H1191</f>
        <v>1506</v>
      </c>
      <c r="E1227" s="17">
        <f>ROUND((C1227/D1227)/60,2)</f>
        <v>0.02</v>
      </c>
      <c r="F1227" s="17">
        <f>D1195</f>
        <v>15</v>
      </c>
      <c r="G1227" s="16">
        <f>ROUND(E1227*F1227,2)</f>
        <v>0.3</v>
      </c>
    </row>
    <row r="1228" spans="2:7" x14ac:dyDescent="0.3">
      <c r="B1228" s="1012" t="s">
        <v>957</v>
      </c>
      <c r="C1228" s="1013"/>
      <c r="D1228" s="1013"/>
      <c r="E1228" s="1013"/>
      <c r="F1228" s="1014"/>
      <c r="G1228" s="18">
        <f>SUM(G1219:G1227)</f>
        <v>3.45</v>
      </c>
    </row>
    <row r="1229" spans="2:7" ht="13.5" customHeight="1" x14ac:dyDescent="0.3"/>
    <row r="1231" spans="2:7" x14ac:dyDescent="0.3">
      <c r="B1231" s="1015" t="s">
        <v>959</v>
      </c>
      <c r="C1231" s="1015"/>
      <c r="D1231" s="1015"/>
      <c r="E1231" s="1015"/>
      <c r="F1231" s="1015"/>
      <c r="G1231" s="32">
        <f>E1187+E1199+E1209+E1215</f>
        <v>86.26</v>
      </c>
    </row>
    <row r="1232" spans="2:7" x14ac:dyDescent="0.3">
      <c r="B1232" s="33"/>
      <c r="C1232" s="33"/>
      <c r="D1232" s="33"/>
      <c r="E1232" s="33"/>
      <c r="F1232" s="33"/>
      <c r="G1232" s="34"/>
    </row>
    <row r="1233" spans="1:14" x14ac:dyDescent="0.3">
      <c r="B1233" s="1015" t="s">
        <v>960</v>
      </c>
      <c r="C1233" s="1015"/>
      <c r="D1233" s="1015"/>
      <c r="E1233" s="1015"/>
      <c r="F1233" s="1015"/>
      <c r="G1233" s="32">
        <f>ROUND(G1231,0)</f>
        <v>86</v>
      </c>
    </row>
    <row r="1234" spans="1:14" ht="18.75" customHeight="1" x14ac:dyDescent="0.3">
      <c r="A1234" s="111"/>
      <c r="B1234" s="111"/>
      <c r="D1234" s="111"/>
      <c r="E1234" s="111"/>
      <c r="F1234" s="111"/>
      <c r="G1234" s="111"/>
      <c r="H1234" s="111"/>
    </row>
    <row r="1235" spans="1:14" s="54" customFormat="1" ht="19.8" x14ac:dyDescent="0.4">
      <c r="A1235" s="1016" t="s">
        <v>958</v>
      </c>
      <c r="B1235" s="1016"/>
      <c r="C1235" s="1016"/>
      <c r="D1235" s="1016"/>
      <c r="E1235" s="1016"/>
      <c r="F1235" s="1016"/>
      <c r="G1235" s="1016"/>
      <c r="H1235" s="1016"/>
      <c r="I1235" s="1016"/>
      <c r="J1235" s="132"/>
      <c r="K1235" s="868"/>
      <c r="L1235" s="65"/>
      <c r="M1235" s="65"/>
      <c r="N1235" s="65"/>
    </row>
    <row r="1236" spans="1:14" s="54" customFormat="1" ht="19.8" x14ac:dyDescent="0.4">
      <c r="A1236" s="53"/>
      <c r="B1236" s="53"/>
      <c r="C1236" s="225"/>
      <c r="D1236" s="53"/>
      <c r="E1236" s="53"/>
      <c r="F1236" s="53"/>
      <c r="G1236" s="53"/>
      <c r="H1236" s="53"/>
      <c r="I1236" s="53"/>
      <c r="J1236" s="132"/>
      <c r="K1236" s="868"/>
      <c r="L1236" s="65"/>
      <c r="M1236" s="65"/>
      <c r="N1236" s="65"/>
    </row>
    <row r="1237" spans="1:14" s="54" customFormat="1" ht="19.8" x14ac:dyDescent="0.4">
      <c r="A1237" s="50" t="s">
        <v>249</v>
      </c>
      <c r="B1237" s="1032" t="s">
        <v>687</v>
      </c>
      <c r="C1237" s="1032"/>
      <c r="D1237" s="1032"/>
      <c r="E1237" s="52">
        <f>G1286</f>
        <v>87</v>
      </c>
      <c r="F1237" s="52" t="s">
        <v>971</v>
      </c>
      <c r="G1237" s="53"/>
      <c r="H1237" s="124"/>
      <c r="I1237" s="125" t="s">
        <v>1022</v>
      </c>
      <c r="J1237" s="132"/>
      <c r="K1237" s="868"/>
      <c r="L1237" s="65"/>
      <c r="M1237" s="65"/>
      <c r="N1237" s="65"/>
    </row>
    <row r="1239" spans="1:14" x14ac:dyDescent="0.3">
      <c r="B1239" s="1018" t="s">
        <v>932</v>
      </c>
      <c r="C1239" s="1018"/>
      <c r="D1239" s="10"/>
      <c r="E1239" s="11">
        <f>E1246+E1249+E1247</f>
        <v>31.78</v>
      </c>
      <c r="F1239" s="12" t="s">
        <v>971</v>
      </c>
    </row>
    <row r="1241" spans="1:14" ht="27.6" x14ac:dyDescent="0.3">
      <c r="B1241" s="13" t="s">
        <v>929</v>
      </c>
      <c r="C1241" s="14" t="s">
        <v>928</v>
      </c>
      <c r="D1241" s="14" t="s">
        <v>514</v>
      </c>
      <c r="E1241" s="14" t="s">
        <v>515</v>
      </c>
      <c r="F1241" s="14" t="s">
        <v>962</v>
      </c>
      <c r="G1241" s="14" t="s">
        <v>926</v>
      </c>
      <c r="H1241" s="14" t="s">
        <v>516</v>
      </c>
      <c r="I1241" s="14" t="s">
        <v>961</v>
      </c>
    </row>
    <row r="1242" spans="1:14" x14ac:dyDescent="0.3">
      <c r="B1242" s="16" t="str">
        <f t="shared" ref="B1242:F1243" si="42">B1190</f>
        <v>Лікар-рентгенолог</v>
      </c>
      <c r="C1242" s="16">
        <f t="shared" si="42"/>
        <v>8463.5400000000009</v>
      </c>
      <c r="D1242" s="16">
        <f t="shared" si="42"/>
        <v>101562.48000000001</v>
      </c>
      <c r="E1242" s="16">
        <f t="shared" si="42"/>
        <v>7052.95</v>
      </c>
      <c r="F1242" s="16">
        <f t="shared" si="42"/>
        <v>3526.4749999999999</v>
      </c>
      <c r="G1242" s="16">
        <f>D1242+E1242+F1242</f>
        <v>112141.90500000001</v>
      </c>
      <c r="H1242" s="17">
        <v>1932.7</v>
      </c>
      <c r="I1242" s="16">
        <f>ROUND((G1242/H1242)/60,2)</f>
        <v>0.97</v>
      </c>
    </row>
    <row r="1243" spans="1:14" x14ac:dyDescent="0.3">
      <c r="B1243" s="16" t="str">
        <f t="shared" si="42"/>
        <v>Рентгенолаборант</v>
      </c>
      <c r="C1243" s="16">
        <f t="shared" si="42"/>
        <v>7482.48</v>
      </c>
      <c r="D1243" s="16">
        <f t="shared" si="42"/>
        <v>89789.759999999995</v>
      </c>
      <c r="E1243" s="16">
        <f t="shared" si="42"/>
        <v>5755.75</v>
      </c>
      <c r="F1243" s="16">
        <f t="shared" si="42"/>
        <v>2877.875</v>
      </c>
      <c r="G1243" s="16">
        <f>D1243+E1243+F1243</f>
        <v>98423.384999999995</v>
      </c>
      <c r="H1243" s="62">
        <v>1506</v>
      </c>
      <c r="I1243" s="16">
        <f>ROUND((G1243/H1243)/60,2)</f>
        <v>1.0900000000000001</v>
      </c>
    </row>
    <row r="1245" spans="1:14" ht="27.6" x14ac:dyDescent="0.3">
      <c r="B1245" s="13" t="s">
        <v>929</v>
      </c>
      <c r="C1245" s="14" t="s">
        <v>961</v>
      </c>
      <c r="D1245" s="14" t="s">
        <v>930</v>
      </c>
      <c r="E1245" s="14" t="s">
        <v>931</v>
      </c>
    </row>
    <row r="1246" spans="1:14" x14ac:dyDescent="0.3">
      <c r="B1246" s="15" t="str">
        <f>B1242</f>
        <v>Лікар-рентгенолог</v>
      </c>
      <c r="C1246" s="78">
        <f>I1242</f>
        <v>0.97</v>
      </c>
      <c r="D1246" s="17">
        <v>10</v>
      </c>
      <c r="E1246" s="18">
        <f>ROUND(C1246*D1246,2)</f>
        <v>9.6999999999999993</v>
      </c>
    </row>
    <row r="1247" spans="1:14" x14ac:dyDescent="0.3">
      <c r="B1247" s="15" t="str">
        <f>B1243</f>
        <v>Рентгенолаборант</v>
      </c>
      <c r="C1247" s="78">
        <f>I1243</f>
        <v>1.0900000000000001</v>
      </c>
      <c r="D1247" s="17">
        <v>15</v>
      </c>
      <c r="E1247" s="18">
        <f>ROUND(C1247*D1247,2)</f>
        <v>16.350000000000001</v>
      </c>
    </row>
    <row r="1248" spans="1:14" x14ac:dyDescent="0.3">
      <c r="C1248" s="19"/>
    </row>
    <row r="1249" spans="1:14" x14ac:dyDescent="0.3">
      <c r="B1249" s="17" t="s">
        <v>933</v>
      </c>
      <c r="C1249" s="78">
        <f>E1246+E1247</f>
        <v>26.05</v>
      </c>
      <c r="D1249" s="20">
        <v>0.22</v>
      </c>
      <c r="E1249" s="21">
        <f>ROUND(C1249*D1249,2)</f>
        <v>5.73</v>
      </c>
    </row>
    <row r="1251" spans="1:14" x14ac:dyDescent="0.3">
      <c r="B1251" s="12" t="s">
        <v>946</v>
      </c>
      <c r="C1251" s="227"/>
      <c r="D1251" s="12"/>
      <c r="E1251" s="12">
        <f>F1260</f>
        <v>3.1799999999999997</v>
      </c>
      <c r="F1251" s="12" t="s">
        <v>971</v>
      </c>
    </row>
    <row r="1253" spans="1:14" x14ac:dyDescent="0.3">
      <c r="B1253" s="27" t="s">
        <v>936</v>
      </c>
      <c r="C1253" s="28" t="s">
        <v>937</v>
      </c>
      <c r="D1253" s="29">
        <v>1</v>
      </c>
      <c r="E1253" s="30">
        <f>'МЕДИЧНІ М'!F115</f>
        <v>0.3</v>
      </c>
      <c r="F1253" s="30">
        <f>ROUND(D1253*E1253,2)</f>
        <v>0.3</v>
      </c>
    </row>
    <row r="1254" spans="1:14" s="184" customFormat="1" x14ac:dyDescent="0.3">
      <c r="A1254" s="180"/>
      <c r="B1254" s="185" t="s">
        <v>1021</v>
      </c>
      <c r="C1254" s="186" t="s">
        <v>941</v>
      </c>
      <c r="D1254" s="164">
        <v>0.5</v>
      </c>
      <c r="E1254" s="164">
        <f>'МЕДИЧНІ М'!E181</f>
        <v>2</v>
      </c>
      <c r="F1254" s="164">
        <f t="shared" ref="F1254:F1259" si="43">ROUND(D1254*E1254,2)</f>
        <v>1</v>
      </c>
      <c r="G1254" s="180"/>
      <c r="H1254" s="180"/>
      <c r="I1254" s="180"/>
      <c r="J1254" s="187"/>
      <c r="K1254" s="866"/>
      <c r="L1254" s="861"/>
      <c r="M1254" s="861"/>
      <c r="N1254" s="861"/>
    </row>
    <row r="1255" spans="1:14" x14ac:dyDescent="0.3">
      <c r="B1255" s="15" t="s">
        <v>1216</v>
      </c>
      <c r="C1255" s="73" t="s">
        <v>941</v>
      </c>
      <c r="D1255" s="17">
        <v>0.1</v>
      </c>
      <c r="E1255" s="16">
        <f>'МЕДИЧНІ М'!E113</f>
        <v>8</v>
      </c>
      <c r="F1255" s="17">
        <f t="shared" si="43"/>
        <v>0.8</v>
      </c>
    </row>
    <row r="1256" spans="1:14" x14ac:dyDescent="0.3">
      <c r="B1256" s="15" t="s">
        <v>98</v>
      </c>
      <c r="C1256" s="73" t="s">
        <v>941</v>
      </c>
      <c r="D1256" s="17">
        <v>1</v>
      </c>
      <c r="E1256" s="16">
        <f>МАТЕРІАЛИ!E4</f>
        <v>0.3</v>
      </c>
      <c r="F1256" s="17">
        <f t="shared" si="43"/>
        <v>0.3</v>
      </c>
    </row>
    <row r="1257" spans="1:14" x14ac:dyDescent="0.3">
      <c r="B1257" s="15" t="s">
        <v>964</v>
      </c>
      <c r="C1257" s="73" t="s">
        <v>941</v>
      </c>
      <c r="D1257" s="17">
        <v>0.1</v>
      </c>
      <c r="E1257" s="16">
        <f>'МЕДИЧНІ М'!E119</f>
        <v>2.8</v>
      </c>
      <c r="F1257" s="17">
        <f t="shared" si="43"/>
        <v>0.28000000000000003</v>
      </c>
    </row>
    <row r="1258" spans="1:14" x14ac:dyDescent="0.3">
      <c r="B1258" s="27" t="s">
        <v>942</v>
      </c>
      <c r="C1258" s="28" t="s">
        <v>941</v>
      </c>
      <c r="D1258" s="29">
        <v>0.01</v>
      </c>
      <c r="E1258" s="29">
        <f>'МЕДИЧНІ М'!E120</f>
        <v>24.6</v>
      </c>
      <c r="F1258" s="30">
        <f t="shared" si="43"/>
        <v>0.25</v>
      </c>
    </row>
    <row r="1259" spans="1:14" x14ac:dyDescent="0.3">
      <c r="B1259" s="27" t="s">
        <v>1124</v>
      </c>
      <c r="C1259" s="28" t="s">
        <v>944</v>
      </c>
      <c r="D1259" s="29">
        <v>0.5</v>
      </c>
      <c r="E1259" s="29">
        <f>'МЕДИЧНІ М'!E114</f>
        <v>0.5</v>
      </c>
      <c r="F1259" s="30">
        <f t="shared" si="43"/>
        <v>0.25</v>
      </c>
    </row>
    <row r="1260" spans="1:14" x14ac:dyDescent="0.3">
      <c r="B1260" s="1019" t="s">
        <v>945</v>
      </c>
      <c r="C1260" s="1019"/>
      <c r="D1260" s="1019"/>
      <c r="E1260" s="1019"/>
      <c r="F1260" s="31">
        <f>SUM(F1253:F1259)</f>
        <v>3.1799999999999997</v>
      </c>
    </row>
    <row r="1262" spans="1:14" x14ac:dyDescent="0.3">
      <c r="B1262" s="12" t="s">
        <v>968</v>
      </c>
      <c r="C1262" s="227"/>
      <c r="D1262" s="12"/>
      <c r="E1262" s="11">
        <f>SUM(G1265:G1266)</f>
        <v>48.15</v>
      </c>
      <c r="F1262" s="12" t="s">
        <v>971</v>
      </c>
    </row>
    <row r="1263" spans="1:14" x14ac:dyDescent="0.3">
      <c r="B1263" s="22"/>
      <c r="C1263" s="36"/>
      <c r="D1263" s="22"/>
      <c r="E1263" s="23"/>
      <c r="F1263" s="22"/>
    </row>
    <row r="1264" spans="1:14" ht="27.6" x14ac:dyDescent="0.3">
      <c r="B1264" s="14" t="s">
        <v>513</v>
      </c>
      <c r="C1264" s="14" t="s">
        <v>969</v>
      </c>
      <c r="D1264" s="14" t="s">
        <v>516</v>
      </c>
      <c r="E1264" s="14" t="s">
        <v>970</v>
      </c>
      <c r="F1264" s="14" t="s">
        <v>930</v>
      </c>
      <c r="G1264" s="14" t="s">
        <v>961</v>
      </c>
    </row>
    <row r="1265" spans="2:14" x14ac:dyDescent="0.3">
      <c r="B1265" s="46" t="str">
        <f>B1212</f>
        <v>Автоматизоване робоче місце, ПК</v>
      </c>
      <c r="C1265" s="46">
        <f>C1212</f>
        <v>0</v>
      </c>
      <c r="D1265" s="62">
        <f>H1242</f>
        <v>1932.7</v>
      </c>
      <c r="E1265" s="17">
        <f>ROUND((C1265/D1265)/60,2)</f>
        <v>0</v>
      </c>
      <c r="F1265" s="17">
        <f>D1246</f>
        <v>10</v>
      </c>
      <c r="G1265" s="16">
        <f>ROUND(E1265*F1265,2)</f>
        <v>0</v>
      </c>
    </row>
    <row r="1266" spans="2:14" x14ac:dyDescent="0.3">
      <c r="B1266" s="46" t="str">
        <f>B1213</f>
        <v>Рентген</v>
      </c>
      <c r="C1266" s="46">
        <f>C1213</f>
        <v>290000</v>
      </c>
      <c r="D1266" s="62">
        <f>H1243</f>
        <v>1506</v>
      </c>
      <c r="E1266" s="17">
        <f>ROUND((C1266/D1266)/60,2)</f>
        <v>3.21</v>
      </c>
      <c r="F1266" s="17">
        <f>D1247</f>
        <v>15</v>
      </c>
      <c r="G1266" s="16">
        <f>ROUND(E1266*F1266,2)</f>
        <v>48.15</v>
      </c>
      <c r="H1266" s="38"/>
    </row>
    <row r="1268" spans="2:14" s="7" customFormat="1" ht="13.8" x14ac:dyDescent="0.25">
      <c r="B1268" s="12" t="s">
        <v>948</v>
      </c>
      <c r="C1268" s="227"/>
      <c r="D1268" s="12"/>
      <c r="E1268" s="11">
        <f>G1281</f>
        <v>3.45</v>
      </c>
      <c r="F1268" s="12" t="s">
        <v>971</v>
      </c>
      <c r="J1268" s="130"/>
      <c r="K1268" s="868"/>
      <c r="L1268" s="65"/>
      <c r="M1268" s="65"/>
      <c r="N1268" s="65"/>
    </row>
    <row r="1269" spans="2:14" s="7" customFormat="1" ht="13.8" x14ac:dyDescent="0.25">
      <c r="B1269" s="22"/>
      <c r="C1269" s="36"/>
      <c r="D1269" s="22"/>
      <c r="E1269" s="23"/>
      <c r="J1269" s="130"/>
      <c r="K1269" s="868"/>
      <c r="L1269" s="65"/>
      <c r="M1269" s="65"/>
      <c r="N1269" s="65"/>
    </row>
    <row r="1270" spans="2:14" s="7" customFormat="1" ht="27.6" x14ac:dyDescent="0.25">
      <c r="B1270" s="14" t="s">
        <v>948</v>
      </c>
      <c r="C1270" s="14" t="s">
        <v>1110</v>
      </c>
      <c r="D1270" s="14" t="s">
        <v>516</v>
      </c>
      <c r="E1270" s="14" t="s">
        <v>954</v>
      </c>
      <c r="F1270" s="14" t="s">
        <v>930</v>
      </c>
      <c r="G1270" s="14" t="s">
        <v>1111</v>
      </c>
      <c r="J1270" s="130"/>
      <c r="K1270" s="868"/>
      <c r="L1270" s="65"/>
      <c r="M1270" s="65"/>
      <c r="N1270" s="65"/>
    </row>
    <row r="1271" spans="2:14" s="7" customFormat="1" ht="13.8" x14ac:dyDescent="0.25">
      <c r="B1271" s="1009" t="str">
        <f>B1242</f>
        <v>Лікар-рентгенолог</v>
      </c>
      <c r="C1271" s="1010"/>
      <c r="D1271" s="1010"/>
      <c r="E1271" s="1010"/>
      <c r="F1271" s="1010"/>
      <c r="G1271" s="1011"/>
      <c r="J1271" s="130"/>
      <c r="K1271" s="868"/>
      <c r="L1271" s="65"/>
      <c r="M1271" s="65"/>
      <c r="N1271" s="65"/>
    </row>
    <row r="1272" spans="2:14" s="7" customFormat="1" ht="13.8" x14ac:dyDescent="0.25">
      <c r="B1272" s="17" t="s">
        <v>951</v>
      </c>
      <c r="C1272" s="221">
        <f>C1219</f>
        <v>12188.608008565312</v>
      </c>
      <c r="D1272" s="17">
        <f>H1242</f>
        <v>1932.7</v>
      </c>
      <c r="E1272" s="17">
        <f>ROUND((C1272/D1272)/60,2)</f>
        <v>0.11</v>
      </c>
      <c r="F1272" s="17">
        <f>D1246</f>
        <v>10</v>
      </c>
      <c r="G1272" s="16">
        <f>ROUND(E1272*F1272,2)</f>
        <v>1.1000000000000001</v>
      </c>
      <c r="J1272" s="130"/>
      <c r="K1272" s="868"/>
      <c r="L1272" s="65"/>
      <c r="M1272" s="65"/>
      <c r="N1272" s="65"/>
    </row>
    <row r="1273" spans="2:14" s="7" customFormat="1" ht="13.8" x14ac:dyDescent="0.25">
      <c r="B1273" s="17" t="s">
        <v>952</v>
      </c>
      <c r="C1273" s="221">
        <f>C1220</f>
        <v>53.149721627408987</v>
      </c>
      <c r="D1273" s="17">
        <f>H1242</f>
        <v>1932.7</v>
      </c>
      <c r="E1273" s="17">
        <f>ROUND((C1273/D1273)/60,2)</f>
        <v>0</v>
      </c>
      <c r="F1273" s="17">
        <f>D1246</f>
        <v>10</v>
      </c>
      <c r="G1273" s="16">
        <f>ROUND(E1273*F1273,2)</f>
        <v>0</v>
      </c>
      <c r="J1273" s="130"/>
      <c r="K1273" s="868"/>
      <c r="L1273" s="65"/>
      <c r="M1273" s="65"/>
      <c r="N1273" s="65"/>
    </row>
    <row r="1274" spans="2:14" s="7" customFormat="1" ht="13.8" x14ac:dyDescent="0.25">
      <c r="B1274" s="17" t="s">
        <v>953</v>
      </c>
      <c r="C1274" s="221">
        <f>C1221</f>
        <v>374.98368308351178</v>
      </c>
      <c r="D1274" s="17">
        <f>H1242</f>
        <v>1932.7</v>
      </c>
      <c r="E1274" s="17">
        <f>ROUND((C1274/D1274)/60,2)</f>
        <v>0</v>
      </c>
      <c r="F1274" s="17">
        <f>D1246</f>
        <v>10</v>
      </c>
      <c r="G1274" s="16">
        <f>ROUND(E1274*F1274,2)</f>
        <v>0</v>
      </c>
      <c r="J1274" s="130"/>
      <c r="K1274" s="868"/>
      <c r="L1274" s="65"/>
      <c r="M1274" s="65"/>
      <c r="N1274" s="65"/>
    </row>
    <row r="1275" spans="2:14" s="7" customFormat="1" ht="13.8" x14ac:dyDescent="0.25">
      <c r="B1275" s="17" t="s">
        <v>1109</v>
      </c>
      <c r="C1275" s="221">
        <f>C1222</f>
        <v>1686.0389293361886</v>
      </c>
      <c r="D1275" s="17">
        <f>H1242</f>
        <v>1932.7</v>
      </c>
      <c r="E1275" s="17">
        <f>ROUND((C1275/D1275)/60,2)</f>
        <v>0.01</v>
      </c>
      <c r="F1275" s="17">
        <f>D1246</f>
        <v>10</v>
      </c>
      <c r="G1275" s="16">
        <f>ROUND(E1275*F1275,2)</f>
        <v>0.1</v>
      </c>
      <c r="J1275" s="130"/>
      <c r="K1275" s="868"/>
      <c r="L1275" s="65"/>
      <c r="M1275" s="65"/>
      <c r="N1275" s="65"/>
    </row>
    <row r="1276" spans="2:14" s="7" customFormat="1" ht="13.8" x14ac:dyDescent="0.25">
      <c r="B1276" s="1009" t="str">
        <f>B1243</f>
        <v>Рентгенолаборант</v>
      </c>
      <c r="C1276" s="1010"/>
      <c r="D1276" s="1010"/>
      <c r="E1276" s="1010"/>
      <c r="F1276" s="1010"/>
      <c r="G1276" s="1011"/>
      <c r="J1276" s="130"/>
      <c r="K1276" s="868"/>
      <c r="L1276" s="65"/>
      <c r="M1276" s="65"/>
      <c r="N1276" s="65"/>
    </row>
    <row r="1277" spans="2:14" s="7" customFormat="1" ht="13.8" x14ac:dyDescent="0.25">
      <c r="B1277" s="17" t="s">
        <v>951</v>
      </c>
      <c r="C1277" s="221">
        <f>C1272</f>
        <v>12188.608008565312</v>
      </c>
      <c r="D1277" s="17">
        <f>H1243</f>
        <v>1506</v>
      </c>
      <c r="E1277" s="17">
        <f>ROUND((C1277/D1277)/60,2)</f>
        <v>0.13</v>
      </c>
      <c r="F1277" s="17">
        <f>D1247</f>
        <v>15</v>
      </c>
      <c r="G1277" s="16">
        <f>ROUND(E1277*F1277,2)</f>
        <v>1.95</v>
      </c>
      <c r="J1277" s="130"/>
      <c r="K1277" s="868"/>
      <c r="L1277" s="65"/>
      <c r="M1277" s="65"/>
      <c r="N1277" s="65"/>
    </row>
    <row r="1278" spans="2:14" s="7" customFormat="1" ht="13.8" x14ac:dyDescent="0.25">
      <c r="B1278" s="17" t="s">
        <v>952</v>
      </c>
      <c r="C1278" s="221">
        <f>C1273</f>
        <v>53.149721627408987</v>
      </c>
      <c r="D1278" s="17">
        <f>H1243</f>
        <v>1506</v>
      </c>
      <c r="E1278" s="17">
        <f>ROUND((C1278/D1278)/60,2)</f>
        <v>0</v>
      </c>
      <c r="F1278" s="17">
        <f>D1247</f>
        <v>15</v>
      </c>
      <c r="G1278" s="16">
        <f>ROUND(E1278*F1278,2)</f>
        <v>0</v>
      </c>
      <c r="J1278" s="130"/>
      <c r="K1278" s="868"/>
      <c r="L1278" s="65"/>
      <c r="M1278" s="65"/>
      <c r="N1278" s="65"/>
    </row>
    <row r="1279" spans="2:14" s="7" customFormat="1" ht="13.8" x14ac:dyDescent="0.25">
      <c r="B1279" s="17" t="s">
        <v>953</v>
      </c>
      <c r="C1279" s="221">
        <f>C1274</f>
        <v>374.98368308351178</v>
      </c>
      <c r="D1279" s="17">
        <f>H1243</f>
        <v>1506</v>
      </c>
      <c r="E1279" s="17">
        <f>ROUND((C1279/D1279)/60,2)</f>
        <v>0</v>
      </c>
      <c r="F1279" s="17">
        <f>D1247</f>
        <v>15</v>
      </c>
      <c r="G1279" s="16">
        <f>ROUND(E1279*F1279,2)</f>
        <v>0</v>
      </c>
      <c r="J1279" s="130"/>
      <c r="K1279" s="868"/>
      <c r="L1279" s="65"/>
      <c r="M1279" s="65"/>
      <c r="N1279" s="65"/>
    </row>
    <row r="1280" spans="2:14" s="7" customFormat="1" ht="13.8" x14ac:dyDescent="0.25">
      <c r="B1280" s="17" t="s">
        <v>1109</v>
      </c>
      <c r="C1280" s="221">
        <f>C1275</f>
        <v>1686.0389293361886</v>
      </c>
      <c r="D1280" s="17">
        <f>H1243</f>
        <v>1506</v>
      </c>
      <c r="E1280" s="17">
        <f>ROUND((C1280/D1280)/60,2)</f>
        <v>0.02</v>
      </c>
      <c r="F1280" s="17">
        <f>D1247</f>
        <v>15</v>
      </c>
      <c r="G1280" s="16">
        <f>ROUND(E1280*F1280,2)</f>
        <v>0.3</v>
      </c>
      <c r="J1280" s="130"/>
      <c r="K1280" s="868"/>
      <c r="L1280" s="65"/>
      <c r="M1280" s="65"/>
      <c r="N1280" s="65"/>
    </row>
    <row r="1281" spans="1:14" s="7" customFormat="1" ht="13.8" x14ac:dyDescent="0.25">
      <c r="B1281" s="1012" t="s">
        <v>957</v>
      </c>
      <c r="C1281" s="1013"/>
      <c r="D1281" s="1013"/>
      <c r="E1281" s="1013"/>
      <c r="F1281" s="1014"/>
      <c r="G1281" s="18">
        <f>SUM(G1272:G1280)</f>
        <v>3.45</v>
      </c>
      <c r="J1281" s="130"/>
      <c r="K1281" s="868"/>
      <c r="L1281" s="65"/>
      <c r="M1281" s="65"/>
      <c r="N1281" s="65"/>
    </row>
    <row r="1283" spans="1:14" s="7" customFormat="1" ht="0.75" customHeight="1" x14ac:dyDescent="0.25">
      <c r="C1283" s="74"/>
      <c r="J1283" s="130"/>
      <c r="K1283" s="868"/>
      <c r="L1283" s="65"/>
      <c r="M1283" s="65"/>
      <c r="N1283" s="65"/>
    </row>
    <row r="1284" spans="1:14" x14ac:dyDescent="0.3">
      <c r="B1284" s="1015" t="s">
        <v>959</v>
      </c>
      <c r="C1284" s="1015"/>
      <c r="D1284" s="1015"/>
      <c r="E1284" s="1015"/>
      <c r="F1284" s="1015"/>
      <c r="G1284" s="32">
        <f>E1239+E1251+E1262+E1268</f>
        <v>86.56</v>
      </c>
    </row>
    <row r="1285" spans="1:14" x14ac:dyDescent="0.3">
      <c r="B1285" s="33"/>
      <c r="C1285" s="33"/>
      <c r="D1285" s="33"/>
      <c r="E1285" s="33"/>
      <c r="F1285" s="33"/>
      <c r="G1285" s="34"/>
    </row>
    <row r="1286" spans="1:14" s="54" customFormat="1" ht="19.8" x14ac:dyDescent="0.4">
      <c r="A1286" s="53"/>
      <c r="B1286" s="1051" t="s">
        <v>960</v>
      </c>
      <c r="C1286" s="1051"/>
      <c r="D1286" s="1051"/>
      <c r="E1286" s="1051"/>
      <c r="F1286" s="1051"/>
      <c r="G1286" s="32">
        <f>ROUND(G1284,0)</f>
        <v>87</v>
      </c>
      <c r="H1286" s="53"/>
      <c r="I1286" s="53"/>
      <c r="J1286" s="132"/>
      <c r="K1286" s="868"/>
      <c r="L1286" s="65"/>
      <c r="M1286" s="65"/>
      <c r="N1286" s="65"/>
    </row>
    <row r="1287" spans="1:14" s="54" customFormat="1" ht="19.8" x14ac:dyDescent="0.4">
      <c r="A1287" s="53"/>
      <c r="B1287" s="149"/>
      <c r="C1287" s="149"/>
      <c r="D1287" s="149"/>
      <c r="E1287" s="149"/>
      <c r="F1287" s="149"/>
      <c r="G1287" s="152"/>
      <c r="H1287" s="53"/>
      <c r="I1287" s="53"/>
      <c r="J1287" s="132"/>
      <c r="K1287" s="868"/>
      <c r="L1287" s="65"/>
      <c r="M1287" s="65"/>
      <c r="N1287" s="65"/>
    </row>
    <row r="1288" spans="1:14" s="54" customFormat="1" ht="18.75" customHeight="1" x14ac:dyDescent="0.4">
      <c r="A1288" s="50" t="s">
        <v>267</v>
      </c>
      <c r="B1288" s="1032" t="s">
        <v>687</v>
      </c>
      <c r="C1288" s="1032"/>
      <c r="D1288" s="1032"/>
      <c r="E1288" s="52">
        <f>G1337</f>
        <v>114</v>
      </c>
      <c r="F1288" s="52" t="s">
        <v>971</v>
      </c>
      <c r="G1288" s="53"/>
      <c r="H1288" s="124"/>
      <c r="I1288" s="125" t="s">
        <v>1023</v>
      </c>
      <c r="J1288" s="132"/>
      <c r="K1288" s="868"/>
      <c r="L1288" s="65"/>
      <c r="M1288" s="65"/>
      <c r="N1288" s="65"/>
    </row>
    <row r="1289" spans="1:14" ht="18.600000000000001" x14ac:dyDescent="0.3">
      <c r="I1289" s="125" t="s">
        <v>263</v>
      </c>
    </row>
    <row r="1290" spans="1:14" x14ac:dyDescent="0.3">
      <c r="B1290" s="1018" t="s">
        <v>932</v>
      </c>
      <c r="C1290" s="1018"/>
      <c r="D1290" s="10"/>
      <c r="E1290" s="11">
        <f>E1297+E1300+E1298</f>
        <v>31.78</v>
      </c>
      <c r="F1290" s="12" t="s">
        <v>971</v>
      </c>
    </row>
    <row r="1292" spans="1:14" ht="27.6" x14ac:dyDescent="0.3">
      <c r="B1292" s="13" t="s">
        <v>929</v>
      </c>
      <c r="C1292" s="14" t="s">
        <v>928</v>
      </c>
      <c r="D1292" s="14" t="s">
        <v>514</v>
      </c>
      <c r="E1292" s="14" t="s">
        <v>515</v>
      </c>
      <c r="F1292" s="14" t="s">
        <v>962</v>
      </c>
      <c r="G1292" s="14" t="s">
        <v>926</v>
      </c>
      <c r="H1292" s="14" t="s">
        <v>516</v>
      </c>
      <c r="I1292" s="14" t="s">
        <v>961</v>
      </c>
    </row>
    <row r="1293" spans="1:14" x14ac:dyDescent="0.3">
      <c r="B1293" s="16" t="str">
        <f>B1242</f>
        <v>Лікар-рентгенолог</v>
      </c>
      <c r="C1293" s="78">
        <f>C1242</f>
        <v>8463.5400000000009</v>
      </c>
      <c r="D1293" s="16">
        <f>C1293*12</f>
        <v>101562.48000000001</v>
      </c>
      <c r="E1293" s="16">
        <f>E1242</f>
        <v>7052.95</v>
      </c>
      <c r="F1293" s="16">
        <f>F1242</f>
        <v>3526.4749999999999</v>
      </c>
      <c r="G1293" s="16">
        <f>D1293+E1293+F1293</f>
        <v>112141.90500000001</v>
      </c>
      <c r="H1293" s="17">
        <v>1932.7</v>
      </c>
      <c r="I1293" s="16">
        <f>ROUND((G1293/H1293)/60,2)</f>
        <v>0.97</v>
      </c>
    </row>
    <row r="1294" spans="1:14" x14ac:dyDescent="0.3">
      <c r="B1294" s="16" t="str">
        <f>B1243</f>
        <v>Рентгенолаборант</v>
      </c>
      <c r="C1294" s="78">
        <f>C1243</f>
        <v>7482.48</v>
      </c>
      <c r="D1294" s="24">
        <f>C1294*12</f>
        <v>89789.759999999995</v>
      </c>
      <c r="E1294" s="16">
        <f>E1243</f>
        <v>5755.75</v>
      </c>
      <c r="F1294" s="16">
        <f>F1243</f>
        <v>2877.875</v>
      </c>
      <c r="G1294" s="16">
        <f>D1294+E1294+F1294</f>
        <v>98423.384999999995</v>
      </c>
      <c r="H1294" s="62">
        <v>1506</v>
      </c>
      <c r="I1294" s="16">
        <f>ROUND((G1294/H1294)/60,2)</f>
        <v>1.0900000000000001</v>
      </c>
    </row>
    <row r="1296" spans="1:14" ht="27.6" x14ac:dyDescent="0.3">
      <c r="B1296" s="13" t="s">
        <v>929</v>
      </c>
      <c r="C1296" s="14" t="s">
        <v>961</v>
      </c>
      <c r="D1296" s="14" t="s">
        <v>930</v>
      </c>
      <c r="E1296" s="14" t="s">
        <v>931</v>
      </c>
    </row>
    <row r="1297" spans="1:14" x14ac:dyDescent="0.3">
      <c r="B1297" s="15" t="str">
        <f>B1293</f>
        <v>Лікар-рентгенолог</v>
      </c>
      <c r="C1297" s="78">
        <f>I1293</f>
        <v>0.97</v>
      </c>
      <c r="D1297" s="17">
        <v>10</v>
      </c>
      <c r="E1297" s="18">
        <f>ROUND(C1297*D1297,2)</f>
        <v>9.6999999999999993</v>
      </c>
    </row>
    <row r="1298" spans="1:14" x14ac:dyDescent="0.3">
      <c r="B1298" s="15" t="str">
        <f>B1294</f>
        <v>Рентгенолаборант</v>
      </c>
      <c r="C1298" s="78">
        <f>I1294</f>
        <v>1.0900000000000001</v>
      </c>
      <c r="D1298" s="17">
        <v>15</v>
      </c>
      <c r="E1298" s="18">
        <f>ROUND(C1298*D1298,2)</f>
        <v>16.350000000000001</v>
      </c>
    </row>
    <row r="1299" spans="1:14" x14ac:dyDescent="0.3">
      <c r="C1299" s="19"/>
    </row>
    <row r="1300" spans="1:14" x14ac:dyDescent="0.3">
      <c r="B1300" s="17" t="s">
        <v>933</v>
      </c>
      <c r="C1300" s="78">
        <f>E1297+E1298</f>
        <v>26.05</v>
      </c>
      <c r="D1300" s="20">
        <v>0.22</v>
      </c>
      <c r="E1300" s="21">
        <f>ROUND(C1300*D1300,2)</f>
        <v>5.73</v>
      </c>
    </row>
    <row r="1302" spans="1:14" x14ac:dyDescent="0.3">
      <c r="B1302" s="12" t="s">
        <v>946</v>
      </c>
      <c r="C1302" s="227"/>
      <c r="D1302" s="12"/>
      <c r="E1302" s="11">
        <f>F1311</f>
        <v>31.1</v>
      </c>
      <c r="F1302" s="12" t="s">
        <v>971</v>
      </c>
    </row>
    <row r="1304" spans="1:14" x14ac:dyDescent="0.3">
      <c r="B1304" s="27" t="s">
        <v>936</v>
      </c>
      <c r="C1304" s="28" t="s">
        <v>937</v>
      </c>
      <c r="D1304" s="29">
        <v>1</v>
      </c>
      <c r="E1304" s="30">
        <f>'МЕДИЧНІ М'!F115</f>
        <v>0.3</v>
      </c>
      <c r="F1304" s="30">
        <f>ROUND(D1304*E1304,2)</f>
        <v>0.3</v>
      </c>
    </row>
    <row r="1305" spans="1:14" s="184" customFormat="1" x14ac:dyDescent="0.3">
      <c r="A1305" s="180"/>
      <c r="B1305" s="185" t="s">
        <v>1021</v>
      </c>
      <c r="C1305" s="186" t="s">
        <v>941</v>
      </c>
      <c r="D1305" s="164">
        <v>0.5</v>
      </c>
      <c r="E1305" s="164">
        <f>'МЕДИЧНІ М'!E181</f>
        <v>2</v>
      </c>
      <c r="F1305" s="164">
        <f t="shared" ref="F1305:F1310" si="44">ROUND(D1305*E1305,2)</f>
        <v>1</v>
      </c>
      <c r="G1305" s="180"/>
      <c r="H1305" s="180"/>
      <c r="I1305" s="180"/>
      <c r="J1305" s="187"/>
      <c r="K1305" s="866"/>
      <c r="L1305" s="861"/>
      <c r="M1305" s="861"/>
      <c r="N1305" s="861"/>
    </row>
    <row r="1306" spans="1:14" x14ac:dyDescent="0.3">
      <c r="B1306" s="15" t="s">
        <v>1216</v>
      </c>
      <c r="C1306" s="73" t="s">
        <v>941</v>
      </c>
      <c r="D1306" s="17">
        <v>0.1</v>
      </c>
      <c r="E1306" s="16">
        <f>'МЕДИЧНІ М'!E113</f>
        <v>8</v>
      </c>
      <c r="F1306" s="17">
        <f t="shared" si="44"/>
        <v>0.8</v>
      </c>
    </row>
    <row r="1307" spans="1:14" x14ac:dyDescent="0.3">
      <c r="B1307" s="15" t="str">
        <f>'МЕДИЧНІ М'!B326</f>
        <v>Суха медична плівка 20*25*100</v>
      </c>
      <c r="C1307" s="73" t="s">
        <v>941</v>
      </c>
      <c r="D1307" s="17">
        <v>1</v>
      </c>
      <c r="E1307" s="16">
        <f>'МЕДИЧНІ М'!F326</f>
        <v>28.224299999999999</v>
      </c>
      <c r="F1307" s="17">
        <f t="shared" si="44"/>
        <v>28.22</v>
      </c>
    </row>
    <row r="1308" spans="1:14" x14ac:dyDescent="0.3">
      <c r="B1308" s="15" t="s">
        <v>964</v>
      </c>
      <c r="C1308" s="73" t="s">
        <v>941</v>
      </c>
      <c r="D1308" s="17">
        <v>0.1</v>
      </c>
      <c r="E1308" s="16">
        <f>'МЕДИЧНІ М'!E119</f>
        <v>2.8</v>
      </c>
      <c r="F1308" s="17">
        <f t="shared" si="44"/>
        <v>0.28000000000000003</v>
      </c>
    </row>
    <row r="1309" spans="1:14" x14ac:dyDescent="0.3">
      <c r="B1309" s="27" t="s">
        <v>942</v>
      </c>
      <c r="C1309" s="28" t="s">
        <v>941</v>
      </c>
      <c r="D1309" s="29">
        <v>0.01</v>
      </c>
      <c r="E1309" s="29">
        <f>'МЕДИЧНІ М'!E120</f>
        <v>24.6</v>
      </c>
      <c r="F1309" s="30">
        <f t="shared" si="44"/>
        <v>0.25</v>
      </c>
    </row>
    <row r="1310" spans="1:14" x14ac:dyDescent="0.3">
      <c r="B1310" s="27" t="s">
        <v>1124</v>
      </c>
      <c r="C1310" s="28" t="s">
        <v>944</v>
      </c>
      <c r="D1310" s="29">
        <v>0.5</v>
      </c>
      <c r="E1310" s="29">
        <f>'МЕДИЧНІ М'!E114</f>
        <v>0.5</v>
      </c>
      <c r="F1310" s="30">
        <f t="shared" si="44"/>
        <v>0.25</v>
      </c>
    </row>
    <row r="1311" spans="1:14" x14ac:dyDescent="0.3">
      <c r="B1311" s="1019" t="s">
        <v>945</v>
      </c>
      <c r="C1311" s="1019"/>
      <c r="D1311" s="1019"/>
      <c r="E1311" s="1019"/>
      <c r="F1311" s="89">
        <f>SUM(F1304:F1310)</f>
        <v>31.1</v>
      </c>
    </row>
    <row r="1312" spans="1:14" ht="6" customHeight="1" x14ac:dyDescent="0.3"/>
    <row r="1313" spans="2:14" x14ac:dyDescent="0.3">
      <c r="B1313" s="12" t="s">
        <v>968</v>
      </c>
      <c r="C1313" s="227"/>
      <c r="D1313" s="12"/>
      <c r="E1313" s="11">
        <f>SUM(G1316:G1317)</f>
        <v>48.15</v>
      </c>
      <c r="F1313" s="12" t="s">
        <v>971</v>
      </c>
    </row>
    <row r="1314" spans="2:14" s="7" customFormat="1" ht="9.75" customHeight="1" x14ac:dyDescent="0.25">
      <c r="B1314" s="22"/>
      <c r="C1314" s="36"/>
      <c r="D1314" s="22"/>
      <c r="E1314" s="23"/>
      <c r="F1314" s="22"/>
      <c r="J1314" s="130"/>
      <c r="K1314" s="868"/>
      <c r="L1314" s="65"/>
      <c r="M1314" s="65"/>
      <c r="N1314" s="65"/>
    </row>
    <row r="1315" spans="2:14" s="7" customFormat="1" ht="27.6" x14ac:dyDescent="0.25">
      <c r="B1315" s="14" t="s">
        <v>513</v>
      </c>
      <c r="C1315" s="14" t="s">
        <v>1108</v>
      </c>
      <c r="D1315" s="14" t="s">
        <v>516</v>
      </c>
      <c r="E1315" s="14" t="s">
        <v>970</v>
      </c>
      <c r="F1315" s="14" t="s">
        <v>930</v>
      </c>
      <c r="G1315" s="14" t="s">
        <v>961</v>
      </c>
      <c r="J1315" s="130"/>
      <c r="K1315" s="868"/>
      <c r="L1315" s="65"/>
      <c r="M1315" s="65"/>
      <c r="N1315" s="65"/>
    </row>
    <row r="1316" spans="2:14" s="7" customFormat="1" ht="13.8" x14ac:dyDescent="0.25">
      <c r="B1316" s="46" t="s">
        <v>1161</v>
      </c>
      <c r="C1316" s="78">
        <f>C1265</f>
        <v>0</v>
      </c>
      <c r="D1316" s="62">
        <f>H1293</f>
        <v>1932.7</v>
      </c>
      <c r="E1316" s="17">
        <f>ROUND((C1316/D1316)/60,2)</f>
        <v>0</v>
      </c>
      <c r="F1316" s="17">
        <f>D1297</f>
        <v>10</v>
      </c>
      <c r="G1316" s="16">
        <f>ROUND(E1316*F1316,2)</f>
        <v>0</v>
      </c>
      <c r="J1316" s="130"/>
      <c r="K1316" s="868"/>
      <c r="L1316" s="65"/>
      <c r="M1316" s="65"/>
      <c r="N1316" s="65"/>
    </row>
    <row r="1317" spans="2:14" s="7" customFormat="1" ht="13.8" x14ac:dyDescent="0.25">
      <c r="B1317" s="27" t="s">
        <v>1093</v>
      </c>
      <c r="C1317" s="78">
        <f>C1266</f>
        <v>290000</v>
      </c>
      <c r="D1317" s="62">
        <f>H1294</f>
        <v>1506</v>
      </c>
      <c r="E1317" s="17">
        <f>ROUND((C1317/D1317)/60,2)</f>
        <v>3.21</v>
      </c>
      <c r="F1317" s="17">
        <f>D1298</f>
        <v>15</v>
      </c>
      <c r="G1317" s="16">
        <f>ROUND(E1317*F1317,2)</f>
        <v>48.15</v>
      </c>
      <c r="H1317" s="38"/>
      <c r="J1317" s="130"/>
      <c r="K1317" s="868"/>
      <c r="L1317" s="65"/>
      <c r="M1317" s="65"/>
      <c r="N1317" s="65"/>
    </row>
    <row r="1318" spans="2:14" s="7" customFormat="1" ht="6.75" customHeight="1" x14ac:dyDescent="0.25">
      <c r="C1318" s="74"/>
      <c r="J1318" s="130"/>
      <c r="K1318" s="868"/>
      <c r="L1318" s="65"/>
      <c r="M1318" s="65"/>
      <c r="N1318" s="65"/>
    </row>
    <row r="1319" spans="2:14" s="7" customFormat="1" ht="13.8" x14ac:dyDescent="0.25">
      <c r="B1319" s="12" t="s">
        <v>948</v>
      </c>
      <c r="C1319" s="227"/>
      <c r="D1319" s="12"/>
      <c r="E1319" s="11">
        <f>G1332</f>
        <v>3.45</v>
      </c>
      <c r="F1319" s="12" t="s">
        <v>971</v>
      </c>
      <c r="J1319" s="130"/>
      <c r="K1319" s="868"/>
      <c r="L1319" s="65"/>
      <c r="M1319" s="65"/>
      <c r="N1319" s="65"/>
    </row>
    <row r="1320" spans="2:14" s="7" customFormat="1" ht="13.8" x14ac:dyDescent="0.25">
      <c r="B1320" s="22"/>
      <c r="C1320" s="36"/>
      <c r="D1320" s="22"/>
      <c r="E1320" s="23"/>
      <c r="J1320" s="130"/>
      <c r="K1320" s="868"/>
      <c r="L1320" s="65"/>
      <c r="M1320" s="65"/>
      <c r="N1320" s="65"/>
    </row>
    <row r="1321" spans="2:14" s="7" customFormat="1" ht="27.6" x14ac:dyDescent="0.25">
      <c r="B1321" s="14" t="s">
        <v>948</v>
      </c>
      <c r="C1321" s="14" t="s">
        <v>1110</v>
      </c>
      <c r="D1321" s="14" t="s">
        <v>516</v>
      </c>
      <c r="E1321" s="14" t="s">
        <v>954</v>
      </c>
      <c r="F1321" s="14" t="s">
        <v>930</v>
      </c>
      <c r="G1321" s="14" t="s">
        <v>1111</v>
      </c>
      <c r="J1321" s="130"/>
      <c r="K1321" s="868"/>
      <c r="L1321" s="65"/>
      <c r="M1321" s="65"/>
      <c r="N1321" s="65"/>
    </row>
    <row r="1322" spans="2:14" s="7" customFormat="1" ht="13.8" x14ac:dyDescent="0.25">
      <c r="B1322" s="1009" t="str">
        <f>B1293</f>
        <v>Лікар-рентгенолог</v>
      </c>
      <c r="C1322" s="1010"/>
      <c r="D1322" s="1010"/>
      <c r="E1322" s="1010"/>
      <c r="F1322" s="1010"/>
      <c r="G1322" s="1011"/>
      <c r="J1322" s="130"/>
      <c r="K1322" s="868"/>
      <c r="L1322" s="65"/>
      <c r="M1322" s="65"/>
      <c r="N1322" s="65"/>
    </row>
    <row r="1323" spans="2:14" s="7" customFormat="1" ht="13.8" x14ac:dyDescent="0.25">
      <c r="B1323" s="17" t="s">
        <v>951</v>
      </c>
      <c r="C1323" s="221">
        <f>C1272</f>
        <v>12188.608008565312</v>
      </c>
      <c r="D1323" s="17">
        <f>H1293</f>
        <v>1932.7</v>
      </c>
      <c r="E1323" s="17">
        <f>ROUND((C1323/D1323)/60,2)</f>
        <v>0.11</v>
      </c>
      <c r="F1323" s="17">
        <f>D1297</f>
        <v>10</v>
      </c>
      <c r="G1323" s="16">
        <f>ROUND(E1323*F1323,2)</f>
        <v>1.1000000000000001</v>
      </c>
      <c r="J1323" s="130"/>
      <c r="K1323" s="868"/>
      <c r="L1323" s="65"/>
      <c r="M1323" s="65"/>
      <c r="N1323" s="65"/>
    </row>
    <row r="1324" spans="2:14" s="7" customFormat="1" ht="13.8" x14ac:dyDescent="0.25">
      <c r="B1324" s="17" t="s">
        <v>952</v>
      </c>
      <c r="C1324" s="221">
        <f>C1273</f>
        <v>53.149721627408987</v>
      </c>
      <c r="D1324" s="17">
        <f>H1293</f>
        <v>1932.7</v>
      </c>
      <c r="E1324" s="17">
        <f>ROUND((C1324/D1324)/60,2)</f>
        <v>0</v>
      </c>
      <c r="F1324" s="17">
        <f>D1297</f>
        <v>10</v>
      </c>
      <c r="G1324" s="16">
        <f>ROUND(E1324*F1324,2)</f>
        <v>0</v>
      </c>
      <c r="J1324" s="130"/>
      <c r="K1324" s="868"/>
      <c r="L1324" s="65"/>
      <c r="M1324" s="65"/>
      <c r="N1324" s="65"/>
    </row>
    <row r="1325" spans="2:14" s="7" customFormat="1" ht="13.8" x14ac:dyDescent="0.25">
      <c r="B1325" s="17" t="s">
        <v>953</v>
      </c>
      <c r="C1325" s="221">
        <f>C1274</f>
        <v>374.98368308351178</v>
      </c>
      <c r="D1325" s="17">
        <f>H1293</f>
        <v>1932.7</v>
      </c>
      <c r="E1325" s="17">
        <f>ROUND((C1325/D1325)/60,2)</f>
        <v>0</v>
      </c>
      <c r="F1325" s="17">
        <f>D1297</f>
        <v>10</v>
      </c>
      <c r="G1325" s="16">
        <f>ROUND(E1325*F1325,2)</f>
        <v>0</v>
      </c>
      <c r="J1325" s="130"/>
      <c r="K1325" s="868"/>
      <c r="L1325" s="65"/>
      <c r="M1325" s="65"/>
      <c r="N1325" s="65"/>
    </row>
    <row r="1326" spans="2:14" s="7" customFormat="1" ht="13.8" x14ac:dyDescent="0.25">
      <c r="B1326" s="17" t="s">
        <v>1109</v>
      </c>
      <c r="C1326" s="221">
        <f>C1275</f>
        <v>1686.0389293361886</v>
      </c>
      <c r="D1326" s="17">
        <f>H1293</f>
        <v>1932.7</v>
      </c>
      <c r="E1326" s="17">
        <f>ROUND((C1326/D1326)/60,2)</f>
        <v>0.01</v>
      </c>
      <c r="F1326" s="17">
        <f>D1297</f>
        <v>10</v>
      </c>
      <c r="G1326" s="16">
        <f>ROUND(E1326*F1326,2)</f>
        <v>0.1</v>
      </c>
      <c r="J1326" s="130"/>
      <c r="K1326" s="868"/>
      <c r="L1326" s="65"/>
      <c r="M1326" s="65"/>
      <c r="N1326" s="65"/>
    </row>
    <row r="1327" spans="2:14" s="7" customFormat="1" ht="13.8" x14ac:dyDescent="0.25">
      <c r="B1327" s="1009" t="str">
        <f>B1294</f>
        <v>Рентгенолаборант</v>
      </c>
      <c r="C1327" s="1010"/>
      <c r="D1327" s="1010"/>
      <c r="E1327" s="1010"/>
      <c r="F1327" s="1010"/>
      <c r="G1327" s="1011"/>
      <c r="J1327" s="130"/>
      <c r="K1327" s="868"/>
      <c r="L1327" s="65"/>
      <c r="M1327" s="65"/>
      <c r="N1327" s="65"/>
    </row>
    <row r="1328" spans="2:14" s="7" customFormat="1" ht="13.8" x14ac:dyDescent="0.25">
      <c r="B1328" s="17" t="s">
        <v>951</v>
      </c>
      <c r="C1328" s="221">
        <f>C1323</f>
        <v>12188.608008565312</v>
      </c>
      <c r="D1328" s="17">
        <f>H1294</f>
        <v>1506</v>
      </c>
      <c r="E1328" s="17">
        <f>ROUND((C1328/D1328)/60,2)</f>
        <v>0.13</v>
      </c>
      <c r="F1328" s="17">
        <f>D1298</f>
        <v>15</v>
      </c>
      <c r="G1328" s="16">
        <f>ROUND(E1328*F1328,2)</f>
        <v>1.95</v>
      </c>
      <c r="J1328" s="130"/>
      <c r="K1328" s="868"/>
      <c r="L1328" s="65"/>
      <c r="M1328" s="65"/>
      <c r="N1328" s="65"/>
    </row>
    <row r="1329" spans="1:14" s="7" customFormat="1" ht="13.8" x14ac:dyDescent="0.25">
      <c r="B1329" s="17" t="s">
        <v>952</v>
      </c>
      <c r="C1329" s="221">
        <f>C1324</f>
        <v>53.149721627408987</v>
      </c>
      <c r="D1329" s="17">
        <f>H1294</f>
        <v>1506</v>
      </c>
      <c r="E1329" s="17">
        <f>ROUND((C1329/D1329)/60,2)</f>
        <v>0</v>
      </c>
      <c r="F1329" s="17">
        <f>D1298</f>
        <v>15</v>
      </c>
      <c r="G1329" s="16">
        <f>ROUND(E1329*F1329,2)</f>
        <v>0</v>
      </c>
      <c r="J1329" s="130"/>
      <c r="K1329" s="868"/>
      <c r="L1329" s="65"/>
      <c r="M1329" s="65"/>
      <c r="N1329" s="65"/>
    </row>
    <row r="1330" spans="1:14" x14ac:dyDescent="0.3">
      <c r="B1330" s="17" t="s">
        <v>953</v>
      </c>
      <c r="C1330" s="221">
        <f>C1325</f>
        <v>374.98368308351178</v>
      </c>
      <c r="D1330" s="17">
        <f>H1294</f>
        <v>1506</v>
      </c>
      <c r="E1330" s="17">
        <f>ROUND((C1330/D1330)/60,2)</f>
        <v>0</v>
      </c>
      <c r="F1330" s="17">
        <f>D1298</f>
        <v>15</v>
      </c>
      <c r="G1330" s="16">
        <f>ROUND(E1330*F1330,2)</f>
        <v>0</v>
      </c>
    </row>
    <row r="1331" spans="1:14" x14ac:dyDescent="0.3">
      <c r="B1331" s="17" t="s">
        <v>1109</v>
      </c>
      <c r="C1331" s="221">
        <f>C1326</f>
        <v>1686.0389293361886</v>
      </c>
      <c r="D1331" s="17">
        <f>H1294</f>
        <v>1506</v>
      </c>
      <c r="E1331" s="17">
        <f>ROUND((C1331/D1331)/60,2)</f>
        <v>0.02</v>
      </c>
      <c r="F1331" s="17">
        <f>D1298</f>
        <v>15</v>
      </c>
      <c r="G1331" s="16">
        <f>ROUND(E1331*F1331,2)</f>
        <v>0.3</v>
      </c>
    </row>
    <row r="1332" spans="1:14" x14ac:dyDescent="0.3">
      <c r="B1332" s="1012" t="s">
        <v>957</v>
      </c>
      <c r="C1332" s="1013"/>
      <c r="D1332" s="1013"/>
      <c r="E1332" s="1013"/>
      <c r="F1332" s="1014"/>
      <c r="G1332" s="18">
        <f>SUM(G1323:G1331)</f>
        <v>3.45</v>
      </c>
    </row>
    <row r="1335" spans="1:14" x14ac:dyDescent="0.3">
      <c r="B1335" s="1015" t="s">
        <v>959</v>
      </c>
      <c r="C1335" s="1015"/>
      <c r="D1335" s="1015"/>
      <c r="E1335" s="1015"/>
      <c r="F1335" s="1015"/>
      <c r="G1335" s="32">
        <f>E1290+E1302+E1313+E1319</f>
        <v>114.48</v>
      </c>
    </row>
    <row r="1336" spans="1:14" ht="11.25" customHeight="1" x14ac:dyDescent="0.3">
      <c r="B1336" s="33"/>
      <c r="C1336" s="33"/>
      <c r="D1336" s="33"/>
      <c r="E1336" s="33"/>
      <c r="F1336" s="33"/>
      <c r="G1336" s="34"/>
    </row>
    <row r="1337" spans="1:14" s="54" customFormat="1" ht="19.8" x14ac:dyDescent="0.4">
      <c r="A1337" s="53"/>
      <c r="B1337" s="1051" t="s">
        <v>960</v>
      </c>
      <c r="C1337" s="1051"/>
      <c r="D1337" s="1051"/>
      <c r="E1337" s="1051"/>
      <c r="F1337" s="1051"/>
      <c r="G1337" s="32">
        <f>ROUND(G1335,0)</f>
        <v>114</v>
      </c>
      <c r="H1337" s="53"/>
      <c r="I1337" s="53"/>
      <c r="J1337" s="132"/>
      <c r="K1337" s="868"/>
      <c r="L1337" s="65"/>
      <c r="M1337" s="65"/>
      <c r="N1337" s="65"/>
    </row>
    <row r="1338" spans="1:14" s="54" customFormat="1" ht="19.8" x14ac:dyDescent="0.4">
      <c r="A1338" s="53"/>
      <c r="B1338" s="149"/>
      <c r="C1338" s="149"/>
      <c r="D1338" s="149"/>
      <c r="E1338" s="149"/>
      <c r="F1338" s="149"/>
      <c r="G1338" s="152"/>
      <c r="H1338" s="53"/>
      <c r="I1338" s="53"/>
      <c r="J1338" s="132"/>
      <c r="K1338" s="869"/>
      <c r="L1338" s="869"/>
      <c r="M1338" s="869"/>
      <c r="N1338" s="869"/>
    </row>
    <row r="1339" spans="1:14" s="54" customFormat="1" ht="18.75" customHeight="1" x14ac:dyDescent="0.4">
      <c r="A1339" s="50" t="s">
        <v>268</v>
      </c>
      <c r="B1339" s="1032" t="s">
        <v>687</v>
      </c>
      <c r="C1339" s="1032"/>
      <c r="D1339" s="1032"/>
      <c r="E1339" s="52">
        <f>G1388</f>
        <v>102</v>
      </c>
      <c r="F1339" s="52" t="s">
        <v>971</v>
      </c>
      <c r="G1339" s="53"/>
      <c r="H1339" s="124"/>
      <c r="I1339" s="125" t="s">
        <v>1023</v>
      </c>
      <c r="J1339" s="132"/>
      <c r="K1339" s="869"/>
      <c r="L1339" s="869"/>
      <c r="M1339" s="869"/>
      <c r="N1339" s="869"/>
    </row>
    <row r="1340" spans="1:14" ht="18.600000000000001" x14ac:dyDescent="0.3">
      <c r="I1340" s="125" t="s">
        <v>265</v>
      </c>
    </row>
    <row r="1341" spans="1:14" x14ac:dyDescent="0.3">
      <c r="B1341" s="1018" t="s">
        <v>932</v>
      </c>
      <c r="C1341" s="1018"/>
      <c r="D1341" s="10"/>
      <c r="E1341" s="11">
        <f>E1348+E1351+E1349</f>
        <v>31.78</v>
      </c>
      <c r="F1341" s="12" t="s">
        <v>971</v>
      </c>
    </row>
    <row r="1343" spans="1:14" ht="27.6" x14ac:dyDescent="0.3">
      <c r="B1343" s="13" t="s">
        <v>929</v>
      </c>
      <c r="C1343" s="14" t="s">
        <v>928</v>
      </c>
      <c r="D1343" s="14" t="s">
        <v>514</v>
      </c>
      <c r="E1343" s="14" t="s">
        <v>515</v>
      </c>
      <c r="F1343" s="14" t="s">
        <v>962</v>
      </c>
      <c r="G1343" s="14" t="s">
        <v>926</v>
      </c>
      <c r="H1343" s="14" t="s">
        <v>516</v>
      </c>
      <c r="I1343" s="14" t="s">
        <v>961</v>
      </c>
    </row>
    <row r="1344" spans="1:14" x14ac:dyDescent="0.3">
      <c r="B1344" s="16" t="str">
        <f>B1293</f>
        <v>Лікар-рентгенолог</v>
      </c>
      <c r="C1344" s="78">
        <f>C1293</f>
        <v>8463.5400000000009</v>
      </c>
      <c r="D1344" s="16">
        <f>C1344*12</f>
        <v>101562.48000000001</v>
      </c>
      <c r="E1344" s="16">
        <f>E1293</f>
        <v>7052.95</v>
      </c>
      <c r="F1344" s="16">
        <f>F1293</f>
        <v>3526.4749999999999</v>
      </c>
      <c r="G1344" s="16">
        <f>D1344+E1344+F1344</f>
        <v>112141.90500000001</v>
      </c>
      <c r="H1344" s="17">
        <v>1932.7</v>
      </c>
      <c r="I1344" s="16">
        <f>ROUND((G1344/H1344)/60,2)</f>
        <v>0.97</v>
      </c>
    </row>
    <row r="1345" spans="1:14" x14ac:dyDescent="0.3">
      <c r="B1345" s="16" t="str">
        <f>B1294</f>
        <v>Рентгенолаборант</v>
      </c>
      <c r="C1345" s="78">
        <f>C1294</f>
        <v>7482.48</v>
      </c>
      <c r="D1345" s="24">
        <f>C1345*12</f>
        <v>89789.759999999995</v>
      </c>
      <c r="E1345" s="16">
        <f>E1294</f>
        <v>5755.75</v>
      </c>
      <c r="F1345" s="16">
        <f>F1294</f>
        <v>2877.875</v>
      </c>
      <c r="G1345" s="16">
        <f>D1345+E1345+F1345</f>
        <v>98423.384999999995</v>
      </c>
      <c r="H1345" s="62">
        <v>1506</v>
      </c>
      <c r="I1345" s="16">
        <f>ROUND((G1345/H1345)/60,2)</f>
        <v>1.0900000000000001</v>
      </c>
    </row>
    <row r="1347" spans="1:14" ht="27.6" x14ac:dyDescent="0.3">
      <c r="B1347" s="13" t="s">
        <v>929</v>
      </c>
      <c r="C1347" s="14" t="s">
        <v>961</v>
      </c>
      <c r="D1347" s="14" t="s">
        <v>930</v>
      </c>
      <c r="E1347" s="14" t="s">
        <v>931</v>
      </c>
    </row>
    <row r="1348" spans="1:14" x14ac:dyDescent="0.3">
      <c r="B1348" s="15" t="str">
        <f>B1344</f>
        <v>Лікар-рентгенолог</v>
      </c>
      <c r="C1348" s="78">
        <f>I1344</f>
        <v>0.97</v>
      </c>
      <c r="D1348" s="17">
        <v>10</v>
      </c>
      <c r="E1348" s="18">
        <f>ROUND(C1348*D1348,2)</f>
        <v>9.6999999999999993</v>
      </c>
    </row>
    <row r="1349" spans="1:14" x14ac:dyDescent="0.3">
      <c r="B1349" s="15" t="str">
        <f>B1345</f>
        <v>Рентгенолаборант</v>
      </c>
      <c r="C1349" s="78">
        <f>I1345</f>
        <v>1.0900000000000001</v>
      </c>
      <c r="D1349" s="17">
        <v>15</v>
      </c>
      <c r="E1349" s="18">
        <f>ROUND(C1349*D1349,2)</f>
        <v>16.350000000000001</v>
      </c>
    </row>
    <row r="1350" spans="1:14" x14ac:dyDescent="0.3">
      <c r="C1350" s="19"/>
    </row>
    <row r="1351" spans="1:14" x14ac:dyDescent="0.3">
      <c r="B1351" s="17" t="s">
        <v>933</v>
      </c>
      <c r="C1351" s="78">
        <f>E1348+E1349</f>
        <v>26.05</v>
      </c>
      <c r="D1351" s="20">
        <v>0.22</v>
      </c>
      <c r="E1351" s="21">
        <f>ROUND(C1351*D1351,2)</f>
        <v>5.73</v>
      </c>
    </row>
    <row r="1353" spans="1:14" x14ac:dyDescent="0.3">
      <c r="B1353" s="12" t="s">
        <v>946</v>
      </c>
      <c r="C1353" s="227"/>
      <c r="D1353" s="12"/>
      <c r="E1353" s="11">
        <f>F1362</f>
        <v>18.720000000000002</v>
      </c>
      <c r="F1353" s="12" t="s">
        <v>971</v>
      </c>
    </row>
    <row r="1355" spans="1:14" x14ac:dyDescent="0.3">
      <c r="B1355" s="27" t="str">
        <f>B1304</f>
        <v>Мікрасепт</v>
      </c>
      <c r="C1355" s="27" t="str">
        <f>C1304</f>
        <v>мл</v>
      </c>
      <c r="D1355" s="27">
        <f>D1304</f>
        <v>1</v>
      </c>
      <c r="E1355" s="27">
        <f>E1304</f>
        <v>0.3</v>
      </c>
      <c r="F1355" s="28">
        <f>ROUND(D1355*E1355,2)</f>
        <v>0.3</v>
      </c>
    </row>
    <row r="1356" spans="1:14" s="184" customFormat="1" x14ac:dyDescent="0.3">
      <c r="A1356" s="180"/>
      <c r="B1356" s="27" t="str">
        <f t="shared" ref="B1356:E1357" si="45">B1305</f>
        <v>Маска на резинці, стерильна</v>
      </c>
      <c r="C1356" s="27" t="str">
        <f t="shared" si="45"/>
        <v>шт</v>
      </c>
      <c r="D1356" s="27">
        <f t="shared" si="45"/>
        <v>0.5</v>
      </c>
      <c r="E1356" s="27">
        <f t="shared" si="45"/>
        <v>2</v>
      </c>
      <c r="F1356" s="186">
        <f t="shared" ref="F1356:F1361" si="46">ROUND(D1356*E1356,2)</f>
        <v>1</v>
      </c>
      <c r="G1356" s="180"/>
      <c r="H1356" s="180"/>
      <c r="I1356" s="180"/>
      <c r="J1356" s="187"/>
      <c r="K1356" s="866"/>
      <c r="L1356" s="861"/>
      <c r="M1356" s="861"/>
      <c r="N1356" s="861"/>
    </row>
    <row r="1357" spans="1:14" x14ac:dyDescent="0.3">
      <c r="B1357" s="27" t="str">
        <f t="shared" si="45"/>
        <v>Бинт марлевий 7х14</v>
      </c>
      <c r="C1357" s="27" t="str">
        <f t="shared" si="45"/>
        <v>шт</v>
      </c>
      <c r="D1357" s="27">
        <f t="shared" si="45"/>
        <v>0.1</v>
      </c>
      <c r="E1357" s="27">
        <f t="shared" si="45"/>
        <v>8</v>
      </c>
      <c r="F1357" s="73">
        <f t="shared" si="46"/>
        <v>0.8</v>
      </c>
    </row>
    <row r="1358" spans="1:14" x14ac:dyDescent="0.3">
      <c r="B1358" s="320" t="str">
        <f>'МЕДИЧНІ М'!B327</f>
        <v>Суха медична плівка 35*43*100</v>
      </c>
      <c r="C1358" s="134" t="s">
        <v>941</v>
      </c>
      <c r="D1358" s="134">
        <v>1</v>
      </c>
      <c r="E1358" s="319">
        <f>'МЕДИЧНІ М'!F327</f>
        <v>15.841125</v>
      </c>
      <c r="F1358" s="73">
        <f t="shared" si="46"/>
        <v>15.84</v>
      </c>
    </row>
    <row r="1359" spans="1:14" x14ac:dyDescent="0.3">
      <c r="B1359" s="320" t="str">
        <f>B1308</f>
        <v>Рукавиці не стерильні</v>
      </c>
      <c r="C1359" s="320" t="str">
        <f>C1308</f>
        <v>шт</v>
      </c>
      <c r="D1359" s="320">
        <f>D1308</f>
        <v>0.1</v>
      </c>
      <c r="E1359" s="320">
        <f>E1308</f>
        <v>2.8</v>
      </c>
      <c r="F1359" s="73">
        <f t="shared" si="46"/>
        <v>0.28000000000000003</v>
      </c>
    </row>
    <row r="1360" spans="1:14" x14ac:dyDescent="0.3">
      <c r="B1360" s="320" t="str">
        <f t="shared" ref="B1360:E1361" si="47">B1309</f>
        <v xml:space="preserve">Спирт 70% 100мл </v>
      </c>
      <c r="C1360" s="320" t="str">
        <f t="shared" si="47"/>
        <v>шт</v>
      </c>
      <c r="D1360" s="320">
        <f t="shared" si="47"/>
        <v>0.01</v>
      </c>
      <c r="E1360" s="320">
        <f t="shared" si="47"/>
        <v>24.6</v>
      </c>
      <c r="F1360" s="28">
        <f t="shared" si="46"/>
        <v>0.25</v>
      </c>
    </row>
    <row r="1361" spans="2:14" x14ac:dyDescent="0.3">
      <c r="B1361" s="320" t="str">
        <f t="shared" si="47"/>
        <v>Деззасоби</v>
      </c>
      <c r="C1361" s="320" t="str">
        <f t="shared" si="47"/>
        <v>г</v>
      </c>
      <c r="D1361" s="320">
        <f t="shared" si="47"/>
        <v>0.5</v>
      </c>
      <c r="E1361" s="320">
        <f t="shared" si="47"/>
        <v>0.5</v>
      </c>
      <c r="F1361" s="28">
        <f t="shared" si="46"/>
        <v>0.25</v>
      </c>
    </row>
    <row r="1362" spans="2:14" x14ac:dyDescent="0.3">
      <c r="B1362" s="1054" t="s">
        <v>945</v>
      </c>
      <c r="C1362" s="1054"/>
      <c r="D1362" s="1054"/>
      <c r="E1362" s="1054"/>
      <c r="F1362" s="572">
        <f>SUM(F1355:F1361)</f>
        <v>18.720000000000002</v>
      </c>
    </row>
    <row r="1363" spans="2:14" ht="6" customHeight="1" x14ac:dyDescent="0.3"/>
    <row r="1364" spans="2:14" x14ac:dyDescent="0.3">
      <c r="B1364" s="12" t="s">
        <v>968</v>
      </c>
      <c r="C1364" s="227"/>
      <c r="D1364" s="12"/>
      <c r="E1364" s="11">
        <f>SUM(G1367:G1368)</f>
        <v>48.15</v>
      </c>
      <c r="F1364" s="12" t="s">
        <v>971</v>
      </c>
    </row>
    <row r="1365" spans="2:14" s="7" customFormat="1" ht="9.75" customHeight="1" x14ac:dyDescent="0.25">
      <c r="B1365" s="22"/>
      <c r="C1365" s="36"/>
      <c r="D1365" s="22"/>
      <c r="E1365" s="23"/>
      <c r="F1365" s="22"/>
      <c r="J1365" s="130"/>
      <c r="K1365" s="868"/>
      <c r="L1365" s="65"/>
      <c r="M1365" s="65"/>
      <c r="N1365" s="65"/>
    </row>
    <row r="1366" spans="2:14" s="7" customFormat="1" ht="27.6" x14ac:dyDescent="0.25">
      <c r="B1366" s="14" t="s">
        <v>513</v>
      </c>
      <c r="C1366" s="14" t="s">
        <v>1108</v>
      </c>
      <c r="D1366" s="14" t="s">
        <v>516</v>
      </c>
      <c r="E1366" s="14" t="s">
        <v>970</v>
      </c>
      <c r="F1366" s="14" t="s">
        <v>930</v>
      </c>
      <c r="G1366" s="14" t="s">
        <v>961</v>
      </c>
      <c r="J1366" s="130"/>
      <c r="K1366" s="868"/>
      <c r="L1366" s="65"/>
      <c r="M1366" s="65"/>
      <c r="N1366" s="65"/>
    </row>
    <row r="1367" spans="2:14" s="7" customFormat="1" ht="13.8" x14ac:dyDescent="0.25">
      <c r="B1367" s="46" t="s">
        <v>1161</v>
      </c>
      <c r="C1367" s="78">
        <f>C1316</f>
        <v>0</v>
      </c>
      <c r="D1367" s="62">
        <f>H1344</f>
        <v>1932.7</v>
      </c>
      <c r="E1367" s="17">
        <f>ROUND((C1367/D1367)/60,2)</f>
        <v>0</v>
      </c>
      <c r="F1367" s="17">
        <f>D1348</f>
        <v>10</v>
      </c>
      <c r="G1367" s="16">
        <f>ROUND(E1367*F1367,2)</f>
        <v>0</v>
      </c>
      <c r="J1367" s="130"/>
      <c r="K1367" s="868"/>
      <c r="L1367" s="65"/>
      <c r="M1367" s="65"/>
      <c r="N1367" s="65"/>
    </row>
    <row r="1368" spans="2:14" s="7" customFormat="1" ht="13.8" x14ac:dyDescent="0.25">
      <c r="B1368" s="27" t="s">
        <v>1093</v>
      </c>
      <c r="C1368" s="78">
        <f>C1317</f>
        <v>290000</v>
      </c>
      <c r="D1368" s="62">
        <f>H1345</f>
        <v>1506</v>
      </c>
      <c r="E1368" s="17">
        <f>ROUND((C1368/D1368)/60,2)</f>
        <v>3.21</v>
      </c>
      <c r="F1368" s="17">
        <f>D1349</f>
        <v>15</v>
      </c>
      <c r="G1368" s="16">
        <f>ROUND(E1368*F1368,2)</f>
        <v>48.15</v>
      </c>
      <c r="H1368" s="38"/>
      <c r="J1368" s="130"/>
      <c r="K1368" s="868"/>
      <c r="L1368" s="65"/>
      <c r="M1368" s="65"/>
      <c r="N1368" s="65"/>
    </row>
    <row r="1369" spans="2:14" s="7" customFormat="1" ht="6.75" customHeight="1" x14ac:dyDescent="0.25">
      <c r="C1369" s="74"/>
      <c r="J1369" s="130"/>
      <c r="K1369" s="868"/>
      <c r="L1369" s="65"/>
      <c r="M1369" s="65"/>
      <c r="N1369" s="65"/>
    </row>
    <row r="1370" spans="2:14" s="7" customFormat="1" ht="13.8" x14ac:dyDescent="0.25">
      <c r="B1370" s="12" t="s">
        <v>948</v>
      </c>
      <c r="C1370" s="227"/>
      <c r="D1370" s="12"/>
      <c r="E1370" s="11">
        <f>G1383</f>
        <v>3.45</v>
      </c>
      <c r="F1370" s="12" t="s">
        <v>971</v>
      </c>
      <c r="J1370" s="130"/>
      <c r="K1370" s="868"/>
      <c r="L1370" s="65"/>
      <c r="M1370" s="65"/>
      <c r="N1370" s="65"/>
    </row>
    <row r="1371" spans="2:14" s="7" customFormat="1" ht="13.8" x14ac:dyDescent="0.25">
      <c r="B1371" s="22"/>
      <c r="C1371" s="36"/>
      <c r="D1371" s="22"/>
      <c r="E1371" s="23"/>
      <c r="J1371" s="130"/>
      <c r="K1371" s="868"/>
      <c r="L1371" s="65"/>
      <c r="M1371" s="65"/>
      <c r="N1371" s="65"/>
    </row>
    <row r="1372" spans="2:14" s="7" customFormat="1" ht="27.6" x14ac:dyDescent="0.25">
      <c r="B1372" s="14" t="s">
        <v>948</v>
      </c>
      <c r="C1372" s="14" t="s">
        <v>1110</v>
      </c>
      <c r="D1372" s="14" t="s">
        <v>516</v>
      </c>
      <c r="E1372" s="14" t="s">
        <v>954</v>
      </c>
      <c r="F1372" s="14" t="s">
        <v>930</v>
      </c>
      <c r="G1372" s="14" t="s">
        <v>1111</v>
      </c>
      <c r="J1372" s="130"/>
      <c r="K1372" s="868"/>
      <c r="L1372" s="65"/>
      <c r="M1372" s="65"/>
      <c r="N1372" s="65"/>
    </row>
    <row r="1373" spans="2:14" s="7" customFormat="1" ht="13.8" x14ac:dyDescent="0.25">
      <c r="B1373" s="1009" t="str">
        <f>B1344</f>
        <v>Лікар-рентгенолог</v>
      </c>
      <c r="C1373" s="1010"/>
      <c r="D1373" s="1010"/>
      <c r="E1373" s="1010"/>
      <c r="F1373" s="1010"/>
      <c r="G1373" s="1011"/>
      <c r="J1373" s="130"/>
      <c r="K1373" s="868"/>
      <c r="L1373" s="65"/>
      <c r="M1373" s="65"/>
      <c r="N1373" s="65"/>
    </row>
    <row r="1374" spans="2:14" s="7" customFormat="1" ht="13.8" x14ac:dyDescent="0.25">
      <c r="B1374" s="17" t="s">
        <v>951</v>
      </c>
      <c r="C1374" s="221">
        <f>C1323</f>
        <v>12188.608008565312</v>
      </c>
      <c r="D1374" s="17">
        <f>H1344</f>
        <v>1932.7</v>
      </c>
      <c r="E1374" s="17">
        <f>ROUND((C1374/D1374)/60,2)</f>
        <v>0.11</v>
      </c>
      <c r="F1374" s="17">
        <f>D1348</f>
        <v>10</v>
      </c>
      <c r="G1374" s="16">
        <f>ROUND(E1374*F1374,2)</f>
        <v>1.1000000000000001</v>
      </c>
      <c r="J1374" s="130"/>
      <c r="K1374" s="868"/>
      <c r="L1374" s="65"/>
      <c r="M1374" s="65"/>
      <c r="N1374" s="65"/>
    </row>
    <row r="1375" spans="2:14" s="7" customFormat="1" ht="13.8" x14ac:dyDescent="0.25">
      <c r="B1375" s="17" t="s">
        <v>952</v>
      </c>
      <c r="C1375" s="221">
        <f>C1324</f>
        <v>53.149721627408987</v>
      </c>
      <c r="D1375" s="17">
        <f>H1344</f>
        <v>1932.7</v>
      </c>
      <c r="E1375" s="17">
        <f>ROUND((C1375/D1375)/60,2)</f>
        <v>0</v>
      </c>
      <c r="F1375" s="17">
        <f>D1348</f>
        <v>10</v>
      </c>
      <c r="G1375" s="16">
        <f>ROUND(E1375*F1375,2)</f>
        <v>0</v>
      </c>
      <c r="J1375" s="130"/>
      <c r="K1375" s="868"/>
      <c r="L1375" s="65"/>
      <c r="M1375" s="65"/>
      <c r="N1375" s="65"/>
    </row>
    <row r="1376" spans="2:14" s="7" customFormat="1" ht="13.8" x14ac:dyDescent="0.25">
      <c r="B1376" s="17" t="s">
        <v>953</v>
      </c>
      <c r="C1376" s="221">
        <f>C1325</f>
        <v>374.98368308351178</v>
      </c>
      <c r="D1376" s="17">
        <f>H1344</f>
        <v>1932.7</v>
      </c>
      <c r="E1376" s="17">
        <f>ROUND((C1376/D1376)/60,2)</f>
        <v>0</v>
      </c>
      <c r="F1376" s="17">
        <f>D1348</f>
        <v>10</v>
      </c>
      <c r="G1376" s="16">
        <f>ROUND(E1376*F1376,2)</f>
        <v>0</v>
      </c>
      <c r="J1376" s="130"/>
      <c r="K1376" s="868"/>
      <c r="L1376" s="65"/>
      <c r="M1376" s="65"/>
      <c r="N1376" s="65"/>
    </row>
    <row r="1377" spans="1:14" s="7" customFormat="1" ht="13.8" x14ac:dyDescent="0.25">
      <c r="B1377" s="17" t="s">
        <v>1109</v>
      </c>
      <c r="C1377" s="221">
        <f>C1326</f>
        <v>1686.0389293361886</v>
      </c>
      <c r="D1377" s="17">
        <f>H1344</f>
        <v>1932.7</v>
      </c>
      <c r="E1377" s="17">
        <f>ROUND((C1377/D1377)/60,2)</f>
        <v>0.01</v>
      </c>
      <c r="F1377" s="17">
        <f>D1348</f>
        <v>10</v>
      </c>
      <c r="G1377" s="16">
        <f>ROUND(E1377*F1377,2)</f>
        <v>0.1</v>
      </c>
      <c r="J1377" s="130"/>
      <c r="K1377" s="868"/>
      <c r="L1377" s="65"/>
      <c r="M1377" s="65"/>
      <c r="N1377" s="65"/>
    </row>
    <row r="1378" spans="1:14" s="7" customFormat="1" ht="13.8" x14ac:dyDescent="0.25">
      <c r="B1378" s="1009" t="str">
        <f>B1345</f>
        <v>Рентгенолаборант</v>
      </c>
      <c r="C1378" s="1010"/>
      <c r="D1378" s="1010"/>
      <c r="E1378" s="1010"/>
      <c r="F1378" s="1010"/>
      <c r="G1378" s="1011"/>
      <c r="J1378" s="130"/>
      <c r="K1378" s="868"/>
      <c r="L1378" s="65"/>
      <c r="M1378" s="65"/>
      <c r="N1378" s="65"/>
    </row>
    <row r="1379" spans="1:14" s="7" customFormat="1" ht="13.8" x14ac:dyDescent="0.25">
      <c r="B1379" s="17" t="s">
        <v>951</v>
      </c>
      <c r="C1379" s="221">
        <f>C1374</f>
        <v>12188.608008565312</v>
      </c>
      <c r="D1379" s="17">
        <f>H1345</f>
        <v>1506</v>
      </c>
      <c r="E1379" s="17">
        <f>ROUND((C1379/D1379)/60,2)</f>
        <v>0.13</v>
      </c>
      <c r="F1379" s="17">
        <f>D1349</f>
        <v>15</v>
      </c>
      <c r="G1379" s="16">
        <f>ROUND(E1379*F1379,2)</f>
        <v>1.95</v>
      </c>
      <c r="J1379" s="130"/>
      <c r="K1379" s="868"/>
      <c r="L1379" s="65"/>
      <c r="M1379" s="65"/>
      <c r="N1379" s="65"/>
    </row>
    <row r="1380" spans="1:14" s="7" customFormat="1" ht="13.8" x14ac:dyDescent="0.25">
      <c r="B1380" s="17" t="s">
        <v>952</v>
      </c>
      <c r="C1380" s="221">
        <f>C1375</f>
        <v>53.149721627408987</v>
      </c>
      <c r="D1380" s="17">
        <f>H1345</f>
        <v>1506</v>
      </c>
      <c r="E1380" s="17">
        <f>ROUND((C1380/D1380)/60,2)</f>
        <v>0</v>
      </c>
      <c r="F1380" s="17">
        <f>D1349</f>
        <v>15</v>
      </c>
      <c r="G1380" s="16">
        <f>ROUND(E1380*F1380,2)</f>
        <v>0</v>
      </c>
      <c r="J1380" s="130"/>
      <c r="K1380" s="868"/>
      <c r="L1380" s="65"/>
      <c r="M1380" s="65"/>
      <c r="N1380" s="65"/>
    </row>
    <row r="1381" spans="1:14" x14ac:dyDescent="0.3">
      <c r="B1381" s="17" t="s">
        <v>953</v>
      </c>
      <c r="C1381" s="221">
        <f>C1376</f>
        <v>374.98368308351178</v>
      </c>
      <c r="D1381" s="17">
        <f>H1345</f>
        <v>1506</v>
      </c>
      <c r="E1381" s="17">
        <f>ROUND((C1381/D1381)/60,2)</f>
        <v>0</v>
      </c>
      <c r="F1381" s="17">
        <f>D1349</f>
        <v>15</v>
      </c>
      <c r="G1381" s="16">
        <f>ROUND(E1381*F1381,2)</f>
        <v>0</v>
      </c>
    </row>
    <row r="1382" spans="1:14" x14ac:dyDescent="0.3">
      <c r="B1382" s="17" t="s">
        <v>1109</v>
      </c>
      <c r="C1382" s="221">
        <f>C1377</f>
        <v>1686.0389293361886</v>
      </c>
      <c r="D1382" s="17">
        <f>H1345</f>
        <v>1506</v>
      </c>
      <c r="E1382" s="17">
        <f>ROUND((C1382/D1382)/60,2)</f>
        <v>0.02</v>
      </c>
      <c r="F1382" s="17">
        <f>D1349</f>
        <v>15</v>
      </c>
      <c r="G1382" s="16">
        <f>ROUND(E1382*F1382,2)</f>
        <v>0.3</v>
      </c>
    </row>
    <row r="1383" spans="1:14" x14ac:dyDescent="0.3">
      <c r="B1383" s="1012" t="s">
        <v>957</v>
      </c>
      <c r="C1383" s="1013"/>
      <c r="D1383" s="1013"/>
      <c r="E1383" s="1013"/>
      <c r="F1383" s="1014"/>
      <c r="G1383" s="18">
        <f>SUM(G1374:G1382)</f>
        <v>3.45</v>
      </c>
    </row>
    <row r="1386" spans="1:14" x14ac:dyDescent="0.3">
      <c r="B1386" s="1015" t="s">
        <v>959</v>
      </c>
      <c r="C1386" s="1015"/>
      <c r="D1386" s="1015"/>
      <c r="E1386" s="1015"/>
      <c r="F1386" s="1015"/>
      <c r="G1386" s="32">
        <f>E1341+E1353+E1364+E1370</f>
        <v>102.10000000000001</v>
      </c>
    </row>
    <row r="1387" spans="1:14" ht="11.25" customHeight="1" x14ac:dyDescent="0.3">
      <c r="B1387" s="33"/>
      <c r="C1387" s="33"/>
      <c r="D1387" s="33"/>
      <c r="E1387" s="33"/>
      <c r="F1387" s="33"/>
      <c r="G1387" s="34"/>
    </row>
    <row r="1388" spans="1:14" s="54" customFormat="1" ht="19.8" x14ac:dyDescent="0.4">
      <c r="A1388" s="53"/>
      <c r="B1388" s="1051" t="s">
        <v>960</v>
      </c>
      <c r="C1388" s="1051"/>
      <c r="D1388" s="1051"/>
      <c r="E1388" s="1051"/>
      <c r="F1388" s="1051"/>
      <c r="G1388" s="32">
        <f>ROUND(G1386,0)</f>
        <v>102</v>
      </c>
      <c r="H1388" s="53"/>
      <c r="I1388" s="53"/>
      <c r="J1388" s="132"/>
      <c r="K1388" s="868"/>
      <c r="L1388" s="65"/>
      <c r="M1388" s="65"/>
      <c r="N1388" s="65"/>
    </row>
    <row r="1389" spans="1:14" s="54" customFormat="1" ht="19.8" x14ac:dyDescent="0.4">
      <c r="A1389" s="53"/>
      <c r="B1389" s="149"/>
      <c r="C1389" s="149"/>
      <c r="D1389" s="149"/>
      <c r="E1389" s="149"/>
      <c r="F1389" s="149"/>
      <c r="G1389" s="152"/>
      <c r="H1389" s="53"/>
      <c r="I1389" s="53"/>
      <c r="J1389" s="132"/>
      <c r="K1389" s="868"/>
      <c r="L1389" s="65"/>
      <c r="M1389" s="65"/>
      <c r="N1389" s="65"/>
    </row>
    <row r="1390" spans="1:14" s="54" customFormat="1" ht="19.8" x14ac:dyDescent="0.4">
      <c r="A1390" s="53"/>
      <c r="B1390" s="149"/>
      <c r="C1390" s="149"/>
      <c r="D1390" s="149"/>
      <c r="E1390" s="149"/>
      <c r="F1390" s="149"/>
      <c r="G1390" s="152"/>
      <c r="H1390" s="53"/>
      <c r="I1390" s="53"/>
      <c r="J1390" s="132"/>
      <c r="K1390" s="868"/>
      <c r="L1390" s="65"/>
      <c r="M1390" s="65"/>
      <c r="N1390" s="65"/>
    </row>
    <row r="1391" spans="1:14" s="54" customFormat="1" ht="18.75" customHeight="1" x14ac:dyDescent="0.4">
      <c r="A1391" s="50" t="s">
        <v>269</v>
      </c>
      <c r="B1391" s="1032" t="s">
        <v>687</v>
      </c>
      <c r="C1391" s="1032"/>
      <c r="D1391" s="1032"/>
      <c r="E1391" s="52">
        <f>G1440</f>
        <v>118</v>
      </c>
      <c r="F1391" s="52" t="s">
        <v>971</v>
      </c>
      <c r="G1391" s="53"/>
      <c r="H1391" s="124"/>
      <c r="I1391" s="125" t="s">
        <v>1023</v>
      </c>
      <c r="J1391" s="132"/>
      <c r="K1391" s="868"/>
      <c r="L1391" s="65"/>
      <c r="M1391" s="65"/>
      <c r="N1391" s="65"/>
    </row>
    <row r="1392" spans="1:14" ht="18.600000000000001" x14ac:dyDescent="0.3">
      <c r="I1392" s="125" t="s">
        <v>270</v>
      </c>
    </row>
    <row r="1393" spans="1:14" x14ac:dyDescent="0.3">
      <c r="B1393" s="1018" t="s">
        <v>932</v>
      </c>
      <c r="C1393" s="1018"/>
      <c r="D1393" s="10"/>
      <c r="E1393" s="11">
        <f>E1400+E1403+E1401</f>
        <v>31.78</v>
      </c>
      <c r="F1393" s="12" t="s">
        <v>971</v>
      </c>
    </row>
    <row r="1395" spans="1:14" ht="27.6" x14ac:dyDescent="0.3">
      <c r="B1395" s="13" t="s">
        <v>929</v>
      </c>
      <c r="C1395" s="14" t="s">
        <v>928</v>
      </c>
      <c r="D1395" s="14" t="s">
        <v>514</v>
      </c>
      <c r="E1395" s="14" t="s">
        <v>515</v>
      </c>
      <c r="F1395" s="14" t="s">
        <v>962</v>
      </c>
      <c r="G1395" s="14" t="s">
        <v>926</v>
      </c>
      <c r="H1395" s="14" t="s">
        <v>516</v>
      </c>
      <c r="I1395" s="14" t="s">
        <v>961</v>
      </c>
    </row>
    <row r="1396" spans="1:14" x14ac:dyDescent="0.3">
      <c r="B1396" s="16" t="str">
        <f>B1344</f>
        <v>Лікар-рентгенолог</v>
      </c>
      <c r="C1396" s="16">
        <f t="shared" ref="C1396:H1396" si="48">C1344</f>
        <v>8463.5400000000009</v>
      </c>
      <c r="D1396" s="16">
        <f t="shared" si="48"/>
        <v>101562.48000000001</v>
      </c>
      <c r="E1396" s="16">
        <f t="shared" si="48"/>
        <v>7052.95</v>
      </c>
      <c r="F1396" s="16">
        <f t="shared" si="48"/>
        <v>3526.4749999999999</v>
      </c>
      <c r="G1396" s="16">
        <f t="shared" si="48"/>
        <v>112141.90500000001</v>
      </c>
      <c r="H1396" s="16">
        <f t="shared" si="48"/>
        <v>1932.7</v>
      </c>
      <c r="I1396" s="16">
        <f>ROUND((G1396/H1396)/60,2)</f>
        <v>0.97</v>
      </c>
    </row>
    <row r="1397" spans="1:14" x14ac:dyDescent="0.3">
      <c r="B1397" s="16" t="str">
        <f>B1345</f>
        <v>Рентгенолаборант</v>
      </c>
      <c r="C1397" s="16">
        <f t="shared" ref="C1397:H1397" si="49">C1345</f>
        <v>7482.48</v>
      </c>
      <c r="D1397" s="16">
        <f t="shared" si="49"/>
        <v>89789.759999999995</v>
      </c>
      <c r="E1397" s="16">
        <f t="shared" si="49"/>
        <v>5755.75</v>
      </c>
      <c r="F1397" s="16">
        <f t="shared" si="49"/>
        <v>2877.875</v>
      </c>
      <c r="G1397" s="16">
        <f t="shared" si="49"/>
        <v>98423.384999999995</v>
      </c>
      <c r="H1397" s="16">
        <f t="shared" si="49"/>
        <v>1506</v>
      </c>
      <c r="I1397" s="16">
        <f>ROUND((G1397/H1397)/60,2)</f>
        <v>1.0900000000000001</v>
      </c>
    </row>
    <row r="1399" spans="1:14" ht="27.6" x14ac:dyDescent="0.3">
      <c r="B1399" s="13" t="s">
        <v>929</v>
      </c>
      <c r="C1399" s="14" t="s">
        <v>961</v>
      </c>
      <c r="D1399" s="14" t="s">
        <v>930</v>
      </c>
      <c r="E1399" s="14" t="s">
        <v>931</v>
      </c>
    </row>
    <row r="1400" spans="1:14" x14ac:dyDescent="0.3">
      <c r="B1400" s="15" t="str">
        <f>B1396</f>
        <v>Лікар-рентгенолог</v>
      </c>
      <c r="C1400" s="78">
        <f>I1396</f>
        <v>0.97</v>
      </c>
      <c r="D1400" s="17">
        <v>10</v>
      </c>
      <c r="E1400" s="18">
        <f>ROUND(C1400*D1400,2)</f>
        <v>9.6999999999999993</v>
      </c>
    </row>
    <row r="1401" spans="1:14" x14ac:dyDescent="0.3">
      <c r="B1401" s="15" t="str">
        <f>B1397</f>
        <v>Рентгенолаборант</v>
      </c>
      <c r="C1401" s="78">
        <f>I1397</f>
        <v>1.0900000000000001</v>
      </c>
      <c r="D1401" s="17">
        <v>15</v>
      </c>
      <c r="E1401" s="18">
        <f>ROUND(C1401*D1401,2)</f>
        <v>16.350000000000001</v>
      </c>
    </row>
    <row r="1402" spans="1:14" x14ac:dyDescent="0.3">
      <c r="C1402" s="19"/>
    </row>
    <row r="1403" spans="1:14" x14ac:dyDescent="0.3">
      <c r="B1403" s="17" t="s">
        <v>933</v>
      </c>
      <c r="C1403" s="78">
        <f>E1400+E1401</f>
        <v>26.05</v>
      </c>
      <c r="D1403" s="20">
        <v>0.22</v>
      </c>
      <c r="E1403" s="21">
        <f>ROUND(C1403*D1403,2)</f>
        <v>5.73</v>
      </c>
    </row>
    <row r="1405" spans="1:14" x14ac:dyDescent="0.3">
      <c r="B1405" s="12" t="s">
        <v>946</v>
      </c>
      <c r="C1405" s="227"/>
      <c r="D1405" s="12"/>
      <c r="E1405" s="11">
        <f>F1414</f>
        <v>34.56</v>
      </c>
      <c r="F1405" s="12" t="s">
        <v>971</v>
      </c>
    </row>
    <row r="1407" spans="1:14" x14ac:dyDescent="0.3">
      <c r="B1407" s="27" t="str">
        <f>B1355</f>
        <v>Мікрасепт</v>
      </c>
      <c r="C1407" s="27" t="str">
        <f>C1355</f>
        <v>мл</v>
      </c>
      <c r="D1407" s="27">
        <f>D1355</f>
        <v>1</v>
      </c>
      <c r="E1407" s="27">
        <f>E1355</f>
        <v>0.3</v>
      </c>
      <c r="F1407" s="28">
        <f>ROUND(D1407*E1407,2)</f>
        <v>0.3</v>
      </c>
    </row>
    <row r="1408" spans="1:14" s="184" customFormat="1" x14ac:dyDescent="0.3">
      <c r="A1408" s="180"/>
      <c r="B1408" s="27" t="str">
        <f t="shared" ref="B1408:E1413" si="50">B1356</f>
        <v>Маска на резинці, стерильна</v>
      </c>
      <c r="C1408" s="27" t="str">
        <f t="shared" si="50"/>
        <v>шт</v>
      </c>
      <c r="D1408" s="27">
        <f t="shared" si="50"/>
        <v>0.5</v>
      </c>
      <c r="E1408" s="27">
        <f t="shared" si="50"/>
        <v>2</v>
      </c>
      <c r="F1408" s="186">
        <f t="shared" ref="F1408:F1413" si="51">ROUND(D1408*E1408,2)</f>
        <v>1</v>
      </c>
      <c r="G1408" s="180"/>
      <c r="H1408" s="180"/>
      <c r="I1408" s="180"/>
      <c r="J1408" s="187"/>
      <c r="K1408" s="866"/>
      <c r="L1408" s="861"/>
      <c r="M1408" s="861"/>
      <c r="N1408" s="861"/>
    </row>
    <row r="1409" spans="2:14" x14ac:dyDescent="0.3">
      <c r="B1409" s="27" t="str">
        <f t="shared" si="50"/>
        <v>Бинт марлевий 7х14</v>
      </c>
      <c r="C1409" s="27" t="str">
        <f t="shared" si="50"/>
        <v>шт</v>
      </c>
      <c r="D1409" s="27">
        <f t="shared" si="50"/>
        <v>0.1</v>
      </c>
      <c r="E1409" s="27">
        <f t="shared" si="50"/>
        <v>8</v>
      </c>
      <c r="F1409" s="73">
        <f t="shared" si="51"/>
        <v>0.8</v>
      </c>
    </row>
    <row r="1410" spans="2:14" x14ac:dyDescent="0.3">
      <c r="B1410" s="27" t="str">
        <f t="shared" si="50"/>
        <v>Суха медична плівка 35*43*100</v>
      </c>
      <c r="C1410" s="27" t="str">
        <f t="shared" si="50"/>
        <v>шт</v>
      </c>
      <c r="D1410" s="27">
        <v>2</v>
      </c>
      <c r="E1410" s="27">
        <f t="shared" si="50"/>
        <v>15.841125</v>
      </c>
      <c r="F1410" s="73">
        <f t="shared" si="51"/>
        <v>31.68</v>
      </c>
    </row>
    <row r="1411" spans="2:14" x14ac:dyDescent="0.3">
      <c r="B1411" s="27" t="str">
        <f t="shared" si="50"/>
        <v>Рукавиці не стерильні</v>
      </c>
      <c r="C1411" s="27" t="str">
        <f t="shared" si="50"/>
        <v>шт</v>
      </c>
      <c r="D1411" s="27">
        <f t="shared" si="50"/>
        <v>0.1</v>
      </c>
      <c r="E1411" s="27">
        <f t="shared" si="50"/>
        <v>2.8</v>
      </c>
      <c r="F1411" s="73">
        <f t="shared" si="51"/>
        <v>0.28000000000000003</v>
      </c>
    </row>
    <row r="1412" spans="2:14" x14ac:dyDescent="0.3">
      <c r="B1412" s="27" t="str">
        <f t="shared" si="50"/>
        <v xml:space="preserve">Спирт 70% 100мл </v>
      </c>
      <c r="C1412" s="27" t="str">
        <f t="shared" si="50"/>
        <v>шт</v>
      </c>
      <c r="D1412" s="27">
        <f t="shared" si="50"/>
        <v>0.01</v>
      </c>
      <c r="E1412" s="27">
        <f t="shared" si="50"/>
        <v>24.6</v>
      </c>
      <c r="F1412" s="28">
        <f t="shared" si="51"/>
        <v>0.25</v>
      </c>
    </row>
    <row r="1413" spans="2:14" x14ac:dyDescent="0.3">
      <c r="B1413" s="27" t="str">
        <f t="shared" si="50"/>
        <v>Деззасоби</v>
      </c>
      <c r="C1413" s="27" t="str">
        <f t="shared" si="50"/>
        <v>г</v>
      </c>
      <c r="D1413" s="27">
        <f t="shared" si="50"/>
        <v>0.5</v>
      </c>
      <c r="E1413" s="27">
        <f t="shared" si="50"/>
        <v>0.5</v>
      </c>
      <c r="F1413" s="28">
        <f t="shared" si="51"/>
        <v>0.25</v>
      </c>
    </row>
    <row r="1414" spans="2:14" x14ac:dyDescent="0.3">
      <c r="B1414" s="1054" t="s">
        <v>945</v>
      </c>
      <c r="C1414" s="1054"/>
      <c r="D1414" s="1054"/>
      <c r="E1414" s="1054"/>
      <c r="F1414" s="572">
        <f>SUM(F1407:F1413)</f>
        <v>34.56</v>
      </c>
    </row>
    <row r="1415" spans="2:14" ht="6" customHeight="1" x14ac:dyDescent="0.3"/>
    <row r="1416" spans="2:14" x14ac:dyDescent="0.3">
      <c r="B1416" s="12" t="s">
        <v>968</v>
      </c>
      <c r="C1416" s="227"/>
      <c r="D1416" s="12"/>
      <c r="E1416" s="11">
        <f>SUM(G1419:G1420)</f>
        <v>48.15</v>
      </c>
      <c r="F1416" s="12" t="s">
        <v>971</v>
      </c>
    </row>
    <row r="1417" spans="2:14" s="7" customFormat="1" ht="9.75" customHeight="1" x14ac:dyDescent="0.25">
      <c r="B1417" s="22"/>
      <c r="C1417" s="36"/>
      <c r="D1417" s="22"/>
      <c r="E1417" s="23"/>
      <c r="F1417" s="22"/>
      <c r="J1417" s="130"/>
      <c r="K1417" s="868"/>
      <c r="L1417" s="65"/>
      <c r="M1417" s="65"/>
      <c r="N1417" s="65"/>
    </row>
    <row r="1418" spans="2:14" s="7" customFormat="1" ht="27.6" x14ac:dyDescent="0.25">
      <c r="B1418" s="14" t="s">
        <v>513</v>
      </c>
      <c r="C1418" s="14" t="s">
        <v>1108</v>
      </c>
      <c r="D1418" s="14" t="s">
        <v>516</v>
      </c>
      <c r="E1418" s="14" t="s">
        <v>970</v>
      </c>
      <c r="F1418" s="14" t="s">
        <v>930</v>
      </c>
      <c r="G1418" s="14" t="s">
        <v>961</v>
      </c>
      <c r="J1418" s="130"/>
      <c r="K1418" s="868"/>
      <c r="L1418" s="65"/>
      <c r="M1418" s="65"/>
      <c r="N1418" s="65"/>
    </row>
    <row r="1419" spans="2:14" s="7" customFormat="1" ht="13.8" x14ac:dyDescent="0.25">
      <c r="B1419" s="46" t="str">
        <f>B1367</f>
        <v>Автоматизоване робоче місце, ПК</v>
      </c>
      <c r="C1419" s="46">
        <f>C1367</f>
        <v>0</v>
      </c>
      <c r="D1419" s="62">
        <f>H1396</f>
        <v>1932.7</v>
      </c>
      <c r="E1419" s="17">
        <f>ROUND((C1419/D1419)/60,2)</f>
        <v>0</v>
      </c>
      <c r="F1419" s="17">
        <f>D1400</f>
        <v>10</v>
      </c>
      <c r="G1419" s="16">
        <f>ROUND(E1419*F1419,2)</f>
        <v>0</v>
      </c>
      <c r="J1419" s="130"/>
      <c r="K1419" s="868"/>
      <c r="L1419" s="65"/>
      <c r="M1419" s="65"/>
      <c r="N1419" s="65"/>
    </row>
    <row r="1420" spans="2:14" s="7" customFormat="1" ht="13.8" x14ac:dyDescent="0.25">
      <c r="B1420" s="46" t="str">
        <f>B1368</f>
        <v>Рентген</v>
      </c>
      <c r="C1420" s="46">
        <f>C1368</f>
        <v>290000</v>
      </c>
      <c r="D1420" s="62">
        <f>H1397</f>
        <v>1506</v>
      </c>
      <c r="E1420" s="17">
        <f>ROUND((C1420/D1420)/60,2)</f>
        <v>3.21</v>
      </c>
      <c r="F1420" s="17">
        <f>D1401</f>
        <v>15</v>
      </c>
      <c r="G1420" s="16">
        <f>ROUND(E1420*F1420,2)</f>
        <v>48.15</v>
      </c>
      <c r="H1420" s="38"/>
      <c r="J1420" s="130"/>
      <c r="K1420" s="868"/>
      <c r="L1420" s="65"/>
      <c r="M1420" s="65"/>
      <c r="N1420" s="65"/>
    </row>
    <row r="1421" spans="2:14" s="7" customFormat="1" ht="6.75" customHeight="1" x14ac:dyDescent="0.25">
      <c r="C1421" s="74"/>
      <c r="J1421" s="130"/>
      <c r="K1421" s="868"/>
      <c r="L1421" s="65"/>
      <c r="M1421" s="65"/>
      <c r="N1421" s="65"/>
    </row>
    <row r="1422" spans="2:14" s="7" customFormat="1" ht="13.8" x14ac:dyDescent="0.25">
      <c r="B1422" s="12" t="s">
        <v>948</v>
      </c>
      <c r="C1422" s="227"/>
      <c r="D1422" s="12"/>
      <c r="E1422" s="11">
        <f>G1435</f>
        <v>3.45</v>
      </c>
      <c r="F1422" s="12" t="s">
        <v>971</v>
      </c>
      <c r="J1422" s="130"/>
      <c r="K1422" s="868"/>
      <c r="L1422" s="65"/>
      <c r="M1422" s="65"/>
      <c r="N1422" s="65"/>
    </row>
    <row r="1423" spans="2:14" s="7" customFormat="1" ht="13.8" x14ac:dyDescent="0.25">
      <c r="B1423" s="22"/>
      <c r="C1423" s="36"/>
      <c r="D1423" s="22"/>
      <c r="E1423" s="23"/>
      <c r="J1423" s="130"/>
      <c r="K1423" s="868"/>
      <c r="L1423" s="65"/>
      <c r="M1423" s="65"/>
      <c r="N1423" s="65"/>
    </row>
    <row r="1424" spans="2:14" s="7" customFormat="1" ht="27.6" x14ac:dyDescent="0.25">
      <c r="B1424" s="14" t="s">
        <v>948</v>
      </c>
      <c r="C1424" s="14" t="s">
        <v>1110</v>
      </c>
      <c r="D1424" s="14" t="s">
        <v>516</v>
      </c>
      <c r="E1424" s="14" t="s">
        <v>954</v>
      </c>
      <c r="F1424" s="14" t="s">
        <v>930</v>
      </c>
      <c r="G1424" s="14" t="s">
        <v>1111</v>
      </c>
      <c r="J1424" s="130"/>
      <c r="K1424" s="868"/>
      <c r="L1424" s="65"/>
      <c r="M1424" s="65"/>
      <c r="N1424" s="65"/>
    </row>
    <row r="1425" spans="1:14" s="7" customFormat="1" ht="13.8" x14ac:dyDescent="0.25">
      <c r="B1425" s="1009" t="str">
        <f>B1396</f>
        <v>Лікар-рентгенолог</v>
      </c>
      <c r="C1425" s="1010"/>
      <c r="D1425" s="1010"/>
      <c r="E1425" s="1010"/>
      <c r="F1425" s="1010"/>
      <c r="G1425" s="1011"/>
      <c r="J1425" s="130"/>
      <c r="K1425" s="868"/>
      <c r="L1425" s="65"/>
      <c r="M1425" s="65"/>
      <c r="N1425" s="65"/>
    </row>
    <row r="1426" spans="1:14" s="7" customFormat="1" ht="13.8" x14ac:dyDescent="0.25">
      <c r="B1426" s="17" t="s">
        <v>951</v>
      </c>
      <c r="C1426" s="221">
        <f>C1374</f>
        <v>12188.608008565312</v>
      </c>
      <c r="D1426" s="17">
        <f>H1396</f>
        <v>1932.7</v>
      </c>
      <c r="E1426" s="17">
        <f>ROUND((C1426/D1426)/60,2)</f>
        <v>0.11</v>
      </c>
      <c r="F1426" s="17">
        <f>D1400</f>
        <v>10</v>
      </c>
      <c r="G1426" s="16">
        <f>ROUND(E1426*F1426,2)</f>
        <v>1.1000000000000001</v>
      </c>
      <c r="J1426" s="130"/>
      <c r="K1426" s="868"/>
      <c r="L1426" s="65"/>
      <c r="M1426" s="65"/>
      <c r="N1426" s="65"/>
    </row>
    <row r="1427" spans="1:14" s="7" customFormat="1" ht="13.8" x14ac:dyDescent="0.25">
      <c r="B1427" s="17" t="s">
        <v>952</v>
      </c>
      <c r="C1427" s="221">
        <f>C1375</f>
        <v>53.149721627408987</v>
      </c>
      <c r="D1427" s="17">
        <f>H1396</f>
        <v>1932.7</v>
      </c>
      <c r="E1427" s="17">
        <f>ROUND((C1427/D1427)/60,2)</f>
        <v>0</v>
      </c>
      <c r="F1427" s="17">
        <f>D1400</f>
        <v>10</v>
      </c>
      <c r="G1427" s="16">
        <f>ROUND(E1427*F1427,2)</f>
        <v>0</v>
      </c>
      <c r="J1427" s="130"/>
      <c r="K1427" s="868"/>
      <c r="L1427" s="65"/>
      <c r="M1427" s="65"/>
      <c r="N1427" s="65"/>
    </row>
    <row r="1428" spans="1:14" s="7" customFormat="1" ht="13.8" x14ac:dyDescent="0.25">
      <c r="B1428" s="17" t="s">
        <v>953</v>
      </c>
      <c r="C1428" s="221">
        <f>C1376</f>
        <v>374.98368308351178</v>
      </c>
      <c r="D1428" s="17">
        <f>H1396</f>
        <v>1932.7</v>
      </c>
      <c r="E1428" s="17">
        <f>ROUND((C1428/D1428)/60,2)</f>
        <v>0</v>
      </c>
      <c r="F1428" s="17">
        <f>D1400</f>
        <v>10</v>
      </c>
      <c r="G1428" s="16">
        <f>ROUND(E1428*F1428,2)</f>
        <v>0</v>
      </c>
      <c r="J1428" s="130"/>
      <c r="K1428" s="868"/>
      <c r="L1428" s="65"/>
      <c r="M1428" s="65"/>
      <c r="N1428" s="65"/>
    </row>
    <row r="1429" spans="1:14" s="7" customFormat="1" ht="13.8" x14ac:dyDescent="0.25">
      <c r="B1429" s="17" t="s">
        <v>1109</v>
      </c>
      <c r="C1429" s="221">
        <f>C1377</f>
        <v>1686.0389293361886</v>
      </c>
      <c r="D1429" s="17">
        <f>H1396</f>
        <v>1932.7</v>
      </c>
      <c r="E1429" s="17">
        <f>ROUND((C1429/D1429)/60,2)</f>
        <v>0.01</v>
      </c>
      <c r="F1429" s="17">
        <f>D1400</f>
        <v>10</v>
      </c>
      <c r="G1429" s="16">
        <f>ROUND(E1429*F1429,2)</f>
        <v>0.1</v>
      </c>
      <c r="J1429" s="130"/>
      <c r="K1429" s="868"/>
      <c r="L1429" s="65"/>
      <c r="M1429" s="65"/>
      <c r="N1429" s="65"/>
    </row>
    <row r="1430" spans="1:14" s="7" customFormat="1" ht="13.8" x14ac:dyDescent="0.25">
      <c r="B1430" s="1009" t="str">
        <f>B1397</f>
        <v>Рентгенолаборант</v>
      </c>
      <c r="C1430" s="1010"/>
      <c r="D1430" s="1010"/>
      <c r="E1430" s="1010"/>
      <c r="F1430" s="1010"/>
      <c r="G1430" s="1011"/>
      <c r="J1430" s="130"/>
      <c r="K1430" s="868"/>
      <c r="L1430" s="65"/>
      <c r="M1430" s="65"/>
      <c r="N1430" s="65"/>
    </row>
    <row r="1431" spans="1:14" s="7" customFormat="1" ht="13.8" x14ac:dyDescent="0.25">
      <c r="B1431" s="17" t="s">
        <v>951</v>
      </c>
      <c r="C1431" s="221">
        <f>C1426</f>
        <v>12188.608008565312</v>
      </c>
      <c r="D1431" s="17">
        <f>H1397</f>
        <v>1506</v>
      </c>
      <c r="E1431" s="17">
        <f>ROUND((C1431/D1431)/60,2)</f>
        <v>0.13</v>
      </c>
      <c r="F1431" s="17">
        <f>D1401</f>
        <v>15</v>
      </c>
      <c r="G1431" s="16">
        <f>ROUND(E1431*F1431,2)</f>
        <v>1.95</v>
      </c>
      <c r="J1431" s="130"/>
      <c r="K1431" s="868"/>
      <c r="L1431" s="65"/>
      <c r="M1431" s="65"/>
      <c r="N1431" s="65"/>
    </row>
    <row r="1432" spans="1:14" s="7" customFormat="1" ht="13.8" x14ac:dyDescent="0.25">
      <c r="B1432" s="17" t="s">
        <v>952</v>
      </c>
      <c r="C1432" s="221">
        <f>C1427</f>
        <v>53.149721627408987</v>
      </c>
      <c r="D1432" s="17">
        <f>H1397</f>
        <v>1506</v>
      </c>
      <c r="E1432" s="17">
        <f>ROUND((C1432/D1432)/60,2)</f>
        <v>0</v>
      </c>
      <c r="F1432" s="17">
        <f>D1401</f>
        <v>15</v>
      </c>
      <c r="G1432" s="16">
        <f>ROUND(E1432*F1432,2)</f>
        <v>0</v>
      </c>
      <c r="J1432" s="130"/>
      <c r="K1432" s="868"/>
      <c r="L1432" s="65"/>
      <c r="M1432" s="65"/>
      <c r="N1432" s="65"/>
    </row>
    <row r="1433" spans="1:14" x14ac:dyDescent="0.3">
      <c r="B1433" s="17" t="s">
        <v>953</v>
      </c>
      <c r="C1433" s="221">
        <f>C1428</f>
        <v>374.98368308351178</v>
      </c>
      <c r="D1433" s="17">
        <f>H1397</f>
        <v>1506</v>
      </c>
      <c r="E1433" s="17">
        <f>ROUND((C1433/D1433)/60,2)</f>
        <v>0</v>
      </c>
      <c r="F1433" s="17">
        <f>D1401</f>
        <v>15</v>
      </c>
      <c r="G1433" s="16">
        <f>ROUND(E1433*F1433,2)</f>
        <v>0</v>
      </c>
    </row>
    <row r="1434" spans="1:14" x14ac:dyDescent="0.3">
      <c r="B1434" s="17" t="s">
        <v>1109</v>
      </c>
      <c r="C1434" s="221">
        <f>C1429</f>
        <v>1686.0389293361886</v>
      </c>
      <c r="D1434" s="17">
        <f>H1397</f>
        <v>1506</v>
      </c>
      <c r="E1434" s="17">
        <f>ROUND((C1434/D1434)/60,2)</f>
        <v>0.02</v>
      </c>
      <c r="F1434" s="17">
        <f>D1401</f>
        <v>15</v>
      </c>
      <c r="G1434" s="16">
        <f>ROUND(E1434*F1434,2)</f>
        <v>0.3</v>
      </c>
    </row>
    <row r="1435" spans="1:14" x14ac:dyDescent="0.3">
      <c r="B1435" s="1012" t="s">
        <v>957</v>
      </c>
      <c r="C1435" s="1013"/>
      <c r="D1435" s="1013"/>
      <c r="E1435" s="1013"/>
      <c r="F1435" s="1014"/>
      <c r="G1435" s="18">
        <f>SUM(G1426:G1434)</f>
        <v>3.45</v>
      </c>
    </row>
    <row r="1438" spans="1:14" x14ac:dyDescent="0.3">
      <c r="B1438" s="1015" t="s">
        <v>959</v>
      </c>
      <c r="C1438" s="1015"/>
      <c r="D1438" s="1015"/>
      <c r="E1438" s="1015"/>
      <c r="F1438" s="1015"/>
      <c r="G1438" s="32">
        <f>E1393+E1405+E1416+E1422</f>
        <v>117.94000000000001</v>
      </c>
    </row>
    <row r="1439" spans="1:14" ht="11.25" customHeight="1" x14ac:dyDescent="0.3">
      <c r="B1439" s="33"/>
      <c r="C1439" s="33"/>
      <c r="D1439" s="33"/>
      <c r="E1439" s="33"/>
      <c r="F1439" s="33"/>
      <c r="G1439" s="34"/>
    </row>
    <row r="1440" spans="1:14" s="54" customFormat="1" ht="19.8" x14ac:dyDescent="0.4">
      <c r="A1440" s="53"/>
      <c r="B1440" s="1051" t="s">
        <v>960</v>
      </c>
      <c r="C1440" s="1051"/>
      <c r="D1440" s="1051"/>
      <c r="E1440" s="1051"/>
      <c r="F1440" s="1051"/>
      <c r="G1440" s="32">
        <f>ROUND(G1438,0)</f>
        <v>118</v>
      </c>
      <c r="H1440" s="53"/>
      <c r="I1440" s="53"/>
      <c r="J1440" s="132"/>
      <c r="K1440" s="868"/>
      <c r="L1440" s="65"/>
      <c r="M1440" s="65"/>
      <c r="N1440" s="65"/>
    </row>
    <row r="1441" spans="1:14" s="54" customFormat="1" ht="19.8" x14ac:dyDescent="0.4">
      <c r="A1441" s="53"/>
      <c r="B1441" s="149"/>
      <c r="C1441" s="149"/>
      <c r="D1441" s="149"/>
      <c r="E1441" s="149"/>
      <c r="F1441" s="149"/>
      <c r="G1441" s="152"/>
      <c r="H1441" s="53"/>
      <c r="I1441" s="53"/>
      <c r="J1441" s="132"/>
      <c r="K1441" s="868"/>
      <c r="L1441" s="65"/>
      <c r="M1441" s="65"/>
      <c r="N1441" s="65"/>
    </row>
    <row r="1442" spans="1:14" s="54" customFormat="1" ht="18.75" customHeight="1" x14ac:dyDescent="0.4">
      <c r="A1442" s="50" t="s">
        <v>271</v>
      </c>
      <c r="B1442" s="1032" t="s">
        <v>687</v>
      </c>
      <c r="C1442" s="1032"/>
      <c r="D1442" s="1032"/>
      <c r="E1442" s="52">
        <f>G1490</f>
        <v>86</v>
      </c>
      <c r="F1442" s="52" t="s">
        <v>971</v>
      </c>
      <c r="G1442" s="53"/>
      <c r="H1442" s="124"/>
      <c r="I1442" s="125" t="s">
        <v>1128</v>
      </c>
      <c r="J1442" s="132"/>
      <c r="K1442" s="868"/>
      <c r="L1442" s="65"/>
      <c r="M1442" s="65"/>
      <c r="N1442" s="65"/>
    </row>
    <row r="1444" spans="1:14" ht="15" customHeight="1" x14ac:dyDescent="0.3">
      <c r="B1444" s="1018" t="s">
        <v>932</v>
      </c>
      <c r="C1444" s="1018"/>
      <c r="D1444" s="10"/>
      <c r="E1444" s="11">
        <f>E1451+E1454+E1452</f>
        <v>31.78</v>
      </c>
      <c r="F1444" s="12" t="s">
        <v>971</v>
      </c>
    </row>
    <row r="1446" spans="1:14" ht="27.6" x14ac:dyDescent="0.3">
      <c r="B1446" s="13" t="s">
        <v>929</v>
      </c>
      <c r="C1446" s="14" t="s">
        <v>928</v>
      </c>
      <c r="D1446" s="14" t="s">
        <v>514</v>
      </c>
      <c r="E1446" s="14" t="s">
        <v>515</v>
      </c>
      <c r="F1446" s="14" t="s">
        <v>962</v>
      </c>
      <c r="G1446" s="14" t="s">
        <v>926</v>
      </c>
      <c r="H1446" s="14" t="s">
        <v>516</v>
      </c>
      <c r="I1446" s="14" t="s">
        <v>961</v>
      </c>
    </row>
    <row r="1447" spans="1:14" x14ac:dyDescent="0.3">
      <c r="B1447" s="16" t="str">
        <f>B1293</f>
        <v>Лікар-рентгенолог</v>
      </c>
      <c r="C1447" s="78">
        <f>C1293</f>
        <v>8463.5400000000009</v>
      </c>
      <c r="D1447" s="16">
        <f>C1447*12</f>
        <v>101562.48000000001</v>
      </c>
      <c r="E1447" s="16">
        <f>E1293</f>
        <v>7052.95</v>
      </c>
      <c r="F1447" s="16">
        <f>F1293</f>
        <v>3526.4749999999999</v>
      </c>
      <c r="G1447" s="16">
        <f>D1447+E1447+F1447</f>
        <v>112141.90500000001</v>
      </c>
      <c r="H1447" s="17">
        <v>1932.7</v>
      </c>
      <c r="I1447" s="16">
        <f>ROUND((G1447/H1447)/60,2)</f>
        <v>0.97</v>
      </c>
    </row>
    <row r="1448" spans="1:14" x14ac:dyDescent="0.3">
      <c r="B1448" s="16" t="str">
        <f>B1294</f>
        <v>Рентгенолаборант</v>
      </c>
      <c r="C1448" s="78">
        <f>C1294</f>
        <v>7482.48</v>
      </c>
      <c r="D1448" s="24">
        <f>C1448*12</f>
        <v>89789.759999999995</v>
      </c>
      <c r="E1448" s="16">
        <f>E1294</f>
        <v>5755.75</v>
      </c>
      <c r="F1448" s="16">
        <f>F1294</f>
        <v>2877.875</v>
      </c>
      <c r="G1448" s="16">
        <f>D1448+E1448+F1448</f>
        <v>98423.384999999995</v>
      </c>
      <c r="H1448" s="62">
        <v>1506</v>
      </c>
      <c r="I1448" s="16">
        <f>ROUND((G1448/H1448)/60,2)</f>
        <v>1.0900000000000001</v>
      </c>
    </row>
    <row r="1450" spans="1:14" ht="27.6" x14ac:dyDescent="0.3">
      <c r="B1450" s="13" t="s">
        <v>929</v>
      </c>
      <c r="C1450" s="14" t="s">
        <v>961</v>
      </c>
      <c r="D1450" s="14" t="s">
        <v>930</v>
      </c>
      <c r="E1450" s="14" t="s">
        <v>931</v>
      </c>
    </row>
    <row r="1451" spans="1:14" x14ac:dyDescent="0.3">
      <c r="B1451" s="15" t="str">
        <f>B1447</f>
        <v>Лікар-рентгенолог</v>
      </c>
      <c r="C1451" s="78">
        <f>I1447</f>
        <v>0.97</v>
      </c>
      <c r="D1451" s="17">
        <v>10</v>
      </c>
      <c r="E1451" s="18">
        <f>ROUND(C1451*D1451,2)</f>
        <v>9.6999999999999993</v>
      </c>
    </row>
    <row r="1452" spans="1:14" x14ac:dyDescent="0.3">
      <c r="B1452" s="15" t="str">
        <f>B1448</f>
        <v>Рентгенолаборант</v>
      </c>
      <c r="C1452" s="78">
        <f>I1448</f>
        <v>1.0900000000000001</v>
      </c>
      <c r="D1452" s="17">
        <v>15</v>
      </c>
      <c r="E1452" s="18">
        <f>ROUND(C1452*D1452,2)</f>
        <v>16.350000000000001</v>
      </c>
    </row>
    <row r="1453" spans="1:14" x14ac:dyDescent="0.3">
      <c r="C1453" s="19"/>
    </row>
    <row r="1454" spans="1:14" x14ac:dyDescent="0.3">
      <c r="B1454" s="17" t="s">
        <v>933</v>
      </c>
      <c r="C1454" s="78">
        <f>E1451+E1452</f>
        <v>26.05</v>
      </c>
      <c r="D1454" s="20">
        <v>0.22</v>
      </c>
      <c r="E1454" s="21">
        <f>ROUND(C1454*D1454,2)</f>
        <v>5.73</v>
      </c>
    </row>
    <row r="1456" spans="1:14" x14ac:dyDescent="0.3">
      <c r="B1456" s="12" t="s">
        <v>946</v>
      </c>
      <c r="C1456" s="227"/>
      <c r="D1456" s="12"/>
      <c r="E1456" s="11">
        <f>F1464</f>
        <v>2.88</v>
      </c>
      <c r="F1456" s="12" t="s">
        <v>971</v>
      </c>
    </row>
    <row r="1458" spans="1:14" x14ac:dyDescent="0.3">
      <c r="B1458" s="27" t="s">
        <v>936</v>
      </c>
      <c r="C1458" s="28" t="s">
        <v>937</v>
      </c>
      <c r="D1458" s="29">
        <v>1</v>
      </c>
      <c r="E1458" s="30">
        <f>'МЕДИЧНІ М'!F115</f>
        <v>0.3</v>
      </c>
      <c r="F1458" s="30">
        <f t="shared" ref="F1458:F1463" si="52">ROUND(D1458*E1458,2)</f>
        <v>0.3</v>
      </c>
    </row>
    <row r="1459" spans="1:14" s="184" customFormat="1" x14ac:dyDescent="0.3">
      <c r="A1459" s="180"/>
      <c r="B1459" s="185" t="s">
        <v>1021</v>
      </c>
      <c r="C1459" s="186" t="s">
        <v>941</v>
      </c>
      <c r="D1459" s="164">
        <v>0.5</v>
      </c>
      <c r="E1459" s="164">
        <f>'МЕДИЧНІ М'!E181</f>
        <v>2</v>
      </c>
      <c r="F1459" s="164">
        <f t="shared" si="52"/>
        <v>1</v>
      </c>
      <c r="G1459" s="180"/>
      <c r="H1459" s="180"/>
      <c r="I1459" s="180"/>
      <c r="J1459" s="187"/>
      <c r="K1459" s="866"/>
      <c r="L1459" s="861"/>
      <c r="M1459" s="861"/>
      <c r="N1459" s="861"/>
    </row>
    <row r="1460" spans="1:14" x14ac:dyDescent="0.3">
      <c r="B1460" s="15" t="s">
        <v>1216</v>
      </c>
      <c r="C1460" s="73" t="s">
        <v>941</v>
      </c>
      <c r="D1460" s="17">
        <v>0.1</v>
      </c>
      <c r="E1460" s="16">
        <f>'МЕДИЧНІ М'!E113</f>
        <v>8</v>
      </c>
      <c r="F1460" s="17">
        <f t="shared" si="52"/>
        <v>0.8</v>
      </c>
    </row>
    <row r="1461" spans="1:14" x14ac:dyDescent="0.3">
      <c r="B1461" s="15" t="s">
        <v>964</v>
      </c>
      <c r="C1461" s="73" t="s">
        <v>941</v>
      </c>
      <c r="D1461" s="17">
        <v>0.1</v>
      </c>
      <c r="E1461" s="16">
        <f>'МЕДИЧНІ М'!E119</f>
        <v>2.8</v>
      </c>
      <c r="F1461" s="17">
        <f t="shared" si="52"/>
        <v>0.28000000000000003</v>
      </c>
    </row>
    <row r="1462" spans="1:14" x14ac:dyDescent="0.3">
      <c r="B1462" s="27" t="s">
        <v>942</v>
      </c>
      <c r="C1462" s="28" t="s">
        <v>941</v>
      </c>
      <c r="D1462" s="29">
        <v>0.01</v>
      </c>
      <c r="E1462" s="29">
        <f>'МЕДИЧНІ М'!E120</f>
        <v>24.6</v>
      </c>
      <c r="F1462" s="30">
        <f t="shared" si="52"/>
        <v>0.25</v>
      </c>
    </row>
    <row r="1463" spans="1:14" s="7" customFormat="1" ht="13.8" x14ac:dyDescent="0.25">
      <c r="B1463" s="27" t="s">
        <v>1124</v>
      </c>
      <c r="C1463" s="28" t="s">
        <v>944</v>
      </c>
      <c r="D1463" s="29">
        <v>0.5</v>
      </c>
      <c r="E1463" s="29">
        <f>'МЕДИЧНІ М'!E114</f>
        <v>0.5</v>
      </c>
      <c r="F1463" s="30">
        <f t="shared" si="52"/>
        <v>0.25</v>
      </c>
      <c r="J1463" s="130"/>
      <c r="K1463" s="868"/>
      <c r="L1463" s="65"/>
      <c r="M1463" s="65"/>
      <c r="N1463" s="65"/>
    </row>
    <row r="1464" spans="1:14" s="7" customFormat="1" ht="13.8" x14ac:dyDescent="0.25">
      <c r="B1464" s="1019" t="s">
        <v>945</v>
      </c>
      <c r="C1464" s="1019"/>
      <c r="D1464" s="1019"/>
      <c r="E1464" s="1019"/>
      <c r="F1464" s="89">
        <f>SUM(F1458:F1463)</f>
        <v>2.88</v>
      </c>
      <c r="J1464" s="130"/>
      <c r="K1464" s="868"/>
      <c r="L1464" s="65"/>
      <c r="M1464" s="65"/>
      <c r="N1464" s="65"/>
    </row>
    <row r="1466" spans="1:14" s="7" customFormat="1" ht="13.8" x14ac:dyDescent="0.25">
      <c r="B1466" s="12" t="s">
        <v>968</v>
      </c>
      <c r="C1466" s="227"/>
      <c r="D1466" s="12"/>
      <c r="E1466" s="11">
        <f>SUM(G1469:G1470)</f>
        <v>48.15</v>
      </c>
      <c r="F1466" s="12" t="s">
        <v>971</v>
      </c>
      <c r="J1466" s="130"/>
      <c r="K1466" s="868"/>
      <c r="L1466" s="65"/>
      <c r="M1466" s="65"/>
      <c r="N1466" s="65"/>
    </row>
    <row r="1467" spans="1:14" s="7" customFormat="1" ht="13.8" x14ac:dyDescent="0.25">
      <c r="B1467" s="22"/>
      <c r="C1467" s="36"/>
      <c r="D1467" s="22"/>
      <c r="E1467" s="23"/>
      <c r="F1467" s="22"/>
      <c r="J1467" s="130"/>
      <c r="K1467" s="868"/>
      <c r="L1467" s="65"/>
      <c r="M1467" s="65"/>
      <c r="N1467" s="65"/>
    </row>
    <row r="1468" spans="1:14" s="7" customFormat="1" ht="27.6" x14ac:dyDescent="0.25">
      <c r="B1468" s="14" t="s">
        <v>513</v>
      </c>
      <c r="C1468" s="14" t="s">
        <v>1108</v>
      </c>
      <c r="D1468" s="14" t="s">
        <v>516</v>
      </c>
      <c r="E1468" s="14" t="s">
        <v>970</v>
      </c>
      <c r="F1468" s="14" t="s">
        <v>930</v>
      </c>
      <c r="G1468" s="14" t="s">
        <v>961</v>
      </c>
      <c r="J1468" s="130"/>
      <c r="K1468" s="868"/>
      <c r="L1468" s="65"/>
      <c r="M1468" s="65"/>
      <c r="N1468" s="65"/>
    </row>
    <row r="1469" spans="1:14" s="7" customFormat="1" ht="13.8" x14ac:dyDescent="0.25">
      <c r="B1469" s="46" t="s">
        <v>1161</v>
      </c>
      <c r="C1469" s="78">
        <f>C1316</f>
        <v>0</v>
      </c>
      <c r="D1469" s="62">
        <f>H1447</f>
        <v>1932.7</v>
      </c>
      <c r="E1469" s="17">
        <f>ROUND((C1469/D1469)/60,2)</f>
        <v>0</v>
      </c>
      <c r="F1469" s="17">
        <f>D1451</f>
        <v>10</v>
      </c>
      <c r="G1469" s="16">
        <f>ROUND(E1469*F1469,2)</f>
        <v>0</v>
      </c>
      <c r="J1469" s="130"/>
      <c r="K1469" s="868"/>
      <c r="L1469" s="65"/>
      <c r="M1469" s="65"/>
      <c r="N1469" s="65"/>
    </row>
    <row r="1470" spans="1:14" s="7" customFormat="1" ht="13.8" x14ac:dyDescent="0.25">
      <c r="B1470" s="27" t="s">
        <v>1093</v>
      </c>
      <c r="C1470" s="78">
        <f>C1317</f>
        <v>290000</v>
      </c>
      <c r="D1470" s="62">
        <f>H1448</f>
        <v>1506</v>
      </c>
      <c r="E1470" s="17">
        <f>ROUND((C1470/D1470)/60,2)</f>
        <v>3.21</v>
      </c>
      <c r="F1470" s="17">
        <f>D1452</f>
        <v>15</v>
      </c>
      <c r="G1470" s="16">
        <f>ROUND(E1470*F1470,2)</f>
        <v>48.15</v>
      </c>
      <c r="H1470" s="38"/>
      <c r="J1470" s="130"/>
      <c r="K1470" s="868"/>
      <c r="L1470" s="65"/>
      <c r="M1470" s="65"/>
      <c r="N1470" s="65"/>
    </row>
    <row r="1472" spans="1:14" s="7" customFormat="1" ht="13.8" x14ac:dyDescent="0.25">
      <c r="B1472" s="12" t="s">
        <v>948</v>
      </c>
      <c r="C1472" s="227"/>
      <c r="D1472" s="12"/>
      <c r="E1472" s="11">
        <f>G1485</f>
        <v>3.45</v>
      </c>
      <c r="F1472" s="12" t="s">
        <v>971</v>
      </c>
      <c r="J1472" s="130"/>
      <c r="K1472" s="868"/>
      <c r="L1472" s="65"/>
      <c r="M1472" s="65"/>
      <c r="N1472" s="65"/>
    </row>
    <row r="1473" spans="2:14" s="7" customFormat="1" ht="13.8" x14ac:dyDescent="0.25">
      <c r="B1473" s="22"/>
      <c r="C1473" s="36"/>
      <c r="D1473" s="22"/>
      <c r="E1473" s="23"/>
      <c r="J1473" s="130"/>
      <c r="K1473" s="868"/>
      <c r="L1473" s="65"/>
      <c r="M1473" s="65"/>
      <c r="N1473" s="65"/>
    </row>
    <row r="1474" spans="2:14" s="7" customFormat="1" ht="27.6" x14ac:dyDescent="0.25">
      <c r="B1474" s="14" t="s">
        <v>948</v>
      </c>
      <c r="C1474" s="14" t="s">
        <v>1110</v>
      </c>
      <c r="D1474" s="14" t="s">
        <v>516</v>
      </c>
      <c r="E1474" s="14" t="s">
        <v>954</v>
      </c>
      <c r="F1474" s="14" t="s">
        <v>930</v>
      </c>
      <c r="G1474" s="14" t="s">
        <v>1111</v>
      </c>
      <c r="J1474" s="130"/>
      <c r="K1474" s="868"/>
      <c r="L1474" s="65"/>
      <c r="M1474" s="65"/>
      <c r="N1474" s="65"/>
    </row>
    <row r="1475" spans="2:14" s="7" customFormat="1" ht="13.8" x14ac:dyDescent="0.25">
      <c r="B1475" s="1009" t="str">
        <f>B1447</f>
        <v>Лікар-рентгенолог</v>
      </c>
      <c r="C1475" s="1010"/>
      <c r="D1475" s="1010"/>
      <c r="E1475" s="1010"/>
      <c r="F1475" s="1010"/>
      <c r="G1475" s="1011"/>
      <c r="J1475" s="130"/>
      <c r="K1475" s="868"/>
      <c r="L1475" s="65"/>
      <c r="M1475" s="65"/>
      <c r="N1475" s="65"/>
    </row>
    <row r="1476" spans="2:14" s="7" customFormat="1" ht="13.8" x14ac:dyDescent="0.25">
      <c r="B1476" s="17" t="s">
        <v>951</v>
      </c>
      <c r="C1476" s="221">
        <f>C1323</f>
        <v>12188.608008565312</v>
      </c>
      <c r="D1476" s="17">
        <f>H1447</f>
        <v>1932.7</v>
      </c>
      <c r="E1476" s="17">
        <f>ROUND((C1476/D1476)/60,2)</f>
        <v>0.11</v>
      </c>
      <c r="F1476" s="17">
        <f>D1451</f>
        <v>10</v>
      </c>
      <c r="G1476" s="16">
        <f>ROUND(E1476*F1476,2)</f>
        <v>1.1000000000000001</v>
      </c>
      <c r="J1476" s="130"/>
      <c r="K1476" s="868"/>
      <c r="L1476" s="65"/>
      <c r="M1476" s="65"/>
      <c r="N1476" s="65"/>
    </row>
    <row r="1477" spans="2:14" s="7" customFormat="1" ht="13.8" x14ac:dyDescent="0.25">
      <c r="B1477" s="17" t="s">
        <v>952</v>
      </c>
      <c r="C1477" s="221">
        <f>C1324</f>
        <v>53.149721627408987</v>
      </c>
      <c r="D1477" s="17">
        <f>H1447</f>
        <v>1932.7</v>
      </c>
      <c r="E1477" s="17">
        <f>ROUND((C1477/D1477)/60,2)</f>
        <v>0</v>
      </c>
      <c r="F1477" s="17">
        <f>D1451</f>
        <v>10</v>
      </c>
      <c r="G1477" s="16">
        <f>ROUND(E1477*F1477,2)</f>
        <v>0</v>
      </c>
      <c r="J1477" s="130"/>
      <c r="K1477" s="868"/>
      <c r="L1477" s="65"/>
      <c r="M1477" s="65"/>
      <c r="N1477" s="65"/>
    </row>
    <row r="1478" spans="2:14" s="7" customFormat="1" ht="13.8" x14ac:dyDescent="0.25">
      <c r="B1478" s="17" t="s">
        <v>953</v>
      </c>
      <c r="C1478" s="221">
        <f>C1325</f>
        <v>374.98368308351178</v>
      </c>
      <c r="D1478" s="17">
        <f>H1447</f>
        <v>1932.7</v>
      </c>
      <c r="E1478" s="17">
        <f>ROUND((C1478/D1478)/60,2)</f>
        <v>0</v>
      </c>
      <c r="F1478" s="17">
        <f>D1451</f>
        <v>10</v>
      </c>
      <c r="G1478" s="16">
        <f>ROUND(E1478*F1478,2)</f>
        <v>0</v>
      </c>
      <c r="J1478" s="130"/>
      <c r="K1478" s="868"/>
      <c r="L1478" s="65"/>
      <c r="M1478" s="65"/>
      <c r="N1478" s="65"/>
    </row>
    <row r="1479" spans="2:14" x14ac:dyDescent="0.3">
      <c r="B1479" s="17" t="s">
        <v>1109</v>
      </c>
      <c r="C1479" s="221">
        <f>C1326</f>
        <v>1686.0389293361886</v>
      </c>
      <c r="D1479" s="17">
        <f>H1447</f>
        <v>1932.7</v>
      </c>
      <c r="E1479" s="17">
        <f>ROUND((C1479/D1479)/60,2)</f>
        <v>0.01</v>
      </c>
      <c r="F1479" s="17">
        <f>D1451</f>
        <v>10</v>
      </c>
      <c r="G1479" s="16">
        <f>ROUND(E1479*F1479,2)</f>
        <v>0.1</v>
      </c>
    </row>
    <row r="1480" spans="2:14" x14ac:dyDescent="0.3">
      <c r="B1480" s="1009" t="str">
        <f>B1448</f>
        <v>Рентгенолаборант</v>
      </c>
      <c r="C1480" s="1010"/>
      <c r="D1480" s="1010"/>
      <c r="E1480" s="1010"/>
      <c r="F1480" s="1010"/>
      <c r="G1480" s="1011"/>
    </row>
    <row r="1481" spans="2:14" x14ac:dyDescent="0.3">
      <c r="B1481" s="17" t="s">
        <v>951</v>
      </c>
      <c r="C1481" s="221">
        <f>C1476</f>
        <v>12188.608008565312</v>
      </c>
      <c r="D1481" s="17">
        <f>H1448</f>
        <v>1506</v>
      </c>
      <c r="E1481" s="17">
        <f>ROUND((C1481/D1481)/60,2)</f>
        <v>0.13</v>
      </c>
      <c r="F1481" s="17">
        <f>D1452</f>
        <v>15</v>
      </c>
      <c r="G1481" s="16">
        <f>ROUND(E1481*F1481,2)</f>
        <v>1.95</v>
      </c>
    </row>
    <row r="1482" spans="2:14" x14ac:dyDescent="0.3">
      <c r="B1482" s="17" t="s">
        <v>952</v>
      </c>
      <c r="C1482" s="221">
        <f>C1477</f>
        <v>53.149721627408987</v>
      </c>
      <c r="D1482" s="17">
        <f>H1448</f>
        <v>1506</v>
      </c>
      <c r="E1482" s="17">
        <f>ROUND((C1482/D1482)/60,2)</f>
        <v>0</v>
      </c>
      <c r="F1482" s="17">
        <f>D1452</f>
        <v>15</v>
      </c>
      <c r="G1482" s="16">
        <f>ROUND(E1482*F1482,2)</f>
        <v>0</v>
      </c>
    </row>
    <row r="1483" spans="2:14" x14ac:dyDescent="0.3">
      <c r="B1483" s="17" t="s">
        <v>953</v>
      </c>
      <c r="C1483" s="221">
        <f>C1478</f>
        <v>374.98368308351178</v>
      </c>
      <c r="D1483" s="17">
        <f>H1448</f>
        <v>1506</v>
      </c>
      <c r="E1483" s="17">
        <f>ROUND((C1483/D1483)/60,2)</f>
        <v>0</v>
      </c>
      <c r="F1483" s="17">
        <f>D1452</f>
        <v>15</v>
      </c>
      <c r="G1483" s="16">
        <f>ROUND(E1483*F1483,2)</f>
        <v>0</v>
      </c>
    </row>
    <row r="1484" spans="2:14" x14ac:dyDescent="0.3">
      <c r="B1484" s="17" t="s">
        <v>1109</v>
      </c>
      <c r="C1484" s="221">
        <f>C1479</f>
        <v>1686.0389293361886</v>
      </c>
      <c r="D1484" s="17">
        <f>H1448</f>
        <v>1506</v>
      </c>
      <c r="E1484" s="17">
        <f>ROUND((C1484/D1484)/60,2)</f>
        <v>0.02</v>
      </c>
      <c r="F1484" s="17">
        <f>D1452</f>
        <v>15</v>
      </c>
      <c r="G1484" s="16">
        <f>ROUND(E1484*F1484,2)</f>
        <v>0.3</v>
      </c>
    </row>
    <row r="1485" spans="2:14" x14ac:dyDescent="0.3">
      <c r="B1485" s="1012" t="s">
        <v>957</v>
      </c>
      <c r="C1485" s="1013"/>
      <c r="D1485" s="1013"/>
      <c r="E1485" s="1013"/>
      <c r="F1485" s="1014"/>
      <c r="G1485" s="18">
        <f>SUM(G1476:G1484)</f>
        <v>3.45</v>
      </c>
    </row>
    <row r="1486" spans="2:14" ht="13.5" customHeight="1" x14ac:dyDescent="0.3"/>
    <row r="1488" spans="2:14" x14ac:dyDescent="0.3">
      <c r="B1488" s="1015" t="s">
        <v>959</v>
      </c>
      <c r="C1488" s="1015"/>
      <c r="D1488" s="1015"/>
      <c r="E1488" s="1015"/>
      <c r="F1488" s="1015"/>
      <c r="G1488" s="32">
        <f>E1444+E1456+E1466+E1472</f>
        <v>86.26</v>
      </c>
    </row>
    <row r="1489" spans="1:14" x14ac:dyDescent="0.3">
      <c r="B1489" s="33"/>
      <c r="C1489" s="33"/>
      <c r="D1489" s="33"/>
      <c r="E1489" s="33"/>
      <c r="F1489" s="33"/>
      <c r="G1489" s="34"/>
    </row>
    <row r="1490" spans="1:14" x14ac:dyDescent="0.3">
      <c r="B1490" s="1015" t="s">
        <v>960</v>
      </c>
      <c r="C1490" s="1015"/>
      <c r="D1490" s="1015"/>
      <c r="E1490" s="1015"/>
      <c r="F1490" s="1015"/>
      <c r="G1490" s="32">
        <f>ROUND(G1488,0)</f>
        <v>86</v>
      </c>
    </row>
    <row r="1492" spans="1:14" s="54" customFormat="1" ht="19.8" x14ac:dyDescent="0.4">
      <c r="A1492" s="1016"/>
      <c r="B1492" s="1016"/>
      <c r="C1492" s="1016"/>
      <c r="D1492" s="1016"/>
      <c r="E1492" s="1016"/>
      <c r="F1492" s="1016"/>
      <c r="G1492" s="1016"/>
      <c r="H1492" s="1016"/>
      <c r="I1492" s="1016"/>
      <c r="J1492" s="132"/>
      <c r="K1492" s="868"/>
      <c r="L1492" s="65"/>
      <c r="M1492" s="65"/>
      <c r="N1492" s="65"/>
    </row>
    <row r="1493" spans="1:14" s="54" customFormat="1" ht="19.8" x14ac:dyDescent="0.4">
      <c r="A1493" s="53"/>
      <c r="B1493" s="53"/>
      <c r="C1493" s="225"/>
      <c r="D1493" s="53"/>
      <c r="E1493" s="53"/>
      <c r="F1493" s="53"/>
      <c r="G1493" s="53"/>
      <c r="H1493" s="53"/>
      <c r="I1493" s="53"/>
      <c r="J1493" s="132"/>
      <c r="K1493" s="868"/>
      <c r="L1493" s="65"/>
      <c r="M1493" s="65"/>
      <c r="N1493" s="65"/>
    </row>
    <row r="1494" spans="1:14" s="54" customFormat="1" ht="19.8" x14ac:dyDescent="0.4">
      <c r="A1494" s="50" t="s">
        <v>250</v>
      </c>
      <c r="B1494" s="1032" t="s">
        <v>691</v>
      </c>
      <c r="C1494" s="1032"/>
      <c r="D1494" s="1032"/>
      <c r="E1494" s="52">
        <f>G1543</f>
        <v>87</v>
      </c>
      <c r="F1494" s="52" t="s">
        <v>971</v>
      </c>
      <c r="G1494" s="53"/>
      <c r="H1494" s="124"/>
      <c r="I1494" s="125" t="s">
        <v>1022</v>
      </c>
      <c r="J1494" s="132"/>
      <c r="K1494" s="868"/>
      <c r="L1494" s="65"/>
      <c r="M1494" s="65"/>
      <c r="N1494" s="65"/>
    </row>
    <row r="1496" spans="1:14" x14ac:dyDescent="0.3">
      <c r="B1496" s="1018" t="s">
        <v>932</v>
      </c>
      <c r="C1496" s="1018"/>
      <c r="D1496" s="10"/>
      <c r="E1496" s="11">
        <f>E1503+E1506+E1504</f>
        <v>31.78</v>
      </c>
      <c r="F1496" s="12" t="s">
        <v>971</v>
      </c>
    </row>
    <row r="1497" spans="1:14" ht="8.25" customHeight="1" x14ac:dyDescent="0.3"/>
    <row r="1498" spans="1:14" ht="27.6" x14ac:dyDescent="0.3">
      <c r="B1498" s="13" t="s">
        <v>929</v>
      </c>
      <c r="C1498" s="14" t="s">
        <v>928</v>
      </c>
      <c r="D1498" s="14" t="s">
        <v>514</v>
      </c>
      <c r="E1498" s="14" t="s">
        <v>515</v>
      </c>
      <c r="F1498" s="14" t="s">
        <v>962</v>
      </c>
      <c r="G1498" s="14" t="s">
        <v>926</v>
      </c>
      <c r="H1498" s="14" t="s">
        <v>516</v>
      </c>
      <c r="I1498" s="14" t="s">
        <v>961</v>
      </c>
    </row>
    <row r="1499" spans="1:14" x14ac:dyDescent="0.3">
      <c r="B1499" s="16" t="str">
        <f>B1447</f>
        <v>Лікар-рентгенолог</v>
      </c>
      <c r="C1499" s="16">
        <f t="shared" ref="C1499:H1499" si="53">C1447</f>
        <v>8463.5400000000009</v>
      </c>
      <c r="D1499" s="16">
        <f t="shared" si="53"/>
        <v>101562.48000000001</v>
      </c>
      <c r="E1499" s="16">
        <f t="shared" si="53"/>
        <v>7052.95</v>
      </c>
      <c r="F1499" s="16">
        <f t="shared" si="53"/>
        <v>3526.4749999999999</v>
      </c>
      <c r="G1499" s="16">
        <f t="shared" si="53"/>
        <v>112141.90500000001</v>
      </c>
      <c r="H1499" s="16">
        <f t="shared" si="53"/>
        <v>1932.7</v>
      </c>
      <c r="I1499" s="16">
        <f>ROUND((G1499/H1499)/60,2)</f>
        <v>0.97</v>
      </c>
    </row>
    <row r="1500" spans="1:14" x14ac:dyDescent="0.3">
      <c r="B1500" s="16" t="str">
        <f>B1448</f>
        <v>Рентгенолаборант</v>
      </c>
      <c r="C1500" s="16">
        <f t="shared" ref="C1500:H1500" si="54">C1448</f>
        <v>7482.48</v>
      </c>
      <c r="D1500" s="16">
        <f t="shared" si="54"/>
        <v>89789.759999999995</v>
      </c>
      <c r="E1500" s="16">
        <f t="shared" si="54"/>
        <v>5755.75</v>
      </c>
      <c r="F1500" s="16">
        <f t="shared" si="54"/>
        <v>2877.875</v>
      </c>
      <c r="G1500" s="16">
        <f t="shared" si="54"/>
        <v>98423.384999999995</v>
      </c>
      <c r="H1500" s="16">
        <f t="shared" si="54"/>
        <v>1506</v>
      </c>
      <c r="I1500" s="16">
        <f>ROUND((G1500/H1500)/60,2)</f>
        <v>1.0900000000000001</v>
      </c>
    </row>
    <row r="1502" spans="1:14" ht="27.6" x14ac:dyDescent="0.3">
      <c r="B1502" s="13" t="s">
        <v>929</v>
      </c>
      <c r="C1502" s="14" t="s">
        <v>961</v>
      </c>
      <c r="D1502" s="14" t="s">
        <v>930</v>
      </c>
      <c r="E1502" s="14" t="s">
        <v>931</v>
      </c>
    </row>
    <row r="1503" spans="1:14" x14ac:dyDescent="0.3">
      <c r="B1503" s="15" t="str">
        <f>B1499</f>
        <v>Лікар-рентгенолог</v>
      </c>
      <c r="C1503" s="78">
        <f>I1499</f>
        <v>0.97</v>
      </c>
      <c r="D1503" s="17">
        <v>10</v>
      </c>
      <c r="E1503" s="18">
        <f>ROUND(C1503*D1503,2)</f>
        <v>9.6999999999999993</v>
      </c>
    </row>
    <row r="1504" spans="1:14" x14ac:dyDescent="0.3">
      <c r="B1504" s="15" t="str">
        <f>B1500</f>
        <v>Рентгенолаборант</v>
      </c>
      <c r="C1504" s="78">
        <f>I1500</f>
        <v>1.0900000000000001</v>
      </c>
      <c r="D1504" s="17">
        <v>15</v>
      </c>
      <c r="E1504" s="18">
        <f>ROUND(C1504*D1504,2)</f>
        <v>16.350000000000001</v>
      </c>
    </row>
    <row r="1505" spans="1:14" x14ac:dyDescent="0.3">
      <c r="C1505" s="19"/>
    </row>
    <row r="1506" spans="1:14" x14ac:dyDescent="0.3">
      <c r="B1506" s="17" t="s">
        <v>933</v>
      </c>
      <c r="C1506" s="78">
        <f>E1503+E1504</f>
        <v>26.05</v>
      </c>
      <c r="D1506" s="20">
        <v>0.22</v>
      </c>
      <c r="E1506" s="21">
        <f>ROUND(C1506*D1506,2)</f>
        <v>5.73</v>
      </c>
    </row>
    <row r="1508" spans="1:14" x14ac:dyDescent="0.3">
      <c r="B1508" s="12" t="s">
        <v>946</v>
      </c>
      <c r="C1508" s="227"/>
      <c r="D1508" s="12"/>
      <c r="E1508" s="12">
        <f>F1517</f>
        <v>3.1799999999999997</v>
      </c>
      <c r="F1508" s="12" t="s">
        <v>971</v>
      </c>
    </row>
    <row r="1510" spans="1:14" x14ac:dyDescent="0.3">
      <c r="B1510" s="27" t="s">
        <v>936</v>
      </c>
      <c r="C1510" s="28" t="s">
        <v>937</v>
      </c>
      <c r="D1510" s="29">
        <v>1</v>
      </c>
      <c r="E1510" s="30">
        <f>'МЕДИЧНІ М'!F115</f>
        <v>0.3</v>
      </c>
      <c r="F1510" s="30">
        <f>ROUND(D1510*E1510,2)</f>
        <v>0.3</v>
      </c>
    </row>
    <row r="1511" spans="1:14" s="184" customFormat="1" x14ac:dyDescent="0.3">
      <c r="A1511" s="180"/>
      <c r="B1511" s="185" t="s">
        <v>1021</v>
      </c>
      <c r="C1511" s="186" t="s">
        <v>941</v>
      </c>
      <c r="D1511" s="164">
        <v>0.5</v>
      </c>
      <c r="E1511" s="164">
        <f>'МЕДИЧНІ М'!E181</f>
        <v>2</v>
      </c>
      <c r="F1511" s="164">
        <f t="shared" ref="F1511:F1516" si="55">ROUND(D1511*E1511,2)</f>
        <v>1</v>
      </c>
      <c r="G1511" s="180"/>
      <c r="H1511" s="180"/>
      <c r="I1511" s="180"/>
      <c r="J1511" s="187"/>
      <c r="K1511" s="866"/>
      <c r="L1511" s="861"/>
      <c r="M1511" s="861"/>
      <c r="N1511" s="861"/>
    </row>
    <row r="1512" spans="1:14" s="7" customFormat="1" ht="13.8" x14ac:dyDescent="0.25">
      <c r="B1512" s="15" t="s">
        <v>1216</v>
      </c>
      <c r="C1512" s="73" t="s">
        <v>941</v>
      </c>
      <c r="D1512" s="17">
        <v>0.1</v>
      </c>
      <c r="E1512" s="16">
        <f>'МЕДИЧНІ М'!E113</f>
        <v>8</v>
      </c>
      <c r="F1512" s="17">
        <f t="shared" si="55"/>
        <v>0.8</v>
      </c>
      <c r="J1512" s="130"/>
      <c r="K1512" s="868"/>
      <c r="L1512" s="65"/>
      <c r="M1512" s="65"/>
      <c r="N1512" s="65"/>
    </row>
    <row r="1513" spans="1:14" s="7" customFormat="1" ht="13.8" x14ac:dyDescent="0.25">
      <c r="B1513" s="15" t="s">
        <v>98</v>
      </c>
      <c r="C1513" s="73" t="s">
        <v>941</v>
      </c>
      <c r="D1513" s="17">
        <v>1</v>
      </c>
      <c r="E1513" s="16">
        <f>МАТЕРІАЛИ!E4</f>
        <v>0.3</v>
      </c>
      <c r="F1513" s="17">
        <f t="shared" si="55"/>
        <v>0.3</v>
      </c>
      <c r="J1513" s="130"/>
      <c r="K1513" s="868"/>
      <c r="L1513" s="65"/>
      <c r="M1513" s="65"/>
      <c r="N1513" s="65"/>
    </row>
    <row r="1514" spans="1:14" s="7" customFormat="1" ht="13.8" x14ac:dyDescent="0.25">
      <c r="B1514" s="15" t="s">
        <v>964</v>
      </c>
      <c r="C1514" s="73" t="s">
        <v>941</v>
      </c>
      <c r="D1514" s="17">
        <v>0.1</v>
      </c>
      <c r="E1514" s="16">
        <f>'МЕДИЧНІ М'!E119</f>
        <v>2.8</v>
      </c>
      <c r="F1514" s="17">
        <f t="shared" si="55"/>
        <v>0.28000000000000003</v>
      </c>
      <c r="J1514" s="130"/>
      <c r="K1514" s="868"/>
      <c r="L1514" s="65"/>
      <c r="M1514" s="65"/>
      <c r="N1514" s="65"/>
    </row>
    <row r="1515" spans="1:14" s="7" customFormat="1" ht="13.8" x14ac:dyDescent="0.25">
      <c r="B1515" s="27" t="s">
        <v>942</v>
      </c>
      <c r="C1515" s="28" t="s">
        <v>941</v>
      </c>
      <c r="D1515" s="29">
        <v>0.01</v>
      </c>
      <c r="E1515" s="29">
        <f>'МЕДИЧНІ М'!E120</f>
        <v>24.6</v>
      </c>
      <c r="F1515" s="30">
        <f t="shared" si="55"/>
        <v>0.25</v>
      </c>
      <c r="J1515" s="130"/>
      <c r="K1515" s="868"/>
      <c r="L1515" s="65"/>
      <c r="M1515" s="65"/>
      <c r="N1515" s="65"/>
    </row>
    <row r="1516" spans="1:14" s="7" customFormat="1" ht="13.8" x14ac:dyDescent="0.25">
      <c r="B1516" s="27" t="s">
        <v>1124</v>
      </c>
      <c r="C1516" s="28" t="s">
        <v>944</v>
      </c>
      <c r="D1516" s="29">
        <v>0.5</v>
      </c>
      <c r="E1516" s="29">
        <f>'МЕДИЧНІ М'!E114</f>
        <v>0.5</v>
      </c>
      <c r="F1516" s="30">
        <f t="shared" si="55"/>
        <v>0.25</v>
      </c>
      <c r="J1516" s="130"/>
      <c r="K1516" s="868"/>
      <c r="L1516" s="65"/>
      <c r="M1516" s="65"/>
      <c r="N1516" s="65"/>
    </row>
    <row r="1517" spans="1:14" s="7" customFormat="1" ht="13.8" x14ac:dyDescent="0.25">
      <c r="B1517" s="1019" t="s">
        <v>945</v>
      </c>
      <c r="C1517" s="1019"/>
      <c r="D1517" s="1019"/>
      <c r="E1517" s="1019"/>
      <c r="F1517" s="31">
        <f>SUM(F1510:F1516)</f>
        <v>3.1799999999999997</v>
      </c>
      <c r="J1517" s="130"/>
      <c r="K1517" s="868"/>
      <c r="L1517" s="65"/>
      <c r="M1517" s="65"/>
      <c r="N1517" s="65"/>
    </row>
    <row r="1519" spans="1:14" s="7" customFormat="1" ht="13.8" x14ac:dyDescent="0.25">
      <c r="B1519" s="12" t="s">
        <v>968</v>
      </c>
      <c r="C1519" s="227"/>
      <c r="D1519" s="12"/>
      <c r="E1519" s="11">
        <f>SUM(G1522:G1523)</f>
        <v>48.15</v>
      </c>
      <c r="F1519" s="12" t="s">
        <v>971</v>
      </c>
      <c r="J1519" s="130"/>
      <c r="K1519" s="868"/>
      <c r="L1519" s="65"/>
      <c r="M1519" s="65"/>
      <c r="N1519" s="65"/>
    </row>
    <row r="1520" spans="1:14" s="7" customFormat="1" ht="10.5" customHeight="1" x14ac:dyDescent="0.25">
      <c r="B1520" s="22"/>
      <c r="C1520" s="36"/>
      <c r="D1520" s="22"/>
      <c r="E1520" s="23"/>
      <c r="F1520" s="22"/>
      <c r="J1520" s="130"/>
      <c r="K1520" s="868"/>
      <c r="L1520" s="65"/>
      <c r="M1520" s="65"/>
      <c r="N1520" s="65"/>
    </row>
    <row r="1521" spans="2:14" s="7" customFormat="1" ht="27.6" x14ac:dyDescent="0.25">
      <c r="B1521" s="14" t="s">
        <v>513</v>
      </c>
      <c r="C1521" s="14" t="s">
        <v>1108</v>
      </c>
      <c r="D1521" s="14" t="s">
        <v>516</v>
      </c>
      <c r="E1521" s="14" t="s">
        <v>970</v>
      </c>
      <c r="F1521" s="14" t="s">
        <v>930</v>
      </c>
      <c r="G1521" s="14" t="s">
        <v>961</v>
      </c>
      <c r="J1521" s="130"/>
      <c r="K1521" s="868"/>
      <c r="L1521" s="65"/>
      <c r="M1521" s="65"/>
      <c r="N1521" s="65"/>
    </row>
    <row r="1522" spans="2:14" s="7" customFormat="1" ht="13.8" x14ac:dyDescent="0.25">
      <c r="B1522" s="46" t="s">
        <v>1161</v>
      </c>
      <c r="C1522" s="78">
        <f>C1469</f>
        <v>0</v>
      </c>
      <c r="D1522" s="62">
        <f>H1499</f>
        <v>1932.7</v>
      </c>
      <c r="E1522" s="17">
        <f>ROUND((C1522/D1522)/60,2)</f>
        <v>0</v>
      </c>
      <c r="F1522" s="17">
        <f>D1503</f>
        <v>10</v>
      </c>
      <c r="G1522" s="16">
        <f>ROUND(E1522*F1522,2)</f>
        <v>0</v>
      </c>
      <c r="J1522" s="130"/>
      <c r="K1522" s="868"/>
      <c r="L1522" s="65"/>
      <c r="M1522" s="65"/>
      <c r="N1522" s="65"/>
    </row>
    <row r="1523" spans="2:14" s="7" customFormat="1" ht="13.8" x14ac:dyDescent="0.25">
      <c r="B1523" s="27" t="s">
        <v>1093</v>
      </c>
      <c r="C1523" s="78">
        <f>C1470</f>
        <v>290000</v>
      </c>
      <c r="D1523" s="62">
        <f>H1500</f>
        <v>1506</v>
      </c>
      <c r="E1523" s="17">
        <f>ROUND((C1523/D1523)/60,2)</f>
        <v>3.21</v>
      </c>
      <c r="F1523" s="17">
        <f>D1504</f>
        <v>15</v>
      </c>
      <c r="G1523" s="16">
        <f>ROUND(E1523*F1523,2)</f>
        <v>48.15</v>
      </c>
      <c r="H1523" s="38"/>
      <c r="J1523" s="130"/>
      <c r="K1523" s="868"/>
      <c r="L1523" s="65"/>
      <c r="M1523" s="65"/>
      <c r="N1523" s="65"/>
    </row>
    <row r="1525" spans="2:14" s="7" customFormat="1" ht="13.8" x14ac:dyDescent="0.25">
      <c r="B1525" s="12" t="s">
        <v>948</v>
      </c>
      <c r="C1525" s="227"/>
      <c r="D1525" s="12"/>
      <c r="E1525" s="11">
        <f>G1538</f>
        <v>3.45</v>
      </c>
      <c r="F1525" s="12" t="s">
        <v>971</v>
      </c>
      <c r="J1525" s="130"/>
      <c r="K1525" s="868"/>
      <c r="L1525" s="65"/>
      <c r="M1525" s="65"/>
      <c r="N1525" s="65"/>
    </row>
    <row r="1526" spans="2:14" s="7" customFormat="1" ht="13.8" x14ac:dyDescent="0.25">
      <c r="B1526" s="22"/>
      <c r="C1526" s="36"/>
      <c r="D1526" s="22"/>
      <c r="E1526" s="23"/>
      <c r="J1526" s="130"/>
      <c r="K1526" s="868"/>
      <c r="L1526" s="65"/>
      <c r="M1526" s="65"/>
      <c r="N1526" s="65"/>
    </row>
    <row r="1527" spans="2:14" s="7" customFormat="1" ht="27.6" x14ac:dyDescent="0.25">
      <c r="B1527" s="14" t="s">
        <v>948</v>
      </c>
      <c r="C1527" s="14" t="s">
        <v>1110</v>
      </c>
      <c r="D1527" s="14" t="s">
        <v>516</v>
      </c>
      <c r="E1527" s="14" t="s">
        <v>954</v>
      </c>
      <c r="F1527" s="14" t="s">
        <v>930</v>
      </c>
      <c r="G1527" s="14" t="s">
        <v>1111</v>
      </c>
      <c r="J1527" s="130"/>
      <c r="K1527" s="868"/>
      <c r="L1527" s="65"/>
      <c r="M1527" s="65"/>
      <c r="N1527" s="65"/>
    </row>
    <row r="1528" spans="2:14" x14ac:dyDescent="0.3">
      <c r="B1528" s="1009" t="str">
        <f>B1499</f>
        <v>Лікар-рентгенолог</v>
      </c>
      <c r="C1528" s="1010"/>
      <c r="D1528" s="1010"/>
      <c r="E1528" s="1010"/>
      <c r="F1528" s="1010"/>
      <c r="G1528" s="1011"/>
    </row>
    <row r="1529" spans="2:14" x14ac:dyDescent="0.3">
      <c r="B1529" s="17" t="s">
        <v>951</v>
      </c>
      <c r="C1529" s="221">
        <f>C1476</f>
        <v>12188.608008565312</v>
      </c>
      <c r="D1529" s="17">
        <f>H1499</f>
        <v>1932.7</v>
      </c>
      <c r="E1529" s="17">
        <f>ROUND((C1529/D1529)/60,2)</f>
        <v>0.11</v>
      </c>
      <c r="F1529" s="17">
        <f>D1503</f>
        <v>10</v>
      </c>
      <c r="G1529" s="16">
        <f>ROUND(E1529*F1529,2)</f>
        <v>1.1000000000000001</v>
      </c>
    </row>
    <row r="1530" spans="2:14" x14ac:dyDescent="0.3">
      <c r="B1530" s="17" t="s">
        <v>952</v>
      </c>
      <c r="C1530" s="221">
        <f>C1477</f>
        <v>53.149721627408987</v>
      </c>
      <c r="D1530" s="17">
        <f>H1499</f>
        <v>1932.7</v>
      </c>
      <c r="E1530" s="17">
        <f>ROUND((C1530/D1530)/60,2)</f>
        <v>0</v>
      </c>
      <c r="F1530" s="17">
        <f>D1503</f>
        <v>10</v>
      </c>
      <c r="G1530" s="16">
        <f>ROUND(E1530*F1530,2)</f>
        <v>0</v>
      </c>
    </row>
    <row r="1531" spans="2:14" x14ac:dyDescent="0.3">
      <c r="B1531" s="17" t="s">
        <v>953</v>
      </c>
      <c r="C1531" s="221">
        <f>C1478</f>
        <v>374.98368308351178</v>
      </c>
      <c r="D1531" s="17">
        <f>H1499</f>
        <v>1932.7</v>
      </c>
      <c r="E1531" s="17">
        <f>ROUND((C1531/D1531)/60,2)</f>
        <v>0</v>
      </c>
      <c r="F1531" s="17">
        <f>D1503</f>
        <v>10</v>
      </c>
      <c r="G1531" s="16">
        <f>ROUND(E1531*F1531,2)</f>
        <v>0</v>
      </c>
    </row>
    <row r="1532" spans="2:14" x14ac:dyDescent="0.3">
      <c r="B1532" s="17" t="s">
        <v>1109</v>
      </c>
      <c r="C1532" s="221">
        <f>C1479</f>
        <v>1686.0389293361886</v>
      </c>
      <c r="D1532" s="17">
        <f>H1499</f>
        <v>1932.7</v>
      </c>
      <c r="E1532" s="17">
        <f>ROUND((C1532/D1532)/60,2)</f>
        <v>0.01</v>
      </c>
      <c r="F1532" s="17">
        <f>D1503</f>
        <v>10</v>
      </c>
      <c r="G1532" s="16">
        <f>ROUND(E1532*F1532,2)</f>
        <v>0.1</v>
      </c>
    </row>
    <row r="1533" spans="2:14" x14ac:dyDescent="0.3">
      <c r="B1533" s="1009" t="str">
        <f>B1500</f>
        <v>Рентгенолаборант</v>
      </c>
      <c r="C1533" s="1010"/>
      <c r="D1533" s="1010"/>
      <c r="E1533" s="1010"/>
      <c r="F1533" s="1010"/>
      <c r="G1533" s="1011"/>
    </row>
    <row r="1534" spans="2:14" x14ac:dyDescent="0.3">
      <c r="B1534" s="17" t="s">
        <v>951</v>
      </c>
      <c r="C1534" s="221">
        <f>C1529</f>
        <v>12188.608008565312</v>
      </c>
      <c r="D1534" s="17">
        <f>H1500</f>
        <v>1506</v>
      </c>
      <c r="E1534" s="17">
        <f>ROUND((C1534/D1534)/60,2)</f>
        <v>0.13</v>
      </c>
      <c r="F1534" s="17">
        <f>D1504</f>
        <v>15</v>
      </c>
      <c r="G1534" s="16">
        <f>ROUND(E1534*F1534,2)</f>
        <v>1.95</v>
      </c>
    </row>
    <row r="1535" spans="2:14" x14ac:dyDescent="0.3">
      <c r="B1535" s="17" t="s">
        <v>952</v>
      </c>
      <c r="C1535" s="221">
        <f>C1530</f>
        <v>53.149721627408987</v>
      </c>
      <c r="D1535" s="17">
        <f>H1500</f>
        <v>1506</v>
      </c>
      <c r="E1535" s="17">
        <f>ROUND((C1535/D1535)/60,2)</f>
        <v>0</v>
      </c>
      <c r="F1535" s="17">
        <f>D1504</f>
        <v>15</v>
      </c>
      <c r="G1535" s="16">
        <f>ROUND(E1535*F1535,2)</f>
        <v>0</v>
      </c>
    </row>
    <row r="1536" spans="2:14" x14ac:dyDescent="0.3">
      <c r="B1536" s="17" t="s">
        <v>953</v>
      </c>
      <c r="C1536" s="221">
        <f>C1531</f>
        <v>374.98368308351178</v>
      </c>
      <c r="D1536" s="17">
        <f>H1500</f>
        <v>1506</v>
      </c>
      <c r="E1536" s="17">
        <f>ROUND((C1536/D1536)/60,2)</f>
        <v>0</v>
      </c>
      <c r="F1536" s="17">
        <f>D1504</f>
        <v>15</v>
      </c>
      <c r="G1536" s="16">
        <f>ROUND(E1536*F1536,2)</f>
        <v>0</v>
      </c>
    </row>
    <row r="1537" spans="1:14" x14ac:dyDescent="0.3">
      <c r="B1537" s="17" t="s">
        <v>1109</v>
      </c>
      <c r="C1537" s="221">
        <f>C1532</f>
        <v>1686.0389293361886</v>
      </c>
      <c r="D1537" s="17">
        <f>H1500</f>
        <v>1506</v>
      </c>
      <c r="E1537" s="17">
        <f>ROUND((C1537/D1537)/60,2)</f>
        <v>0.02</v>
      </c>
      <c r="F1537" s="17">
        <f>D1504</f>
        <v>15</v>
      </c>
      <c r="G1537" s="16">
        <f>ROUND(E1537*F1537,2)</f>
        <v>0.3</v>
      </c>
    </row>
    <row r="1538" spans="1:14" x14ac:dyDescent="0.3">
      <c r="B1538" s="1012" t="s">
        <v>957</v>
      </c>
      <c r="C1538" s="1013"/>
      <c r="D1538" s="1013"/>
      <c r="E1538" s="1013"/>
      <c r="F1538" s="1014"/>
      <c r="G1538" s="18">
        <f>SUM(G1529:G1537)</f>
        <v>3.45</v>
      </c>
    </row>
    <row r="1539" spans="1:14" ht="14.25" customHeight="1" x14ac:dyDescent="0.3"/>
    <row r="1541" spans="1:14" x14ac:dyDescent="0.3">
      <c r="B1541" s="1015" t="s">
        <v>959</v>
      </c>
      <c r="C1541" s="1015"/>
      <c r="D1541" s="1015"/>
      <c r="E1541" s="1015"/>
      <c r="F1541" s="1015"/>
      <c r="G1541" s="32">
        <f>E1496+E1508+E1519+E1525</f>
        <v>86.56</v>
      </c>
    </row>
    <row r="1542" spans="1:14" x14ac:dyDescent="0.3">
      <c r="B1542" s="33"/>
      <c r="C1542" s="33"/>
      <c r="D1542" s="33"/>
      <c r="E1542" s="33"/>
      <c r="F1542" s="33"/>
      <c r="G1542" s="34"/>
    </row>
    <row r="1543" spans="1:14" s="54" customFormat="1" ht="19.8" x14ac:dyDescent="0.4">
      <c r="A1543" s="53"/>
      <c r="B1543" s="1051" t="s">
        <v>960</v>
      </c>
      <c r="C1543" s="1051"/>
      <c r="D1543" s="1051"/>
      <c r="E1543" s="1051"/>
      <c r="F1543" s="1051"/>
      <c r="G1543" s="32">
        <f>ROUND(G1541,0)</f>
        <v>87</v>
      </c>
      <c r="H1543" s="53"/>
      <c r="I1543" s="53"/>
      <c r="J1543" s="132"/>
      <c r="K1543" s="868"/>
      <c r="L1543" s="65"/>
      <c r="M1543" s="65"/>
      <c r="N1543" s="65"/>
    </row>
    <row r="1544" spans="1:14" s="54" customFormat="1" ht="19.8" x14ac:dyDescent="0.4">
      <c r="A1544" s="53"/>
      <c r="B1544" s="53"/>
      <c r="C1544" s="225"/>
      <c r="D1544" s="53"/>
      <c r="E1544" s="53"/>
      <c r="F1544" s="53"/>
      <c r="G1544" s="53"/>
      <c r="H1544" s="53"/>
      <c r="I1544" s="53"/>
      <c r="J1544" s="132"/>
      <c r="K1544" s="868"/>
      <c r="L1544" s="65"/>
      <c r="M1544" s="65"/>
      <c r="N1544" s="65"/>
    </row>
    <row r="1545" spans="1:14" s="54" customFormat="1" ht="37.5" customHeight="1" x14ac:dyDescent="0.4">
      <c r="A1545" s="50" t="s">
        <v>272</v>
      </c>
      <c r="B1545" s="1032" t="s">
        <v>691</v>
      </c>
      <c r="C1545" s="1032"/>
      <c r="D1545" s="1032"/>
      <c r="E1545" s="52">
        <f>G1594</f>
        <v>114</v>
      </c>
      <c r="F1545" s="52" t="s">
        <v>971</v>
      </c>
      <c r="G1545" s="53"/>
      <c r="H1545" s="124"/>
      <c r="I1545" s="125" t="s">
        <v>1023</v>
      </c>
      <c r="J1545" s="132"/>
      <c r="K1545" s="868"/>
      <c r="L1545" s="65"/>
      <c r="M1545" s="65"/>
      <c r="N1545" s="65"/>
    </row>
    <row r="1546" spans="1:14" ht="18.600000000000001" x14ac:dyDescent="0.3">
      <c r="I1546" s="125" t="s">
        <v>263</v>
      </c>
    </row>
    <row r="1547" spans="1:14" x14ac:dyDescent="0.3">
      <c r="B1547" s="1018" t="s">
        <v>932</v>
      </c>
      <c r="C1547" s="1018"/>
      <c r="D1547" s="10"/>
      <c r="E1547" s="11">
        <f>E1554+E1557+E1555</f>
        <v>31.78</v>
      </c>
      <c r="F1547" s="12" t="s">
        <v>971</v>
      </c>
    </row>
    <row r="1548" spans="1:14" ht="4.5" customHeight="1" x14ac:dyDescent="0.3"/>
    <row r="1549" spans="1:14" ht="27.6" x14ac:dyDescent="0.3">
      <c r="B1549" s="13" t="s">
        <v>929</v>
      </c>
      <c r="C1549" s="14" t="s">
        <v>928</v>
      </c>
      <c r="D1549" s="14" t="s">
        <v>514</v>
      </c>
      <c r="E1549" s="14" t="s">
        <v>515</v>
      </c>
      <c r="F1549" s="14" t="s">
        <v>962</v>
      </c>
      <c r="G1549" s="14" t="s">
        <v>926</v>
      </c>
      <c r="H1549" s="14" t="s">
        <v>516</v>
      </c>
      <c r="I1549" s="14" t="s">
        <v>961</v>
      </c>
    </row>
    <row r="1550" spans="1:14" x14ac:dyDescent="0.3">
      <c r="B1550" s="16" t="str">
        <f>B1499</f>
        <v>Лікар-рентгенолог</v>
      </c>
      <c r="C1550" s="78">
        <f>C1499</f>
        <v>8463.5400000000009</v>
      </c>
      <c r="D1550" s="16">
        <f>C1550*12</f>
        <v>101562.48000000001</v>
      </c>
      <c r="E1550" s="16">
        <f>E1499</f>
        <v>7052.95</v>
      </c>
      <c r="F1550" s="16">
        <f>F1499</f>
        <v>3526.4749999999999</v>
      </c>
      <c r="G1550" s="16">
        <f>D1550+E1550+F1550</f>
        <v>112141.90500000001</v>
      </c>
      <c r="H1550" s="17">
        <v>1932.7</v>
      </c>
      <c r="I1550" s="16">
        <f>ROUND((G1550/H1550)/60,2)</f>
        <v>0.97</v>
      </c>
    </row>
    <row r="1551" spans="1:14" x14ac:dyDescent="0.3">
      <c r="B1551" s="16" t="str">
        <f>B1500</f>
        <v>Рентгенолаборант</v>
      </c>
      <c r="C1551" s="78">
        <f>C1500</f>
        <v>7482.48</v>
      </c>
      <c r="D1551" s="24">
        <f>C1551*12</f>
        <v>89789.759999999995</v>
      </c>
      <c r="E1551" s="16">
        <f>E1500</f>
        <v>5755.75</v>
      </c>
      <c r="F1551" s="16">
        <f>F1500</f>
        <v>2877.875</v>
      </c>
      <c r="G1551" s="16">
        <f>D1551+E1551+F1551</f>
        <v>98423.384999999995</v>
      </c>
      <c r="H1551" s="62">
        <v>1506</v>
      </c>
      <c r="I1551" s="16">
        <f>ROUND((G1551/H1551)/60,2)</f>
        <v>1.0900000000000001</v>
      </c>
    </row>
    <row r="1552" spans="1:14" ht="8.25" customHeight="1" x14ac:dyDescent="0.3"/>
    <row r="1553" spans="1:14" ht="27.6" x14ac:dyDescent="0.3">
      <c r="B1553" s="13" t="s">
        <v>929</v>
      </c>
      <c r="C1553" s="14" t="s">
        <v>961</v>
      </c>
      <c r="D1553" s="14" t="s">
        <v>930</v>
      </c>
      <c r="E1553" s="14" t="s">
        <v>931</v>
      </c>
    </row>
    <row r="1554" spans="1:14" x14ac:dyDescent="0.3">
      <c r="B1554" s="15" t="str">
        <f>B1550</f>
        <v>Лікар-рентгенолог</v>
      </c>
      <c r="C1554" s="78">
        <f>I1550</f>
        <v>0.97</v>
      </c>
      <c r="D1554" s="17">
        <v>10</v>
      </c>
      <c r="E1554" s="18">
        <f>ROUND(C1554*D1554,2)</f>
        <v>9.6999999999999993</v>
      </c>
    </row>
    <row r="1555" spans="1:14" x14ac:dyDescent="0.3">
      <c r="B1555" s="15" t="str">
        <f>B1551</f>
        <v>Рентгенолаборант</v>
      </c>
      <c r="C1555" s="78">
        <f>I1551</f>
        <v>1.0900000000000001</v>
      </c>
      <c r="D1555" s="17">
        <v>15</v>
      </c>
      <c r="E1555" s="18">
        <f>ROUND(C1555*D1555,2)</f>
        <v>16.350000000000001</v>
      </c>
    </row>
    <row r="1556" spans="1:14" x14ac:dyDescent="0.3">
      <c r="C1556" s="19"/>
    </row>
    <row r="1557" spans="1:14" x14ac:dyDescent="0.3">
      <c r="B1557" s="17" t="s">
        <v>933</v>
      </c>
      <c r="C1557" s="78">
        <f>E1554+E1555</f>
        <v>26.05</v>
      </c>
      <c r="D1557" s="20">
        <v>0.22</v>
      </c>
      <c r="E1557" s="21">
        <f>ROUND(C1557*D1557,2)</f>
        <v>5.73</v>
      </c>
    </row>
    <row r="1559" spans="1:14" x14ac:dyDescent="0.3">
      <c r="B1559" s="12" t="s">
        <v>946</v>
      </c>
      <c r="C1559" s="227"/>
      <c r="D1559" s="12"/>
      <c r="E1559" s="11">
        <f>F1568</f>
        <v>31.1</v>
      </c>
      <c r="F1559" s="12" t="s">
        <v>971</v>
      </c>
    </row>
    <row r="1561" spans="1:14" x14ac:dyDescent="0.3">
      <c r="B1561" s="27" t="s">
        <v>936</v>
      </c>
      <c r="C1561" s="28" t="s">
        <v>937</v>
      </c>
      <c r="D1561" s="29">
        <v>1</v>
      </c>
      <c r="E1561" s="30">
        <f>'МЕДИЧНІ М'!F115</f>
        <v>0.3</v>
      </c>
      <c r="F1561" s="29">
        <f>ROUND(D1561*E1561,2)</f>
        <v>0.3</v>
      </c>
    </row>
    <row r="1562" spans="1:14" s="184" customFormat="1" x14ac:dyDescent="0.3">
      <c r="A1562" s="180"/>
      <c r="B1562" s="185" t="s">
        <v>1021</v>
      </c>
      <c r="C1562" s="186" t="s">
        <v>941</v>
      </c>
      <c r="D1562" s="164">
        <v>0.5</v>
      </c>
      <c r="E1562" s="164">
        <f>'МЕДИЧНІ М'!E181</f>
        <v>2</v>
      </c>
      <c r="F1562" s="168">
        <f t="shared" ref="F1562:F1567" si="56">ROUND(D1562*E1562,2)</f>
        <v>1</v>
      </c>
      <c r="G1562" s="180"/>
      <c r="H1562" s="180"/>
      <c r="I1562" s="180"/>
      <c r="J1562" s="187"/>
      <c r="K1562" s="866"/>
      <c r="L1562" s="861"/>
      <c r="M1562" s="861"/>
      <c r="N1562" s="861"/>
    </row>
    <row r="1563" spans="1:14" x14ac:dyDescent="0.3">
      <c r="B1563" s="15" t="s">
        <v>1216</v>
      </c>
      <c r="C1563" s="73" t="s">
        <v>941</v>
      </c>
      <c r="D1563" s="17">
        <v>0.1</v>
      </c>
      <c r="E1563" s="16">
        <f>'МЕДИЧНІ М'!E113</f>
        <v>8</v>
      </c>
      <c r="F1563" s="16">
        <f t="shared" si="56"/>
        <v>0.8</v>
      </c>
    </row>
    <row r="1564" spans="1:14" x14ac:dyDescent="0.3">
      <c r="B1564" s="15" t="str">
        <f>'МЕДИЧНІ М'!B326</f>
        <v>Суха медична плівка 20*25*100</v>
      </c>
      <c r="C1564" s="73" t="s">
        <v>941</v>
      </c>
      <c r="D1564" s="17">
        <v>1</v>
      </c>
      <c r="E1564" s="16">
        <f>'МЕДИЧНІ М'!F326</f>
        <v>28.224299999999999</v>
      </c>
      <c r="F1564" s="16">
        <f t="shared" si="56"/>
        <v>28.22</v>
      </c>
    </row>
    <row r="1565" spans="1:14" x14ac:dyDescent="0.3">
      <c r="B1565" s="15" t="s">
        <v>964</v>
      </c>
      <c r="C1565" s="73" t="s">
        <v>941</v>
      </c>
      <c r="D1565" s="17">
        <v>0.1</v>
      </c>
      <c r="E1565" s="16">
        <f>'МЕДИЧНІ М'!E119</f>
        <v>2.8</v>
      </c>
      <c r="F1565" s="16">
        <f t="shared" si="56"/>
        <v>0.28000000000000003</v>
      </c>
    </row>
    <row r="1566" spans="1:14" x14ac:dyDescent="0.3">
      <c r="B1566" s="27" t="s">
        <v>942</v>
      </c>
      <c r="C1566" s="28" t="s">
        <v>941</v>
      </c>
      <c r="D1566" s="29">
        <v>0.01</v>
      </c>
      <c r="E1566" s="29">
        <f>'МЕДИЧНІ М'!E120</f>
        <v>24.6</v>
      </c>
      <c r="F1566" s="30">
        <f t="shared" si="56"/>
        <v>0.25</v>
      </c>
    </row>
    <row r="1567" spans="1:14" x14ac:dyDescent="0.3">
      <c r="B1567" s="27" t="s">
        <v>1124</v>
      </c>
      <c r="C1567" s="28" t="s">
        <v>944</v>
      </c>
      <c r="D1567" s="29">
        <v>0.5</v>
      </c>
      <c r="E1567" s="29">
        <f>'МЕДИЧНІ М'!E114</f>
        <v>0.5</v>
      </c>
      <c r="F1567" s="29">
        <f t="shared" si="56"/>
        <v>0.25</v>
      </c>
    </row>
    <row r="1568" spans="1:14" x14ac:dyDescent="0.3">
      <c r="B1568" s="1019" t="s">
        <v>945</v>
      </c>
      <c r="C1568" s="1019"/>
      <c r="D1568" s="1019"/>
      <c r="E1568" s="1019"/>
      <c r="F1568" s="113">
        <f>SUM(F1561:F1567)</f>
        <v>31.1</v>
      </c>
    </row>
    <row r="1569" spans="2:14" ht="8.25" customHeight="1" x14ac:dyDescent="0.3"/>
    <row r="1570" spans="2:14" x14ac:dyDescent="0.3">
      <c r="B1570" s="12" t="s">
        <v>968</v>
      </c>
      <c r="C1570" s="227"/>
      <c r="D1570" s="12"/>
      <c r="E1570" s="11">
        <f>SUM(G1573:G1574)</f>
        <v>48.15</v>
      </c>
      <c r="F1570" s="12" t="s">
        <v>971</v>
      </c>
    </row>
    <row r="1571" spans="2:14" ht="6.75" customHeight="1" x14ac:dyDescent="0.3">
      <c r="B1571" s="22"/>
      <c r="C1571" s="36"/>
      <c r="D1571" s="22"/>
      <c r="E1571" s="23"/>
      <c r="F1571" s="22"/>
    </row>
    <row r="1572" spans="2:14" ht="27.6" x14ac:dyDescent="0.3">
      <c r="B1572" s="14" t="s">
        <v>513</v>
      </c>
      <c r="C1572" s="14" t="s">
        <v>1108</v>
      </c>
      <c r="D1572" s="14" t="s">
        <v>516</v>
      </c>
      <c r="E1572" s="14" t="s">
        <v>970</v>
      </c>
      <c r="F1572" s="14" t="s">
        <v>930</v>
      </c>
      <c r="G1572" s="14" t="s">
        <v>961</v>
      </c>
    </row>
    <row r="1573" spans="2:14" x14ac:dyDescent="0.3">
      <c r="B1573" s="46" t="s">
        <v>1161</v>
      </c>
      <c r="C1573" s="78">
        <f>C1522</f>
        <v>0</v>
      </c>
      <c r="D1573" s="62">
        <f>H1550</f>
        <v>1932.7</v>
      </c>
      <c r="E1573" s="17">
        <f>ROUND((C1573/D1573)/60,2)</f>
        <v>0</v>
      </c>
      <c r="F1573" s="17">
        <f>D1554</f>
        <v>10</v>
      </c>
      <c r="G1573" s="16">
        <f>ROUND(E1573*F1573,2)</f>
        <v>0</v>
      </c>
    </row>
    <row r="1574" spans="2:14" s="7" customFormat="1" ht="13.8" x14ac:dyDescent="0.25">
      <c r="B1574" s="27" t="s">
        <v>1093</v>
      </c>
      <c r="C1574" s="78">
        <f>C1523</f>
        <v>290000</v>
      </c>
      <c r="D1574" s="62">
        <f>H1551</f>
        <v>1506</v>
      </c>
      <c r="E1574" s="17">
        <f>ROUND((C1574/D1574)/60,2)</f>
        <v>3.21</v>
      </c>
      <c r="F1574" s="17">
        <f>D1555</f>
        <v>15</v>
      </c>
      <c r="G1574" s="16">
        <f>ROUND(E1574*F1574,2)</f>
        <v>48.15</v>
      </c>
      <c r="H1574" s="38"/>
      <c r="J1574" s="130"/>
      <c r="K1574" s="868"/>
      <c r="L1574" s="65"/>
      <c r="M1574" s="65"/>
      <c r="N1574" s="65"/>
    </row>
    <row r="1575" spans="2:14" s="7" customFormat="1" ht="6.75" customHeight="1" x14ac:dyDescent="0.25">
      <c r="C1575" s="74"/>
      <c r="J1575" s="130"/>
      <c r="K1575" s="868"/>
      <c r="L1575" s="65"/>
      <c r="M1575" s="65"/>
      <c r="N1575" s="65"/>
    </row>
    <row r="1576" spans="2:14" s="7" customFormat="1" ht="13.8" x14ac:dyDescent="0.25">
      <c r="B1576" s="12" t="s">
        <v>948</v>
      </c>
      <c r="C1576" s="227"/>
      <c r="D1576" s="12"/>
      <c r="E1576" s="11">
        <f>G1589</f>
        <v>3.45</v>
      </c>
      <c r="F1576" s="12" t="s">
        <v>971</v>
      </c>
      <c r="J1576" s="130"/>
      <c r="K1576" s="868"/>
      <c r="L1576" s="65"/>
      <c r="M1576" s="65"/>
      <c r="N1576" s="65"/>
    </row>
    <row r="1577" spans="2:14" s="7" customFormat="1" ht="5.25" customHeight="1" x14ac:dyDescent="0.25">
      <c r="B1577" s="22"/>
      <c r="C1577" s="36"/>
      <c r="D1577" s="22"/>
      <c r="E1577" s="23"/>
      <c r="J1577" s="130"/>
      <c r="K1577" s="868"/>
      <c r="L1577" s="65"/>
      <c r="M1577" s="65"/>
      <c r="N1577" s="65"/>
    </row>
    <row r="1578" spans="2:14" s="7" customFormat="1" ht="41.4" x14ac:dyDescent="0.25">
      <c r="B1578" s="14" t="s">
        <v>948</v>
      </c>
      <c r="C1578" s="14" t="s">
        <v>955</v>
      </c>
      <c r="D1578" s="14" t="s">
        <v>516</v>
      </c>
      <c r="E1578" s="14" t="s">
        <v>954</v>
      </c>
      <c r="F1578" s="14" t="s">
        <v>930</v>
      </c>
      <c r="G1578" s="14" t="s">
        <v>956</v>
      </c>
      <c r="J1578" s="130"/>
      <c r="K1578" s="868"/>
      <c r="L1578" s="65"/>
      <c r="M1578" s="65"/>
      <c r="N1578" s="65"/>
    </row>
    <row r="1579" spans="2:14" s="7" customFormat="1" ht="13.8" x14ac:dyDescent="0.25">
      <c r="B1579" s="1009" t="str">
        <f>B1550</f>
        <v>Лікар-рентгенолог</v>
      </c>
      <c r="C1579" s="1010"/>
      <c r="D1579" s="1010"/>
      <c r="E1579" s="1010"/>
      <c r="F1579" s="1010"/>
      <c r="G1579" s="1011"/>
      <c r="J1579" s="130"/>
      <c r="K1579" s="868"/>
      <c r="L1579" s="65"/>
      <c r="M1579" s="65"/>
      <c r="N1579" s="65"/>
    </row>
    <row r="1580" spans="2:14" s="7" customFormat="1" ht="13.8" x14ac:dyDescent="0.25">
      <c r="B1580" s="17" t="s">
        <v>951</v>
      </c>
      <c r="C1580" s="221">
        <f>C1529</f>
        <v>12188.608008565312</v>
      </c>
      <c r="D1580" s="17">
        <f>H1550</f>
        <v>1932.7</v>
      </c>
      <c r="E1580" s="17">
        <f>ROUND((C1580/D1580)/60,2)</f>
        <v>0.11</v>
      </c>
      <c r="F1580" s="17">
        <f>D1554</f>
        <v>10</v>
      </c>
      <c r="G1580" s="16">
        <f>ROUND(E1580*F1580,2)</f>
        <v>1.1000000000000001</v>
      </c>
      <c r="J1580" s="130"/>
      <c r="K1580" s="868"/>
      <c r="L1580" s="65"/>
      <c r="M1580" s="65"/>
      <c r="N1580" s="65"/>
    </row>
    <row r="1581" spans="2:14" s="7" customFormat="1" ht="13.8" x14ac:dyDescent="0.25">
      <c r="B1581" s="17" t="s">
        <v>952</v>
      </c>
      <c r="C1581" s="221">
        <f>C1530</f>
        <v>53.149721627408987</v>
      </c>
      <c r="D1581" s="17">
        <f>H1550</f>
        <v>1932.7</v>
      </c>
      <c r="E1581" s="17">
        <f>ROUND((C1581/D1581)/60,2)</f>
        <v>0</v>
      </c>
      <c r="F1581" s="17">
        <f>D1554</f>
        <v>10</v>
      </c>
      <c r="G1581" s="16">
        <f>ROUND(E1581*F1581,2)</f>
        <v>0</v>
      </c>
      <c r="J1581" s="130"/>
      <c r="K1581" s="868"/>
      <c r="L1581" s="65"/>
      <c r="M1581" s="65"/>
      <c r="N1581" s="65"/>
    </row>
    <row r="1582" spans="2:14" s="7" customFormat="1" ht="13.8" x14ac:dyDescent="0.25">
      <c r="B1582" s="17" t="s">
        <v>953</v>
      </c>
      <c r="C1582" s="221">
        <f>C1531</f>
        <v>374.98368308351178</v>
      </c>
      <c r="D1582" s="17">
        <f>H1550</f>
        <v>1932.7</v>
      </c>
      <c r="E1582" s="17">
        <f>ROUND((C1582/D1582)/60,2)</f>
        <v>0</v>
      </c>
      <c r="F1582" s="17">
        <f>D1554</f>
        <v>10</v>
      </c>
      <c r="G1582" s="16">
        <f>ROUND(E1582*F1582,2)</f>
        <v>0</v>
      </c>
      <c r="J1582" s="130"/>
      <c r="K1582" s="868"/>
      <c r="L1582" s="65"/>
      <c r="M1582" s="65"/>
      <c r="N1582" s="65"/>
    </row>
    <row r="1583" spans="2:14" s="7" customFormat="1" ht="13.8" x14ac:dyDescent="0.25">
      <c r="B1583" s="17" t="s">
        <v>1109</v>
      </c>
      <c r="C1583" s="221">
        <f>C1532</f>
        <v>1686.0389293361886</v>
      </c>
      <c r="D1583" s="17">
        <f>H1550</f>
        <v>1932.7</v>
      </c>
      <c r="E1583" s="17">
        <f>ROUND((C1583/D1583)/60,2)</f>
        <v>0.01</v>
      </c>
      <c r="F1583" s="17">
        <f>D1554</f>
        <v>10</v>
      </c>
      <c r="G1583" s="16">
        <f>ROUND(E1583*F1583,2)</f>
        <v>0.1</v>
      </c>
      <c r="J1583" s="130"/>
      <c r="K1583" s="868"/>
      <c r="L1583" s="65"/>
      <c r="M1583" s="65"/>
      <c r="N1583" s="65"/>
    </row>
    <row r="1584" spans="2:14" s="7" customFormat="1" ht="13.8" x14ac:dyDescent="0.25">
      <c r="B1584" s="1009" t="str">
        <f>B1551</f>
        <v>Рентгенолаборант</v>
      </c>
      <c r="C1584" s="1010"/>
      <c r="D1584" s="1010"/>
      <c r="E1584" s="1010"/>
      <c r="F1584" s="1010"/>
      <c r="G1584" s="1011"/>
      <c r="J1584" s="130"/>
      <c r="K1584" s="868"/>
      <c r="L1584" s="65"/>
      <c r="M1584" s="65"/>
      <c r="N1584" s="65"/>
    </row>
    <row r="1585" spans="1:14" s="7" customFormat="1" ht="13.8" x14ac:dyDescent="0.25">
      <c r="B1585" s="17" t="s">
        <v>951</v>
      </c>
      <c r="C1585" s="221">
        <f>C1580</f>
        <v>12188.608008565312</v>
      </c>
      <c r="D1585" s="17">
        <f>H1551</f>
        <v>1506</v>
      </c>
      <c r="E1585" s="17">
        <f>ROUND((C1585/D1585)/60,2)</f>
        <v>0.13</v>
      </c>
      <c r="F1585" s="17">
        <f>D1555</f>
        <v>15</v>
      </c>
      <c r="G1585" s="16">
        <f>ROUND(E1585*F1585,2)</f>
        <v>1.95</v>
      </c>
      <c r="J1585" s="130"/>
      <c r="K1585" s="868"/>
      <c r="L1585" s="65"/>
      <c r="M1585" s="65"/>
      <c r="N1585" s="65"/>
    </row>
    <row r="1586" spans="1:14" s="7" customFormat="1" ht="13.8" x14ac:dyDescent="0.25">
      <c r="B1586" s="17" t="s">
        <v>952</v>
      </c>
      <c r="C1586" s="221">
        <f>C1581</f>
        <v>53.149721627408987</v>
      </c>
      <c r="D1586" s="17">
        <f>H1551</f>
        <v>1506</v>
      </c>
      <c r="E1586" s="17">
        <f>ROUND((C1586/D1586)/60,2)</f>
        <v>0</v>
      </c>
      <c r="F1586" s="17">
        <f>D1555</f>
        <v>15</v>
      </c>
      <c r="G1586" s="16">
        <f>ROUND(E1586*F1586,2)</f>
        <v>0</v>
      </c>
      <c r="J1586" s="130"/>
      <c r="K1586" s="868"/>
      <c r="L1586" s="65"/>
      <c r="M1586" s="65"/>
      <c r="N1586" s="65"/>
    </row>
    <row r="1587" spans="1:14" s="7" customFormat="1" ht="13.8" x14ac:dyDescent="0.25">
      <c r="B1587" s="17" t="s">
        <v>953</v>
      </c>
      <c r="C1587" s="221">
        <f>C1582</f>
        <v>374.98368308351178</v>
      </c>
      <c r="D1587" s="17">
        <f>H1551</f>
        <v>1506</v>
      </c>
      <c r="E1587" s="17">
        <f>ROUND((C1587/D1587)/60,2)</f>
        <v>0</v>
      </c>
      <c r="F1587" s="17">
        <f>D1555</f>
        <v>15</v>
      </c>
      <c r="G1587" s="16">
        <f>ROUND(E1587*F1587,2)</f>
        <v>0</v>
      </c>
      <c r="J1587" s="130"/>
      <c r="K1587" s="868"/>
      <c r="L1587" s="65"/>
      <c r="M1587" s="65"/>
      <c r="N1587" s="65"/>
    </row>
    <row r="1588" spans="1:14" s="7" customFormat="1" ht="13.8" x14ac:dyDescent="0.25">
      <c r="B1588" s="17" t="s">
        <v>1109</v>
      </c>
      <c r="C1588" s="221">
        <f>C1583</f>
        <v>1686.0389293361886</v>
      </c>
      <c r="D1588" s="17">
        <f>H1551</f>
        <v>1506</v>
      </c>
      <c r="E1588" s="17">
        <f>ROUND((C1588/D1588)/60,2)</f>
        <v>0.02</v>
      </c>
      <c r="F1588" s="17">
        <f>D1555</f>
        <v>15</v>
      </c>
      <c r="G1588" s="16">
        <f>ROUND(E1588*F1588,2)</f>
        <v>0.3</v>
      </c>
      <c r="J1588" s="130"/>
      <c r="K1588" s="868"/>
      <c r="L1588" s="65"/>
      <c r="M1588" s="65"/>
      <c r="N1588" s="65"/>
    </row>
    <row r="1589" spans="1:14" s="7" customFormat="1" ht="13.8" x14ac:dyDescent="0.25">
      <c r="B1589" s="1012" t="s">
        <v>957</v>
      </c>
      <c r="C1589" s="1013"/>
      <c r="D1589" s="1013"/>
      <c r="E1589" s="1013"/>
      <c r="F1589" s="1014"/>
      <c r="G1589" s="18">
        <f>SUM(G1580:G1588)</f>
        <v>3.45</v>
      </c>
      <c r="J1589" s="130"/>
      <c r="K1589" s="868"/>
      <c r="L1589" s="65"/>
      <c r="M1589" s="65"/>
      <c r="N1589" s="65"/>
    </row>
    <row r="1590" spans="1:14" ht="9.75" customHeight="1" x14ac:dyDescent="0.3"/>
    <row r="1592" spans="1:14" x14ac:dyDescent="0.3">
      <c r="B1592" s="1015" t="s">
        <v>959</v>
      </c>
      <c r="C1592" s="1015"/>
      <c r="D1592" s="1015"/>
      <c r="E1592" s="1015"/>
      <c r="F1592" s="1015"/>
      <c r="G1592" s="32">
        <f>E1547+E1559+E1570+E1576</f>
        <v>114.48</v>
      </c>
    </row>
    <row r="1593" spans="1:14" ht="15" customHeight="1" x14ac:dyDescent="0.3">
      <c r="B1593" s="33"/>
      <c r="C1593" s="33"/>
      <c r="D1593" s="33"/>
      <c r="E1593" s="33"/>
      <c r="F1593" s="33"/>
      <c r="G1593" s="34"/>
    </row>
    <row r="1594" spans="1:14" s="54" customFormat="1" ht="19.8" x14ac:dyDescent="0.4">
      <c r="A1594" s="53"/>
      <c r="B1594" s="1051" t="s">
        <v>960</v>
      </c>
      <c r="C1594" s="1051"/>
      <c r="D1594" s="1051"/>
      <c r="E1594" s="1051"/>
      <c r="F1594" s="1051"/>
      <c r="G1594" s="32">
        <f>ROUND(G1592,0)</f>
        <v>114</v>
      </c>
      <c r="H1594" s="53"/>
      <c r="I1594" s="53"/>
      <c r="J1594" s="132"/>
      <c r="K1594" s="868"/>
      <c r="L1594" s="65"/>
      <c r="M1594" s="65"/>
      <c r="N1594" s="65"/>
    </row>
    <row r="1595" spans="1:14" s="54" customFormat="1" ht="19.8" x14ac:dyDescent="0.4">
      <c r="A1595" s="53"/>
      <c r="B1595" s="53"/>
      <c r="C1595" s="225"/>
      <c r="D1595" s="53"/>
      <c r="E1595" s="53"/>
      <c r="F1595" s="53"/>
      <c r="G1595" s="53"/>
      <c r="H1595" s="53"/>
      <c r="I1595" s="53"/>
      <c r="J1595" s="132"/>
      <c r="K1595" s="868"/>
      <c r="L1595" s="65"/>
      <c r="M1595" s="65"/>
      <c r="N1595" s="65"/>
    </row>
    <row r="1596" spans="1:14" s="54" customFormat="1" ht="37.5" customHeight="1" x14ac:dyDescent="0.4">
      <c r="A1596" s="50" t="s">
        <v>273</v>
      </c>
      <c r="B1596" s="1032" t="s">
        <v>691</v>
      </c>
      <c r="C1596" s="1032"/>
      <c r="D1596" s="1032"/>
      <c r="E1596" s="52">
        <f>G1645</f>
        <v>102</v>
      </c>
      <c r="F1596" s="52" t="s">
        <v>971</v>
      </c>
      <c r="G1596" s="53"/>
      <c r="H1596" s="124"/>
      <c r="I1596" s="125" t="s">
        <v>1023</v>
      </c>
      <c r="J1596" s="132"/>
      <c r="K1596" s="868"/>
      <c r="L1596" s="65"/>
      <c r="M1596" s="65"/>
      <c r="N1596" s="65"/>
    </row>
    <row r="1597" spans="1:14" ht="18.600000000000001" x14ac:dyDescent="0.3">
      <c r="I1597" s="125" t="s">
        <v>265</v>
      </c>
    </row>
    <row r="1598" spans="1:14" x14ac:dyDescent="0.3">
      <c r="B1598" s="1018" t="s">
        <v>932</v>
      </c>
      <c r="C1598" s="1018"/>
      <c r="D1598" s="10"/>
      <c r="E1598" s="11">
        <f>E1605+E1608+E1606</f>
        <v>31.78</v>
      </c>
      <c r="F1598" s="12" t="s">
        <v>971</v>
      </c>
    </row>
    <row r="1599" spans="1:14" ht="4.5" customHeight="1" x14ac:dyDescent="0.3"/>
    <row r="1600" spans="1:14" ht="27.6" x14ac:dyDescent="0.3">
      <c r="B1600" s="13" t="s">
        <v>929</v>
      </c>
      <c r="C1600" s="14" t="s">
        <v>928</v>
      </c>
      <c r="D1600" s="14" t="s">
        <v>514</v>
      </c>
      <c r="E1600" s="14" t="s">
        <v>515</v>
      </c>
      <c r="F1600" s="14" t="s">
        <v>962</v>
      </c>
      <c r="G1600" s="14" t="s">
        <v>926</v>
      </c>
      <c r="H1600" s="14" t="s">
        <v>516</v>
      </c>
      <c r="I1600" s="14" t="s">
        <v>961</v>
      </c>
    </row>
    <row r="1601" spans="1:14" x14ac:dyDescent="0.3">
      <c r="B1601" s="16" t="str">
        <f>B1550</f>
        <v>Лікар-рентгенолог</v>
      </c>
      <c r="C1601" s="78">
        <f>C1550</f>
        <v>8463.5400000000009</v>
      </c>
      <c r="D1601" s="16">
        <f>C1601*12</f>
        <v>101562.48000000001</v>
      </c>
      <c r="E1601" s="16">
        <f>E1550</f>
        <v>7052.95</v>
      </c>
      <c r="F1601" s="16">
        <f>F1550</f>
        <v>3526.4749999999999</v>
      </c>
      <c r="G1601" s="16">
        <f>D1601+E1601+F1601</f>
        <v>112141.90500000001</v>
      </c>
      <c r="H1601" s="17">
        <v>1932.7</v>
      </c>
      <c r="I1601" s="16">
        <f>ROUND((G1601/H1601)/60,2)</f>
        <v>0.97</v>
      </c>
    </row>
    <row r="1602" spans="1:14" x14ac:dyDescent="0.3">
      <c r="B1602" s="16" t="str">
        <f>B1551</f>
        <v>Рентгенолаборант</v>
      </c>
      <c r="C1602" s="78">
        <f>C1551</f>
        <v>7482.48</v>
      </c>
      <c r="D1602" s="24">
        <f>C1602*12</f>
        <v>89789.759999999995</v>
      </c>
      <c r="E1602" s="16">
        <f>E1551</f>
        <v>5755.75</v>
      </c>
      <c r="F1602" s="16">
        <f>F1551</f>
        <v>2877.875</v>
      </c>
      <c r="G1602" s="16">
        <f>D1602+E1602+F1602</f>
        <v>98423.384999999995</v>
      </c>
      <c r="H1602" s="62">
        <v>1506</v>
      </c>
      <c r="I1602" s="16">
        <f>ROUND((G1602/H1602)/60,2)</f>
        <v>1.0900000000000001</v>
      </c>
    </row>
    <row r="1603" spans="1:14" ht="8.25" customHeight="1" x14ac:dyDescent="0.3"/>
    <row r="1604" spans="1:14" ht="27.6" x14ac:dyDescent="0.3">
      <c r="B1604" s="13" t="s">
        <v>929</v>
      </c>
      <c r="C1604" s="14" t="s">
        <v>961</v>
      </c>
      <c r="D1604" s="14" t="s">
        <v>930</v>
      </c>
      <c r="E1604" s="14" t="s">
        <v>931</v>
      </c>
    </row>
    <row r="1605" spans="1:14" x14ac:dyDescent="0.3">
      <c r="B1605" s="15" t="str">
        <f>B1601</f>
        <v>Лікар-рентгенолог</v>
      </c>
      <c r="C1605" s="78">
        <f>I1601</f>
        <v>0.97</v>
      </c>
      <c r="D1605" s="17">
        <v>10</v>
      </c>
      <c r="E1605" s="18">
        <f>ROUND(C1605*D1605,2)</f>
        <v>9.6999999999999993</v>
      </c>
    </row>
    <row r="1606" spans="1:14" x14ac:dyDescent="0.3">
      <c r="B1606" s="15" t="str">
        <f>B1602</f>
        <v>Рентгенолаборант</v>
      </c>
      <c r="C1606" s="78">
        <f>I1602</f>
        <v>1.0900000000000001</v>
      </c>
      <c r="D1606" s="17">
        <v>15</v>
      </c>
      <c r="E1606" s="18">
        <f>ROUND(C1606*D1606,2)</f>
        <v>16.350000000000001</v>
      </c>
    </row>
    <row r="1607" spans="1:14" x14ac:dyDescent="0.3">
      <c r="C1607" s="19"/>
    </row>
    <row r="1608" spans="1:14" x14ac:dyDescent="0.3">
      <c r="B1608" s="17" t="s">
        <v>933</v>
      </c>
      <c r="C1608" s="78">
        <f>E1605+E1606</f>
        <v>26.05</v>
      </c>
      <c r="D1608" s="20">
        <v>0.22</v>
      </c>
      <c r="E1608" s="21">
        <f>ROUND(C1608*D1608,2)</f>
        <v>5.73</v>
      </c>
    </row>
    <row r="1610" spans="1:14" x14ac:dyDescent="0.3">
      <c r="B1610" s="12" t="s">
        <v>946</v>
      </c>
      <c r="C1610" s="227"/>
      <c r="D1610" s="12"/>
      <c r="E1610" s="11">
        <f>F1619</f>
        <v>18.720000000000002</v>
      </c>
      <c r="F1610" s="12" t="s">
        <v>971</v>
      </c>
    </row>
    <row r="1612" spans="1:14" x14ac:dyDescent="0.3">
      <c r="B1612" s="27" t="str">
        <f>B1561</f>
        <v>Мікрасепт</v>
      </c>
      <c r="C1612" s="27" t="str">
        <f>C1561</f>
        <v>мл</v>
      </c>
      <c r="D1612" s="27">
        <f>D1561</f>
        <v>1</v>
      </c>
      <c r="E1612" s="27">
        <f>E1561</f>
        <v>0.3</v>
      </c>
      <c r="F1612" s="29">
        <f>ROUND(D1612*E1612,2)</f>
        <v>0.3</v>
      </c>
    </row>
    <row r="1613" spans="1:14" s="184" customFormat="1" x14ac:dyDescent="0.3">
      <c r="A1613" s="180"/>
      <c r="B1613" s="27" t="str">
        <f t="shared" ref="B1613:E1618" si="57">B1562</f>
        <v>Маска на резинці, стерильна</v>
      </c>
      <c r="C1613" s="27" t="str">
        <f t="shared" si="57"/>
        <v>шт</v>
      </c>
      <c r="D1613" s="27">
        <f t="shared" si="57"/>
        <v>0.5</v>
      </c>
      <c r="E1613" s="27">
        <f t="shared" si="57"/>
        <v>2</v>
      </c>
      <c r="F1613" s="168">
        <f t="shared" ref="F1613:F1618" si="58">ROUND(D1613*E1613,2)</f>
        <v>1</v>
      </c>
      <c r="G1613" s="180"/>
      <c r="H1613" s="180"/>
      <c r="I1613" s="180"/>
      <c r="J1613" s="187"/>
      <c r="K1613" s="866"/>
      <c r="L1613" s="861"/>
      <c r="M1613" s="861"/>
      <c r="N1613" s="861"/>
    </row>
    <row r="1614" spans="1:14" x14ac:dyDescent="0.3">
      <c r="B1614" s="27" t="str">
        <f t="shared" si="57"/>
        <v>Бинт марлевий 7х14</v>
      </c>
      <c r="C1614" s="27" t="str">
        <f t="shared" si="57"/>
        <v>шт</v>
      </c>
      <c r="D1614" s="27">
        <f t="shared" si="57"/>
        <v>0.1</v>
      </c>
      <c r="E1614" s="27">
        <f t="shared" si="57"/>
        <v>8</v>
      </c>
      <c r="F1614" s="16">
        <f t="shared" si="58"/>
        <v>0.8</v>
      </c>
    </row>
    <row r="1615" spans="1:14" x14ac:dyDescent="0.3">
      <c r="B1615" s="27" t="str">
        <f>'МЕДИЧНІ М'!B327</f>
        <v>Суха медична плівка 35*43*100</v>
      </c>
      <c r="C1615" s="27" t="str">
        <f t="shared" si="57"/>
        <v>шт</v>
      </c>
      <c r="D1615" s="27">
        <f t="shared" si="57"/>
        <v>1</v>
      </c>
      <c r="E1615" s="847">
        <f>'МЕДИЧНІ М'!F327</f>
        <v>15.841125</v>
      </c>
      <c r="F1615" s="16">
        <f t="shared" si="58"/>
        <v>15.84</v>
      </c>
    </row>
    <row r="1616" spans="1:14" x14ac:dyDescent="0.3">
      <c r="B1616" s="27" t="str">
        <f t="shared" si="57"/>
        <v>Рукавиці не стерильні</v>
      </c>
      <c r="C1616" s="27" t="str">
        <f t="shared" si="57"/>
        <v>шт</v>
      </c>
      <c r="D1616" s="27">
        <f t="shared" si="57"/>
        <v>0.1</v>
      </c>
      <c r="E1616" s="27">
        <f t="shared" si="57"/>
        <v>2.8</v>
      </c>
      <c r="F1616" s="16">
        <f t="shared" si="58"/>
        <v>0.28000000000000003</v>
      </c>
    </row>
    <row r="1617" spans="2:14" x14ac:dyDescent="0.3">
      <c r="B1617" s="27" t="str">
        <f t="shared" si="57"/>
        <v xml:space="preserve">Спирт 70% 100мл </v>
      </c>
      <c r="C1617" s="27" t="str">
        <f t="shared" si="57"/>
        <v>шт</v>
      </c>
      <c r="D1617" s="27">
        <f t="shared" si="57"/>
        <v>0.01</v>
      </c>
      <c r="E1617" s="27">
        <f t="shared" si="57"/>
        <v>24.6</v>
      </c>
      <c r="F1617" s="30">
        <f t="shared" si="58"/>
        <v>0.25</v>
      </c>
    </row>
    <row r="1618" spans="2:14" x14ac:dyDescent="0.3">
      <c r="B1618" s="27" t="str">
        <f t="shared" si="57"/>
        <v>Деззасоби</v>
      </c>
      <c r="C1618" s="27" t="str">
        <f t="shared" si="57"/>
        <v>г</v>
      </c>
      <c r="D1618" s="27">
        <f t="shared" si="57"/>
        <v>0.5</v>
      </c>
      <c r="E1618" s="27">
        <f t="shared" si="57"/>
        <v>0.5</v>
      </c>
      <c r="F1618" s="29">
        <f t="shared" si="58"/>
        <v>0.25</v>
      </c>
    </row>
    <row r="1619" spans="2:14" x14ac:dyDescent="0.3">
      <c r="B1619" s="1019" t="s">
        <v>945</v>
      </c>
      <c r="C1619" s="1019"/>
      <c r="D1619" s="1019"/>
      <c r="E1619" s="1019"/>
      <c r="F1619" s="113">
        <f>SUM(F1612:F1618)</f>
        <v>18.720000000000002</v>
      </c>
    </row>
    <row r="1620" spans="2:14" ht="8.25" customHeight="1" x14ac:dyDescent="0.3"/>
    <row r="1621" spans="2:14" x14ac:dyDescent="0.3">
      <c r="B1621" s="12" t="s">
        <v>968</v>
      </c>
      <c r="C1621" s="227"/>
      <c r="D1621" s="12"/>
      <c r="E1621" s="11">
        <f>SUM(G1624:G1625)</f>
        <v>48.15</v>
      </c>
      <c r="F1621" s="12" t="s">
        <v>971</v>
      </c>
    </row>
    <row r="1622" spans="2:14" ht="6.75" customHeight="1" x14ac:dyDescent="0.3">
      <c r="B1622" s="22"/>
      <c r="C1622" s="36"/>
      <c r="D1622" s="22"/>
      <c r="E1622" s="23"/>
      <c r="F1622" s="22"/>
    </row>
    <row r="1623" spans="2:14" ht="27.6" x14ac:dyDescent="0.3">
      <c r="B1623" s="14" t="s">
        <v>513</v>
      </c>
      <c r="C1623" s="14" t="s">
        <v>1108</v>
      </c>
      <c r="D1623" s="14" t="s">
        <v>516</v>
      </c>
      <c r="E1623" s="14" t="s">
        <v>970</v>
      </c>
      <c r="F1623" s="14" t="s">
        <v>930</v>
      </c>
      <c r="G1623" s="14" t="s">
        <v>961</v>
      </c>
    </row>
    <row r="1624" spans="2:14" x14ac:dyDescent="0.3">
      <c r="B1624" s="46" t="s">
        <v>1161</v>
      </c>
      <c r="C1624" s="78">
        <f>C1573</f>
        <v>0</v>
      </c>
      <c r="D1624" s="62">
        <f>H1601</f>
        <v>1932.7</v>
      </c>
      <c r="E1624" s="17">
        <f>ROUND((C1624/D1624)/60,2)</f>
        <v>0</v>
      </c>
      <c r="F1624" s="17">
        <f>D1605</f>
        <v>10</v>
      </c>
      <c r="G1624" s="16">
        <f>ROUND(E1624*F1624,2)</f>
        <v>0</v>
      </c>
    </row>
    <row r="1625" spans="2:14" s="7" customFormat="1" ht="13.8" x14ac:dyDescent="0.25">
      <c r="B1625" s="27" t="s">
        <v>1093</v>
      </c>
      <c r="C1625" s="78">
        <f>C1574</f>
        <v>290000</v>
      </c>
      <c r="D1625" s="62">
        <f>H1602</f>
        <v>1506</v>
      </c>
      <c r="E1625" s="17">
        <f>ROUND((C1625/D1625)/60,2)</f>
        <v>3.21</v>
      </c>
      <c r="F1625" s="17">
        <f>D1606</f>
        <v>15</v>
      </c>
      <c r="G1625" s="16">
        <f>ROUND(E1625*F1625,2)</f>
        <v>48.15</v>
      </c>
      <c r="H1625" s="38"/>
      <c r="J1625" s="130"/>
      <c r="K1625" s="868"/>
      <c r="L1625" s="65"/>
      <c r="M1625" s="65"/>
      <c r="N1625" s="65"/>
    </row>
    <row r="1626" spans="2:14" s="7" customFormat="1" ht="6.75" customHeight="1" x14ac:dyDescent="0.25">
      <c r="C1626" s="74"/>
      <c r="J1626" s="130"/>
      <c r="K1626" s="868"/>
      <c r="L1626" s="65"/>
      <c r="M1626" s="65"/>
      <c r="N1626" s="65"/>
    </row>
    <row r="1627" spans="2:14" s="7" customFormat="1" ht="13.8" x14ac:dyDescent="0.25">
      <c r="B1627" s="12" t="s">
        <v>948</v>
      </c>
      <c r="C1627" s="227"/>
      <c r="D1627" s="12"/>
      <c r="E1627" s="11">
        <f>G1640</f>
        <v>3.45</v>
      </c>
      <c r="F1627" s="12" t="s">
        <v>971</v>
      </c>
      <c r="J1627" s="130"/>
      <c r="K1627" s="868"/>
      <c r="L1627" s="65"/>
      <c r="M1627" s="65"/>
      <c r="N1627" s="65"/>
    </row>
    <row r="1628" spans="2:14" s="7" customFormat="1" ht="5.25" customHeight="1" x14ac:dyDescent="0.25">
      <c r="B1628" s="22"/>
      <c r="C1628" s="36"/>
      <c r="D1628" s="22"/>
      <c r="E1628" s="23"/>
      <c r="J1628" s="130"/>
      <c r="K1628" s="868"/>
      <c r="L1628" s="65"/>
      <c r="M1628" s="65"/>
      <c r="N1628" s="65"/>
    </row>
    <row r="1629" spans="2:14" s="7" customFormat="1" ht="41.4" x14ac:dyDescent="0.25">
      <c r="B1629" s="14" t="s">
        <v>948</v>
      </c>
      <c r="C1629" s="14" t="s">
        <v>955</v>
      </c>
      <c r="D1629" s="14" t="s">
        <v>516</v>
      </c>
      <c r="E1629" s="14" t="s">
        <v>954</v>
      </c>
      <c r="F1629" s="14" t="s">
        <v>930</v>
      </c>
      <c r="G1629" s="14" t="s">
        <v>956</v>
      </c>
      <c r="J1629" s="130"/>
      <c r="K1629" s="868"/>
      <c r="L1629" s="65"/>
      <c r="M1629" s="65"/>
      <c r="N1629" s="65"/>
    </row>
    <row r="1630" spans="2:14" s="7" customFormat="1" ht="13.8" x14ac:dyDescent="0.25">
      <c r="B1630" s="1009" t="str">
        <f>B1601</f>
        <v>Лікар-рентгенолог</v>
      </c>
      <c r="C1630" s="1010"/>
      <c r="D1630" s="1010"/>
      <c r="E1630" s="1010"/>
      <c r="F1630" s="1010"/>
      <c r="G1630" s="1011"/>
      <c r="J1630" s="130"/>
      <c r="K1630" s="868"/>
      <c r="L1630" s="65"/>
      <c r="M1630" s="65"/>
      <c r="N1630" s="65"/>
    </row>
    <row r="1631" spans="2:14" s="7" customFormat="1" ht="13.8" x14ac:dyDescent="0.25">
      <c r="B1631" s="17" t="s">
        <v>951</v>
      </c>
      <c r="C1631" s="221">
        <f>C1580</f>
        <v>12188.608008565312</v>
      </c>
      <c r="D1631" s="17">
        <f>H1601</f>
        <v>1932.7</v>
      </c>
      <c r="E1631" s="17">
        <f>ROUND((C1631/D1631)/60,2)</f>
        <v>0.11</v>
      </c>
      <c r="F1631" s="17">
        <f>D1605</f>
        <v>10</v>
      </c>
      <c r="G1631" s="16">
        <f>ROUND(E1631*F1631,2)</f>
        <v>1.1000000000000001</v>
      </c>
      <c r="J1631" s="130"/>
      <c r="K1631" s="868"/>
      <c r="L1631" s="65"/>
      <c r="M1631" s="65"/>
      <c r="N1631" s="65"/>
    </row>
    <row r="1632" spans="2:14" s="7" customFormat="1" ht="13.8" x14ac:dyDescent="0.25">
      <c r="B1632" s="17" t="s">
        <v>952</v>
      </c>
      <c r="C1632" s="221">
        <f>C1581</f>
        <v>53.149721627408987</v>
      </c>
      <c r="D1632" s="17">
        <f>H1601</f>
        <v>1932.7</v>
      </c>
      <c r="E1632" s="17">
        <f>ROUND((C1632/D1632)/60,2)</f>
        <v>0</v>
      </c>
      <c r="F1632" s="17">
        <f>D1605</f>
        <v>10</v>
      </c>
      <c r="G1632" s="16">
        <f>ROUND(E1632*F1632,2)</f>
        <v>0</v>
      </c>
      <c r="J1632" s="130"/>
      <c r="K1632" s="868"/>
      <c r="L1632" s="65"/>
      <c r="M1632" s="65"/>
      <c r="N1632" s="65"/>
    </row>
    <row r="1633" spans="1:14" s="7" customFormat="1" ht="13.8" x14ac:dyDescent="0.25">
      <c r="B1633" s="17" t="s">
        <v>953</v>
      </c>
      <c r="C1633" s="221">
        <f>C1582</f>
        <v>374.98368308351178</v>
      </c>
      <c r="D1633" s="17">
        <f>H1601</f>
        <v>1932.7</v>
      </c>
      <c r="E1633" s="17">
        <f>ROUND((C1633/D1633)/60,2)</f>
        <v>0</v>
      </c>
      <c r="F1633" s="17">
        <f>D1605</f>
        <v>10</v>
      </c>
      <c r="G1633" s="16">
        <f>ROUND(E1633*F1633,2)</f>
        <v>0</v>
      </c>
      <c r="J1633" s="130"/>
      <c r="K1633" s="868"/>
      <c r="L1633" s="65"/>
      <c r="M1633" s="65"/>
      <c r="N1633" s="65"/>
    </row>
    <row r="1634" spans="1:14" s="7" customFormat="1" ht="13.8" x14ac:dyDescent="0.25">
      <c r="B1634" s="17" t="s">
        <v>1109</v>
      </c>
      <c r="C1634" s="221">
        <f>C1583</f>
        <v>1686.0389293361886</v>
      </c>
      <c r="D1634" s="17">
        <f>H1601</f>
        <v>1932.7</v>
      </c>
      <c r="E1634" s="17">
        <f>ROUND((C1634/D1634)/60,2)</f>
        <v>0.01</v>
      </c>
      <c r="F1634" s="17">
        <f>D1605</f>
        <v>10</v>
      </c>
      <c r="G1634" s="16">
        <f>ROUND(E1634*F1634,2)</f>
        <v>0.1</v>
      </c>
      <c r="J1634" s="130"/>
      <c r="K1634" s="868"/>
      <c r="L1634" s="65"/>
      <c r="M1634" s="65"/>
      <c r="N1634" s="65"/>
    </row>
    <row r="1635" spans="1:14" s="7" customFormat="1" ht="13.8" x14ac:dyDescent="0.25">
      <c r="B1635" s="1009" t="str">
        <f>B1602</f>
        <v>Рентгенолаборант</v>
      </c>
      <c r="C1635" s="1010"/>
      <c r="D1635" s="1010"/>
      <c r="E1635" s="1010"/>
      <c r="F1635" s="1010"/>
      <c r="G1635" s="1011"/>
      <c r="J1635" s="130"/>
      <c r="K1635" s="868"/>
      <c r="L1635" s="65"/>
      <c r="M1635" s="65"/>
      <c r="N1635" s="65"/>
    </row>
    <row r="1636" spans="1:14" s="7" customFormat="1" ht="13.8" x14ac:dyDescent="0.25">
      <c r="B1636" s="17" t="s">
        <v>951</v>
      </c>
      <c r="C1636" s="221">
        <f>C1631</f>
        <v>12188.608008565312</v>
      </c>
      <c r="D1636" s="17">
        <f>H1602</f>
        <v>1506</v>
      </c>
      <c r="E1636" s="17">
        <f>ROUND((C1636/D1636)/60,2)</f>
        <v>0.13</v>
      </c>
      <c r="F1636" s="17">
        <f>D1606</f>
        <v>15</v>
      </c>
      <c r="G1636" s="16">
        <f>ROUND(E1636*F1636,2)</f>
        <v>1.95</v>
      </c>
      <c r="J1636" s="130"/>
      <c r="K1636" s="868"/>
      <c r="L1636" s="65"/>
      <c r="M1636" s="65"/>
      <c r="N1636" s="65"/>
    </row>
    <row r="1637" spans="1:14" s="7" customFormat="1" ht="13.8" x14ac:dyDescent="0.25">
      <c r="B1637" s="17" t="s">
        <v>952</v>
      </c>
      <c r="C1637" s="221">
        <f>C1632</f>
        <v>53.149721627408987</v>
      </c>
      <c r="D1637" s="17">
        <f>H1602</f>
        <v>1506</v>
      </c>
      <c r="E1637" s="17">
        <f>ROUND((C1637/D1637)/60,2)</f>
        <v>0</v>
      </c>
      <c r="F1637" s="17">
        <f>D1606</f>
        <v>15</v>
      </c>
      <c r="G1637" s="16">
        <f>ROUND(E1637*F1637,2)</f>
        <v>0</v>
      </c>
      <c r="J1637" s="130"/>
      <c r="K1637" s="868"/>
      <c r="L1637" s="65"/>
      <c r="M1637" s="65"/>
      <c r="N1637" s="65"/>
    </row>
    <row r="1638" spans="1:14" s="7" customFormat="1" ht="13.8" x14ac:dyDescent="0.25">
      <c r="B1638" s="17" t="s">
        <v>953</v>
      </c>
      <c r="C1638" s="221">
        <f>C1633</f>
        <v>374.98368308351178</v>
      </c>
      <c r="D1638" s="17">
        <f>H1602</f>
        <v>1506</v>
      </c>
      <c r="E1638" s="17">
        <f>ROUND((C1638/D1638)/60,2)</f>
        <v>0</v>
      </c>
      <c r="F1638" s="17">
        <f>D1606</f>
        <v>15</v>
      </c>
      <c r="G1638" s="16">
        <f>ROUND(E1638*F1638,2)</f>
        <v>0</v>
      </c>
      <c r="J1638" s="130"/>
      <c r="K1638" s="868"/>
      <c r="L1638" s="65"/>
      <c r="M1638" s="65"/>
      <c r="N1638" s="65"/>
    </row>
    <row r="1639" spans="1:14" s="7" customFormat="1" ht="13.8" x14ac:dyDescent="0.25">
      <c r="B1639" s="17" t="s">
        <v>1109</v>
      </c>
      <c r="C1639" s="221">
        <f>C1634</f>
        <v>1686.0389293361886</v>
      </c>
      <c r="D1639" s="17">
        <f>H1602</f>
        <v>1506</v>
      </c>
      <c r="E1639" s="17">
        <f>ROUND((C1639/D1639)/60,2)</f>
        <v>0.02</v>
      </c>
      <c r="F1639" s="17">
        <f>D1606</f>
        <v>15</v>
      </c>
      <c r="G1639" s="16">
        <f>ROUND(E1639*F1639,2)</f>
        <v>0.3</v>
      </c>
      <c r="J1639" s="130"/>
      <c r="K1639" s="868"/>
      <c r="L1639" s="65"/>
      <c r="M1639" s="65"/>
      <c r="N1639" s="65"/>
    </row>
    <row r="1640" spans="1:14" s="7" customFormat="1" ht="13.8" x14ac:dyDescent="0.25">
      <c r="B1640" s="1012" t="s">
        <v>957</v>
      </c>
      <c r="C1640" s="1013"/>
      <c r="D1640" s="1013"/>
      <c r="E1640" s="1013"/>
      <c r="F1640" s="1014"/>
      <c r="G1640" s="18">
        <f>SUM(G1631:G1639)</f>
        <v>3.45</v>
      </c>
      <c r="J1640" s="130"/>
      <c r="K1640" s="868"/>
      <c r="L1640" s="65"/>
      <c r="M1640" s="65"/>
      <c r="N1640" s="65"/>
    </row>
    <row r="1641" spans="1:14" ht="9.75" customHeight="1" x14ac:dyDescent="0.3"/>
    <row r="1643" spans="1:14" x14ac:dyDescent="0.3">
      <c r="B1643" s="1015" t="s">
        <v>959</v>
      </c>
      <c r="C1643" s="1015"/>
      <c r="D1643" s="1015"/>
      <c r="E1643" s="1015"/>
      <c r="F1643" s="1015"/>
      <c r="G1643" s="32">
        <f>E1598+E1610+E1621+E1627</f>
        <v>102.10000000000001</v>
      </c>
    </row>
    <row r="1644" spans="1:14" ht="15" customHeight="1" x14ac:dyDescent="0.3">
      <c r="B1644" s="33"/>
      <c r="C1644" s="33"/>
      <c r="D1644" s="33"/>
      <c r="E1644" s="33"/>
      <c r="F1644" s="33"/>
      <c r="G1644" s="34"/>
    </row>
    <row r="1645" spans="1:14" s="54" customFormat="1" ht="19.8" x14ac:dyDescent="0.4">
      <c r="A1645" s="53"/>
      <c r="B1645" s="1051" t="s">
        <v>960</v>
      </c>
      <c r="C1645" s="1051"/>
      <c r="D1645" s="1051"/>
      <c r="E1645" s="1051"/>
      <c r="F1645" s="1051"/>
      <c r="G1645" s="32">
        <f>ROUND(G1643,0)</f>
        <v>102</v>
      </c>
      <c r="H1645" s="53"/>
      <c r="I1645" s="53"/>
      <c r="J1645" s="132"/>
      <c r="K1645" s="868"/>
      <c r="L1645" s="65"/>
      <c r="M1645" s="65"/>
      <c r="N1645" s="65"/>
    </row>
    <row r="1646" spans="1:14" s="54" customFormat="1" ht="19.8" x14ac:dyDescent="0.4">
      <c r="A1646" s="53"/>
      <c r="B1646" s="53"/>
      <c r="C1646" s="225"/>
      <c r="D1646" s="53"/>
      <c r="E1646" s="53"/>
      <c r="F1646" s="53"/>
      <c r="G1646" s="53"/>
      <c r="H1646" s="53"/>
      <c r="I1646" s="53"/>
      <c r="J1646" s="132"/>
      <c r="K1646" s="868"/>
      <c r="L1646" s="65"/>
      <c r="M1646" s="65"/>
      <c r="N1646" s="65"/>
    </row>
    <row r="1647" spans="1:14" s="54" customFormat="1" ht="19.8" x14ac:dyDescent="0.4">
      <c r="A1647" s="50" t="s">
        <v>274</v>
      </c>
      <c r="B1647" s="1032" t="s">
        <v>691</v>
      </c>
      <c r="C1647" s="1032"/>
      <c r="D1647" s="1032"/>
      <c r="E1647" s="52">
        <f>G1695</f>
        <v>86</v>
      </c>
      <c r="F1647" s="52" t="s">
        <v>971</v>
      </c>
      <c r="G1647" s="53"/>
      <c r="H1647" s="124"/>
      <c r="I1647" s="125" t="s">
        <v>1128</v>
      </c>
      <c r="J1647" s="132"/>
      <c r="K1647" s="868"/>
      <c r="L1647" s="65"/>
      <c r="M1647" s="65"/>
      <c r="N1647" s="65"/>
    </row>
    <row r="1649" spans="1:14" x14ac:dyDescent="0.3">
      <c r="B1649" s="1018" t="s">
        <v>932</v>
      </c>
      <c r="C1649" s="1018"/>
      <c r="D1649" s="10"/>
      <c r="E1649" s="11">
        <f>E1656+E1659+E1657</f>
        <v>31.78</v>
      </c>
      <c r="F1649" s="12" t="s">
        <v>971</v>
      </c>
    </row>
    <row r="1651" spans="1:14" ht="27.6" x14ac:dyDescent="0.3">
      <c r="B1651" s="13" t="s">
        <v>929</v>
      </c>
      <c r="C1651" s="14" t="s">
        <v>928</v>
      </c>
      <c r="D1651" s="14" t="s">
        <v>514</v>
      </c>
      <c r="E1651" s="14" t="s">
        <v>515</v>
      </c>
      <c r="F1651" s="14" t="s">
        <v>962</v>
      </c>
      <c r="G1651" s="14" t="s">
        <v>926</v>
      </c>
      <c r="H1651" s="14" t="s">
        <v>516</v>
      </c>
      <c r="I1651" s="14" t="s">
        <v>961</v>
      </c>
    </row>
    <row r="1652" spans="1:14" x14ac:dyDescent="0.3">
      <c r="B1652" s="16" t="str">
        <f>B1550</f>
        <v>Лікар-рентгенолог</v>
      </c>
      <c r="C1652" s="78">
        <f>C1550</f>
        <v>8463.5400000000009</v>
      </c>
      <c r="D1652" s="16">
        <f>C1652*12</f>
        <v>101562.48000000001</v>
      </c>
      <c r="E1652" s="16">
        <f>E1550</f>
        <v>7052.95</v>
      </c>
      <c r="F1652" s="16">
        <f>F1550</f>
        <v>3526.4749999999999</v>
      </c>
      <c r="G1652" s="16">
        <f>D1652+E1652+F1652</f>
        <v>112141.90500000001</v>
      </c>
      <c r="H1652" s="17">
        <v>1932.7</v>
      </c>
      <c r="I1652" s="16">
        <f>ROUND((G1652/H1652)/60,2)</f>
        <v>0.97</v>
      </c>
    </row>
    <row r="1653" spans="1:14" x14ac:dyDescent="0.3">
      <c r="B1653" s="16" t="str">
        <f>B1551</f>
        <v>Рентгенолаборант</v>
      </c>
      <c r="C1653" s="78">
        <f>C1551</f>
        <v>7482.48</v>
      </c>
      <c r="D1653" s="24">
        <f>C1653*12</f>
        <v>89789.759999999995</v>
      </c>
      <c r="E1653" s="16">
        <f>E1551</f>
        <v>5755.75</v>
      </c>
      <c r="F1653" s="16">
        <f>F1551</f>
        <v>2877.875</v>
      </c>
      <c r="G1653" s="16">
        <f>D1653+E1653+F1653</f>
        <v>98423.384999999995</v>
      </c>
      <c r="H1653" s="62">
        <v>1506</v>
      </c>
      <c r="I1653" s="16">
        <f>ROUND((G1653/H1653)/60,2)</f>
        <v>1.0900000000000001</v>
      </c>
    </row>
    <row r="1655" spans="1:14" ht="27.6" x14ac:dyDescent="0.3">
      <c r="B1655" s="13" t="s">
        <v>929</v>
      </c>
      <c r="C1655" s="14" t="s">
        <v>961</v>
      </c>
      <c r="D1655" s="14" t="s">
        <v>930</v>
      </c>
      <c r="E1655" s="14" t="s">
        <v>931</v>
      </c>
    </row>
    <row r="1656" spans="1:14" x14ac:dyDescent="0.3">
      <c r="B1656" s="15" t="str">
        <f>B1652</f>
        <v>Лікар-рентгенолог</v>
      </c>
      <c r="C1656" s="78">
        <f>I1652</f>
        <v>0.97</v>
      </c>
      <c r="D1656" s="17">
        <v>10</v>
      </c>
      <c r="E1656" s="18">
        <f>ROUND(C1656*D1656,2)</f>
        <v>9.6999999999999993</v>
      </c>
    </row>
    <row r="1657" spans="1:14" x14ac:dyDescent="0.3">
      <c r="B1657" s="15" t="str">
        <f>B1653</f>
        <v>Рентгенолаборант</v>
      </c>
      <c r="C1657" s="78">
        <f>I1653</f>
        <v>1.0900000000000001</v>
      </c>
      <c r="D1657" s="17">
        <v>15</v>
      </c>
      <c r="E1657" s="18">
        <f>ROUND(C1657*D1657,2)</f>
        <v>16.350000000000001</v>
      </c>
    </row>
    <row r="1658" spans="1:14" x14ac:dyDescent="0.3">
      <c r="C1658" s="19"/>
    </row>
    <row r="1659" spans="1:14" x14ac:dyDescent="0.3">
      <c r="B1659" s="17" t="s">
        <v>933</v>
      </c>
      <c r="C1659" s="78">
        <f>E1656+E1657</f>
        <v>26.05</v>
      </c>
      <c r="D1659" s="20">
        <v>0.22</v>
      </c>
      <c r="E1659" s="21">
        <f>ROUND(C1659*D1659,2)</f>
        <v>5.73</v>
      </c>
    </row>
    <row r="1661" spans="1:14" x14ac:dyDescent="0.3">
      <c r="B1661" s="12" t="s">
        <v>946</v>
      </c>
      <c r="C1661" s="227"/>
      <c r="D1661" s="12"/>
      <c r="E1661" s="11">
        <f>F1669</f>
        <v>2.88</v>
      </c>
      <c r="F1661" s="12" t="s">
        <v>971</v>
      </c>
    </row>
    <row r="1663" spans="1:14" x14ac:dyDescent="0.3">
      <c r="B1663" s="27" t="s">
        <v>936</v>
      </c>
      <c r="C1663" s="28" t="s">
        <v>937</v>
      </c>
      <c r="D1663" s="29">
        <v>1</v>
      </c>
      <c r="E1663" s="30">
        <f>'МЕДИЧНІ М'!F115</f>
        <v>0.3</v>
      </c>
      <c r="F1663" s="30">
        <f t="shared" ref="F1663:F1668" si="59">ROUND(D1663*E1663,2)</f>
        <v>0.3</v>
      </c>
    </row>
    <row r="1664" spans="1:14" s="184" customFormat="1" x14ac:dyDescent="0.3">
      <c r="A1664" s="180"/>
      <c r="B1664" s="185" t="s">
        <v>1021</v>
      </c>
      <c r="C1664" s="186" t="s">
        <v>941</v>
      </c>
      <c r="D1664" s="164">
        <v>0.5</v>
      </c>
      <c r="E1664" s="164">
        <f>'МЕДИЧНІ М'!E181</f>
        <v>2</v>
      </c>
      <c r="F1664" s="164">
        <f t="shared" si="59"/>
        <v>1</v>
      </c>
      <c r="G1664" s="180"/>
      <c r="H1664" s="180"/>
      <c r="I1664" s="180"/>
      <c r="J1664" s="187"/>
      <c r="K1664" s="866"/>
      <c r="L1664" s="861"/>
      <c r="M1664" s="861"/>
      <c r="N1664" s="861"/>
    </row>
    <row r="1665" spans="2:14" x14ac:dyDescent="0.3">
      <c r="B1665" s="15" t="s">
        <v>1216</v>
      </c>
      <c r="C1665" s="73" t="s">
        <v>941</v>
      </c>
      <c r="D1665" s="17">
        <v>0.1</v>
      </c>
      <c r="E1665" s="16">
        <f>'МЕДИЧНІ М'!E113</f>
        <v>8</v>
      </c>
      <c r="F1665" s="17">
        <f t="shared" si="59"/>
        <v>0.8</v>
      </c>
    </row>
    <row r="1666" spans="2:14" x14ac:dyDescent="0.3">
      <c r="B1666" s="15" t="s">
        <v>964</v>
      </c>
      <c r="C1666" s="73" t="s">
        <v>941</v>
      </c>
      <c r="D1666" s="17">
        <v>0.1</v>
      </c>
      <c r="E1666" s="16">
        <f>'МЕДИЧНІ М'!E119</f>
        <v>2.8</v>
      </c>
      <c r="F1666" s="17">
        <f t="shared" si="59"/>
        <v>0.28000000000000003</v>
      </c>
    </row>
    <row r="1667" spans="2:14" x14ac:dyDescent="0.3">
      <c r="B1667" s="27" t="s">
        <v>942</v>
      </c>
      <c r="C1667" s="28" t="s">
        <v>941</v>
      </c>
      <c r="D1667" s="29">
        <v>0.01</v>
      </c>
      <c r="E1667" s="29">
        <f>'МЕДИЧНІ М'!E120</f>
        <v>24.6</v>
      </c>
      <c r="F1667" s="30">
        <f t="shared" si="59"/>
        <v>0.25</v>
      </c>
    </row>
    <row r="1668" spans="2:14" x14ac:dyDescent="0.3">
      <c r="B1668" s="27" t="s">
        <v>1124</v>
      </c>
      <c r="C1668" s="28" t="s">
        <v>944</v>
      </c>
      <c r="D1668" s="29">
        <v>0.5</v>
      </c>
      <c r="E1668" s="29">
        <f>'МЕДИЧНІ М'!E114</f>
        <v>0.5</v>
      </c>
      <c r="F1668" s="30">
        <f t="shared" si="59"/>
        <v>0.25</v>
      </c>
    </row>
    <row r="1669" spans="2:14" x14ac:dyDescent="0.3">
      <c r="B1669" s="1019" t="s">
        <v>945</v>
      </c>
      <c r="C1669" s="1019"/>
      <c r="D1669" s="1019"/>
      <c r="E1669" s="1019"/>
      <c r="F1669" s="89">
        <f>SUM(F1663:F1668)</f>
        <v>2.88</v>
      </c>
    </row>
    <row r="1671" spans="2:14" s="7" customFormat="1" ht="13.8" x14ac:dyDescent="0.25">
      <c r="B1671" s="12" t="s">
        <v>968</v>
      </c>
      <c r="C1671" s="227"/>
      <c r="D1671" s="12"/>
      <c r="E1671" s="11">
        <f>SUM(G1674:G1675)</f>
        <v>48.15</v>
      </c>
      <c r="F1671" s="12" t="s">
        <v>971</v>
      </c>
      <c r="J1671" s="130"/>
      <c r="K1671" s="868"/>
      <c r="L1671" s="65"/>
      <c r="M1671" s="65"/>
      <c r="N1671" s="65"/>
    </row>
    <row r="1672" spans="2:14" s="7" customFormat="1" ht="13.8" x14ac:dyDescent="0.25">
      <c r="B1672" s="22"/>
      <c r="C1672" s="36"/>
      <c r="D1672" s="22"/>
      <c r="E1672" s="23"/>
      <c r="F1672" s="22"/>
      <c r="J1672" s="130"/>
      <c r="K1672" s="868"/>
      <c r="L1672" s="65"/>
      <c r="M1672" s="65"/>
      <c r="N1672" s="65"/>
    </row>
    <row r="1673" spans="2:14" s="7" customFormat="1" ht="27.6" x14ac:dyDescent="0.25">
      <c r="B1673" s="14" t="s">
        <v>513</v>
      </c>
      <c r="C1673" s="14" t="s">
        <v>1108</v>
      </c>
      <c r="D1673" s="14" t="s">
        <v>516</v>
      </c>
      <c r="E1673" s="14" t="s">
        <v>970</v>
      </c>
      <c r="F1673" s="14" t="s">
        <v>930</v>
      </c>
      <c r="G1673" s="14" t="s">
        <v>961</v>
      </c>
      <c r="J1673" s="130"/>
      <c r="K1673" s="868"/>
      <c r="L1673" s="65"/>
      <c r="M1673" s="65"/>
      <c r="N1673" s="65"/>
    </row>
    <row r="1674" spans="2:14" s="7" customFormat="1" ht="13.8" x14ac:dyDescent="0.25">
      <c r="B1674" s="46" t="s">
        <v>1161</v>
      </c>
      <c r="C1674" s="78">
        <f>C1573</f>
        <v>0</v>
      </c>
      <c r="D1674" s="62">
        <f>H1652</f>
        <v>1932.7</v>
      </c>
      <c r="E1674" s="17">
        <f>ROUND((C1674/D1674)/60,2)</f>
        <v>0</v>
      </c>
      <c r="F1674" s="17">
        <f>D1656</f>
        <v>10</v>
      </c>
      <c r="G1674" s="16">
        <f>ROUND(E1674*F1674,2)</f>
        <v>0</v>
      </c>
      <c r="J1674" s="130"/>
      <c r="K1674" s="868"/>
      <c r="L1674" s="65"/>
      <c r="M1674" s="65"/>
      <c r="N1674" s="65"/>
    </row>
    <row r="1675" spans="2:14" s="7" customFormat="1" ht="13.8" x14ac:dyDescent="0.25">
      <c r="B1675" s="27" t="s">
        <v>1093</v>
      </c>
      <c r="C1675" s="78">
        <f>C1574</f>
        <v>290000</v>
      </c>
      <c r="D1675" s="62">
        <f>H1653</f>
        <v>1506</v>
      </c>
      <c r="E1675" s="17">
        <f>ROUND((C1675/D1675)/60,2)</f>
        <v>3.21</v>
      </c>
      <c r="F1675" s="17">
        <f>D1657</f>
        <v>15</v>
      </c>
      <c r="G1675" s="16">
        <f>ROUND(E1675*F1675,2)</f>
        <v>48.15</v>
      </c>
      <c r="H1675" s="38"/>
      <c r="J1675" s="130"/>
      <c r="K1675" s="868"/>
      <c r="L1675" s="65"/>
      <c r="M1675" s="65"/>
      <c r="N1675" s="65"/>
    </row>
    <row r="1677" spans="2:14" s="7" customFormat="1" ht="13.8" x14ac:dyDescent="0.25">
      <c r="B1677" s="12" t="s">
        <v>948</v>
      </c>
      <c r="C1677" s="227"/>
      <c r="D1677" s="12"/>
      <c r="E1677" s="11">
        <f>G1690</f>
        <v>3.45</v>
      </c>
      <c r="F1677" s="12" t="s">
        <v>971</v>
      </c>
      <c r="J1677" s="130"/>
      <c r="K1677" s="868"/>
      <c r="L1677" s="65"/>
      <c r="M1677" s="65"/>
      <c r="N1677" s="65"/>
    </row>
    <row r="1678" spans="2:14" s="7" customFormat="1" ht="9" customHeight="1" x14ac:dyDescent="0.25">
      <c r="B1678" s="22"/>
      <c r="C1678" s="36"/>
      <c r="D1678" s="22"/>
      <c r="E1678" s="23"/>
      <c r="J1678" s="130"/>
      <c r="K1678" s="868"/>
      <c r="L1678" s="65"/>
      <c r="M1678" s="65"/>
      <c r="N1678" s="65"/>
    </row>
    <row r="1679" spans="2:14" s="7" customFormat="1" ht="41.4" x14ac:dyDescent="0.25">
      <c r="B1679" s="14" t="s">
        <v>948</v>
      </c>
      <c r="C1679" s="14" t="s">
        <v>955</v>
      </c>
      <c r="D1679" s="14" t="s">
        <v>516</v>
      </c>
      <c r="E1679" s="14" t="s">
        <v>954</v>
      </c>
      <c r="F1679" s="14" t="s">
        <v>930</v>
      </c>
      <c r="G1679" s="14" t="s">
        <v>956</v>
      </c>
      <c r="J1679" s="130"/>
      <c r="K1679" s="868"/>
      <c r="L1679" s="65"/>
      <c r="M1679" s="65"/>
      <c r="N1679" s="65"/>
    </row>
    <row r="1680" spans="2:14" s="7" customFormat="1" ht="13.8" x14ac:dyDescent="0.25">
      <c r="B1680" s="1009" t="str">
        <f>B1652</f>
        <v>Лікар-рентгенолог</v>
      </c>
      <c r="C1680" s="1010"/>
      <c r="D1680" s="1010"/>
      <c r="E1680" s="1010"/>
      <c r="F1680" s="1010"/>
      <c r="G1680" s="1011"/>
      <c r="J1680" s="130"/>
      <c r="K1680" s="868"/>
      <c r="L1680" s="65"/>
      <c r="M1680" s="65"/>
      <c r="N1680" s="65"/>
    </row>
    <row r="1681" spans="2:14" s="7" customFormat="1" ht="13.8" x14ac:dyDescent="0.25">
      <c r="B1681" s="17" t="s">
        <v>951</v>
      </c>
      <c r="C1681" s="221">
        <f>C1580</f>
        <v>12188.608008565312</v>
      </c>
      <c r="D1681" s="17">
        <f>H1652</f>
        <v>1932.7</v>
      </c>
      <c r="E1681" s="17">
        <f>ROUND((C1681/D1681)/60,2)</f>
        <v>0.11</v>
      </c>
      <c r="F1681" s="17">
        <f>D1656</f>
        <v>10</v>
      </c>
      <c r="G1681" s="16">
        <f>ROUND(E1681*F1681,2)</f>
        <v>1.1000000000000001</v>
      </c>
      <c r="J1681" s="130"/>
      <c r="K1681" s="868"/>
      <c r="L1681" s="65"/>
      <c r="M1681" s="65"/>
      <c r="N1681" s="65"/>
    </row>
    <row r="1682" spans="2:14" s="7" customFormat="1" ht="13.8" x14ac:dyDescent="0.25">
      <c r="B1682" s="17" t="s">
        <v>952</v>
      </c>
      <c r="C1682" s="221">
        <f>C1581</f>
        <v>53.149721627408987</v>
      </c>
      <c r="D1682" s="17">
        <f>H1652</f>
        <v>1932.7</v>
      </c>
      <c r="E1682" s="17">
        <f>ROUND((C1682/D1682)/60,2)</f>
        <v>0</v>
      </c>
      <c r="F1682" s="17">
        <f>D1656</f>
        <v>10</v>
      </c>
      <c r="G1682" s="16">
        <f>ROUND(E1682*F1682,2)</f>
        <v>0</v>
      </c>
      <c r="J1682" s="130"/>
      <c r="K1682" s="868"/>
      <c r="L1682" s="65"/>
      <c r="M1682" s="65"/>
      <c r="N1682" s="65"/>
    </row>
    <row r="1683" spans="2:14" s="7" customFormat="1" ht="13.8" x14ac:dyDescent="0.25">
      <c r="B1683" s="17" t="s">
        <v>953</v>
      </c>
      <c r="C1683" s="221">
        <f>C1582</f>
        <v>374.98368308351178</v>
      </c>
      <c r="D1683" s="17">
        <f>H1652</f>
        <v>1932.7</v>
      </c>
      <c r="E1683" s="17">
        <f>ROUND((C1683/D1683)/60,2)</f>
        <v>0</v>
      </c>
      <c r="F1683" s="17">
        <f>D1656</f>
        <v>10</v>
      </c>
      <c r="G1683" s="16">
        <f>ROUND(E1683*F1683,2)</f>
        <v>0</v>
      </c>
      <c r="J1683" s="130"/>
      <c r="K1683" s="868"/>
      <c r="L1683" s="65"/>
      <c r="M1683" s="65"/>
      <c r="N1683" s="65"/>
    </row>
    <row r="1684" spans="2:14" s="7" customFormat="1" ht="13.8" x14ac:dyDescent="0.25">
      <c r="B1684" s="17" t="s">
        <v>1109</v>
      </c>
      <c r="C1684" s="221">
        <f>C1583</f>
        <v>1686.0389293361886</v>
      </c>
      <c r="D1684" s="17">
        <f>H1652</f>
        <v>1932.7</v>
      </c>
      <c r="E1684" s="17">
        <f>ROUND((C1684/D1684)/60,2)</f>
        <v>0.01</v>
      </c>
      <c r="F1684" s="17">
        <f>D1656</f>
        <v>10</v>
      </c>
      <c r="G1684" s="16">
        <f>ROUND(E1684*F1684,2)</f>
        <v>0.1</v>
      </c>
      <c r="J1684" s="130"/>
      <c r="K1684" s="868"/>
      <c r="L1684" s="65"/>
      <c r="M1684" s="65"/>
      <c r="N1684" s="65"/>
    </row>
    <row r="1685" spans="2:14" s="7" customFormat="1" ht="13.8" x14ac:dyDescent="0.25">
      <c r="B1685" s="1009" t="str">
        <f>B1653</f>
        <v>Рентгенолаборант</v>
      </c>
      <c r="C1685" s="1010"/>
      <c r="D1685" s="1010"/>
      <c r="E1685" s="1010"/>
      <c r="F1685" s="1010"/>
      <c r="G1685" s="1011"/>
      <c r="J1685" s="130"/>
      <c r="K1685" s="868"/>
      <c r="L1685" s="65"/>
      <c r="M1685" s="65"/>
      <c r="N1685" s="65"/>
    </row>
    <row r="1686" spans="2:14" s="7" customFormat="1" ht="13.8" x14ac:dyDescent="0.25">
      <c r="B1686" s="17" t="s">
        <v>951</v>
      </c>
      <c r="C1686" s="221">
        <f>C1681</f>
        <v>12188.608008565312</v>
      </c>
      <c r="D1686" s="17">
        <f>H1653</f>
        <v>1506</v>
      </c>
      <c r="E1686" s="17">
        <f>ROUND((C1686/D1686)/60,2)</f>
        <v>0.13</v>
      </c>
      <c r="F1686" s="17">
        <f>D1657</f>
        <v>15</v>
      </c>
      <c r="G1686" s="16">
        <f>ROUND(E1686*F1686,2)</f>
        <v>1.95</v>
      </c>
      <c r="J1686" s="130"/>
      <c r="K1686" s="868"/>
      <c r="L1686" s="65"/>
      <c r="M1686" s="65"/>
      <c r="N1686" s="65"/>
    </row>
    <row r="1687" spans="2:14" x14ac:dyDescent="0.3">
      <c r="B1687" s="17" t="s">
        <v>952</v>
      </c>
      <c r="C1687" s="221">
        <f>C1682</f>
        <v>53.149721627408987</v>
      </c>
      <c r="D1687" s="17">
        <f>H1653</f>
        <v>1506</v>
      </c>
      <c r="E1687" s="17">
        <f>ROUND((C1687/D1687)/60,2)</f>
        <v>0</v>
      </c>
      <c r="F1687" s="17">
        <f>D1657</f>
        <v>15</v>
      </c>
      <c r="G1687" s="16">
        <f>ROUND(E1687*F1687,2)</f>
        <v>0</v>
      </c>
    </row>
    <row r="1688" spans="2:14" x14ac:dyDescent="0.3">
      <c r="B1688" s="17" t="s">
        <v>953</v>
      </c>
      <c r="C1688" s="221">
        <f>C1683</f>
        <v>374.98368308351178</v>
      </c>
      <c r="D1688" s="17">
        <f>H1653</f>
        <v>1506</v>
      </c>
      <c r="E1688" s="17">
        <f>ROUND((C1688/D1688)/60,2)</f>
        <v>0</v>
      </c>
      <c r="F1688" s="17">
        <f>D1657</f>
        <v>15</v>
      </c>
      <c r="G1688" s="16">
        <f>ROUND(E1688*F1688,2)</f>
        <v>0</v>
      </c>
    </row>
    <row r="1689" spans="2:14" x14ac:dyDescent="0.3">
      <c r="B1689" s="17" t="s">
        <v>1109</v>
      </c>
      <c r="C1689" s="221">
        <f>C1684</f>
        <v>1686.0389293361886</v>
      </c>
      <c r="D1689" s="17">
        <f>H1653</f>
        <v>1506</v>
      </c>
      <c r="E1689" s="17">
        <f>ROUND((C1689/D1689)/60,2)</f>
        <v>0.02</v>
      </c>
      <c r="F1689" s="17">
        <f>D1657</f>
        <v>15</v>
      </c>
      <c r="G1689" s="16">
        <f>ROUND(E1689*F1689,2)</f>
        <v>0.3</v>
      </c>
    </row>
    <row r="1690" spans="2:14" x14ac:dyDescent="0.3">
      <c r="B1690" s="1012" t="s">
        <v>957</v>
      </c>
      <c r="C1690" s="1013"/>
      <c r="D1690" s="1013"/>
      <c r="E1690" s="1013"/>
      <c r="F1690" s="1014"/>
      <c r="G1690" s="18">
        <f>SUM(G1681:G1689)</f>
        <v>3.45</v>
      </c>
    </row>
    <row r="1692" spans="2:14" ht="0.75" customHeight="1" x14ac:dyDescent="0.3"/>
    <row r="1693" spans="2:14" x14ac:dyDescent="0.3">
      <c r="B1693" s="1015" t="s">
        <v>959</v>
      </c>
      <c r="C1693" s="1015"/>
      <c r="D1693" s="1015"/>
      <c r="E1693" s="1015"/>
      <c r="F1693" s="1015"/>
      <c r="G1693" s="32">
        <f>E1649+E1661+E1671+E1677</f>
        <v>86.26</v>
      </c>
    </row>
    <row r="1694" spans="2:14" ht="12.75" customHeight="1" x14ac:dyDescent="0.3">
      <c r="B1694" s="33"/>
      <c r="C1694" s="33"/>
      <c r="D1694" s="33"/>
      <c r="E1694" s="33"/>
      <c r="F1694" s="33"/>
      <c r="G1694" s="34"/>
    </row>
    <row r="1695" spans="2:14" x14ac:dyDescent="0.3">
      <c r="B1695" s="1015" t="s">
        <v>960</v>
      </c>
      <c r="C1695" s="1015"/>
      <c r="D1695" s="1015"/>
      <c r="E1695" s="1015"/>
      <c r="F1695" s="1015"/>
      <c r="G1695" s="32">
        <f>ROUND(G1693,0)</f>
        <v>86</v>
      </c>
    </row>
    <row r="1697" spans="1:14" s="54" customFormat="1" ht="19.8" x14ac:dyDescent="0.4">
      <c r="A1697" s="1016"/>
      <c r="B1697" s="1016"/>
      <c r="C1697" s="1016"/>
      <c r="D1697" s="1016"/>
      <c r="E1697" s="1016"/>
      <c r="F1697" s="1016"/>
      <c r="G1697" s="1016"/>
      <c r="H1697" s="1016"/>
      <c r="I1697" s="1016"/>
      <c r="J1697" s="132"/>
      <c r="K1697" s="868"/>
      <c r="L1697" s="65"/>
      <c r="M1697" s="65"/>
      <c r="N1697" s="65"/>
    </row>
    <row r="1698" spans="1:14" s="54" customFormat="1" ht="19.8" x14ac:dyDescent="0.4">
      <c r="A1698" s="53"/>
      <c r="B1698" s="53"/>
      <c r="C1698" s="225"/>
      <c r="D1698" s="53"/>
      <c r="E1698" s="53"/>
      <c r="F1698" s="53"/>
      <c r="G1698" s="53"/>
      <c r="H1698" s="53"/>
      <c r="I1698" s="53"/>
      <c r="J1698" s="132"/>
      <c r="K1698" s="868"/>
      <c r="L1698" s="65"/>
      <c r="M1698" s="65"/>
      <c r="N1698" s="65"/>
    </row>
    <row r="1699" spans="1:14" s="54" customFormat="1" ht="18.75" customHeight="1" x14ac:dyDescent="0.4">
      <c r="A1699" s="50" t="s">
        <v>275</v>
      </c>
      <c r="B1699" s="1032" t="s">
        <v>695</v>
      </c>
      <c r="C1699" s="1032"/>
      <c r="D1699" s="1032"/>
      <c r="E1699" s="52">
        <f>G1748</f>
        <v>87</v>
      </c>
      <c r="F1699" s="52" t="s">
        <v>971</v>
      </c>
      <c r="G1699" s="53"/>
      <c r="H1699" s="124"/>
      <c r="I1699" s="125" t="s">
        <v>1022</v>
      </c>
      <c r="J1699" s="132"/>
      <c r="K1699" s="868"/>
      <c r="L1699" s="65"/>
      <c r="M1699" s="65"/>
      <c r="N1699" s="65"/>
    </row>
    <row r="1701" spans="1:14" ht="15" customHeight="1" x14ac:dyDescent="0.3">
      <c r="B1701" s="1018" t="s">
        <v>932</v>
      </c>
      <c r="C1701" s="1018"/>
      <c r="D1701" s="10"/>
      <c r="E1701" s="11">
        <f>E1708+E1711+E1709</f>
        <v>31.78</v>
      </c>
      <c r="F1701" s="12" t="s">
        <v>971</v>
      </c>
    </row>
    <row r="1703" spans="1:14" ht="27.6" x14ac:dyDescent="0.3">
      <c r="B1703" s="13" t="s">
        <v>929</v>
      </c>
      <c r="C1703" s="14" t="s">
        <v>928</v>
      </c>
      <c r="D1703" s="14" t="s">
        <v>514</v>
      </c>
      <c r="E1703" s="14" t="s">
        <v>515</v>
      </c>
      <c r="F1703" s="14" t="s">
        <v>962</v>
      </c>
      <c r="G1703" s="14" t="s">
        <v>926</v>
      </c>
      <c r="H1703" s="14" t="s">
        <v>516</v>
      </c>
      <c r="I1703" s="14" t="s">
        <v>961</v>
      </c>
    </row>
    <row r="1704" spans="1:14" x14ac:dyDescent="0.3">
      <c r="B1704" s="16" t="str">
        <f t="shared" ref="B1704:G1705" si="60">B1652</f>
        <v>Лікар-рентгенолог</v>
      </c>
      <c r="C1704" s="16">
        <f t="shared" si="60"/>
        <v>8463.5400000000009</v>
      </c>
      <c r="D1704" s="16">
        <f t="shared" si="60"/>
        <v>101562.48000000001</v>
      </c>
      <c r="E1704" s="16">
        <f t="shared" si="60"/>
        <v>7052.95</v>
      </c>
      <c r="F1704" s="16">
        <f t="shared" si="60"/>
        <v>3526.4749999999999</v>
      </c>
      <c r="G1704" s="16">
        <f t="shared" si="60"/>
        <v>112141.90500000001</v>
      </c>
      <c r="H1704" s="17">
        <v>1932.7</v>
      </c>
      <c r="I1704" s="16">
        <f>ROUND((G1704/H1704)/60,2)</f>
        <v>0.97</v>
      </c>
    </row>
    <row r="1705" spans="1:14" x14ac:dyDescent="0.3">
      <c r="B1705" s="16" t="str">
        <f t="shared" si="60"/>
        <v>Рентгенолаборант</v>
      </c>
      <c r="C1705" s="16">
        <f t="shared" si="60"/>
        <v>7482.48</v>
      </c>
      <c r="D1705" s="16">
        <f t="shared" si="60"/>
        <v>89789.759999999995</v>
      </c>
      <c r="E1705" s="16">
        <f t="shared" si="60"/>
        <v>5755.75</v>
      </c>
      <c r="F1705" s="16">
        <f t="shared" si="60"/>
        <v>2877.875</v>
      </c>
      <c r="G1705" s="16">
        <f t="shared" si="60"/>
        <v>98423.384999999995</v>
      </c>
      <c r="H1705" s="62">
        <v>1506</v>
      </c>
      <c r="I1705" s="16">
        <f>ROUND((G1705/H1705)/60,2)</f>
        <v>1.0900000000000001</v>
      </c>
    </row>
    <row r="1707" spans="1:14" ht="27.6" x14ac:dyDescent="0.3">
      <c r="B1707" s="13" t="s">
        <v>929</v>
      </c>
      <c r="C1707" s="14" t="s">
        <v>961</v>
      </c>
      <c r="D1707" s="14" t="s">
        <v>930</v>
      </c>
      <c r="E1707" s="14" t="s">
        <v>931</v>
      </c>
    </row>
    <row r="1708" spans="1:14" x14ac:dyDescent="0.3">
      <c r="B1708" s="15" t="str">
        <f>B1704</f>
        <v>Лікар-рентгенолог</v>
      </c>
      <c r="C1708" s="78">
        <f>I1704</f>
        <v>0.97</v>
      </c>
      <c r="D1708" s="17">
        <v>10</v>
      </c>
      <c r="E1708" s="18">
        <f>ROUND(C1708*D1708,2)</f>
        <v>9.6999999999999993</v>
      </c>
    </row>
    <row r="1709" spans="1:14" x14ac:dyDescent="0.3">
      <c r="B1709" s="15" t="str">
        <f>B1705</f>
        <v>Рентгенолаборант</v>
      </c>
      <c r="C1709" s="78">
        <f>I1705</f>
        <v>1.0900000000000001</v>
      </c>
      <c r="D1709" s="17">
        <v>15</v>
      </c>
      <c r="E1709" s="18">
        <f>ROUND(C1709*D1709,2)</f>
        <v>16.350000000000001</v>
      </c>
    </row>
    <row r="1710" spans="1:14" x14ac:dyDescent="0.3">
      <c r="C1710" s="19"/>
    </row>
    <row r="1711" spans="1:14" x14ac:dyDescent="0.3">
      <c r="B1711" s="17" t="s">
        <v>933</v>
      </c>
      <c r="C1711" s="78">
        <f>E1708+E1709</f>
        <v>26.05</v>
      </c>
      <c r="D1711" s="20">
        <v>0.22</v>
      </c>
      <c r="E1711" s="21">
        <f>ROUND(C1711*D1711,2)</f>
        <v>5.73</v>
      </c>
    </row>
    <row r="1713" spans="1:14" x14ac:dyDescent="0.3">
      <c r="B1713" s="12" t="s">
        <v>946</v>
      </c>
      <c r="C1713" s="227"/>
      <c r="D1713" s="12"/>
      <c r="E1713" s="12">
        <f>F1722</f>
        <v>3.1799999999999997</v>
      </c>
      <c r="F1713" s="12" t="s">
        <v>971</v>
      </c>
    </row>
    <row r="1715" spans="1:14" x14ac:dyDescent="0.3">
      <c r="B1715" s="27" t="str">
        <f>B1510</f>
        <v>Мікрасепт</v>
      </c>
      <c r="C1715" s="27" t="str">
        <f>C1510</f>
        <v>мл</v>
      </c>
      <c r="D1715" s="27">
        <f>D1510</f>
        <v>1</v>
      </c>
      <c r="E1715" s="27">
        <f>E1510</f>
        <v>0.3</v>
      </c>
      <c r="F1715" s="27">
        <f>F1510</f>
        <v>0.3</v>
      </c>
    </row>
    <row r="1716" spans="1:14" s="184" customFormat="1" x14ac:dyDescent="0.3">
      <c r="A1716" s="180"/>
      <c r="B1716" s="27" t="str">
        <f t="shared" ref="B1716:F1721" si="61">B1511</f>
        <v>Маска на резинці, стерильна</v>
      </c>
      <c r="C1716" s="27" t="str">
        <f t="shared" si="61"/>
        <v>шт</v>
      </c>
      <c r="D1716" s="27">
        <f t="shared" si="61"/>
        <v>0.5</v>
      </c>
      <c r="E1716" s="27">
        <f t="shared" si="61"/>
        <v>2</v>
      </c>
      <c r="F1716" s="27">
        <f t="shared" si="61"/>
        <v>1</v>
      </c>
      <c r="G1716" s="180"/>
      <c r="H1716" s="180"/>
      <c r="I1716" s="180"/>
      <c r="J1716" s="187"/>
      <c r="K1716" s="866"/>
      <c r="L1716" s="861"/>
      <c r="M1716" s="861"/>
      <c r="N1716" s="861"/>
    </row>
    <row r="1717" spans="1:14" x14ac:dyDescent="0.3">
      <c r="B1717" s="27" t="str">
        <f t="shared" si="61"/>
        <v>Бинт марлевий 7х14</v>
      </c>
      <c r="C1717" s="27" t="str">
        <f t="shared" si="61"/>
        <v>шт</v>
      </c>
      <c r="D1717" s="27">
        <f t="shared" si="61"/>
        <v>0.1</v>
      </c>
      <c r="E1717" s="27">
        <f t="shared" si="61"/>
        <v>8</v>
      </c>
      <c r="F1717" s="27">
        <f t="shared" si="61"/>
        <v>0.8</v>
      </c>
    </row>
    <row r="1718" spans="1:14" x14ac:dyDescent="0.3">
      <c r="B1718" s="27" t="str">
        <f t="shared" si="61"/>
        <v>Папір офісний А4</v>
      </c>
      <c r="C1718" s="27" t="str">
        <f t="shared" si="61"/>
        <v>шт</v>
      </c>
      <c r="D1718" s="27">
        <f t="shared" si="61"/>
        <v>1</v>
      </c>
      <c r="E1718" s="27">
        <f t="shared" si="61"/>
        <v>0.3</v>
      </c>
      <c r="F1718" s="27">
        <f t="shared" si="61"/>
        <v>0.3</v>
      </c>
    </row>
    <row r="1719" spans="1:14" x14ac:dyDescent="0.3">
      <c r="B1719" s="27" t="str">
        <f t="shared" si="61"/>
        <v>Рукавиці не стерильні</v>
      </c>
      <c r="C1719" s="27" t="str">
        <f t="shared" si="61"/>
        <v>шт</v>
      </c>
      <c r="D1719" s="27">
        <f t="shared" si="61"/>
        <v>0.1</v>
      </c>
      <c r="E1719" s="27">
        <f t="shared" si="61"/>
        <v>2.8</v>
      </c>
      <c r="F1719" s="27">
        <f t="shared" si="61"/>
        <v>0.28000000000000003</v>
      </c>
    </row>
    <row r="1720" spans="1:14" x14ac:dyDescent="0.3">
      <c r="B1720" s="27" t="str">
        <f t="shared" si="61"/>
        <v xml:space="preserve">Спирт 70% 100мл </v>
      </c>
      <c r="C1720" s="27" t="str">
        <f t="shared" si="61"/>
        <v>шт</v>
      </c>
      <c r="D1720" s="27">
        <f t="shared" si="61"/>
        <v>0.01</v>
      </c>
      <c r="E1720" s="27">
        <f t="shared" si="61"/>
        <v>24.6</v>
      </c>
      <c r="F1720" s="27">
        <f t="shared" si="61"/>
        <v>0.25</v>
      </c>
    </row>
    <row r="1721" spans="1:14" s="7" customFormat="1" ht="13.8" x14ac:dyDescent="0.25">
      <c r="B1721" s="27" t="str">
        <f t="shared" si="61"/>
        <v>Деззасоби</v>
      </c>
      <c r="C1721" s="27" t="str">
        <f t="shared" si="61"/>
        <v>г</v>
      </c>
      <c r="D1721" s="27">
        <f t="shared" si="61"/>
        <v>0.5</v>
      </c>
      <c r="E1721" s="27">
        <f t="shared" si="61"/>
        <v>0.5</v>
      </c>
      <c r="F1721" s="27">
        <f t="shared" si="61"/>
        <v>0.25</v>
      </c>
      <c r="J1721" s="130"/>
      <c r="K1721" s="868"/>
      <c r="L1721" s="65"/>
      <c r="M1721" s="65"/>
      <c r="N1721" s="65"/>
    </row>
    <row r="1722" spans="1:14" s="7" customFormat="1" ht="13.8" x14ac:dyDescent="0.25">
      <c r="B1722" s="1019" t="s">
        <v>945</v>
      </c>
      <c r="C1722" s="1019"/>
      <c r="D1722" s="1019"/>
      <c r="E1722" s="1019"/>
      <c r="F1722" s="31">
        <f>SUM(F1715:F1721)</f>
        <v>3.1799999999999997</v>
      </c>
      <c r="J1722" s="130"/>
      <c r="K1722" s="868"/>
      <c r="L1722" s="65"/>
      <c r="M1722" s="65"/>
      <c r="N1722" s="65"/>
    </row>
    <row r="1724" spans="1:14" s="7" customFormat="1" ht="13.8" x14ac:dyDescent="0.25">
      <c r="B1724" s="12" t="s">
        <v>968</v>
      </c>
      <c r="C1724" s="227"/>
      <c r="D1724" s="12"/>
      <c r="E1724" s="11">
        <f>SUM(G1727:G1728)</f>
        <v>48.15</v>
      </c>
      <c r="F1724" s="12" t="s">
        <v>971</v>
      </c>
      <c r="J1724" s="130"/>
      <c r="K1724" s="868"/>
      <c r="L1724" s="65"/>
      <c r="M1724" s="65"/>
      <c r="N1724" s="65"/>
    </row>
    <row r="1725" spans="1:14" s="7" customFormat="1" ht="13.8" x14ac:dyDescent="0.25">
      <c r="B1725" s="22"/>
      <c r="C1725" s="36"/>
      <c r="D1725" s="22"/>
      <c r="E1725" s="23"/>
      <c r="F1725" s="22"/>
      <c r="J1725" s="130"/>
      <c r="K1725" s="868"/>
      <c r="L1725" s="65"/>
      <c r="M1725" s="65"/>
      <c r="N1725" s="65"/>
    </row>
    <row r="1726" spans="1:14" s="7" customFormat="1" ht="27.6" x14ac:dyDescent="0.25">
      <c r="B1726" s="14" t="s">
        <v>513</v>
      </c>
      <c r="C1726" s="14" t="s">
        <v>1108</v>
      </c>
      <c r="D1726" s="14" t="s">
        <v>516</v>
      </c>
      <c r="E1726" s="14" t="s">
        <v>970</v>
      </c>
      <c r="F1726" s="14" t="s">
        <v>930</v>
      </c>
      <c r="G1726" s="14" t="s">
        <v>961</v>
      </c>
      <c r="J1726" s="130"/>
      <c r="K1726" s="868"/>
      <c r="L1726" s="65"/>
      <c r="M1726" s="65"/>
      <c r="N1726" s="65"/>
    </row>
    <row r="1727" spans="1:14" s="7" customFormat="1" ht="13.8" x14ac:dyDescent="0.25">
      <c r="B1727" s="46" t="s">
        <v>1161</v>
      </c>
      <c r="C1727" s="78">
        <f>C1674</f>
        <v>0</v>
      </c>
      <c r="D1727" s="62">
        <f>H1704</f>
        <v>1932.7</v>
      </c>
      <c r="E1727" s="17">
        <f>ROUND((C1727/D1727)/60,2)</f>
        <v>0</v>
      </c>
      <c r="F1727" s="17">
        <f>D1708</f>
        <v>10</v>
      </c>
      <c r="G1727" s="16">
        <f>ROUND(E1727*F1727,2)</f>
        <v>0</v>
      </c>
      <c r="J1727" s="130"/>
      <c r="K1727" s="868"/>
      <c r="L1727" s="65"/>
      <c r="M1727" s="65"/>
      <c r="N1727" s="65"/>
    </row>
    <row r="1728" spans="1:14" s="7" customFormat="1" ht="13.8" x14ac:dyDescent="0.25">
      <c r="B1728" s="27" t="s">
        <v>1093</v>
      </c>
      <c r="C1728" s="78">
        <f>C1675</f>
        <v>290000</v>
      </c>
      <c r="D1728" s="62">
        <f>H1705</f>
        <v>1506</v>
      </c>
      <c r="E1728" s="17">
        <f>ROUND((C1728/D1728)/60,2)</f>
        <v>3.21</v>
      </c>
      <c r="F1728" s="17">
        <f>D1709</f>
        <v>15</v>
      </c>
      <c r="G1728" s="16">
        <f>ROUND(E1728*F1728,2)</f>
        <v>48.15</v>
      </c>
      <c r="H1728" s="38"/>
      <c r="J1728" s="130"/>
      <c r="K1728" s="868"/>
      <c r="L1728" s="65"/>
      <c r="M1728" s="65"/>
      <c r="N1728" s="65"/>
    </row>
    <row r="1730" spans="2:14" s="7" customFormat="1" ht="13.8" x14ac:dyDescent="0.25">
      <c r="B1730" s="12" t="s">
        <v>948</v>
      </c>
      <c r="C1730" s="227"/>
      <c r="D1730" s="12"/>
      <c r="E1730" s="11">
        <f>G1743</f>
        <v>3.45</v>
      </c>
      <c r="F1730" s="12" t="s">
        <v>971</v>
      </c>
      <c r="J1730" s="130"/>
      <c r="K1730" s="868"/>
      <c r="L1730" s="65"/>
      <c r="M1730" s="65"/>
      <c r="N1730" s="65"/>
    </row>
    <row r="1731" spans="2:14" s="7" customFormat="1" ht="13.8" x14ac:dyDescent="0.25">
      <c r="B1731" s="22"/>
      <c r="C1731" s="36"/>
      <c r="D1731" s="22"/>
      <c r="E1731" s="23"/>
      <c r="J1731" s="130"/>
      <c r="K1731" s="868"/>
      <c r="L1731" s="65"/>
      <c r="M1731" s="65"/>
      <c r="N1731" s="65"/>
    </row>
    <row r="1732" spans="2:14" s="7" customFormat="1" ht="27.6" x14ac:dyDescent="0.25">
      <c r="B1732" s="14" t="s">
        <v>948</v>
      </c>
      <c r="C1732" s="14" t="s">
        <v>1110</v>
      </c>
      <c r="D1732" s="14" t="s">
        <v>516</v>
      </c>
      <c r="E1732" s="14" t="s">
        <v>954</v>
      </c>
      <c r="F1732" s="14" t="s">
        <v>930</v>
      </c>
      <c r="G1732" s="14" t="s">
        <v>1111</v>
      </c>
      <c r="J1732" s="130"/>
      <c r="K1732" s="868"/>
      <c r="L1732" s="65"/>
      <c r="M1732" s="65"/>
      <c r="N1732" s="65"/>
    </row>
    <row r="1733" spans="2:14" s="7" customFormat="1" ht="13.8" x14ac:dyDescent="0.25">
      <c r="B1733" s="1009" t="str">
        <f>B1704</f>
        <v>Лікар-рентгенолог</v>
      </c>
      <c r="C1733" s="1010"/>
      <c r="D1733" s="1010"/>
      <c r="E1733" s="1010"/>
      <c r="F1733" s="1010"/>
      <c r="G1733" s="1011"/>
      <c r="J1733" s="130"/>
      <c r="K1733" s="868"/>
      <c r="L1733" s="65"/>
      <c r="M1733" s="65"/>
      <c r="N1733" s="65"/>
    </row>
    <row r="1734" spans="2:14" s="7" customFormat="1" ht="13.8" x14ac:dyDescent="0.25">
      <c r="B1734" s="17" t="s">
        <v>951</v>
      </c>
      <c r="C1734" s="221">
        <f>C1681</f>
        <v>12188.608008565312</v>
      </c>
      <c r="D1734" s="17">
        <f>H1704</f>
        <v>1932.7</v>
      </c>
      <c r="E1734" s="17">
        <f>ROUND((C1734/D1734)/60,2)</f>
        <v>0.11</v>
      </c>
      <c r="F1734" s="17">
        <f>D1708</f>
        <v>10</v>
      </c>
      <c r="G1734" s="16">
        <f>ROUND(E1734*F1734,2)</f>
        <v>1.1000000000000001</v>
      </c>
      <c r="J1734" s="130"/>
      <c r="K1734" s="868"/>
      <c r="L1734" s="65"/>
      <c r="M1734" s="65"/>
      <c r="N1734" s="65"/>
    </row>
    <row r="1735" spans="2:14" s="7" customFormat="1" ht="13.8" x14ac:dyDescent="0.25">
      <c r="B1735" s="17" t="s">
        <v>952</v>
      </c>
      <c r="C1735" s="221">
        <f>C1682</f>
        <v>53.149721627408987</v>
      </c>
      <c r="D1735" s="17">
        <f>H1704</f>
        <v>1932.7</v>
      </c>
      <c r="E1735" s="17">
        <f>ROUND((C1735/D1735)/60,2)</f>
        <v>0</v>
      </c>
      <c r="F1735" s="17">
        <f>D1708</f>
        <v>10</v>
      </c>
      <c r="G1735" s="16">
        <f>ROUND(E1735*F1735,2)</f>
        <v>0</v>
      </c>
      <c r="J1735" s="130"/>
      <c r="K1735" s="868"/>
      <c r="L1735" s="65"/>
      <c r="M1735" s="65"/>
      <c r="N1735" s="65"/>
    </row>
    <row r="1736" spans="2:14" s="7" customFormat="1" ht="13.8" x14ac:dyDescent="0.25">
      <c r="B1736" s="17" t="s">
        <v>953</v>
      </c>
      <c r="C1736" s="221">
        <f>C1683</f>
        <v>374.98368308351178</v>
      </c>
      <c r="D1736" s="17">
        <f>H1704</f>
        <v>1932.7</v>
      </c>
      <c r="E1736" s="17">
        <f>ROUND((C1736/D1736)/60,2)</f>
        <v>0</v>
      </c>
      <c r="F1736" s="17">
        <f>D1708</f>
        <v>10</v>
      </c>
      <c r="G1736" s="16">
        <f>ROUND(E1736*F1736,2)</f>
        <v>0</v>
      </c>
      <c r="J1736" s="130"/>
      <c r="K1736" s="868"/>
      <c r="L1736" s="65"/>
      <c r="M1736" s="65"/>
      <c r="N1736" s="65"/>
    </row>
    <row r="1737" spans="2:14" x14ac:dyDescent="0.3">
      <c r="B1737" s="17" t="s">
        <v>1109</v>
      </c>
      <c r="C1737" s="221">
        <f>C1684</f>
        <v>1686.0389293361886</v>
      </c>
      <c r="D1737" s="17">
        <f>H1704</f>
        <v>1932.7</v>
      </c>
      <c r="E1737" s="17">
        <f>ROUND((C1737/D1737)/60,2)</f>
        <v>0.01</v>
      </c>
      <c r="F1737" s="17">
        <f>D1708</f>
        <v>10</v>
      </c>
      <c r="G1737" s="16">
        <f>ROUND(E1737*F1737,2)</f>
        <v>0.1</v>
      </c>
    </row>
    <row r="1738" spans="2:14" x14ac:dyDescent="0.3">
      <c r="B1738" s="1009" t="str">
        <f>B1705</f>
        <v>Рентгенолаборант</v>
      </c>
      <c r="C1738" s="1010"/>
      <c r="D1738" s="1010"/>
      <c r="E1738" s="1010"/>
      <c r="F1738" s="1010"/>
      <c r="G1738" s="1011"/>
    </row>
    <row r="1739" spans="2:14" x14ac:dyDescent="0.3">
      <c r="B1739" s="17" t="s">
        <v>951</v>
      </c>
      <c r="C1739" s="221">
        <f>C1734</f>
        <v>12188.608008565312</v>
      </c>
      <c r="D1739" s="17">
        <f>H1705</f>
        <v>1506</v>
      </c>
      <c r="E1739" s="17">
        <f>ROUND((C1739/D1739)/60,2)</f>
        <v>0.13</v>
      </c>
      <c r="F1739" s="17">
        <f>D1709</f>
        <v>15</v>
      </c>
      <c r="G1739" s="16">
        <f>ROUND(E1739*F1739,2)</f>
        <v>1.95</v>
      </c>
    </row>
    <row r="1740" spans="2:14" x14ac:dyDescent="0.3">
      <c r="B1740" s="17" t="s">
        <v>952</v>
      </c>
      <c r="C1740" s="221">
        <f>C1735</f>
        <v>53.149721627408987</v>
      </c>
      <c r="D1740" s="17">
        <f>H1705</f>
        <v>1506</v>
      </c>
      <c r="E1740" s="17">
        <f>ROUND((C1740/D1740)/60,2)</f>
        <v>0</v>
      </c>
      <c r="F1740" s="17">
        <f>D1709</f>
        <v>15</v>
      </c>
      <c r="G1740" s="16">
        <f>ROUND(E1740*F1740,2)</f>
        <v>0</v>
      </c>
    </row>
    <row r="1741" spans="2:14" x14ac:dyDescent="0.3">
      <c r="B1741" s="17" t="s">
        <v>953</v>
      </c>
      <c r="C1741" s="221">
        <f>C1736</f>
        <v>374.98368308351178</v>
      </c>
      <c r="D1741" s="17">
        <f>H1705</f>
        <v>1506</v>
      </c>
      <c r="E1741" s="17">
        <f>ROUND((C1741/D1741)/60,2)</f>
        <v>0</v>
      </c>
      <c r="F1741" s="17">
        <f>D1709</f>
        <v>15</v>
      </c>
      <c r="G1741" s="16">
        <f>ROUND(E1741*F1741,2)</f>
        <v>0</v>
      </c>
    </row>
    <row r="1742" spans="2:14" x14ac:dyDescent="0.3">
      <c r="B1742" s="17" t="s">
        <v>1109</v>
      </c>
      <c r="C1742" s="221">
        <f>C1737</f>
        <v>1686.0389293361886</v>
      </c>
      <c r="D1742" s="17">
        <f>H1705</f>
        <v>1506</v>
      </c>
      <c r="E1742" s="17">
        <f>ROUND((C1742/D1742)/60,2)</f>
        <v>0.02</v>
      </c>
      <c r="F1742" s="17">
        <f>D1709</f>
        <v>15</v>
      </c>
      <c r="G1742" s="16">
        <f>ROUND(E1742*F1742,2)</f>
        <v>0.3</v>
      </c>
    </row>
    <row r="1743" spans="2:14" x14ac:dyDescent="0.3">
      <c r="B1743" s="1012" t="s">
        <v>957</v>
      </c>
      <c r="C1743" s="1013"/>
      <c r="D1743" s="1013"/>
      <c r="E1743" s="1013"/>
      <c r="F1743" s="1014"/>
      <c r="G1743" s="18">
        <f>SUM(G1734:G1742)</f>
        <v>3.45</v>
      </c>
    </row>
    <row r="1746" spans="1:14" x14ac:dyDescent="0.3">
      <c r="B1746" s="1015" t="s">
        <v>959</v>
      </c>
      <c r="C1746" s="1015"/>
      <c r="D1746" s="1015"/>
      <c r="E1746" s="1015"/>
      <c r="F1746" s="1015"/>
      <c r="G1746" s="32">
        <f>E1701+E1713+E1724+E1730</f>
        <v>86.56</v>
      </c>
    </row>
    <row r="1747" spans="1:14" x14ac:dyDescent="0.3">
      <c r="B1747" s="33"/>
      <c r="C1747" s="33"/>
      <c r="D1747" s="33"/>
      <c r="E1747" s="33"/>
      <c r="F1747" s="33"/>
      <c r="G1747" s="34"/>
    </row>
    <row r="1748" spans="1:14" s="54" customFormat="1" ht="19.8" x14ac:dyDescent="0.4">
      <c r="A1748" s="53"/>
      <c r="B1748" s="1051" t="s">
        <v>960</v>
      </c>
      <c r="C1748" s="1051"/>
      <c r="D1748" s="1051"/>
      <c r="E1748" s="1051"/>
      <c r="F1748" s="1051"/>
      <c r="G1748" s="32">
        <f>ROUND(G1746,0)</f>
        <v>87</v>
      </c>
      <c r="H1748" s="53"/>
      <c r="I1748" s="53"/>
      <c r="J1748" s="132"/>
      <c r="K1748" s="868"/>
      <c r="L1748" s="65"/>
      <c r="M1748" s="65"/>
      <c r="N1748" s="65"/>
    </row>
    <row r="1749" spans="1:14" s="54" customFormat="1" ht="19.8" x14ac:dyDescent="0.4">
      <c r="A1749" s="53"/>
      <c r="B1749" s="53"/>
      <c r="C1749" s="225"/>
      <c r="D1749" s="53"/>
      <c r="E1749" s="53"/>
      <c r="F1749" s="53"/>
      <c r="G1749" s="53"/>
      <c r="H1749" s="53"/>
      <c r="I1749" s="53"/>
      <c r="J1749" s="132"/>
      <c r="K1749" s="868"/>
      <c r="L1749" s="65"/>
      <c r="M1749" s="65"/>
      <c r="N1749" s="65"/>
    </row>
    <row r="1750" spans="1:14" s="54" customFormat="1" ht="19.8" x14ac:dyDescent="0.4">
      <c r="A1750" s="50" t="s">
        <v>276</v>
      </c>
      <c r="B1750" s="1032" t="s">
        <v>695</v>
      </c>
      <c r="C1750" s="1032"/>
      <c r="D1750" s="1032"/>
      <c r="E1750" s="52">
        <f>G1799</f>
        <v>114</v>
      </c>
      <c r="F1750" s="52" t="s">
        <v>971</v>
      </c>
      <c r="G1750" s="53"/>
      <c r="H1750" s="124"/>
      <c r="I1750" s="125" t="s">
        <v>1023</v>
      </c>
      <c r="J1750" s="132"/>
      <c r="K1750" s="868"/>
      <c r="L1750" s="65"/>
      <c r="M1750" s="65"/>
      <c r="N1750" s="65"/>
    </row>
    <row r="1751" spans="1:14" ht="18.600000000000001" x14ac:dyDescent="0.3">
      <c r="I1751" s="125" t="s">
        <v>263</v>
      </c>
    </row>
    <row r="1752" spans="1:14" x14ac:dyDescent="0.3">
      <c r="B1752" s="1018" t="s">
        <v>932</v>
      </c>
      <c r="C1752" s="1018"/>
      <c r="D1752" s="10"/>
      <c r="E1752" s="11">
        <f>E1759+E1762+E1760</f>
        <v>31.78</v>
      </c>
      <c r="F1752" s="12" t="s">
        <v>971</v>
      </c>
    </row>
    <row r="1754" spans="1:14" ht="27.6" x14ac:dyDescent="0.3">
      <c r="B1754" s="13" t="s">
        <v>929</v>
      </c>
      <c r="C1754" s="14" t="s">
        <v>928</v>
      </c>
      <c r="D1754" s="14" t="s">
        <v>514</v>
      </c>
      <c r="E1754" s="14" t="s">
        <v>515</v>
      </c>
      <c r="F1754" s="14" t="s">
        <v>962</v>
      </c>
      <c r="G1754" s="14" t="s">
        <v>926</v>
      </c>
      <c r="H1754" s="14" t="s">
        <v>516</v>
      </c>
      <c r="I1754" s="14" t="s">
        <v>961</v>
      </c>
    </row>
    <row r="1755" spans="1:14" x14ac:dyDescent="0.3">
      <c r="B1755" s="16" t="str">
        <f>B1704</f>
        <v>Лікар-рентгенолог</v>
      </c>
      <c r="C1755" s="78">
        <f>C1704</f>
        <v>8463.5400000000009</v>
      </c>
      <c r="D1755" s="16">
        <f>C1755*12</f>
        <v>101562.48000000001</v>
      </c>
      <c r="E1755" s="16">
        <f>E1704</f>
        <v>7052.95</v>
      </c>
      <c r="F1755" s="16">
        <f>F1704</f>
        <v>3526.4749999999999</v>
      </c>
      <c r="G1755" s="16">
        <f>D1755+E1755+F1755</f>
        <v>112141.90500000001</v>
      </c>
      <c r="H1755" s="17">
        <v>1932.7</v>
      </c>
      <c r="I1755" s="16">
        <f>ROUND((G1755/H1755)/60,2)</f>
        <v>0.97</v>
      </c>
    </row>
    <row r="1756" spans="1:14" x14ac:dyDescent="0.3">
      <c r="B1756" s="16" t="str">
        <f>B1705</f>
        <v>Рентгенолаборант</v>
      </c>
      <c r="C1756" s="78">
        <f>C1705</f>
        <v>7482.48</v>
      </c>
      <c r="D1756" s="24">
        <f>C1756*12</f>
        <v>89789.759999999995</v>
      </c>
      <c r="E1756" s="16">
        <f>E1705</f>
        <v>5755.75</v>
      </c>
      <c r="F1756" s="16">
        <f>F1705</f>
        <v>2877.875</v>
      </c>
      <c r="G1756" s="16">
        <f>D1756+E1756+F1756</f>
        <v>98423.384999999995</v>
      </c>
      <c r="H1756" s="62">
        <v>1506</v>
      </c>
      <c r="I1756" s="16">
        <f>ROUND((G1756/H1756)/60,2)</f>
        <v>1.0900000000000001</v>
      </c>
    </row>
    <row r="1758" spans="1:14" ht="27.6" x14ac:dyDescent="0.3">
      <c r="B1758" s="13" t="s">
        <v>929</v>
      </c>
      <c r="C1758" s="14" t="s">
        <v>961</v>
      </c>
      <c r="D1758" s="14" t="s">
        <v>930</v>
      </c>
      <c r="E1758" s="14" t="s">
        <v>931</v>
      </c>
    </row>
    <row r="1759" spans="1:14" x14ac:dyDescent="0.3">
      <c r="B1759" s="15" t="str">
        <f>B1755</f>
        <v>Лікар-рентгенолог</v>
      </c>
      <c r="C1759" s="78">
        <f>I1755</f>
        <v>0.97</v>
      </c>
      <c r="D1759" s="17">
        <v>10</v>
      </c>
      <c r="E1759" s="18">
        <f>ROUND(C1759*D1759,2)</f>
        <v>9.6999999999999993</v>
      </c>
    </row>
    <row r="1760" spans="1:14" x14ac:dyDescent="0.3">
      <c r="B1760" s="15" t="str">
        <f>B1756</f>
        <v>Рентгенолаборант</v>
      </c>
      <c r="C1760" s="78">
        <f>I1756</f>
        <v>1.0900000000000001</v>
      </c>
      <c r="D1760" s="17">
        <v>15</v>
      </c>
      <c r="E1760" s="18">
        <f>ROUND(C1760*D1760,2)</f>
        <v>16.350000000000001</v>
      </c>
    </row>
    <row r="1761" spans="1:14" x14ac:dyDescent="0.3">
      <c r="C1761" s="19"/>
    </row>
    <row r="1762" spans="1:14" x14ac:dyDescent="0.3">
      <c r="B1762" s="17" t="s">
        <v>933</v>
      </c>
      <c r="C1762" s="78">
        <f>E1759+E1760</f>
        <v>26.05</v>
      </c>
      <c r="D1762" s="20">
        <v>0.22</v>
      </c>
      <c r="E1762" s="21">
        <f>ROUND(C1762*D1762,2)</f>
        <v>5.73</v>
      </c>
    </row>
    <row r="1763" spans="1:14" ht="8.25" customHeight="1" x14ac:dyDescent="0.3"/>
    <row r="1764" spans="1:14" x14ac:dyDescent="0.3">
      <c r="B1764" s="12" t="s">
        <v>946</v>
      </c>
      <c r="C1764" s="227"/>
      <c r="D1764" s="12"/>
      <c r="E1764" s="11">
        <f>F1773</f>
        <v>31.1</v>
      </c>
      <c r="F1764" s="12" t="s">
        <v>971</v>
      </c>
    </row>
    <row r="1765" spans="1:14" ht="9.75" customHeight="1" x14ac:dyDescent="0.3"/>
    <row r="1766" spans="1:14" x14ac:dyDescent="0.3">
      <c r="B1766" s="27" t="s">
        <v>936</v>
      </c>
      <c r="C1766" s="28" t="s">
        <v>937</v>
      </c>
      <c r="D1766" s="29">
        <v>1</v>
      </c>
      <c r="E1766" s="30">
        <f>'МЕДИЧНІ М'!F115</f>
        <v>0.3</v>
      </c>
      <c r="F1766" s="30">
        <f>ROUND(D1766*E1766,2)</f>
        <v>0.3</v>
      </c>
    </row>
    <row r="1767" spans="1:14" s="184" customFormat="1" x14ac:dyDescent="0.3">
      <c r="A1767" s="180"/>
      <c r="B1767" s="185" t="s">
        <v>1021</v>
      </c>
      <c r="C1767" s="186" t="s">
        <v>941</v>
      </c>
      <c r="D1767" s="164">
        <v>0.5</v>
      </c>
      <c r="E1767" s="164">
        <f>'МЕДИЧНІ М'!E181</f>
        <v>2</v>
      </c>
      <c r="F1767" s="164">
        <f t="shared" ref="F1767:F1772" si="62">ROUND(D1767*E1767,2)</f>
        <v>1</v>
      </c>
      <c r="G1767" s="180"/>
      <c r="H1767" s="180"/>
      <c r="I1767" s="180"/>
      <c r="J1767" s="187"/>
      <c r="K1767" s="866"/>
      <c r="L1767" s="861"/>
      <c r="M1767" s="861"/>
      <c r="N1767" s="861"/>
    </row>
    <row r="1768" spans="1:14" x14ac:dyDescent="0.3">
      <c r="B1768" s="15" t="s">
        <v>1216</v>
      </c>
      <c r="C1768" s="73" t="s">
        <v>941</v>
      </c>
      <c r="D1768" s="17">
        <v>0.1</v>
      </c>
      <c r="E1768" s="16">
        <f>'МЕДИЧНІ М'!E113</f>
        <v>8</v>
      </c>
      <c r="F1768" s="17">
        <f t="shared" si="62"/>
        <v>0.8</v>
      </c>
    </row>
    <row r="1769" spans="1:14" s="7" customFormat="1" ht="13.8" x14ac:dyDescent="0.25">
      <c r="B1769" s="15" t="str">
        <f>'МЕДИЧНІ М'!B326</f>
        <v>Суха медична плівка 20*25*100</v>
      </c>
      <c r="C1769" s="73" t="s">
        <v>941</v>
      </c>
      <c r="D1769" s="17">
        <v>1</v>
      </c>
      <c r="E1769" s="16">
        <f>'МЕДИЧНІ М'!F326</f>
        <v>28.224299999999999</v>
      </c>
      <c r="F1769" s="17">
        <f t="shared" si="62"/>
        <v>28.22</v>
      </c>
      <c r="J1769" s="130"/>
      <c r="K1769" s="868"/>
      <c r="L1769" s="65"/>
      <c r="M1769" s="65"/>
      <c r="N1769" s="65"/>
    </row>
    <row r="1770" spans="1:14" s="7" customFormat="1" ht="13.8" x14ac:dyDescent="0.25">
      <c r="B1770" s="15" t="s">
        <v>964</v>
      </c>
      <c r="C1770" s="73" t="s">
        <v>941</v>
      </c>
      <c r="D1770" s="17">
        <v>0.1</v>
      </c>
      <c r="E1770" s="16">
        <f>'МЕДИЧНІ М'!E119</f>
        <v>2.8</v>
      </c>
      <c r="F1770" s="17">
        <f t="shared" si="62"/>
        <v>0.28000000000000003</v>
      </c>
      <c r="J1770" s="130"/>
      <c r="K1770" s="868"/>
      <c r="L1770" s="65"/>
      <c r="M1770" s="65"/>
      <c r="N1770" s="65"/>
    </row>
    <row r="1771" spans="1:14" s="7" customFormat="1" ht="13.8" x14ac:dyDescent="0.25">
      <c r="B1771" s="27" t="s">
        <v>942</v>
      </c>
      <c r="C1771" s="28" t="s">
        <v>941</v>
      </c>
      <c r="D1771" s="29">
        <v>0.01</v>
      </c>
      <c r="E1771" s="29">
        <f>'МЕДИЧНІ М'!E120</f>
        <v>24.6</v>
      </c>
      <c r="F1771" s="30">
        <f t="shared" si="62"/>
        <v>0.25</v>
      </c>
      <c r="J1771" s="130"/>
      <c r="K1771" s="868"/>
      <c r="L1771" s="65"/>
      <c r="M1771" s="65"/>
      <c r="N1771" s="65"/>
    </row>
    <row r="1772" spans="1:14" s="7" customFormat="1" ht="13.8" x14ac:dyDescent="0.25">
      <c r="B1772" s="27" t="s">
        <v>1124</v>
      </c>
      <c r="C1772" s="28" t="s">
        <v>944</v>
      </c>
      <c r="D1772" s="29">
        <v>0.5</v>
      </c>
      <c r="E1772" s="29">
        <f>'МЕДИЧНІ М'!E114</f>
        <v>0.5</v>
      </c>
      <c r="F1772" s="30">
        <f t="shared" si="62"/>
        <v>0.25</v>
      </c>
      <c r="J1772" s="130"/>
      <c r="K1772" s="868"/>
      <c r="L1772" s="65"/>
      <c r="M1772" s="65"/>
      <c r="N1772" s="65"/>
    </row>
    <row r="1773" spans="1:14" s="7" customFormat="1" ht="13.8" x14ac:dyDescent="0.25">
      <c r="B1773" s="1019" t="s">
        <v>945</v>
      </c>
      <c r="C1773" s="1019"/>
      <c r="D1773" s="1019"/>
      <c r="E1773" s="1019"/>
      <c r="F1773" s="89">
        <f>SUM(F1766:F1772)</f>
        <v>31.1</v>
      </c>
      <c r="J1773" s="130"/>
      <c r="K1773" s="868"/>
      <c r="L1773" s="65"/>
      <c r="M1773" s="65"/>
      <c r="N1773" s="65"/>
    </row>
    <row r="1774" spans="1:14" s="7" customFormat="1" ht="9.75" customHeight="1" x14ac:dyDescent="0.25">
      <c r="C1774" s="74"/>
      <c r="J1774" s="130"/>
      <c r="K1774" s="868"/>
      <c r="L1774" s="65"/>
      <c r="M1774" s="65"/>
      <c r="N1774" s="65"/>
    </row>
    <row r="1775" spans="1:14" s="7" customFormat="1" ht="13.8" x14ac:dyDescent="0.25">
      <c r="B1775" s="12" t="s">
        <v>968</v>
      </c>
      <c r="C1775" s="227"/>
      <c r="D1775" s="12"/>
      <c r="E1775" s="11">
        <f>SUM(G1778:G1779)</f>
        <v>48.15</v>
      </c>
      <c r="F1775" s="12" t="s">
        <v>971</v>
      </c>
      <c r="J1775" s="130"/>
      <c r="K1775" s="868"/>
      <c r="L1775" s="65"/>
      <c r="M1775" s="65"/>
      <c r="N1775" s="65"/>
    </row>
    <row r="1776" spans="1:14" s="7" customFormat="1" ht="13.8" x14ac:dyDescent="0.25">
      <c r="B1776" s="22"/>
      <c r="C1776" s="36"/>
      <c r="D1776" s="22"/>
      <c r="E1776" s="23"/>
      <c r="F1776" s="22"/>
      <c r="J1776" s="130"/>
      <c r="K1776" s="868"/>
      <c r="L1776" s="65"/>
      <c r="M1776" s="65"/>
      <c r="N1776" s="65"/>
    </row>
    <row r="1777" spans="2:14" s="7" customFormat="1" ht="27.6" x14ac:dyDescent="0.25">
      <c r="B1777" s="14" t="s">
        <v>513</v>
      </c>
      <c r="C1777" s="14" t="s">
        <v>1108</v>
      </c>
      <c r="D1777" s="14" t="s">
        <v>516</v>
      </c>
      <c r="E1777" s="14" t="s">
        <v>970</v>
      </c>
      <c r="F1777" s="14" t="s">
        <v>930</v>
      </c>
      <c r="G1777" s="14" t="s">
        <v>961</v>
      </c>
      <c r="J1777" s="130"/>
      <c r="K1777" s="868"/>
      <c r="L1777" s="65"/>
      <c r="M1777" s="65"/>
      <c r="N1777" s="65"/>
    </row>
    <row r="1778" spans="2:14" s="7" customFormat="1" ht="13.8" x14ac:dyDescent="0.25">
      <c r="B1778" s="46" t="s">
        <v>1161</v>
      </c>
      <c r="C1778" s="78">
        <f>C1727</f>
        <v>0</v>
      </c>
      <c r="D1778" s="62">
        <f>H1755</f>
        <v>1932.7</v>
      </c>
      <c r="E1778" s="17">
        <f>ROUND((C1778/D1778)/60,2)</f>
        <v>0</v>
      </c>
      <c r="F1778" s="17">
        <f>D1759</f>
        <v>10</v>
      </c>
      <c r="G1778" s="16">
        <f>ROUND(E1778*F1778,2)</f>
        <v>0</v>
      </c>
      <c r="J1778" s="130"/>
      <c r="K1778" s="868"/>
      <c r="L1778" s="65"/>
      <c r="M1778" s="65"/>
      <c r="N1778" s="65"/>
    </row>
    <row r="1779" spans="2:14" s="7" customFormat="1" ht="13.8" x14ac:dyDescent="0.25">
      <c r="B1779" s="27" t="s">
        <v>1093</v>
      </c>
      <c r="C1779" s="78">
        <f>C1728</f>
        <v>290000</v>
      </c>
      <c r="D1779" s="62">
        <f>H1756</f>
        <v>1506</v>
      </c>
      <c r="E1779" s="17">
        <f>ROUND((C1779/D1779)/60,2)</f>
        <v>3.21</v>
      </c>
      <c r="F1779" s="17">
        <f>D1760</f>
        <v>15</v>
      </c>
      <c r="G1779" s="16">
        <f>ROUND(E1779*F1779,2)</f>
        <v>48.15</v>
      </c>
      <c r="H1779" s="38"/>
      <c r="J1779" s="130"/>
      <c r="K1779" s="868"/>
      <c r="L1779" s="65"/>
      <c r="M1779" s="65"/>
      <c r="N1779" s="65"/>
    </row>
    <row r="1781" spans="2:14" s="7" customFormat="1" ht="13.8" x14ac:dyDescent="0.25">
      <c r="B1781" s="12" t="s">
        <v>948</v>
      </c>
      <c r="C1781" s="227"/>
      <c r="D1781" s="12"/>
      <c r="E1781" s="11">
        <f>G1794</f>
        <v>3.45</v>
      </c>
      <c r="F1781" s="12" t="s">
        <v>971</v>
      </c>
      <c r="J1781" s="130"/>
      <c r="K1781" s="868"/>
      <c r="L1781" s="65"/>
      <c r="M1781" s="65"/>
      <c r="N1781" s="65"/>
    </row>
    <row r="1782" spans="2:14" s="7" customFormat="1" ht="7.5" customHeight="1" x14ac:dyDescent="0.25">
      <c r="B1782" s="22"/>
      <c r="C1782" s="36"/>
      <c r="D1782" s="22"/>
      <c r="E1782" s="23"/>
      <c r="J1782" s="130"/>
      <c r="K1782" s="868"/>
      <c r="L1782" s="65"/>
      <c r="M1782" s="65"/>
      <c r="N1782" s="65"/>
    </row>
    <row r="1783" spans="2:14" s="7" customFormat="1" ht="27.6" x14ac:dyDescent="0.25">
      <c r="B1783" s="14" t="s">
        <v>948</v>
      </c>
      <c r="C1783" s="14" t="s">
        <v>1110</v>
      </c>
      <c r="D1783" s="14" t="s">
        <v>516</v>
      </c>
      <c r="E1783" s="14" t="s">
        <v>954</v>
      </c>
      <c r="F1783" s="14" t="s">
        <v>930</v>
      </c>
      <c r="G1783" s="14" t="s">
        <v>1111</v>
      </c>
      <c r="J1783" s="130"/>
      <c r="K1783" s="868"/>
      <c r="L1783" s="65"/>
      <c r="M1783" s="65"/>
      <c r="N1783" s="65"/>
    </row>
    <row r="1784" spans="2:14" s="7" customFormat="1" ht="13.8" x14ac:dyDescent="0.25">
      <c r="B1784" s="1009" t="str">
        <f>B1755</f>
        <v>Лікар-рентгенолог</v>
      </c>
      <c r="C1784" s="1010"/>
      <c r="D1784" s="1010"/>
      <c r="E1784" s="1010"/>
      <c r="F1784" s="1010"/>
      <c r="G1784" s="1011"/>
      <c r="J1784" s="130"/>
      <c r="K1784" s="868"/>
      <c r="L1784" s="65"/>
      <c r="M1784" s="65"/>
      <c r="N1784" s="65"/>
    </row>
    <row r="1785" spans="2:14" s="7" customFormat="1" ht="13.8" x14ac:dyDescent="0.25">
      <c r="B1785" s="17" t="s">
        <v>951</v>
      </c>
      <c r="C1785" s="221">
        <f>C1734</f>
        <v>12188.608008565312</v>
      </c>
      <c r="D1785" s="17">
        <f>H1755</f>
        <v>1932.7</v>
      </c>
      <c r="E1785" s="17">
        <f>ROUND((C1785/D1785)/60,2)</f>
        <v>0.11</v>
      </c>
      <c r="F1785" s="17">
        <f>D1759</f>
        <v>10</v>
      </c>
      <c r="G1785" s="16">
        <f>ROUND(E1785*F1785,2)</f>
        <v>1.1000000000000001</v>
      </c>
      <c r="J1785" s="130"/>
      <c r="K1785" s="868"/>
      <c r="L1785" s="65"/>
      <c r="M1785" s="65"/>
      <c r="N1785" s="65"/>
    </row>
    <row r="1786" spans="2:14" s="7" customFormat="1" ht="13.8" x14ac:dyDescent="0.25">
      <c r="B1786" s="17" t="s">
        <v>952</v>
      </c>
      <c r="C1786" s="221">
        <f>C1735</f>
        <v>53.149721627408987</v>
      </c>
      <c r="D1786" s="17">
        <f>H1755</f>
        <v>1932.7</v>
      </c>
      <c r="E1786" s="17">
        <f>ROUND((C1786/D1786)/60,2)</f>
        <v>0</v>
      </c>
      <c r="F1786" s="17">
        <f>D1759</f>
        <v>10</v>
      </c>
      <c r="G1786" s="16">
        <f>ROUND(E1786*F1786,2)</f>
        <v>0</v>
      </c>
      <c r="J1786" s="130"/>
      <c r="K1786" s="868"/>
      <c r="L1786" s="65"/>
      <c r="M1786" s="65"/>
      <c r="N1786" s="65"/>
    </row>
    <row r="1787" spans="2:14" s="7" customFormat="1" ht="13.8" x14ac:dyDescent="0.25">
      <c r="B1787" s="17" t="s">
        <v>953</v>
      </c>
      <c r="C1787" s="221">
        <f>C1736</f>
        <v>374.98368308351178</v>
      </c>
      <c r="D1787" s="17">
        <f>H1755</f>
        <v>1932.7</v>
      </c>
      <c r="E1787" s="17">
        <f>ROUND((C1787/D1787)/60,2)</f>
        <v>0</v>
      </c>
      <c r="F1787" s="17">
        <f>D1759</f>
        <v>10</v>
      </c>
      <c r="G1787" s="16">
        <f>ROUND(E1787*F1787,2)</f>
        <v>0</v>
      </c>
      <c r="J1787" s="130"/>
      <c r="K1787" s="868"/>
      <c r="L1787" s="65"/>
      <c r="M1787" s="65"/>
      <c r="N1787" s="65"/>
    </row>
    <row r="1788" spans="2:14" s="7" customFormat="1" ht="13.8" x14ac:dyDescent="0.25">
      <c r="B1788" s="17" t="s">
        <v>1109</v>
      </c>
      <c r="C1788" s="221">
        <f>C1737</f>
        <v>1686.0389293361886</v>
      </c>
      <c r="D1788" s="17">
        <f>H1755</f>
        <v>1932.7</v>
      </c>
      <c r="E1788" s="17">
        <f>ROUND((C1788/D1788)/60,2)</f>
        <v>0.01</v>
      </c>
      <c r="F1788" s="17">
        <f>D1759</f>
        <v>10</v>
      </c>
      <c r="G1788" s="16">
        <f>ROUND(E1788*F1788,2)</f>
        <v>0.1</v>
      </c>
      <c r="J1788" s="130"/>
      <c r="K1788" s="868"/>
      <c r="L1788" s="65"/>
      <c r="M1788" s="65"/>
      <c r="N1788" s="65"/>
    </row>
    <row r="1789" spans="2:14" s="7" customFormat="1" ht="13.8" x14ac:dyDescent="0.25">
      <c r="B1789" s="1009" t="str">
        <f>B1756</f>
        <v>Рентгенолаборант</v>
      </c>
      <c r="C1789" s="1010"/>
      <c r="D1789" s="1010"/>
      <c r="E1789" s="1010"/>
      <c r="F1789" s="1010"/>
      <c r="G1789" s="1011"/>
      <c r="J1789" s="130"/>
      <c r="K1789" s="868"/>
      <c r="L1789" s="65"/>
      <c r="M1789" s="65"/>
      <c r="N1789" s="65"/>
    </row>
    <row r="1790" spans="2:14" s="7" customFormat="1" ht="13.8" x14ac:dyDescent="0.25">
      <c r="B1790" s="17" t="s">
        <v>951</v>
      </c>
      <c r="C1790" s="221">
        <f>C1785</f>
        <v>12188.608008565312</v>
      </c>
      <c r="D1790" s="17">
        <f>H1756</f>
        <v>1506</v>
      </c>
      <c r="E1790" s="17">
        <f>ROUND((C1790/D1790)/60,2)</f>
        <v>0.13</v>
      </c>
      <c r="F1790" s="17">
        <f>D1760</f>
        <v>15</v>
      </c>
      <c r="G1790" s="16">
        <f>ROUND(E1790*F1790,2)</f>
        <v>1.95</v>
      </c>
      <c r="J1790" s="130"/>
      <c r="K1790" s="868"/>
      <c r="L1790" s="65"/>
      <c r="M1790" s="65"/>
      <c r="N1790" s="65"/>
    </row>
    <row r="1791" spans="2:14" s="7" customFormat="1" ht="13.8" x14ac:dyDescent="0.25">
      <c r="B1791" s="17" t="s">
        <v>952</v>
      </c>
      <c r="C1791" s="221">
        <f>C1786</f>
        <v>53.149721627408987</v>
      </c>
      <c r="D1791" s="17">
        <f>H1756</f>
        <v>1506</v>
      </c>
      <c r="E1791" s="17">
        <f>ROUND((C1791/D1791)/60,2)</f>
        <v>0</v>
      </c>
      <c r="F1791" s="17">
        <f>D1760</f>
        <v>15</v>
      </c>
      <c r="G1791" s="16">
        <f>ROUND(E1791*F1791,2)</f>
        <v>0</v>
      </c>
      <c r="J1791" s="130"/>
      <c r="K1791" s="868"/>
      <c r="L1791" s="65"/>
      <c r="M1791" s="65"/>
      <c r="N1791" s="65"/>
    </row>
    <row r="1792" spans="2:14" s="7" customFormat="1" ht="13.8" x14ac:dyDescent="0.25">
      <c r="B1792" s="17" t="s">
        <v>953</v>
      </c>
      <c r="C1792" s="221">
        <f>C1787</f>
        <v>374.98368308351178</v>
      </c>
      <c r="D1792" s="17">
        <f>H1756</f>
        <v>1506</v>
      </c>
      <c r="E1792" s="17">
        <f>ROUND((C1792/D1792)/60,2)</f>
        <v>0</v>
      </c>
      <c r="F1792" s="17">
        <f>D1760</f>
        <v>15</v>
      </c>
      <c r="G1792" s="16">
        <f>ROUND(E1792*F1792,2)</f>
        <v>0</v>
      </c>
      <c r="J1792" s="130"/>
      <c r="K1792" s="868"/>
      <c r="L1792" s="65"/>
      <c r="M1792" s="65"/>
      <c r="N1792" s="65"/>
    </row>
    <row r="1793" spans="1:14" s="7" customFormat="1" ht="13.8" x14ac:dyDescent="0.25">
      <c r="B1793" s="17" t="s">
        <v>1109</v>
      </c>
      <c r="C1793" s="221">
        <f>C1788</f>
        <v>1686.0389293361886</v>
      </c>
      <c r="D1793" s="17">
        <f>H1756</f>
        <v>1506</v>
      </c>
      <c r="E1793" s="17">
        <f>ROUND((C1793/D1793)/60,2)</f>
        <v>0.02</v>
      </c>
      <c r="F1793" s="17">
        <f>D1760</f>
        <v>15</v>
      </c>
      <c r="G1793" s="16">
        <f>ROUND(E1793*F1793,2)</f>
        <v>0.3</v>
      </c>
      <c r="J1793" s="130"/>
      <c r="K1793" s="868"/>
      <c r="L1793" s="65"/>
      <c r="M1793" s="65"/>
      <c r="N1793" s="65"/>
    </row>
    <row r="1794" spans="1:14" s="7" customFormat="1" ht="13.8" x14ac:dyDescent="0.25">
      <c r="B1794" s="1012" t="s">
        <v>957</v>
      </c>
      <c r="C1794" s="1013"/>
      <c r="D1794" s="1013"/>
      <c r="E1794" s="1013"/>
      <c r="F1794" s="1014"/>
      <c r="G1794" s="18">
        <f>SUM(G1785:G1793)</f>
        <v>3.45</v>
      </c>
      <c r="J1794" s="130"/>
      <c r="K1794" s="868"/>
      <c r="L1794" s="65"/>
      <c r="M1794" s="65"/>
      <c r="N1794" s="65"/>
    </row>
    <row r="1795" spans="1:14" s="7" customFormat="1" ht="13.5" customHeight="1" x14ac:dyDescent="0.25">
      <c r="C1795" s="74"/>
      <c r="J1795" s="130"/>
      <c r="K1795" s="868"/>
      <c r="L1795" s="65"/>
      <c r="M1795" s="65"/>
      <c r="N1795" s="65"/>
    </row>
    <row r="1796" spans="1:14" s="7" customFormat="1" ht="2.25" customHeight="1" x14ac:dyDescent="0.25">
      <c r="C1796" s="74"/>
      <c r="J1796" s="130"/>
      <c r="K1796" s="868"/>
      <c r="L1796" s="65"/>
      <c r="M1796" s="65"/>
      <c r="N1796" s="65"/>
    </row>
    <row r="1797" spans="1:14" s="7" customFormat="1" ht="13.8" x14ac:dyDescent="0.25">
      <c r="B1797" s="1015" t="s">
        <v>959</v>
      </c>
      <c r="C1797" s="1015"/>
      <c r="D1797" s="1015"/>
      <c r="E1797" s="1015"/>
      <c r="F1797" s="1015"/>
      <c r="G1797" s="32">
        <f>E1752+E1764+E1775+E1781</f>
        <v>114.48</v>
      </c>
      <c r="J1797" s="130"/>
      <c r="K1797" s="868"/>
      <c r="L1797" s="65"/>
      <c r="M1797" s="65"/>
      <c r="N1797" s="65"/>
    </row>
    <row r="1798" spans="1:14" s="7" customFormat="1" ht="13.8" x14ac:dyDescent="0.25">
      <c r="B1798" s="33"/>
      <c r="C1798" s="33"/>
      <c r="D1798" s="33"/>
      <c r="E1798" s="33"/>
      <c r="F1798" s="33"/>
      <c r="G1798" s="34"/>
      <c r="J1798" s="130"/>
      <c r="K1798" s="868"/>
      <c r="L1798" s="65"/>
      <c r="M1798" s="65"/>
      <c r="N1798" s="65"/>
    </row>
    <row r="1799" spans="1:14" s="54" customFormat="1" ht="19.8" x14ac:dyDescent="0.4">
      <c r="A1799" s="53"/>
      <c r="B1799" s="1051" t="s">
        <v>960</v>
      </c>
      <c r="C1799" s="1051"/>
      <c r="D1799" s="1051"/>
      <c r="E1799" s="1051"/>
      <c r="F1799" s="1051"/>
      <c r="G1799" s="32">
        <f>ROUND(G1797,0)</f>
        <v>114</v>
      </c>
      <c r="H1799" s="53"/>
      <c r="I1799" s="53"/>
      <c r="J1799" s="132"/>
      <c r="K1799" s="868"/>
      <c r="L1799" s="65"/>
      <c r="M1799" s="65"/>
      <c r="N1799" s="65"/>
    </row>
    <row r="1800" spans="1:14" s="54" customFormat="1" ht="19.8" x14ac:dyDescent="0.4">
      <c r="A1800" s="53"/>
      <c r="B1800" s="53"/>
      <c r="C1800" s="225"/>
      <c r="D1800" s="53"/>
      <c r="E1800" s="53"/>
      <c r="F1800" s="53"/>
      <c r="G1800" s="53"/>
      <c r="H1800" s="53"/>
      <c r="I1800" s="53"/>
      <c r="J1800" s="132"/>
      <c r="K1800" s="868"/>
      <c r="L1800" s="65"/>
      <c r="M1800" s="65"/>
      <c r="N1800" s="65"/>
    </row>
    <row r="1801" spans="1:14" s="54" customFormat="1" ht="19.8" x14ac:dyDescent="0.4">
      <c r="A1801" s="50" t="s">
        <v>277</v>
      </c>
      <c r="B1801" s="1032" t="s">
        <v>695</v>
      </c>
      <c r="C1801" s="1032"/>
      <c r="D1801" s="1032"/>
      <c r="E1801" s="52">
        <f>G1849</f>
        <v>86</v>
      </c>
      <c r="F1801" s="52" t="s">
        <v>971</v>
      </c>
      <c r="G1801" s="53"/>
      <c r="H1801" s="124"/>
      <c r="I1801" s="125" t="s">
        <v>1128</v>
      </c>
      <c r="J1801" s="132"/>
      <c r="K1801" s="868"/>
      <c r="L1801" s="65"/>
      <c r="M1801" s="65"/>
      <c r="N1801" s="65"/>
    </row>
    <row r="1803" spans="1:14" x14ac:dyDescent="0.3">
      <c r="B1803" s="1018" t="s">
        <v>932</v>
      </c>
      <c r="C1803" s="1018"/>
      <c r="D1803" s="10"/>
      <c r="E1803" s="11">
        <f>E1810+E1813+E1811</f>
        <v>31.78</v>
      </c>
      <c r="F1803" s="12" t="s">
        <v>971</v>
      </c>
    </row>
    <row r="1805" spans="1:14" ht="27.6" x14ac:dyDescent="0.3">
      <c r="B1805" s="13" t="s">
        <v>929</v>
      </c>
      <c r="C1805" s="14" t="s">
        <v>928</v>
      </c>
      <c r="D1805" s="14" t="s">
        <v>514</v>
      </c>
      <c r="E1805" s="14" t="s">
        <v>515</v>
      </c>
      <c r="F1805" s="14" t="s">
        <v>962</v>
      </c>
      <c r="G1805" s="14" t="s">
        <v>926</v>
      </c>
      <c r="H1805" s="14" t="s">
        <v>516</v>
      </c>
      <c r="I1805" s="14" t="s">
        <v>961</v>
      </c>
    </row>
    <row r="1806" spans="1:14" x14ac:dyDescent="0.3">
      <c r="B1806" s="16" t="str">
        <f>B1755</f>
        <v>Лікар-рентгенолог</v>
      </c>
      <c r="C1806" s="78">
        <f>C1755</f>
        <v>8463.5400000000009</v>
      </c>
      <c r="D1806" s="16">
        <f>C1806*12</f>
        <v>101562.48000000001</v>
      </c>
      <c r="E1806" s="16">
        <f>E1755</f>
        <v>7052.95</v>
      </c>
      <c r="F1806" s="16">
        <f>F1755</f>
        <v>3526.4749999999999</v>
      </c>
      <c r="G1806" s="16">
        <f>D1806+E1806+F1806</f>
        <v>112141.90500000001</v>
      </c>
      <c r="H1806" s="17">
        <v>1932.7</v>
      </c>
      <c r="I1806" s="16">
        <f>ROUND((G1806/H1806)/60,2)</f>
        <v>0.97</v>
      </c>
    </row>
    <row r="1807" spans="1:14" x14ac:dyDescent="0.3">
      <c r="B1807" s="16" t="str">
        <f>B1756</f>
        <v>Рентгенолаборант</v>
      </c>
      <c r="C1807" s="78">
        <f>C1756</f>
        <v>7482.48</v>
      </c>
      <c r="D1807" s="24">
        <f>C1807*12</f>
        <v>89789.759999999995</v>
      </c>
      <c r="E1807" s="16">
        <f>E1756</f>
        <v>5755.75</v>
      </c>
      <c r="F1807" s="16">
        <f>F1756</f>
        <v>2877.875</v>
      </c>
      <c r="G1807" s="16">
        <f>D1807+E1807+F1807</f>
        <v>98423.384999999995</v>
      </c>
      <c r="H1807" s="62">
        <v>1506</v>
      </c>
      <c r="I1807" s="16">
        <f>ROUND((G1807/H1807)/60,2)</f>
        <v>1.0900000000000001</v>
      </c>
    </row>
    <row r="1809" spans="1:14" ht="27.6" x14ac:dyDescent="0.3">
      <c r="B1809" s="13" t="s">
        <v>929</v>
      </c>
      <c r="C1809" s="14" t="s">
        <v>961</v>
      </c>
      <c r="D1809" s="14" t="s">
        <v>930</v>
      </c>
      <c r="E1809" s="14" t="s">
        <v>931</v>
      </c>
    </row>
    <row r="1810" spans="1:14" x14ac:dyDescent="0.3">
      <c r="B1810" s="15" t="str">
        <f>B1806</f>
        <v>Лікар-рентгенолог</v>
      </c>
      <c r="C1810" s="78">
        <f>I1806</f>
        <v>0.97</v>
      </c>
      <c r="D1810" s="17">
        <v>10</v>
      </c>
      <c r="E1810" s="18">
        <f>ROUND(C1810*D1810,2)</f>
        <v>9.6999999999999993</v>
      </c>
    </row>
    <row r="1811" spans="1:14" x14ac:dyDescent="0.3">
      <c r="B1811" s="15" t="str">
        <f>B1807</f>
        <v>Рентгенолаборант</v>
      </c>
      <c r="C1811" s="78">
        <f>I1807</f>
        <v>1.0900000000000001</v>
      </c>
      <c r="D1811" s="17">
        <v>15</v>
      </c>
      <c r="E1811" s="18">
        <f>ROUND(C1811*D1811,2)</f>
        <v>16.350000000000001</v>
      </c>
    </row>
    <row r="1812" spans="1:14" x14ac:dyDescent="0.3">
      <c r="C1812" s="19"/>
    </row>
    <row r="1813" spans="1:14" x14ac:dyDescent="0.3">
      <c r="B1813" s="17" t="s">
        <v>933</v>
      </c>
      <c r="C1813" s="78">
        <f>E1810+E1811</f>
        <v>26.05</v>
      </c>
      <c r="D1813" s="20">
        <v>0.22</v>
      </c>
      <c r="E1813" s="21">
        <f>ROUND(C1813*D1813,2)</f>
        <v>5.73</v>
      </c>
    </row>
    <row r="1815" spans="1:14" x14ac:dyDescent="0.3">
      <c r="B1815" s="12" t="s">
        <v>946</v>
      </c>
      <c r="C1815" s="227"/>
      <c r="D1815" s="12"/>
      <c r="E1815" s="11">
        <f>F1823</f>
        <v>2.88</v>
      </c>
      <c r="F1815" s="12" t="s">
        <v>971</v>
      </c>
    </row>
    <row r="1817" spans="1:14" x14ac:dyDescent="0.3">
      <c r="B1817" s="27" t="s">
        <v>936</v>
      </c>
      <c r="C1817" s="28" t="s">
        <v>937</v>
      </c>
      <c r="D1817" s="29">
        <v>1</v>
      </c>
      <c r="E1817" s="30">
        <f>'МЕДИЧНІ М'!F115</f>
        <v>0.3</v>
      </c>
      <c r="F1817" s="30">
        <f t="shared" ref="F1817:F1822" si="63">ROUND(D1817*E1817,2)</f>
        <v>0.3</v>
      </c>
    </row>
    <row r="1818" spans="1:14" s="184" customFormat="1" x14ac:dyDescent="0.3">
      <c r="A1818" s="180"/>
      <c r="B1818" s="185" t="s">
        <v>1021</v>
      </c>
      <c r="C1818" s="186" t="s">
        <v>941</v>
      </c>
      <c r="D1818" s="164">
        <v>0.5</v>
      </c>
      <c r="E1818" s="164">
        <f>'МЕДИЧНІ М'!E181</f>
        <v>2</v>
      </c>
      <c r="F1818" s="164">
        <f t="shared" si="63"/>
        <v>1</v>
      </c>
      <c r="G1818" s="180"/>
      <c r="H1818" s="180"/>
      <c r="I1818" s="180"/>
      <c r="J1818" s="187"/>
      <c r="K1818" s="866"/>
      <c r="L1818" s="861"/>
      <c r="M1818" s="861"/>
      <c r="N1818" s="861"/>
    </row>
    <row r="1819" spans="1:14" x14ac:dyDescent="0.3">
      <c r="B1819" s="15" t="s">
        <v>1216</v>
      </c>
      <c r="C1819" s="73" t="s">
        <v>941</v>
      </c>
      <c r="D1819" s="17">
        <v>0.1</v>
      </c>
      <c r="E1819" s="16">
        <f>'МЕДИЧНІ М'!E113</f>
        <v>8</v>
      </c>
      <c r="F1819" s="17">
        <f t="shared" si="63"/>
        <v>0.8</v>
      </c>
    </row>
    <row r="1820" spans="1:14" x14ac:dyDescent="0.3">
      <c r="B1820" s="15" t="s">
        <v>964</v>
      </c>
      <c r="C1820" s="73" t="s">
        <v>941</v>
      </c>
      <c r="D1820" s="17">
        <v>0.1</v>
      </c>
      <c r="E1820" s="16">
        <f>'МЕДИЧНІ М'!E119</f>
        <v>2.8</v>
      </c>
      <c r="F1820" s="17">
        <f t="shared" si="63"/>
        <v>0.28000000000000003</v>
      </c>
    </row>
    <row r="1821" spans="1:14" x14ac:dyDescent="0.3">
      <c r="B1821" s="27" t="s">
        <v>942</v>
      </c>
      <c r="C1821" s="28" t="s">
        <v>941</v>
      </c>
      <c r="D1821" s="29">
        <v>0.01</v>
      </c>
      <c r="E1821" s="29">
        <f>'МЕДИЧНІ М'!E120</f>
        <v>24.6</v>
      </c>
      <c r="F1821" s="30">
        <f t="shared" si="63"/>
        <v>0.25</v>
      </c>
    </row>
    <row r="1822" spans="1:14" x14ac:dyDescent="0.3">
      <c r="B1822" s="27" t="s">
        <v>1124</v>
      </c>
      <c r="C1822" s="28" t="s">
        <v>944</v>
      </c>
      <c r="D1822" s="29">
        <v>0.5</v>
      </c>
      <c r="E1822" s="29">
        <f>'МЕДИЧНІ М'!E114</f>
        <v>0.5</v>
      </c>
      <c r="F1822" s="30">
        <f t="shared" si="63"/>
        <v>0.25</v>
      </c>
    </row>
    <row r="1823" spans="1:14" x14ac:dyDescent="0.3">
      <c r="B1823" s="1019" t="s">
        <v>945</v>
      </c>
      <c r="C1823" s="1019"/>
      <c r="D1823" s="1019"/>
      <c r="E1823" s="1019"/>
      <c r="F1823" s="89">
        <f>SUM(F1817:F1822)</f>
        <v>2.88</v>
      </c>
    </row>
    <row r="1825" spans="2:14" x14ac:dyDescent="0.3">
      <c r="B1825" s="12" t="s">
        <v>968</v>
      </c>
      <c r="C1825" s="227"/>
      <c r="D1825" s="12"/>
      <c r="E1825" s="11">
        <f>SUM(G1828:G1829)</f>
        <v>48.15</v>
      </c>
      <c r="F1825" s="12" t="s">
        <v>971</v>
      </c>
    </row>
    <row r="1826" spans="2:14" x14ac:dyDescent="0.3">
      <c r="B1826" s="22"/>
      <c r="C1826" s="36"/>
      <c r="D1826" s="22"/>
      <c r="E1826" s="23"/>
      <c r="F1826" s="22"/>
    </row>
    <row r="1827" spans="2:14" ht="27.6" x14ac:dyDescent="0.3">
      <c r="B1827" s="14" t="s">
        <v>513</v>
      </c>
      <c r="C1827" s="14" t="s">
        <v>1108</v>
      </c>
      <c r="D1827" s="14" t="s">
        <v>516</v>
      </c>
      <c r="E1827" s="14" t="s">
        <v>970</v>
      </c>
      <c r="F1827" s="14" t="s">
        <v>930</v>
      </c>
      <c r="G1827" s="14" t="s">
        <v>961</v>
      </c>
    </row>
    <row r="1828" spans="2:14" x14ac:dyDescent="0.3">
      <c r="B1828" s="46" t="s">
        <v>1161</v>
      </c>
      <c r="C1828" s="78">
        <f>C1778</f>
        <v>0</v>
      </c>
      <c r="D1828" s="62">
        <f>H1806</f>
        <v>1932.7</v>
      </c>
      <c r="E1828" s="17">
        <f>ROUND((C1828/D1828)/60,2)</f>
        <v>0</v>
      </c>
      <c r="F1828" s="17">
        <f>D1810</f>
        <v>10</v>
      </c>
      <c r="G1828" s="16">
        <f>ROUND(E1828*F1828,2)</f>
        <v>0</v>
      </c>
    </row>
    <row r="1829" spans="2:14" s="7" customFormat="1" ht="13.8" x14ac:dyDescent="0.25">
      <c r="B1829" s="27" t="s">
        <v>1093</v>
      </c>
      <c r="C1829" s="78">
        <f>C1779</f>
        <v>290000</v>
      </c>
      <c r="D1829" s="62">
        <f>H1807</f>
        <v>1506</v>
      </c>
      <c r="E1829" s="17">
        <f>ROUND((C1829/D1829)/60,2)</f>
        <v>3.21</v>
      </c>
      <c r="F1829" s="17">
        <f>D1811</f>
        <v>15</v>
      </c>
      <c r="G1829" s="16">
        <f>ROUND(E1829*F1829,2)</f>
        <v>48.15</v>
      </c>
      <c r="H1829" s="38"/>
      <c r="J1829" s="130"/>
      <c r="K1829" s="868"/>
      <c r="L1829" s="65"/>
      <c r="M1829" s="65"/>
      <c r="N1829" s="65"/>
    </row>
    <row r="1831" spans="2:14" s="7" customFormat="1" ht="13.8" x14ac:dyDescent="0.25">
      <c r="B1831" s="12" t="s">
        <v>948</v>
      </c>
      <c r="C1831" s="227"/>
      <c r="D1831" s="12"/>
      <c r="E1831" s="11">
        <f>G1844</f>
        <v>3.45</v>
      </c>
      <c r="F1831" s="12" t="s">
        <v>971</v>
      </c>
      <c r="J1831" s="130"/>
      <c r="K1831" s="868"/>
      <c r="L1831" s="65"/>
      <c r="M1831" s="65"/>
      <c r="N1831" s="65"/>
    </row>
    <row r="1832" spans="2:14" s="7" customFormat="1" ht="13.8" x14ac:dyDescent="0.25">
      <c r="B1832" s="22"/>
      <c r="C1832" s="36"/>
      <c r="D1832" s="22"/>
      <c r="E1832" s="23"/>
      <c r="J1832" s="130"/>
      <c r="K1832" s="868"/>
      <c r="L1832" s="65"/>
      <c r="M1832" s="65"/>
      <c r="N1832" s="65"/>
    </row>
    <row r="1833" spans="2:14" s="7" customFormat="1" ht="27.6" x14ac:dyDescent="0.25">
      <c r="B1833" s="14" t="s">
        <v>948</v>
      </c>
      <c r="C1833" s="14" t="s">
        <v>1110</v>
      </c>
      <c r="D1833" s="14" t="s">
        <v>516</v>
      </c>
      <c r="E1833" s="14" t="s">
        <v>954</v>
      </c>
      <c r="F1833" s="14" t="s">
        <v>930</v>
      </c>
      <c r="G1833" s="14" t="s">
        <v>1111</v>
      </c>
      <c r="J1833" s="130"/>
      <c r="K1833" s="868"/>
      <c r="L1833" s="65"/>
      <c r="M1833" s="65"/>
      <c r="N1833" s="65"/>
    </row>
    <row r="1834" spans="2:14" s="7" customFormat="1" ht="13.8" x14ac:dyDescent="0.25">
      <c r="B1834" s="1009" t="str">
        <f>B1806</f>
        <v>Лікар-рентгенолог</v>
      </c>
      <c r="C1834" s="1010"/>
      <c r="D1834" s="1010"/>
      <c r="E1834" s="1010"/>
      <c r="F1834" s="1010"/>
      <c r="G1834" s="1011"/>
      <c r="J1834" s="130"/>
      <c r="K1834" s="868"/>
      <c r="L1834" s="65"/>
      <c r="M1834" s="65"/>
      <c r="N1834" s="65"/>
    </row>
    <row r="1835" spans="2:14" s="7" customFormat="1" ht="13.8" x14ac:dyDescent="0.25">
      <c r="B1835" s="17" t="s">
        <v>951</v>
      </c>
      <c r="C1835" s="221">
        <f>C1785</f>
        <v>12188.608008565312</v>
      </c>
      <c r="D1835" s="17">
        <f>H1806</f>
        <v>1932.7</v>
      </c>
      <c r="E1835" s="17">
        <f>ROUND((C1835/D1835)/60,2)</f>
        <v>0.11</v>
      </c>
      <c r="F1835" s="17">
        <f>D1810</f>
        <v>10</v>
      </c>
      <c r="G1835" s="16">
        <f>ROUND(E1835*F1835,2)</f>
        <v>1.1000000000000001</v>
      </c>
      <c r="J1835" s="130"/>
      <c r="K1835" s="868"/>
      <c r="L1835" s="65"/>
      <c r="M1835" s="65"/>
      <c r="N1835" s="65"/>
    </row>
    <row r="1836" spans="2:14" s="7" customFormat="1" ht="13.8" x14ac:dyDescent="0.25">
      <c r="B1836" s="17" t="s">
        <v>952</v>
      </c>
      <c r="C1836" s="221">
        <f>C1786</f>
        <v>53.149721627408987</v>
      </c>
      <c r="D1836" s="17">
        <f>H1806</f>
        <v>1932.7</v>
      </c>
      <c r="E1836" s="17">
        <f>ROUND((C1836/D1836)/60,2)</f>
        <v>0</v>
      </c>
      <c r="F1836" s="17">
        <f>D1810</f>
        <v>10</v>
      </c>
      <c r="G1836" s="16">
        <f>ROUND(E1836*F1836,2)</f>
        <v>0</v>
      </c>
      <c r="J1836" s="130"/>
      <c r="K1836" s="868"/>
      <c r="L1836" s="65"/>
      <c r="M1836" s="65"/>
      <c r="N1836" s="65"/>
    </row>
    <row r="1837" spans="2:14" s="7" customFormat="1" ht="13.8" x14ac:dyDescent="0.25">
      <c r="B1837" s="17" t="s">
        <v>953</v>
      </c>
      <c r="C1837" s="221">
        <f>C1787</f>
        <v>374.98368308351178</v>
      </c>
      <c r="D1837" s="17">
        <f>H1806</f>
        <v>1932.7</v>
      </c>
      <c r="E1837" s="17">
        <f>ROUND((C1837/D1837)/60,2)</f>
        <v>0</v>
      </c>
      <c r="F1837" s="17">
        <f>D1810</f>
        <v>10</v>
      </c>
      <c r="G1837" s="16">
        <f>ROUND(E1837*F1837,2)</f>
        <v>0</v>
      </c>
      <c r="J1837" s="130"/>
      <c r="K1837" s="868"/>
      <c r="L1837" s="65"/>
      <c r="M1837" s="65"/>
      <c r="N1837" s="65"/>
    </row>
    <row r="1838" spans="2:14" s="7" customFormat="1" ht="13.8" x14ac:dyDescent="0.25">
      <c r="B1838" s="17" t="s">
        <v>1109</v>
      </c>
      <c r="C1838" s="221">
        <f>C1788</f>
        <v>1686.0389293361886</v>
      </c>
      <c r="D1838" s="17">
        <f>H1806</f>
        <v>1932.7</v>
      </c>
      <c r="E1838" s="17">
        <f>ROUND((C1838/D1838)/60,2)</f>
        <v>0.01</v>
      </c>
      <c r="F1838" s="17">
        <f>D1810</f>
        <v>10</v>
      </c>
      <c r="G1838" s="16">
        <f>ROUND(E1838*F1838,2)</f>
        <v>0.1</v>
      </c>
      <c r="J1838" s="130"/>
      <c r="K1838" s="868"/>
      <c r="L1838" s="65"/>
      <c r="M1838" s="65"/>
      <c r="N1838" s="65"/>
    </row>
    <row r="1839" spans="2:14" s="7" customFormat="1" ht="13.8" x14ac:dyDescent="0.25">
      <c r="B1839" s="1009" t="str">
        <f>B1807</f>
        <v>Рентгенолаборант</v>
      </c>
      <c r="C1839" s="1010"/>
      <c r="D1839" s="1010"/>
      <c r="E1839" s="1010"/>
      <c r="F1839" s="1010"/>
      <c r="G1839" s="1011"/>
      <c r="J1839" s="130"/>
      <c r="K1839" s="868"/>
      <c r="L1839" s="65"/>
      <c r="M1839" s="65"/>
      <c r="N1839" s="65"/>
    </row>
    <row r="1840" spans="2:14" s="7" customFormat="1" ht="13.8" x14ac:dyDescent="0.25">
      <c r="B1840" s="17" t="s">
        <v>951</v>
      </c>
      <c r="C1840" s="221">
        <f>C1835</f>
        <v>12188.608008565312</v>
      </c>
      <c r="D1840" s="17">
        <f>H1807</f>
        <v>1506</v>
      </c>
      <c r="E1840" s="17">
        <f>ROUND((C1840/D1840)/60,2)</f>
        <v>0.13</v>
      </c>
      <c r="F1840" s="17">
        <f>D1811</f>
        <v>15</v>
      </c>
      <c r="G1840" s="16">
        <f>ROUND(E1840*F1840,2)</f>
        <v>1.95</v>
      </c>
      <c r="J1840" s="130"/>
      <c r="K1840" s="868"/>
      <c r="L1840" s="65"/>
      <c r="M1840" s="65"/>
      <c r="N1840" s="65"/>
    </row>
    <row r="1841" spans="1:14" s="7" customFormat="1" ht="13.8" x14ac:dyDescent="0.25">
      <c r="B1841" s="17" t="s">
        <v>952</v>
      </c>
      <c r="C1841" s="221">
        <f>C1836</f>
        <v>53.149721627408987</v>
      </c>
      <c r="D1841" s="17">
        <f>H1807</f>
        <v>1506</v>
      </c>
      <c r="E1841" s="17">
        <f>ROUND((C1841/D1841)/60,2)</f>
        <v>0</v>
      </c>
      <c r="F1841" s="17">
        <f>D1811</f>
        <v>15</v>
      </c>
      <c r="G1841" s="16">
        <f>ROUND(E1841*F1841,2)</f>
        <v>0</v>
      </c>
      <c r="J1841" s="130"/>
      <c r="K1841" s="868"/>
      <c r="L1841" s="65"/>
      <c r="M1841" s="65"/>
      <c r="N1841" s="65"/>
    </row>
    <row r="1842" spans="1:14" s="7" customFormat="1" ht="13.8" x14ac:dyDescent="0.25">
      <c r="B1842" s="17" t="s">
        <v>953</v>
      </c>
      <c r="C1842" s="221">
        <f>C1837</f>
        <v>374.98368308351178</v>
      </c>
      <c r="D1842" s="17">
        <f>H1807</f>
        <v>1506</v>
      </c>
      <c r="E1842" s="17">
        <f>ROUND((C1842/D1842)/60,2)</f>
        <v>0</v>
      </c>
      <c r="F1842" s="17">
        <f>D1811</f>
        <v>15</v>
      </c>
      <c r="G1842" s="16">
        <f>ROUND(E1842*F1842,2)</f>
        <v>0</v>
      </c>
      <c r="J1842" s="130"/>
      <c r="K1842" s="868"/>
      <c r="L1842" s="65"/>
      <c r="M1842" s="65"/>
      <c r="N1842" s="65"/>
    </row>
    <row r="1843" spans="1:14" s="7" customFormat="1" ht="13.8" x14ac:dyDescent="0.25">
      <c r="B1843" s="17" t="s">
        <v>1109</v>
      </c>
      <c r="C1843" s="221">
        <f>C1838</f>
        <v>1686.0389293361886</v>
      </c>
      <c r="D1843" s="17">
        <f>H1807</f>
        <v>1506</v>
      </c>
      <c r="E1843" s="17">
        <f>ROUND((C1843/D1843)/60,2)</f>
        <v>0.02</v>
      </c>
      <c r="F1843" s="17">
        <f>D1811</f>
        <v>15</v>
      </c>
      <c r="G1843" s="16">
        <f>ROUND(E1843*F1843,2)</f>
        <v>0.3</v>
      </c>
      <c r="J1843" s="130"/>
      <c r="K1843" s="868"/>
      <c r="L1843" s="65"/>
      <c r="M1843" s="65"/>
      <c r="N1843" s="65"/>
    </row>
    <row r="1844" spans="1:14" s="7" customFormat="1" ht="13.8" x14ac:dyDescent="0.25">
      <c r="B1844" s="1012" t="s">
        <v>957</v>
      </c>
      <c r="C1844" s="1013"/>
      <c r="D1844" s="1013"/>
      <c r="E1844" s="1013"/>
      <c r="F1844" s="1014"/>
      <c r="G1844" s="18">
        <f>SUM(G1835:G1843)</f>
        <v>3.45</v>
      </c>
      <c r="J1844" s="130"/>
      <c r="K1844" s="868"/>
      <c r="L1844" s="65"/>
      <c r="M1844" s="65"/>
      <c r="N1844" s="65"/>
    </row>
    <row r="1846" spans="1:14" ht="0.75" customHeight="1" x14ac:dyDescent="0.3"/>
    <row r="1847" spans="1:14" x14ac:dyDescent="0.3">
      <c r="B1847" s="1015" t="s">
        <v>959</v>
      </c>
      <c r="C1847" s="1015"/>
      <c r="D1847" s="1015"/>
      <c r="E1847" s="1015"/>
      <c r="F1847" s="1015"/>
      <c r="G1847" s="32">
        <f>E1803+E1815+E1825+E1831</f>
        <v>86.26</v>
      </c>
    </row>
    <row r="1848" spans="1:14" x14ac:dyDescent="0.3">
      <c r="B1848" s="33"/>
      <c r="C1848" s="33"/>
      <c r="D1848" s="33"/>
      <c r="E1848" s="33"/>
      <c r="F1848" s="33"/>
      <c r="G1848" s="34"/>
    </row>
    <row r="1849" spans="1:14" x14ac:dyDescent="0.3">
      <c r="B1849" s="1015" t="s">
        <v>960</v>
      </c>
      <c r="C1849" s="1015"/>
      <c r="D1849" s="1015"/>
      <c r="E1849" s="1015"/>
      <c r="F1849" s="1015"/>
      <c r="G1849" s="32">
        <f>ROUND(G1847,0)</f>
        <v>86</v>
      </c>
    </row>
    <row r="1851" spans="1:14" s="54" customFormat="1" ht="19.8" x14ac:dyDescent="0.4">
      <c r="A1851" s="1016"/>
      <c r="B1851" s="1016"/>
      <c r="C1851" s="1016"/>
      <c r="D1851" s="1016"/>
      <c r="E1851" s="1016"/>
      <c r="F1851" s="1016"/>
      <c r="G1851" s="1016"/>
      <c r="H1851" s="1016"/>
      <c r="I1851" s="1016"/>
      <c r="J1851" s="132"/>
      <c r="K1851" s="868"/>
      <c r="L1851" s="65"/>
      <c r="M1851" s="65"/>
      <c r="N1851" s="65"/>
    </row>
    <row r="1852" spans="1:14" s="54" customFormat="1" ht="19.8" x14ac:dyDescent="0.4">
      <c r="A1852" s="53"/>
      <c r="B1852" s="53"/>
      <c r="C1852" s="225"/>
      <c r="D1852" s="53"/>
      <c r="E1852" s="53"/>
      <c r="F1852" s="53"/>
      <c r="G1852" s="53"/>
      <c r="H1852" s="53"/>
      <c r="I1852" s="53"/>
      <c r="J1852" s="132"/>
      <c r="K1852" s="868"/>
      <c r="L1852" s="65"/>
      <c r="M1852" s="65"/>
      <c r="N1852" s="65"/>
    </row>
    <row r="1853" spans="1:14" s="54" customFormat="1" ht="19.8" x14ac:dyDescent="0.4">
      <c r="A1853" s="50" t="s">
        <v>278</v>
      </c>
      <c r="B1853" s="1032" t="s">
        <v>697</v>
      </c>
      <c r="C1853" s="1032"/>
      <c r="D1853" s="1032"/>
      <c r="E1853" s="52">
        <f>G1902</f>
        <v>87</v>
      </c>
      <c r="F1853" s="52" t="s">
        <v>971</v>
      </c>
      <c r="G1853" s="53"/>
      <c r="H1853" s="124"/>
      <c r="I1853" s="125" t="s">
        <v>1022</v>
      </c>
      <c r="J1853" s="132"/>
      <c r="K1853" s="868"/>
      <c r="L1853" s="65"/>
      <c r="M1853" s="65"/>
      <c r="N1853" s="65"/>
    </row>
    <row r="1855" spans="1:14" x14ac:dyDescent="0.3">
      <c r="B1855" s="1018" t="s">
        <v>932</v>
      </c>
      <c r="C1855" s="1018"/>
      <c r="D1855" s="10"/>
      <c r="E1855" s="11">
        <f>E1862+E1865+E1863</f>
        <v>31.78</v>
      </c>
      <c r="F1855" s="12" t="s">
        <v>971</v>
      </c>
    </row>
    <row r="1857" spans="1:14" ht="27.6" x14ac:dyDescent="0.3">
      <c r="B1857" s="13" t="s">
        <v>929</v>
      </c>
      <c r="C1857" s="14" t="s">
        <v>928</v>
      </c>
      <c r="D1857" s="14" t="s">
        <v>514</v>
      </c>
      <c r="E1857" s="14" t="s">
        <v>515</v>
      </c>
      <c r="F1857" s="14" t="s">
        <v>962</v>
      </c>
      <c r="G1857" s="14" t="s">
        <v>926</v>
      </c>
      <c r="H1857" s="14" t="s">
        <v>516</v>
      </c>
      <c r="I1857" s="14" t="s">
        <v>961</v>
      </c>
    </row>
    <row r="1858" spans="1:14" x14ac:dyDescent="0.3">
      <c r="B1858" s="16" t="str">
        <f>B1806</f>
        <v>Лікар-рентгенолог</v>
      </c>
      <c r="C1858" s="78">
        <f>C1806</f>
        <v>8463.5400000000009</v>
      </c>
      <c r="D1858" s="16">
        <f>C1858*12</f>
        <v>101562.48000000001</v>
      </c>
      <c r="E1858" s="16">
        <f>E1806</f>
        <v>7052.95</v>
      </c>
      <c r="F1858" s="16">
        <f>F1806</f>
        <v>3526.4749999999999</v>
      </c>
      <c r="G1858" s="16">
        <f>D1858+E1858+F1858</f>
        <v>112141.90500000001</v>
      </c>
      <c r="H1858" s="17">
        <v>1932.7</v>
      </c>
      <c r="I1858" s="16">
        <f>ROUND((G1858/H1858)/60,2)</f>
        <v>0.97</v>
      </c>
    </row>
    <row r="1859" spans="1:14" x14ac:dyDescent="0.3">
      <c r="B1859" s="16" t="str">
        <f>B1807</f>
        <v>Рентгенолаборант</v>
      </c>
      <c r="C1859" s="78">
        <f>C1807</f>
        <v>7482.48</v>
      </c>
      <c r="D1859" s="24">
        <f>C1859*12</f>
        <v>89789.759999999995</v>
      </c>
      <c r="E1859" s="16">
        <f>E1807</f>
        <v>5755.75</v>
      </c>
      <c r="F1859" s="16">
        <f>F1807</f>
        <v>2877.875</v>
      </c>
      <c r="G1859" s="16">
        <f>D1859+E1859+F1859</f>
        <v>98423.384999999995</v>
      </c>
      <c r="H1859" s="62">
        <v>1506</v>
      </c>
      <c r="I1859" s="16">
        <f>ROUND((G1859/H1859)/60,2)</f>
        <v>1.0900000000000001</v>
      </c>
    </row>
    <row r="1861" spans="1:14" ht="27.6" x14ac:dyDescent="0.3">
      <c r="B1861" s="13" t="s">
        <v>929</v>
      </c>
      <c r="C1861" s="14" t="s">
        <v>961</v>
      </c>
      <c r="D1861" s="14" t="s">
        <v>930</v>
      </c>
      <c r="E1861" s="14" t="s">
        <v>931</v>
      </c>
    </row>
    <row r="1862" spans="1:14" x14ac:dyDescent="0.3">
      <c r="B1862" s="15" t="str">
        <f>B1858</f>
        <v>Лікар-рентгенолог</v>
      </c>
      <c r="C1862" s="78">
        <f>I1858</f>
        <v>0.97</v>
      </c>
      <c r="D1862" s="17">
        <v>10</v>
      </c>
      <c r="E1862" s="18">
        <f>ROUND(C1862*D1862,2)</f>
        <v>9.6999999999999993</v>
      </c>
    </row>
    <row r="1863" spans="1:14" x14ac:dyDescent="0.3">
      <c r="B1863" s="15" t="str">
        <f>B1859</f>
        <v>Рентгенолаборант</v>
      </c>
      <c r="C1863" s="78">
        <f>I1859</f>
        <v>1.0900000000000001</v>
      </c>
      <c r="D1863" s="17">
        <v>15</v>
      </c>
      <c r="E1863" s="18">
        <f>ROUND(C1863*D1863,2)</f>
        <v>16.350000000000001</v>
      </c>
    </row>
    <row r="1864" spans="1:14" x14ac:dyDescent="0.3">
      <c r="C1864" s="19"/>
    </row>
    <row r="1865" spans="1:14" x14ac:dyDescent="0.3">
      <c r="B1865" s="17" t="s">
        <v>933</v>
      </c>
      <c r="C1865" s="78">
        <f>E1862+E1863</f>
        <v>26.05</v>
      </c>
      <c r="D1865" s="20">
        <v>0.22</v>
      </c>
      <c r="E1865" s="21">
        <f>ROUND(C1865*D1865,2)</f>
        <v>5.73</v>
      </c>
    </row>
    <row r="1867" spans="1:14" x14ac:dyDescent="0.3">
      <c r="B1867" s="12" t="s">
        <v>946</v>
      </c>
      <c r="C1867" s="227"/>
      <c r="D1867" s="12"/>
      <c r="E1867" s="12">
        <f>F1876</f>
        <v>3.1799999999999997</v>
      </c>
      <c r="F1867" s="12" t="s">
        <v>971</v>
      </c>
    </row>
    <row r="1869" spans="1:14" x14ac:dyDescent="0.3">
      <c r="B1869" s="27" t="s">
        <v>936</v>
      </c>
      <c r="C1869" s="28" t="s">
        <v>937</v>
      </c>
      <c r="D1869" s="29">
        <v>1</v>
      </c>
      <c r="E1869" s="30">
        <f>'МЕДИЧНІ М'!F115</f>
        <v>0.3</v>
      </c>
      <c r="F1869" s="30">
        <f>ROUND(D1869*E1869,2)</f>
        <v>0.3</v>
      </c>
    </row>
    <row r="1870" spans="1:14" s="184" customFormat="1" x14ac:dyDescent="0.3">
      <c r="A1870" s="180"/>
      <c r="B1870" s="185" t="s">
        <v>1021</v>
      </c>
      <c r="C1870" s="186" t="s">
        <v>941</v>
      </c>
      <c r="D1870" s="164">
        <v>0.5</v>
      </c>
      <c r="E1870" s="164">
        <f>'МЕДИЧНІ М'!E181</f>
        <v>2</v>
      </c>
      <c r="F1870" s="164">
        <f t="shared" ref="F1870:F1875" si="64">ROUND(D1870*E1870,2)</f>
        <v>1</v>
      </c>
      <c r="G1870" s="180"/>
      <c r="H1870" s="180"/>
      <c r="I1870" s="180"/>
      <c r="J1870" s="187"/>
      <c r="K1870" s="866"/>
      <c r="L1870" s="861"/>
      <c r="M1870" s="861"/>
      <c r="N1870" s="861"/>
    </row>
    <row r="1871" spans="1:14" x14ac:dyDescent="0.3">
      <c r="B1871" s="15" t="s">
        <v>1216</v>
      </c>
      <c r="C1871" s="73" t="s">
        <v>941</v>
      </c>
      <c r="D1871" s="17">
        <v>0.1</v>
      </c>
      <c r="E1871" s="16">
        <f>'МЕДИЧНІ М'!E113</f>
        <v>8</v>
      </c>
      <c r="F1871" s="17">
        <f t="shared" si="64"/>
        <v>0.8</v>
      </c>
    </row>
    <row r="1872" spans="1:14" x14ac:dyDescent="0.3">
      <c r="B1872" s="15" t="s">
        <v>98</v>
      </c>
      <c r="C1872" s="73" t="s">
        <v>941</v>
      </c>
      <c r="D1872" s="17">
        <v>1</v>
      </c>
      <c r="E1872" s="16">
        <f>МАТЕРІАЛИ!E4</f>
        <v>0.3</v>
      </c>
      <c r="F1872" s="17">
        <f t="shared" si="64"/>
        <v>0.3</v>
      </c>
    </row>
    <row r="1873" spans="2:14" x14ac:dyDescent="0.3">
      <c r="B1873" s="15" t="s">
        <v>964</v>
      </c>
      <c r="C1873" s="73" t="s">
        <v>941</v>
      </c>
      <c r="D1873" s="17">
        <v>0.1</v>
      </c>
      <c r="E1873" s="16">
        <f>'МЕДИЧНІ М'!E119</f>
        <v>2.8</v>
      </c>
      <c r="F1873" s="17">
        <f t="shared" si="64"/>
        <v>0.28000000000000003</v>
      </c>
    </row>
    <row r="1874" spans="2:14" x14ac:dyDescent="0.3">
      <c r="B1874" s="27" t="s">
        <v>942</v>
      </c>
      <c r="C1874" s="28" t="s">
        <v>941</v>
      </c>
      <c r="D1874" s="29">
        <v>0.01</v>
      </c>
      <c r="E1874" s="29">
        <f>'МЕДИЧНІ М'!E120</f>
        <v>24.6</v>
      </c>
      <c r="F1874" s="30">
        <f t="shared" si="64"/>
        <v>0.25</v>
      </c>
    </row>
    <row r="1875" spans="2:14" x14ac:dyDescent="0.3">
      <c r="B1875" s="27" t="s">
        <v>1124</v>
      </c>
      <c r="C1875" s="28" t="s">
        <v>944</v>
      </c>
      <c r="D1875" s="29">
        <v>0.5</v>
      </c>
      <c r="E1875" s="29">
        <f>'МЕДИЧНІ М'!E114</f>
        <v>0.5</v>
      </c>
      <c r="F1875" s="30">
        <f t="shared" si="64"/>
        <v>0.25</v>
      </c>
    </row>
    <row r="1876" spans="2:14" x14ac:dyDescent="0.3">
      <c r="B1876" s="1019" t="s">
        <v>945</v>
      </c>
      <c r="C1876" s="1019"/>
      <c r="D1876" s="1019"/>
      <c r="E1876" s="1019"/>
      <c r="F1876" s="31">
        <f>SUM(F1869:F1875)</f>
        <v>3.1799999999999997</v>
      </c>
    </row>
    <row r="1878" spans="2:14" s="7" customFormat="1" ht="13.8" x14ac:dyDescent="0.25">
      <c r="B1878" s="12" t="s">
        <v>968</v>
      </c>
      <c r="C1878" s="227"/>
      <c r="D1878" s="12"/>
      <c r="E1878" s="11">
        <f>SUM(G1881:G1882)</f>
        <v>48.15</v>
      </c>
      <c r="F1878" s="12" t="s">
        <v>971</v>
      </c>
      <c r="J1878" s="130"/>
      <c r="K1878" s="868"/>
      <c r="L1878" s="65"/>
      <c r="M1878" s="65"/>
      <c r="N1878" s="65"/>
    </row>
    <row r="1879" spans="2:14" s="7" customFormat="1" ht="13.8" x14ac:dyDescent="0.25">
      <c r="B1879" s="22"/>
      <c r="C1879" s="36"/>
      <c r="D1879" s="22"/>
      <c r="E1879" s="23"/>
      <c r="F1879" s="22"/>
      <c r="J1879" s="130"/>
      <c r="K1879" s="868"/>
      <c r="L1879" s="65"/>
      <c r="M1879" s="65"/>
      <c r="N1879" s="65"/>
    </row>
    <row r="1880" spans="2:14" s="7" customFormat="1" ht="27.6" x14ac:dyDescent="0.25">
      <c r="B1880" s="14" t="s">
        <v>513</v>
      </c>
      <c r="C1880" s="14" t="s">
        <v>1108</v>
      </c>
      <c r="D1880" s="14" t="s">
        <v>516</v>
      </c>
      <c r="E1880" s="14" t="s">
        <v>970</v>
      </c>
      <c r="F1880" s="14" t="s">
        <v>930</v>
      </c>
      <c r="G1880" s="14" t="s">
        <v>961</v>
      </c>
      <c r="J1880" s="130"/>
      <c r="K1880" s="868"/>
      <c r="L1880" s="65"/>
      <c r="M1880" s="65"/>
      <c r="N1880" s="65"/>
    </row>
    <row r="1881" spans="2:14" s="7" customFormat="1" ht="13.8" x14ac:dyDescent="0.25">
      <c r="B1881" s="46" t="s">
        <v>1161</v>
      </c>
      <c r="C1881" s="78">
        <f>C1828</f>
        <v>0</v>
      </c>
      <c r="D1881" s="62">
        <f>H1858</f>
        <v>1932.7</v>
      </c>
      <c r="E1881" s="17">
        <f>ROUND((C1881/D1881)/60,2)</f>
        <v>0</v>
      </c>
      <c r="F1881" s="17">
        <f>D1862</f>
        <v>10</v>
      </c>
      <c r="G1881" s="16">
        <f>ROUND(E1881*F1881,2)</f>
        <v>0</v>
      </c>
      <c r="J1881" s="130"/>
      <c r="K1881" s="868"/>
      <c r="L1881" s="65"/>
      <c r="M1881" s="65"/>
      <c r="N1881" s="65"/>
    </row>
    <row r="1882" spans="2:14" s="7" customFormat="1" ht="13.8" x14ac:dyDescent="0.25">
      <c r="B1882" s="27" t="s">
        <v>1093</v>
      </c>
      <c r="C1882" s="78">
        <f>C1829</f>
        <v>290000</v>
      </c>
      <c r="D1882" s="62">
        <f>H1859</f>
        <v>1506</v>
      </c>
      <c r="E1882" s="17">
        <f>ROUND((C1882/D1882)/60,2)</f>
        <v>3.21</v>
      </c>
      <c r="F1882" s="17">
        <f>D1863</f>
        <v>15</v>
      </c>
      <c r="G1882" s="16">
        <f>ROUND(E1882*F1882,2)</f>
        <v>48.15</v>
      </c>
      <c r="H1882" s="38"/>
      <c r="J1882" s="130"/>
      <c r="K1882" s="868"/>
      <c r="L1882" s="65"/>
      <c r="M1882" s="65"/>
      <c r="N1882" s="65"/>
    </row>
    <row r="1884" spans="2:14" s="7" customFormat="1" ht="13.8" x14ac:dyDescent="0.25">
      <c r="B1884" s="12" t="s">
        <v>948</v>
      </c>
      <c r="C1884" s="227"/>
      <c r="D1884" s="12"/>
      <c r="E1884" s="11">
        <f>G1897</f>
        <v>3.45</v>
      </c>
      <c r="F1884" s="12" t="s">
        <v>971</v>
      </c>
      <c r="J1884" s="130"/>
      <c r="K1884" s="868"/>
      <c r="L1884" s="65"/>
      <c r="M1884" s="65"/>
      <c r="N1884" s="65"/>
    </row>
    <row r="1885" spans="2:14" s="7" customFormat="1" ht="13.8" x14ac:dyDescent="0.25">
      <c r="B1885" s="22"/>
      <c r="C1885" s="36"/>
      <c r="D1885" s="22"/>
      <c r="E1885" s="23"/>
      <c r="J1885" s="130"/>
      <c r="K1885" s="868"/>
      <c r="L1885" s="65"/>
      <c r="M1885" s="65"/>
      <c r="N1885" s="65"/>
    </row>
    <row r="1886" spans="2:14" s="7" customFormat="1" ht="27.6" x14ac:dyDescent="0.25">
      <c r="B1886" s="14" t="s">
        <v>948</v>
      </c>
      <c r="C1886" s="14" t="s">
        <v>1110</v>
      </c>
      <c r="D1886" s="14" t="s">
        <v>516</v>
      </c>
      <c r="E1886" s="14" t="s">
        <v>954</v>
      </c>
      <c r="F1886" s="14" t="s">
        <v>930</v>
      </c>
      <c r="G1886" s="14" t="s">
        <v>1111</v>
      </c>
      <c r="J1886" s="130"/>
      <c r="K1886" s="868"/>
      <c r="L1886" s="65"/>
      <c r="M1886" s="65"/>
      <c r="N1886" s="65"/>
    </row>
    <row r="1887" spans="2:14" s="7" customFormat="1" ht="13.8" x14ac:dyDescent="0.25">
      <c r="B1887" s="1009" t="str">
        <f>B1858</f>
        <v>Лікар-рентгенолог</v>
      </c>
      <c r="C1887" s="1010"/>
      <c r="D1887" s="1010"/>
      <c r="E1887" s="1010"/>
      <c r="F1887" s="1010"/>
      <c r="G1887" s="1011"/>
      <c r="J1887" s="130"/>
      <c r="K1887" s="868"/>
      <c r="L1887" s="65"/>
      <c r="M1887" s="65"/>
      <c r="N1887" s="65"/>
    </row>
    <row r="1888" spans="2:14" s="7" customFormat="1" ht="13.8" x14ac:dyDescent="0.25">
      <c r="B1888" s="17" t="s">
        <v>951</v>
      </c>
      <c r="C1888" s="221">
        <f>C1835</f>
        <v>12188.608008565312</v>
      </c>
      <c r="D1888" s="17">
        <f>H1858</f>
        <v>1932.7</v>
      </c>
      <c r="E1888" s="17">
        <f>ROUND((C1888/D1888)/60,2)</f>
        <v>0.11</v>
      </c>
      <c r="F1888" s="17">
        <f>D1862</f>
        <v>10</v>
      </c>
      <c r="G1888" s="16">
        <f>ROUND(E1888*F1888,2)</f>
        <v>1.1000000000000001</v>
      </c>
      <c r="J1888" s="130"/>
      <c r="K1888" s="868"/>
      <c r="L1888" s="65"/>
      <c r="M1888" s="65"/>
      <c r="N1888" s="65"/>
    </row>
    <row r="1889" spans="1:14" s="7" customFormat="1" ht="13.8" x14ac:dyDescent="0.25">
      <c r="B1889" s="17" t="s">
        <v>952</v>
      </c>
      <c r="C1889" s="221">
        <f>C1836</f>
        <v>53.149721627408987</v>
      </c>
      <c r="D1889" s="17">
        <f>H1858</f>
        <v>1932.7</v>
      </c>
      <c r="E1889" s="17">
        <f>ROUND((C1889/D1889)/60,2)</f>
        <v>0</v>
      </c>
      <c r="F1889" s="17">
        <f>D1862</f>
        <v>10</v>
      </c>
      <c r="G1889" s="16">
        <f>ROUND(E1889*F1889,2)</f>
        <v>0</v>
      </c>
      <c r="J1889" s="130"/>
      <c r="K1889" s="868"/>
      <c r="L1889" s="65"/>
      <c r="M1889" s="65"/>
      <c r="N1889" s="65"/>
    </row>
    <row r="1890" spans="1:14" s="7" customFormat="1" ht="13.8" x14ac:dyDescent="0.25">
      <c r="B1890" s="17" t="s">
        <v>953</v>
      </c>
      <c r="C1890" s="221">
        <f>C1837</f>
        <v>374.98368308351178</v>
      </c>
      <c r="D1890" s="17">
        <f>H1858</f>
        <v>1932.7</v>
      </c>
      <c r="E1890" s="17">
        <f>ROUND((C1890/D1890)/60,2)</f>
        <v>0</v>
      </c>
      <c r="F1890" s="17">
        <f>D1862</f>
        <v>10</v>
      </c>
      <c r="G1890" s="16">
        <f>ROUND(E1890*F1890,2)</f>
        <v>0</v>
      </c>
      <c r="J1890" s="130"/>
      <c r="K1890" s="868"/>
      <c r="L1890" s="65"/>
      <c r="M1890" s="65"/>
      <c r="N1890" s="65"/>
    </row>
    <row r="1891" spans="1:14" s="7" customFormat="1" ht="13.8" x14ac:dyDescent="0.25">
      <c r="B1891" s="17" t="s">
        <v>1109</v>
      </c>
      <c r="C1891" s="221">
        <f>C1838</f>
        <v>1686.0389293361886</v>
      </c>
      <c r="D1891" s="17">
        <f>H1858</f>
        <v>1932.7</v>
      </c>
      <c r="E1891" s="17">
        <f>ROUND((C1891/D1891)/60,2)</f>
        <v>0.01</v>
      </c>
      <c r="F1891" s="17">
        <f>D1862</f>
        <v>10</v>
      </c>
      <c r="G1891" s="16">
        <f>ROUND(E1891*F1891,2)</f>
        <v>0.1</v>
      </c>
      <c r="J1891" s="130"/>
      <c r="K1891" s="868"/>
      <c r="L1891" s="65"/>
      <c r="M1891" s="65"/>
      <c r="N1891" s="65"/>
    </row>
    <row r="1892" spans="1:14" s="7" customFormat="1" ht="13.8" x14ac:dyDescent="0.25">
      <c r="B1892" s="1009" t="str">
        <f>B1859</f>
        <v>Рентгенолаборант</v>
      </c>
      <c r="C1892" s="1010"/>
      <c r="D1892" s="1010"/>
      <c r="E1892" s="1010"/>
      <c r="F1892" s="1010"/>
      <c r="G1892" s="1011"/>
      <c r="J1892" s="130"/>
      <c r="K1892" s="868"/>
      <c r="L1892" s="65"/>
      <c r="M1892" s="65"/>
      <c r="N1892" s="65"/>
    </row>
    <row r="1893" spans="1:14" x14ac:dyDescent="0.3">
      <c r="B1893" s="17" t="s">
        <v>951</v>
      </c>
      <c r="C1893" s="221">
        <f>C1888</f>
        <v>12188.608008565312</v>
      </c>
      <c r="D1893" s="17">
        <f>H1859</f>
        <v>1506</v>
      </c>
      <c r="E1893" s="17">
        <f>ROUND((C1893/D1893)/60,2)</f>
        <v>0.13</v>
      </c>
      <c r="F1893" s="17">
        <f>D1863</f>
        <v>15</v>
      </c>
      <c r="G1893" s="16">
        <f>ROUND(E1893*F1893,2)</f>
        <v>1.95</v>
      </c>
    </row>
    <row r="1894" spans="1:14" x14ac:dyDescent="0.3">
      <c r="B1894" s="17" t="s">
        <v>952</v>
      </c>
      <c r="C1894" s="221">
        <f>C1889</f>
        <v>53.149721627408987</v>
      </c>
      <c r="D1894" s="17">
        <f>H1859</f>
        <v>1506</v>
      </c>
      <c r="E1894" s="17">
        <f>ROUND((C1894/D1894)/60,2)</f>
        <v>0</v>
      </c>
      <c r="F1894" s="17">
        <f>D1863</f>
        <v>15</v>
      </c>
      <c r="G1894" s="16">
        <f>ROUND(E1894*F1894,2)</f>
        <v>0</v>
      </c>
    </row>
    <row r="1895" spans="1:14" x14ac:dyDescent="0.3">
      <c r="B1895" s="17" t="s">
        <v>953</v>
      </c>
      <c r="C1895" s="221">
        <f>C1890</f>
        <v>374.98368308351178</v>
      </c>
      <c r="D1895" s="17">
        <f>H1859</f>
        <v>1506</v>
      </c>
      <c r="E1895" s="17">
        <f>ROUND((C1895/D1895)/60,2)</f>
        <v>0</v>
      </c>
      <c r="F1895" s="17">
        <f>D1863</f>
        <v>15</v>
      </c>
      <c r="G1895" s="16">
        <f>ROUND(E1895*F1895,2)</f>
        <v>0</v>
      </c>
    </row>
    <row r="1896" spans="1:14" x14ac:dyDescent="0.3">
      <c r="B1896" s="17" t="s">
        <v>1109</v>
      </c>
      <c r="C1896" s="221">
        <f>C1891</f>
        <v>1686.0389293361886</v>
      </c>
      <c r="D1896" s="17">
        <f>H1859</f>
        <v>1506</v>
      </c>
      <c r="E1896" s="17">
        <f>ROUND((C1896/D1896)/60,2)</f>
        <v>0.02</v>
      </c>
      <c r="F1896" s="17">
        <f>D1863</f>
        <v>15</v>
      </c>
      <c r="G1896" s="16">
        <f>ROUND(E1896*F1896,2)</f>
        <v>0.3</v>
      </c>
    </row>
    <row r="1897" spans="1:14" x14ac:dyDescent="0.3">
      <c r="B1897" s="1012" t="s">
        <v>957</v>
      </c>
      <c r="C1897" s="1013"/>
      <c r="D1897" s="1013"/>
      <c r="E1897" s="1013"/>
      <c r="F1897" s="1014"/>
      <c r="G1897" s="18">
        <f>SUM(G1888:G1896)</f>
        <v>3.45</v>
      </c>
    </row>
    <row r="1900" spans="1:14" x14ac:dyDescent="0.3">
      <c r="B1900" s="1015" t="s">
        <v>959</v>
      </c>
      <c r="C1900" s="1015"/>
      <c r="D1900" s="1015"/>
      <c r="E1900" s="1015"/>
      <c r="F1900" s="1015"/>
      <c r="G1900" s="32">
        <f>E1855+E1867+E1878+E1884</f>
        <v>86.56</v>
      </c>
    </row>
    <row r="1901" spans="1:14" x14ac:dyDescent="0.3">
      <c r="B1901" s="33"/>
      <c r="C1901" s="33"/>
      <c r="D1901" s="33"/>
      <c r="E1901" s="33"/>
      <c r="F1901" s="33"/>
      <c r="G1901" s="34"/>
    </row>
    <row r="1902" spans="1:14" s="54" customFormat="1" ht="19.8" x14ac:dyDescent="0.4">
      <c r="A1902" s="53"/>
      <c r="B1902" s="1051" t="s">
        <v>960</v>
      </c>
      <c r="C1902" s="1051"/>
      <c r="D1902" s="1051"/>
      <c r="E1902" s="1051"/>
      <c r="F1902" s="1051"/>
      <c r="G1902" s="32">
        <f>ROUND(G1900,0)</f>
        <v>87</v>
      </c>
      <c r="H1902" s="53"/>
      <c r="I1902" s="53"/>
      <c r="J1902" s="132"/>
      <c r="K1902" s="868"/>
      <c r="L1902" s="65"/>
      <c r="M1902" s="65"/>
      <c r="N1902" s="65"/>
    </row>
    <row r="1903" spans="1:14" s="54" customFormat="1" ht="19.8" x14ac:dyDescent="0.4">
      <c r="A1903" s="53"/>
      <c r="B1903" s="53"/>
      <c r="C1903" s="225"/>
      <c r="D1903" s="53"/>
      <c r="E1903" s="53"/>
      <c r="F1903" s="53"/>
      <c r="G1903" s="53"/>
      <c r="H1903" s="53"/>
      <c r="I1903" s="53"/>
      <c r="J1903" s="132"/>
      <c r="K1903" s="868"/>
      <c r="L1903" s="65"/>
      <c r="M1903" s="65"/>
      <c r="N1903" s="65"/>
    </row>
    <row r="1904" spans="1:14" s="54" customFormat="1" ht="19.8" x14ac:dyDescent="0.4">
      <c r="A1904" s="53"/>
      <c r="B1904" s="53"/>
      <c r="C1904" s="225"/>
      <c r="D1904" s="53"/>
      <c r="E1904" s="53"/>
      <c r="F1904" s="53"/>
      <c r="G1904" s="53"/>
      <c r="H1904" s="53"/>
      <c r="I1904" s="53"/>
      <c r="J1904" s="132"/>
      <c r="K1904" s="868"/>
      <c r="L1904" s="65"/>
      <c r="M1904" s="65"/>
      <c r="N1904" s="65"/>
    </row>
    <row r="1905" spans="1:14" s="54" customFormat="1" ht="18.75" customHeight="1" x14ac:dyDescent="0.4">
      <c r="A1905" s="50" t="s">
        <v>279</v>
      </c>
      <c r="B1905" s="1032" t="s">
        <v>697</v>
      </c>
      <c r="C1905" s="1032"/>
      <c r="D1905" s="1032"/>
      <c r="E1905" s="52">
        <f>G1954</f>
        <v>114</v>
      </c>
      <c r="F1905" s="52" t="s">
        <v>971</v>
      </c>
      <c r="G1905" s="53"/>
      <c r="H1905" s="124"/>
      <c r="I1905" s="125" t="s">
        <v>1023</v>
      </c>
      <c r="J1905" s="132"/>
      <c r="K1905" s="868"/>
      <c r="L1905" s="65"/>
      <c r="M1905" s="65"/>
      <c r="N1905" s="65"/>
    </row>
    <row r="1906" spans="1:14" ht="18.600000000000001" x14ac:dyDescent="0.3">
      <c r="I1906" s="125" t="s">
        <v>280</v>
      </c>
    </row>
    <row r="1907" spans="1:14" x14ac:dyDescent="0.3">
      <c r="B1907" s="1018" t="s">
        <v>932</v>
      </c>
      <c r="C1907" s="1018"/>
      <c r="D1907" s="10"/>
      <c r="E1907" s="11">
        <f>E1914+E1917+E1915</f>
        <v>31.78</v>
      </c>
      <c r="F1907" s="12" t="s">
        <v>971</v>
      </c>
    </row>
    <row r="1909" spans="1:14" ht="27.6" x14ac:dyDescent="0.3">
      <c r="B1909" s="13" t="s">
        <v>929</v>
      </c>
      <c r="C1909" s="14" t="s">
        <v>928</v>
      </c>
      <c r="D1909" s="14" t="s">
        <v>514</v>
      </c>
      <c r="E1909" s="14" t="s">
        <v>515</v>
      </c>
      <c r="F1909" s="14" t="s">
        <v>962</v>
      </c>
      <c r="G1909" s="14" t="s">
        <v>926</v>
      </c>
      <c r="H1909" s="14" t="s">
        <v>516</v>
      </c>
      <c r="I1909" s="14" t="s">
        <v>961</v>
      </c>
    </row>
    <row r="1910" spans="1:14" x14ac:dyDescent="0.3">
      <c r="B1910" s="16" t="str">
        <f>B1858</f>
        <v>Лікар-рентгенолог</v>
      </c>
      <c r="C1910" s="78">
        <f>C1858</f>
        <v>8463.5400000000009</v>
      </c>
      <c r="D1910" s="16">
        <f>C1910*12</f>
        <v>101562.48000000001</v>
      </c>
      <c r="E1910" s="16">
        <f>E1858</f>
        <v>7052.95</v>
      </c>
      <c r="F1910" s="16">
        <f>F1858</f>
        <v>3526.4749999999999</v>
      </c>
      <c r="G1910" s="16">
        <f>D1910+E1910+F1910</f>
        <v>112141.90500000001</v>
      </c>
      <c r="H1910" s="17">
        <v>1932.7</v>
      </c>
      <c r="I1910" s="16">
        <f>ROUND((G1910/H1910)/60,2)</f>
        <v>0.97</v>
      </c>
    </row>
    <row r="1911" spans="1:14" x14ac:dyDescent="0.3">
      <c r="B1911" s="16" t="str">
        <f>B1859</f>
        <v>Рентгенолаборант</v>
      </c>
      <c r="C1911" s="78">
        <f>C1859</f>
        <v>7482.48</v>
      </c>
      <c r="D1911" s="24">
        <f>C1911*12</f>
        <v>89789.759999999995</v>
      </c>
      <c r="E1911" s="16">
        <f>E1859</f>
        <v>5755.75</v>
      </c>
      <c r="F1911" s="16">
        <f>F1859</f>
        <v>2877.875</v>
      </c>
      <c r="G1911" s="16">
        <f>D1911+E1911+F1911</f>
        <v>98423.384999999995</v>
      </c>
      <c r="H1911" s="62">
        <v>1506</v>
      </c>
      <c r="I1911" s="16">
        <f>ROUND((G1911/H1911)/60,2)</f>
        <v>1.0900000000000001</v>
      </c>
    </row>
    <row r="1913" spans="1:14" ht="27.6" x14ac:dyDescent="0.3">
      <c r="B1913" s="13" t="s">
        <v>929</v>
      </c>
      <c r="C1913" s="14" t="s">
        <v>961</v>
      </c>
      <c r="D1913" s="14" t="s">
        <v>930</v>
      </c>
      <c r="E1913" s="14" t="s">
        <v>931</v>
      </c>
    </row>
    <row r="1914" spans="1:14" x14ac:dyDescent="0.3">
      <c r="B1914" s="15" t="str">
        <f>B1910</f>
        <v>Лікар-рентгенолог</v>
      </c>
      <c r="C1914" s="78">
        <f>I1910</f>
        <v>0.97</v>
      </c>
      <c r="D1914" s="17">
        <v>10</v>
      </c>
      <c r="E1914" s="18">
        <f>ROUND(C1914*D1914,2)</f>
        <v>9.6999999999999993</v>
      </c>
    </row>
    <row r="1915" spans="1:14" x14ac:dyDescent="0.3">
      <c r="B1915" s="15" t="str">
        <f>B1911</f>
        <v>Рентгенолаборант</v>
      </c>
      <c r="C1915" s="78">
        <f>I1911</f>
        <v>1.0900000000000001</v>
      </c>
      <c r="D1915" s="17">
        <v>15</v>
      </c>
      <c r="E1915" s="18">
        <f>ROUND(C1915*D1915,2)</f>
        <v>16.350000000000001</v>
      </c>
    </row>
    <row r="1916" spans="1:14" x14ac:dyDescent="0.3">
      <c r="C1916" s="19"/>
    </row>
    <row r="1917" spans="1:14" x14ac:dyDescent="0.3">
      <c r="B1917" s="17" t="s">
        <v>933</v>
      </c>
      <c r="C1917" s="78">
        <f>E1914+E1915</f>
        <v>26.05</v>
      </c>
      <c r="D1917" s="20">
        <v>0.22</v>
      </c>
      <c r="E1917" s="21">
        <f>ROUND(C1917*D1917,2)</f>
        <v>5.73</v>
      </c>
    </row>
    <row r="1918" spans="1:14" ht="9" customHeight="1" x14ac:dyDescent="0.3"/>
    <row r="1919" spans="1:14" x14ac:dyDescent="0.3">
      <c r="B1919" s="12" t="s">
        <v>946</v>
      </c>
      <c r="C1919" s="227"/>
      <c r="D1919" s="12"/>
      <c r="E1919" s="11">
        <f>F1928</f>
        <v>31.1</v>
      </c>
      <c r="F1919" s="12" t="s">
        <v>971</v>
      </c>
    </row>
    <row r="1920" spans="1:14" ht="6.75" customHeight="1" x14ac:dyDescent="0.3"/>
    <row r="1921" spans="1:14" x14ac:dyDescent="0.3">
      <c r="B1921" s="27" t="s">
        <v>936</v>
      </c>
      <c r="C1921" s="28" t="s">
        <v>937</v>
      </c>
      <c r="D1921" s="29">
        <v>1</v>
      </c>
      <c r="E1921" s="30">
        <f>'МЕДИЧНІ М'!F115</f>
        <v>0.3</v>
      </c>
      <c r="F1921" s="30">
        <f>ROUND(D1921*E1921,2)</f>
        <v>0.3</v>
      </c>
    </row>
    <row r="1922" spans="1:14" s="184" customFormat="1" x14ac:dyDescent="0.3">
      <c r="A1922" s="180"/>
      <c r="B1922" s="185" t="s">
        <v>1021</v>
      </c>
      <c r="C1922" s="186" t="s">
        <v>941</v>
      </c>
      <c r="D1922" s="164">
        <v>0.5</v>
      </c>
      <c r="E1922" s="164">
        <f>'МЕДИЧНІ М'!E181</f>
        <v>2</v>
      </c>
      <c r="F1922" s="164">
        <f t="shared" ref="F1922:F1927" si="65">ROUND(D1922*E1922,2)</f>
        <v>1</v>
      </c>
      <c r="G1922" s="180"/>
      <c r="H1922" s="180"/>
      <c r="I1922" s="180"/>
      <c r="J1922" s="187"/>
      <c r="K1922" s="866"/>
      <c r="L1922" s="861"/>
      <c r="M1922" s="861"/>
      <c r="N1922" s="861"/>
    </row>
    <row r="1923" spans="1:14" x14ac:dyDescent="0.3">
      <c r="B1923" s="15" t="s">
        <v>1216</v>
      </c>
      <c r="C1923" s="73" t="s">
        <v>941</v>
      </c>
      <c r="D1923" s="17">
        <v>0.1</v>
      </c>
      <c r="E1923" s="16">
        <f>'МЕДИЧНІ М'!E113</f>
        <v>8</v>
      </c>
      <c r="F1923" s="17">
        <f t="shared" si="65"/>
        <v>0.8</v>
      </c>
    </row>
    <row r="1924" spans="1:14" x14ac:dyDescent="0.3">
      <c r="B1924" s="15" t="str">
        <f>'МЕДИЧНІ М'!B326</f>
        <v>Суха медична плівка 20*25*100</v>
      </c>
      <c r="C1924" s="73" t="s">
        <v>941</v>
      </c>
      <c r="D1924" s="17">
        <v>1</v>
      </c>
      <c r="E1924" s="16">
        <f>'МЕДИЧНІ М'!F326</f>
        <v>28.224299999999999</v>
      </c>
      <c r="F1924" s="17">
        <f t="shared" si="65"/>
        <v>28.22</v>
      </c>
    </row>
    <row r="1925" spans="1:14" s="7" customFormat="1" ht="13.8" x14ac:dyDescent="0.25">
      <c r="B1925" s="15" t="s">
        <v>964</v>
      </c>
      <c r="C1925" s="73" t="s">
        <v>941</v>
      </c>
      <c r="D1925" s="17">
        <v>0.1</v>
      </c>
      <c r="E1925" s="16">
        <f>'МЕДИЧНІ М'!E119</f>
        <v>2.8</v>
      </c>
      <c r="F1925" s="17">
        <f t="shared" si="65"/>
        <v>0.28000000000000003</v>
      </c>
      <c r="J1925" s="130"/>
      <c r="K1925" s="868"/>
      <c r="L1925" s="65"/>
      <c r="M1925" s="65"/>
      <c r="N1925" s="65"/>
    </row>
    <row r="1926" spans="1:14" s="7" customFormat="1" ht="13.8" x14ac:dyDescent="0.25">
      <c r="B1926" s="27" t="s">
        <v>942</v>
      </c>
      <c r="C1926" s="28" t="s">
        <v>941</v>
      </c>
      <c r="D1926" s="29">
        <v>0.01</v>
      </c>
      <c r="E1926" s="29">
        <f>'МЕДИЧНІ М'!E120</f>
        <v>24.6</v>
      </c>
      <c r="F1926" s="30">
        <f t="shared" si="65"/>
        <v>0.25</v>
      </c>
      <c r="J1926" s="130"/>
      <c r="K1926" s="868"/>
      <c r="L1926" s="65"/>
      <c r="M1926" s="65"/>
      <c r="N1926" s="65"/>
    </row>
    <row r="1927" spans="1:14" s="7" customFormat="1" ht="13.8" x14ac:dyDescent="0.25">
      <c r="B1927" s="27" t="s">
        <v>1124</v>
      </c>
      <c r="C1927" s="28" t="s">
        <v>944</v>
      </c>
      <c r="D1927" s="29">
        <v>0.5</v>
      </c>
      <c r="E1927" s="29">
        <f>'МЕДИЧНІ М'!E114</f>
        <v>0.5</v>
      </c>
      <c r="F1927" s="30">
        <f t="shared" si="65"/>
        <v>0.25</v>
      </c>
      <c r="J1927" s="130"/>
      <c r="K1927" s="868"/>
      <c r="L1927" s="65"/>
      <c r="M1927" s="65"/>
      <c r="N1927" s="65"/>
    </row>
    <row r="1928" spans="1:14" s="7" customFormat="1" ht="13.8" x14ac:dyDescent="0.25">
      <c r="B1928" s="1019" t="s">
        <v>945</v>
      </c>
      <c r="C1928" s="1019"/>
      <c r="D1928" s="1019"/>
      <c r="E1928" s="1019"/>
      <c r="F1928" s="89">
        <f>SUM(F1921:F1927)</f>
        <v>31.1</v>
      </c>
      <c r="J1928" s="130"/>
      <c r="K1928" s="868"/>
      <c r="L1928" s="65"/>
      <c r="M1928" s="65"/>
      <c r="N1928" s="65"/>
    </row>
    <row r="1929" spans="1:14" s="7" customFormat="1" ht="7.5" customHeight="1" x14ac:dyDescent="0.25">
      <c r="C1929" s="74"/>
      <c r="J1929" s="130"/>
      <c r="K1929" s="868"/>
      <c r="L1929" s="65"/>
      <c r="M1929" s="65"/>
      <c r="N1929" s="65"/>
    </row>
    <row r="1930" spans="1:14" s="7" customFormat="1" ht="13.8" x14ac:dyDescent="0.25">
      <c r="B1930" s="12" t="s">
        <v>968</v>
      </c>
      <c r="C1930" s="227"/>
      <c r="D1930" s="12"/>
      <c r="E1930" s="11">
        <f>SUM(G1933:G1934)</f>
        <v>48.15</v>
      </c>
      <c r="F1930" s="12" t="s">
        <v>971</v>
      </c>
      <c r="J1930" s="130"/>
      <c r="K1930" s="868"/>
      <c r="L1930" s="65"/>
      <c r="M1930" s="65"/>
      <c r="N1930" s="65"/>
    </row>
    <row r="1931" spans="1:14" s="7" customFormat="1" ht="7.5" customHeight="1" x14ac:dyDescent="0.25">
      <c r="B1931" s="22"/>
      <c r="C1931" s="36"/>
      <c r="D1931" s="22"/>
      <c r="E1931" s="23"/>
      <c r="F1931" s="22"/>
      <c r="J1931" s="130"/>
      <c r="K1931" s="868"/>
      <c r="L1931" s="65"/>
      <c r="M1931" s="65"/>
      <c r="N1931" s="65"/>
    </row>
    <row r="1932" spans="1:14" s="7" customFormat="1" ht="27.6" x14ac:dyDescent="0.25">
      <c r="B1932" s="14" t="s">
        <v>513</v>
      </c>
      <c r="C1932" s="14" t="s">
        <v>1108</v>
      </c>
      <c r="D1932" s="14" t="s">
        <v>516</v>
      </c>
      <c r="E1932" s="14" t="s">
        <v>970</v>
      </c>
      <c r="F1932" s="14" t="s">
        <v>930</v>
      </c>
      <c r="G1932" s="14" t="s">
        <v>961</v>
      </c>
      <c r="J1932" s="130"/>
      <c r="K1932" s="868"/>
      <c r="L1932" s="65"/>
      <c r="M1932" s="65"/>
      <c r="N1932" s="65"/>
    </row>
    <row r="1933" spans="1:14" s="7" customFormat="1" ht="13.8" x14ac:dyDescent="0.25">
      <c r="B1933" s="46" t="s">
        <v>1161</v>
      </c>
      <c r="C1933" s="78">
        <f>C1881</f>
        <v>0</v>
      </c>
      <c r="D1933" s="62">
        <f>H1910</f>
        <v>1932.7</v>
      </c>
      <c r="E1933" s="17">
        <f>ROUND((C1933/D1933)/60,2)</f>
        <v>0</v>
      </c>
      <c r="F1933" s="17">
        <f>D1914</f>
        <v>10</v>
      </c>
      <c r="G1933" s="16">
        <f>ROUND(E1933*F1933,2)</f>
        <v>0</v>
      </c>
      <c r="J1933" s="130"/>
      <c r="K1933" s="868"/>
      <c r="L1933" s="65"/>
      <c r="M1933" s="65"/>
      <c r="N1933" s="65"/>
    </row>
    <row r="1934" spans="1:14" s="7" customFormat="1" ht="13.8" x14ac:dyDescent="0.25">
      <c r="B1934" s="27" t="s">
        <v>1093</v>
      </c>
      <c r="C1934" s="78">
        <f>C1882</f>
        <v>290000</v>
      </c>
      <c r="D1934" s="62">
        <f>H1911</f>
        <v>1506</v>
      </c>
      <c r="E1934" s="17">
        <f>ROUND((C1934/D1934)/60,2)</f>
        <v>3.21</v>
      </c>
      <c r="F1934" s="17">
        <f>D1915</f>
        <v>15</v>
      </c>
      <c r="G1934" s="16">
        <f>ROUND(E1934*F1934,2)</f>
        <v>48.15</v>
      </c>
      <c r="H1934" s="38"/>
      <c r="J1934" s="130"/>
      <c r="K1934" s="868"/>
      <c r="L1934" s="65"/>
      <c r="M1934" s="65"/>
      <c r="N1934" s="65"/>
    </row>
    <row r="1936" spans="1:14" s="7" customFormat="1" ht="13.8" x14ac:dyDescent="0.25">
      <c r="B1936" s="12" t="s">
        <v>948</v>
      </c>
      <c r="C1936" s="227"/>
      <c r="D1936" s="12"/>
      <c r="E1936" s="11">
        <f>G1949</f>
        <v>3.45</v>
      </c>
      <c r="F1936" s="12" t="s">
        <v>971</v>
      </c>
      <c r="J1936" s="130"/>
      <c r="K1936" s="868"/>
      <c r="L1936" s="65"/>
      <c r="M1936" s="65"/>
      <c r="N1936" s="65"/>
    </row>
    <row r="1937" spans="2:14" s="7" customFormat="1" ht="6.75" customHeight="1" x14ac:dyDescent="0.25">
      <c r="B1937" s="22"/>
      <c r="C1937" s="36"/>
      <c r="D1937" s="22"/>
      <c r="E1937" s="23"/>
      <c r="J1937" s="130"/>
      <c r="K1937" s="868"/>
      <c r="L1937" s="65"/>
      <c r="M1937" s="65"/>
      <c r="N1937" s="65"/>
    </row>
    <row r="1938" spans="2:14" s="7" customFormat="1" ht="27.6" x14ac:dyDescent="0.25">
      <c r="B1938" s="14" t="s">
        <v>948</v>
      </c>
      <c r="C1938" s="14" t="s">
        <v>1110</v>
      </c>
      <c r="D1938" s="14" t="s">
        <v>516</v>
      </c>
      <c r="E1938" s="14" t="s">
        <v>954</v>
      </c>
      <c r="F1938" s="14" t="s">
        <v>930</v>
      </c>
      <c r="G1938" s="14" t="s">
        <v>1111</v>
      </c>
      <c r="J1938" s="130"/>
      <c r="K1938" s="868"/>
      <c r="L1938" s="65"/>
      <c r="M1938" s="65"/>
      <c r="N1938" s="65"/>
    </row>
    <row r="1939" spans="2:14" x14ac:dyDescent="0.3">
      <c r="B1939" s="1009" t="str">
        <f>B1910</f>
        <v>Лікар-рентгенолог</v>
      </c>
      <c r="C1939" s="1010"/>
      <c r="D1939" s="1010"/>
      <c r="E1939" s="1010"/>
      <c r="F1939" s="1010"/>
      <c r="G1939" s="1011"/>
    </row>
    <row r="1940" spans="2:14" x14ac:dyDescent="0.3">
      <c r="B1940" s="17" t="s">
        <v>951</v>
      </c>
      <c r="C1940" s="221">
        <f>C1888</f>
        <v>12188.608008565312</v>
      </c>
      <c r="D1940" s="17">
        <f>H1910</f>
        <v>1932.7</v>
      </c>
      <c r="E1940" s="17">
        <f>ROUND((C1940/D1940)/60,2)</f>
        <v>0.11</v>
      </c>
      <c r="F1940" s="17">
        <f>D1914</f>
        <v>10</v>
      </c>
      <c r="G1940" s="16">
        <f>ROUND(E1940*F1940,2)</f>
        <v>1.1000000000000001</v>
      </c>
    </row>
    <row r="1941" spans="2:14" x14ac:dyDescent="0.3">
      <c r="B1941" s="17" t="s">
        <v>952</v>
      </c>
      <c r="C1941" s="221">
        <f>C1889</f>
        <v>53.149721627408987</v>
      </c>
      <c r="D1941" s="17">
        <f>H1910</f>
        <v>1932.7</v>
      </c>
      <c r="E1941" s="17">
        <f>ROUND((C1941/D1941)/60,2)</f>
        <v>0</v>
      </c>
      <c r="F1941" s="17">
        <f>D1914</f>
        <v>10</v>
      </c>
      <c r="G1941" s="16">
        <f>ROUND(E1941*F1941,2)</f>
        <v>0</v>
      </c>
    </row>
    <row r="1942" spans="2:14" x14ac:dyDescent="0.3">
      <c r="B1942" s="17" t="s">
        <v>953</v>
      </c>
      <c r="C1942" s="221">
        <f>C1890</f>
        <v>374.98368308351178</v>
      </c>
      <c r="D1942" s="17">
        <f>H1910</f>
        <v>1932.7</v>
      </c>
      <c r="E1942" s="17">
        <f>ROUND((C1942/D1942)/60,2)</f>
        <v>0</v>
      </c>
      <c r="F1942" s="17">
        <f>D1914</f>
        <v>10</v>
      </c>
      <c r="G1942" s="16">
        <f>ROUND(E1942*F1942,2)</f>
        <v>0</v>
      </c>
    </row>
    <row r="1943" spans="2:14" x14ac:dyDescent="0.3">
      <c r="B1943" s="17" t="s">
        <v>1109</v>
      </c>
      <c r="C1943" s="221">
        <f>C1891</f>
        <v>1686.0389293361886</v>
      </c>
      <c r="D1943" s="17">
        <f>H1910</f>
        <v>1932.7</v>
      </c>
      <c r="E1943" s="17">
        <f>ROUND((C1943/D1943)/60,2)</f>
        <v>0.01</v>
      </c>
      <c r="F1943" s="17">
        <f>D1914</f>
        <v>10</v>
      </c>
      <c r="G1943" s="16">
        <f>ROUND(E1943*F1943,2)</f>
        <v>0.1</v>
      </c>
    </row>
    <row r="1944" spans="2:14" x14ac:dyDescent="0.3">
      <c r="B1944" s="1009" t="str">
        <f>B1911</f>
        <v>Рентгенолаборант</v>
      </c>
      <c r="C1944" s="1010"/>
      <c r="D1944" s="1010"/>
      <c r="E1944" s="1010"/>
      <c r="F1944" s="1010"/>
      <c r="G1944" s="1011"/>
    </row>
    <row r="1945" spans="2:14" x14ac:dyDescent="0.3">
      <c r="B1945" s="17" t="s">
        <v>951</v>
      </c>
      <c r="C1945" s="221">
        <f>C1940</f>
        <v>12188.608008565312</v>
      </c>
      <c r="D1945" s="17">
        <f>H1911</f>
        <v>1506</v>
      </c>
      <c r="E1945" s="17">
        <f>ROUND((C1945/D1945)/60,2)</f>
        <v>0.13</v>
      </c>
      <c r="F1945" s="17">
        <f>D1915</f>
        <v>15</v>
      </c>
      <c r="G1945" s="16">
        <f>ROUND(E1945*F1945,2)</f>
        <v>1.95</v>
      </c>
    </row>
    <row r="1946" spans="2:14" x14ac:dyDescent="0.3">
      <c r="B1946" s="17" t="s">
        <v>952</v>
      </c>
      <c r="C1946" s="221">
        <f>C1941</f>
        <v>53.149721627408987</v>
      </c>
      <c r="D1946" s="17">
        <f>H1911</f>
        <v>1506</v>
      </c>
      <c r="E1946" s="17">
        <f>ROUND((C1946/D1946)/60,2)</f>
        <v>0</v>
      </c>
      <c r="F1946" s="17">
        <f>D1915</f>
        <v>15</v>
      </c>
      <c r="G1946" s="16">
        <f>ROUND(E1946*F1946,2)</f>
        <v>0</v>
      </c>
    </row>
    <row r="1947" spans="2:14" x14ac:dyDescent="0.3">
      <c r="B1947" s="17" t="s">
        <v>953</v>
      </c>
      <c r="C1947" s="221">
        <f>C1942</f>
        <v>374.98368308351178</v>
      </c>
      <c r="D1947" s="17">
        <f>H1911</f>
        <v>1506</v>
      </c>
      <c r="E1947" s="17">
        <f>ROUND((C1947/D1947)/60,2)</f>
        <v>0</v>
      </c>
      <c r="F1947" s="17">
        <f>D1915</f>
        <v>15</v>
      </c>
      <c r="G1947" s="16">
        <f>ROUND(E1947*F1947,2)</f>
        <v>0</v>
      </c>
    </row>
    <row r="1948" spans="2:14" x14ac:dyDescent="0.3">
      <c r="B1948" s="17" t="s">
        <v>1109</v>
      </c>
      <c r="C1948" s="221">
        <f>C1943</f>
        <v>1686.0389293361886</v>
      </c>
      <c r="D1948" s="17">
        <f>H1911</f>
        <v>1506</v>
      </c>
      <c r="E1948" s="17">
        <f>ROUND((C1948/D1948)/60,2)</f>
        <v>0.02</v>
      </c>
      <c r="F1948" s="17">
        <f>D1915</f>
        <v>15</v>
      </c>
      <c r="G1948" s="16">
        <f>ROUND(E1948*F1948,2)</f>
        <v>0.3</v>
      </c>
    </row>
    <row r="1949" spans="2:14" x14ac:dyDescent="0.3">
      <c r="B1949" s="1012" t="s">
        <v>957</v>
      </c>
      <c r="C1949" s="1013"/>
      <c r="D1949" s="1013"/>
      <c r="E1949" s="1013"/>
      <c r="F1949" s="1014"/>
      <c r="G1949" s="18">
        <f>SUM(G1940:G1948)</f>
        <v>3.45</v>
      </c>
    </row>
    <row r="1950" spans="2:14" ht="12" customHeight="1" x14ac:dyDescent="0.3"/>
    <row r="1952" spans="2:14" x14ac:dyDescent="0.3">
      <c r="B1952" s="1015" t="s">
        <v>959</v>
      </c>
      <c r="C1952" s="1015"/>
      <c r="D1952" s="1015"/>
      <c r="E1952" s="1015"/>
      <c r="F1952" s="1015"/>
      <c r="G1952" s="32">
        <f>E1907+E1919+E1930+E1936</f>
        <v>114.48</v>
      </c>
    </row>
    <row r="1953" spans="1:14" x14ac:dyDescent="0.3">
      <c r="B1953" s="33"/>
      <c r="C1953" s="33"/>
      <c r="D1953" s="33"/>
      <c r="E1953" s="33"/>
      <c r="F1953" s="33"/>
      <c r="G1953" s="34"/>
    </row>
    <row r="1954" spans="1:14" s="54" customFormat="1" ht="19.8" x14ac:dyDescent="0.4">
      <c r="A1954" s="53"/>
      <c r="B1954" s="1051" t="s">
        <v>960</v>
      </c>
      <c r="C1954" s="1051"/>
      <c r="D1954" s="1051"/>
      <c r="E1954" s="1051"/>
      <c r="F1954" s="1051"/>
      <c r="G1954" s="32">
        <f>ROUND(G1952,0)</f>
        <v>114</v>
      </c>
      <c r="H1954" s="53"/>
      <c r="I1954" s="53"/>
      <c r="J1954" s="132"/>
      <c r="K1954" s="868"/>
      <c r="L1954" s="65"/>
      <c r="M1954" s="65"/>
      <c r="N1954" s="65"/>
    </row>
    <row r="1955" spans="1:14" s="54" customFormat="1" ht="19.8" x14ac:dyDescent="0.4">
      <c r="A1955" s="53"/>
      <c r="B1955" s="53"/>
      <c r="C1955" s="225"/>
      <c r="D1955" s="53"/>
      <c r="E1955" s="53"/>
      <c r="F1955" s="53"/>
      <c r="G1955" s="53"/>
      <c r="H1955" s="53"/>
      <c r="I1955" s="53"/>
      <c r="J1955" s="132"/>
      <c r="K1955" s="868"/>
      <c r="L1955" s="65"/>
      <c r="M1955" s="65"/>
      <c r="N1955" s="65"/>
    </row>
    <row r="1956" spans="1:14" s="54" customFormat="1" ht="19.8" x14ac:dyDescent="0.4">
      <c r="A1956" s="50" t="s">
        <v>281</v>
      </c>
      <c r="B1956" s="1032" t="s">
        <v>697</v>
      </c>
      <c r="C1956" s="1032"/>
      <c r="D1956" s="1032"/>
      <c r="E1956" s="52">
        <f>G2004</f>
        <v>86</v>
      </c>
      <c r="F1956" s="52" t="s">
        <v>971</v>
      </c>
      <c r="G1956" s="53"/>
      <c r="H1956" s="124"/>
      <c r="I1956" s="125" t="s">
        <v>1128</v>
      </c>
      <c r="J1956" s="132"/>
      <c r="K1956" s="868"/>
      <c r="L1956" s="65"/>
      <c r="M1956" s="65"/>
      <c r="N1956" s="65"/>
    </row>
    <row r="1958" spans="1:14" x14ac:dyDescent="0.3">
      <c r="B1958" s="1018" t="s">
        <v>932</v>
      </c>
      <c r="C1958" s="1018"/>
      <c r="D1958" s="10"/>
      <c r="E1958" s="11">
        <f>E1965+E1968+E1966</f>
        <v>31.78</v>
      </c>
      <c r="F1958" s="12" t="s">
        <v>971</v>
      </c>
    </row>
    <row r="1960" spans="1:14" ht="27.6" x14ac:dyDescent="0.3">
      <c r="B1960" s="13" t="s">
        <v>929</v>
      </c>
      <c r="C1960" s="14" t="s">
        <v>928</v>
      </c>
      <c r="D1960" s="14" t="s">
        <v>514</v>
      </c>
      <c r="E1960" s="14" t="s">
        <v>515</v>
      </c>
      <c r="F1960" s="14" t="s">
        <v>962</v>
      </c>
      <c r="G1960" s="14" t="s">
        <v>926</v>
      </c>
      <c r="H1960" s="14" t="s">
        <v>516</v>
      </c>
      <c r="I1960" s="14" t="s">
        <v>961</v>
      </c>
    </row>
    <row r="1961" spans="1:14" x14ac:dyDescent="0.3">
      <c r="B1961" s="16" t="str">
        <f>B1910</f>
        <v>Лікар-рентгенолог</v>
      </c>
      <c r="C1961" s="78">
        <f>C1910</f>
        <v>8463.5400000000009</v>
      </c>
      <c r="D1961" s="16">
        <f>C1961*12</f>
        <v>101562.48000000001</v>
      </c>
      <c r="E1961" s="16">
        <f>E1910</f>
        <v>7052.95</v>
      </c>
      <c r="F1961" s="16">
        <f>F1910</f>
        <v>3526.4749999999999</v>
      </c>
      <c r="G1961" s="16">
        <f>D1961+E1961+F1961</f>
        <v>112141.90500000001</v>
      </c>
      <c r="H1961" s="17">
        <v>1932.7</v>
      </c>
      <c r="I1961" s="16">
        <f>ROUND((G1961/H1961)/60,2)</f>
        <v>0.97</v>
      </c>
    </row>
    <row r="1962" spans="1:14" x14ac:dyDescent="0.3">
      <c r="B1962" s="16" t="str">
        <f>B1911</f>
        <v>Рентгенолаборант</v>
      </c>
      <c r="C1962" s="78">
        <f>C1911</f>
        <v>7482.48</v>
      </c>
      <c r="D1962" s="24">
        <f>C1962*12</f>
        <v>89789.759999999995</v>
      </c>
      <c r="E1962" s="16">
        <f>E1911</f>
        <v>5755.75</v>
      </c>
      <c r="F1962" s="16">
        <f>F1911</f>
        <v>2877.875</v>
      </c>
      <c r="G1962" s="16">
        <f>D1962+E1962+F1962</f>
        <v>98423.384999999995</v>
      </c>
      <c r="H1962" s="62">
        <v>1506</v>
      </c>
      <c r="I1962" s="16">
        <f>ROUND((G1962/H1962)/60,2)</f>
        <v>1.0900000000000001</v>
      </c>
    </row>
    <row r="1964" spans="1:14" ht="27.6" x14ac:dyDescent="0.3">
      <c r="B1964" s="13" t="s">
        <v>929</v>
      </c>
      <c r="C1964" s="14" t="s">
        <v>961</v>
      </c>
      <c r="D1964" s="14" t="s">
        <v>930</v>
      </c>
      <c r="E1964" s="14" t="s">
        <v>931</v>
      </c>
    </row>
    <row r="1965" spans="1:14" x14ac:dyDescent="0.3">
      <c r="B1965" s="15" t="str">
        <f>B1961</f>
        <v>Лікар-рентгенолог</v>
      </c>
      <c r="C1965" s="78">
        <f>I1961</f>
        <v>0.97</v>
      </c>
      <c r="D1965" s="17">
        <v>10</v>
      </c>
      <c r="E1965" s="18">
        <f>ROUND(C1965*D1965,2)</f>
        <v>9.6999999999999993</v>
      </c>
    </row>
    <row r="1966" spans="1:14" x14ac:dyDescent="0.3">
      <c r="B1966" s="15" t="str">
        <f>B1962</f>
        <v>Рентгенолаборант</v>
      </c>
      <c r="C1966" s="78">
        <f>I1962</f>
        <v>1.0900000000000001</v>
      </c>
      <c r="D1966" s="17">
        <v>15</v>
      </c>
      <c r="E1966" s="18">
        <f>ROUND(C1966*D1966,2)</f>
        <v>16.350000000000001</v>
      </c>
    </row>
    <row r="1967" spans="1:14" x14ac:dyDescent="0.3">
      <c r="C1967" s="19"/>
    </row>
    <row r="1968" spans="1:14" x14ac:dyDescent="0.3">
      <c r="B1968" s="17" t="s">
        <v>933</v>
      </c>
      <c r="C1968" s="78">
        <f>E1965+E1966</f>
        <v>26.05</v>
      </c>
      <c r="D1968" s="20">
        <v>0.22</v>
      </c>
      <c r="E1968" s="21">
        <f>ROUND(C1968*D1968,2)</f>
        <v>5.73</v>
      </c>
    </row>
    <row r="1970" spans="1:14" x14ac:dyDescent="0.3">
      <c r="B1970" s="12" t="s">
        <v>946</v>
      </c>
      <c r="C1970" s="227"/>
      <c r="D1970" s="12"/>
      <c r="E1970" s="11">
        <f>F1978</f>
        <v>2.88</v>
      </c>
      <c r="F1970" s="12" t="s">
        <v>971</v>
      </c>
    </row>
    <row r="1972" spans="1:14" x14ac:dyDescent="0.3">
      <c r="B1972" s="27" t="s">
        <v>936</v>
      </c>
      <c r="C1972" s="28" t="s">
        <v>937</v>
      </c>
      <c r="D1972" s="29">
        <v>1</v>
      </c>
      <c r="E1972" s="30">
        <f>'МЕДИЧНІ М'!F115</f>
        <v>0.3</v>
      </c>
      <c r="F1972" s="30">
        <f t="shared" ref="F1972:F1977" si="66">ROUND(D1972*E1972,2)</f>
        <v>0.3</v>
      </c>
    </row>
    <row r="1973" spans="1:14" s="184" customFormat="1" x14ac:dyDescent="0.3">
      <c r="A1973" s="180"/>
      <c r="B1973" s="185" t="s">
        <v>1021</v>
      </c>
      <c r="C1973" s="186" t="s">
        <v>941</v>
      </c>
      <c r="D1973" s="164">
        <v>0.5</v>
      </c>
      <c r="E1973" s="164">
        <f>'МЕДИЧНІ М'!E181</f>
        <v>2</v>
      </c>
      <c r="F1973" s="164">
        <f t="shared" si="66"/>
        <v>1</v>
      </c>
      <c r="G1973" s="180"/>
      <c r="H1973" s="180"/>
      <c r="I1973" s="180"/>
      <c r="J1973" s="187"/>
      <c r="K1973" s="866"/>
      <c r="L1973" s="861"/>
      <c r="M1973" s="861"/>
      <c r="N1973" s="861"/>
    </row>
    <row r="1974" spans="1:14" x14ac:dyDescent="0.3">
      <c r="B1974" s="15" t="s">
        <v>1216</v>
      </c>
      <c r="C1974" s="73" t="s">
        <v>941</v>
      </c>
      <c r="D1974" s="17">
        <v>0.1</v>
      </c>
      <c r="E1974" s="16">
        <f>'МЕДИЧНІ М'!E113</f>
        <v>8</v>
      </c>
      <c r="F1974" s="17">
        <f t="shared" si="66"/>
        <v>0.8</v>
      </c>
    </row>
    <row r="1975" spans="1:14" x14ac:dyDescent="0.3">
      <c r="B1975" s="15" t="s">
        <v>964</v>
      </c>
      <c r="C1975" s="73" t="s">
        <v>941</v>
      </c>
      <c r="D1975" s="17">
        <v>0.1</v>
      </c>
      <c r="E1975" s="16">
        <f>'МЕДИЧНІ М'!E119</f>
        <v>2.8</v>
      </c>
      <c r="F1975" s="17">
        <f t="shared" si="66"/>
        <v>0.28000000000000003</v>
      </c>
    </row>
    <row r="1976" spans="1:14" x14ac:dyDescent="0.3">
      <c r="B1976" s="27" t="s">
        <v>942</v>
      </c>
      <c r="C1976" s="28" t="s">
        <v>941</v>
      </c>
      <c r="D1976" s="29">
        <v>0.01</v>
      </c>
      <c r="E1976" s="29">
        <f>'МЕДИЧНІ М'!E120</f>
        <v>24.6</v>
      </c>
      <c r="F1976" s="30">
        <f t="shared" si="66"/>
        <v>0.25</v>
      </c>
    </row>
    <row r="1977" spans="1:14" x14ac:dyDescent="0.3">
      <c r="B1977" s="27" t="s">
        <v>1124</v>
      </c>
      <c r="C1977" s="28" t="s">
        <v>944</v>
      </c>
      <c r="D1977" s="29">
        <v>0.5</v>
      </c>
      <c r="E1977" s="29">
        <f>'МЕДИЧНІ М'!E114</f>
        <v>0.5</v>
      </c>
      <c r="F1977" s="30">
        <f t="shared" si="66"/>
        <v>0.25</v>
      </c>
    </row>
    <row r="1978" spans="1:14" x14ac:dyDescent="0.3">
      <c r="B1978" s="1019" t="s">
        <v>945</v>
      </c>
      <c r="C1978" s="1019"/>
      <c r="D1978" s="1019"/>
      <c r="E1978" s="1019"/>
      <c r="F1978" s="89">
        <f>SUM(F1972:F1977)</f>
        <v>2.88</v>
      </c>
    </row>
    <row r="1980" spans="1:14" x14ac:dyDescent="0.3">
      <c r="B1980" s="12" t="s">
        <v>968</v>
      </c>
      <c r="C1980" s="227"/>
      <c r="D1980" s="12"/>
      <c r="E1980" s="11">
        <f>SUM(G1983:G1984)</f>
        <v>48.15</v>
      </c>
      <c r="F1980" s="12" t="s">
        <v>971</v>
      </c>
    </row>
    <row r="1981" spans="1:14" x14ac:dyDescent="0.3">
      <c r="B1981" s="22"/>
      <c r="C1981" s="36"/>
      <c r="D1981" s="22"/>
      <c r="E1981" s="23"/>
      <c r="F1981" s="22"/>
    </row>
    <row r="1982" spans="1:14" ht="27.6" x14ac:dyDescent="0.3">
      <c r="B1982" s="14" t="s">
        <v>513</v>
      </c>
      <c r="C1982" s="14" t="s">
        <v>1108</v>
      </c>
      <c r="D1982" s="14" t="s">
        <v>516</v>
      </c>
      <c r="E1982" s="14" t="s">
        <v>970</v>
      </c>
      <c r="F1982" s="14" t="s">
        <v>930</v>
      </c>
      <c r="G1982" s="14" t="s">
        <v>961</v>
      </c>
    </row>
    <row r="1983" spans="1:14" x14ac:dyDescent="0.3">
      <c r="B1983" s="46" t="s">
        <v>1161</v>
      </c>
      <c r="C1983" s="78">
        <f>C1933</f>
        <v>0</v>
      </c>
      <c r="D1983" s="62">
        <f>H1961</f>
        <v>1932.7</v>
      </c>
      <c r="E1983" s="17">
        <f>ROUND((C1983/D1983)/60,2)</f>
        <v>0</v>
      </c>
      <c r="F1983" s="17">
        <f>D1965</f>
        <v>10</v>
      </c>
      <c r="G1983" s="16">
        <f>ROUND(E1983*F1983,2)</f>
        <v>0</v>
      </c>
    </row>
    <row r="1984" spans="1:14" x14ac:dyDescent="0.3">
      <c r="B1984" s="27" t="s">
        <v>1093</v>
      </c>
      <c r="C1984" s="78">
        <f>C1934</f>
        <v>290000</v>
      </c>
      <c r="D1984" s="62">
        <f>H1962</f>
        <v>1506</v>
      </c>
      <c r="E1984" s="17">
        <f>ROUND((C1984/D1984)/60,2)</f>
        <v>3.21</v>
      </c>
      <c r="F1984" s="17">
        <f>D1966</f>
        <v>15</v>
      </c>
      <c r="G1984" s="16">
        <f>ROUND(E1984*F1984,2)</f>
        <v>48.15</v>
      </c>
      <c r="H1984" s="38"/>
    </row>
    <row r="1986" spans="2:14" s="7" customFormat="1" ht="13.8" x14ac:dyDescent="0.25">
      <c r="B1986" s="12" t="s">
        <v>948</v>
      </c>
      <c r="C1986" s="227"/>
      <c r="D1986" s="12"/>
      <c r="E1986" s="11">
        <f>G1999</f>
        <v>3.45</v>
      </c>
      <c r="F1986" s="12" t="s">
        <v>971</v>
      </c>
      <c r="J1986" s="130"/>
      <c r="K1986" s="868"/>
      <c r="L1986" s="65"/>
      <c r="M1986" s="65"/>
      <c r="N1986" s="65"/>
    </row>
    <row r="1987" spans="2:14" s="7" customFormat="1" ht="13.8" x14ac:dyDescent="0.25">
      <c r="B1987" s="22"/>
      <c r="C1987" s="36"/>
      <c r="D1987" s="22"/>
      <c r="E1987" s="23"/>
      <c r="J1987" s="130"/>
      <c r="K1987" s="868"/>
      <c r="L1987" s="65"/>
      <c r="M1987" s="65"/>
      <c r="N1987" s="65"/>
    </row>
    <row r="1988" spans="2:14" s="7" customFormat="1" ht="27.6" x14ac:dyDescent="0.25">
      <c r="B1988" s="14" t="s">
        <v>948</v>
      </c>
      <c r="C1988" s="14" t="s">
        <v>1110</v>
      </c>
      <c r="D1988" s="14" t="s">
        <v>516</v>
      </c>
      <c r="E1988" s="14" t="s">
        <v>954</v>
      </c>
      <c r="F1988" s="14" t="s">
        <v>930</v>
      </c>
      <c r="G1988" s="14" t="s">
        <v>1111</v>
      </c>
      <c r="J1988" s="130"/>
      <c r="K1988" s="868"/>
      <c r="L1988" s="65"/>
      <c r="M1988" s="65"/>
      <c r="N1988" s="65"/>
    </row>
    <row r="1989" spans="2:14" s="7" customFormat="1" ht="13.8" x14ac:dyDescent="0.25">
      <c r="B1989" s="1009" t="str">
        <f>B1961</f>
        <v>Лікар-рентгенолог</v>
      </c>
      <c r="C1989" s="1010"/>
      <c r="D1989" s="1010"/>
      <c r="E1989" s="1010"/>
      <c r="F1989" s="1010"/>
      <c r="G1989" s="1011"/>
      <c r="J1989" s="130"/>
      <c r="K1989" s="868"/>
      <c r="L1989" s="65"/>
      <c r="M1989" s="65"/>
      <c r="N1989" s="65"/>
    </row>
    <row r="1990" spans="2:14" s="7" customFormat="1" ht="13.8" x14ac:dyDescent="0.25">
      <c r="B1990" s="17" t="s">
        <v>951</v>
      </c>
      <c r="C1990" s="221">
        <f>C1940</f>
        <v>12188.608008565312</v>
      </c>
      <c r="D1990" s="17">
        <f>H1961</f>
        <v>1932.7</v>
      </c>
      <c r="E1990" s="17">
        <f>ROUND((C1990/D1990)/60,2)</f>
        <v>0.11</v>
      </c>
      <c r="F1990" s="17">
        <f>D1965</f>
        <v>10</v>
      </c>
      <c r="G1990" s="16">
        <f>ROUND(E1990*F1990,2)</f>
        <v>1.1000000000000001</v>
      </c>
      <c r="J1990" s="130"/>
      <c r="K1990" s="868"/>
      <c r="L1990" s="65"/>
      <c r="M1990" s="65"/>
      <c r="N1990" s="65"/>
    </row>
    <row r="1991" spans="2:14" s="7" customFormat="1" ht="13.8" x14ac:dyDescent="0.25">
      <c r="B1991" s="17" t="s">
        <v>952</v>
      </c>
      <c r="C1991" s="221">
        <f>C1941</f>
        <v>53.149721627408987</v>
      </c>
      <c r="D1991" s="17">
        <f>H1961</f>
        <v>1932.7</v>
      </c>
      <c r="E1991" s="17">
        <f>ROUND((C1991/D1991)/60,2)</f>
        <v>0</v>
      </c>
      <c r="F1991" s="17">
        <f>D1965</f>
        <v>10</v>
      </c>
      <c r="G1991" s="16">
        <f>ROUND(E1991*F1991,2)</f>
        <v>0</v>
      </c>
      <c r="J1991" s="130"/>
      <c r="K1991" s="868"/>
      <c r="L1991" s="65"/>
      <c r="M1991" s="65"/>
      <c r="N1991" s="65"/>
    </row>
    <row r="1992" spans="2:14" s="7" customFormat="1" ht="13.8" x14ac:dyDescent="0.25">
      <c r="B1992" s="17" t="s">
        <v>953</v>
      </c>
      <c r="C1992" s="221">
        <f>C1942</f>
        <v>374.98368308351178</v>
      </c>
      <c r="D1992" s="17">
        <f>H1961</f>
        <v>1932.7</v>
      </c>
      <c r="E1992" s="17">
        <f>ROUND((C1992/D1992)/60,2)</f>
        <v>0</v>
      </c>
      <c r="F1992" s="17">
        <f>D1965</f>
        <v>10</v>
      </c>
      <c r="G1992" s="16">
        <f>ROUND(E1992*F1992,2)</f>
        <v>0</v>
      </c>
      <c r="J1992" s="130"/>
      <c r="K1992" s="868"/>
      <c r="L1992" s="65"/>
      <c r="M1992" s="65"/>
      <c r="N1992" s="65"/>
    </row>
    <row r="1993" spans="2:14" s="7" customFormat="1" ht="13.8" x14ac:dyDescent="0.25">
      <c r="B1993" s="17" t="s">
        <v>1109</v>
      </c>
      <c r="C1993" s="221">
        <f>C1943</f>
        <v>1686.0389293361886</v>
      </c>
      <c r="D1993" s="17">
        <f>H1961</f>
        <v>1932.7</v>
      </c>
      <c r="E1993" s="17">
        <f>ROUND((C1993/D1993)/60,2)</f>
        <v>0.01</v>
      </c>
      <c r="F1993" s="17">
        <f>D1965</f>
        <v>10</v>
      </c>
      <c r="G1993" s="16">
        <f>ROUND(E1993*F1993,2)</f>
        <v>0.1</v>
      </c>
      <c r="J1993" s="130"/>
      <c r="K1993" s="868"/>
      <c r="L1993" s="65"/>
      <c r="M1993" s="65"/>
      <c r="N1993" s="65"/>
    </row>
    <row r="1994" spans="2:14" s="7" customFormat="1" ht="13.8" x14ac:dyDescent="0.25">
      <c r="B1994" s="1009" t="str">
        <f>B1962</f>
        <v>Рентгенолаборант</v>
      </c>
      <c r="C1994" s="1010"/>
      <c r="D1994" s="1010"/>
      <c r="E1994" s="1010"/>
      <c r="F1994" s="1010"/>
      <c r="G1994" s="1011"/>
      <c r="J1994" s="130"/>
      <c r="K1994" s="868"/>
      <c r="L1994" s="65"/>
      <c r="M1994" s="65"/>
      <c r="N1994" s="65"/>
    </row>
    <row r="1995" spans="2:14" s="7" customFormat="1" ht="13.8" x14ac:dyDescent="0.25">
      <c r="B1995" s="17" t="s">
        <v>951</v>
      </c>
      <c r="C1995" s="221">
        <f>C1990</f>
        <v>12188.608008565312</v>
      </c>
      <c r="D1995" s="17">
        <f>H1962</f>
        <v>1506</v>
      </c>
      <c r="E1995" s="17">
        <f>ROUND((C1995/D1995)/60,2)</f>
        <v>0.13</v>
      </c>
      <c r="F1995" s="17">
        <f>D1966</f>
        <v>15</v>
      </c>
      <c r="G1995" s="16">
        <f>ROUND(E1995*F1995,2)</f>
        <v>1.95</v>
      </c>
      <c r="J1995" s="130"/>
      <c r="K1995" s="868"/>
      <c r="L1995" s="65"/>
      <c r="M1995" s="65"/>
      <c r="N1995" s="65"/>
    </row>
    <row r="1996" spans="2:14" s="7" customFormat="1" ht="13.8" x14ac:dyDescent="0.25">
      <c r="B1996" s="17" t="s">
        <v>952</v>
      </c>
      <c r="C1996" s="221">
        <f>C1991</f>
        <v>53.149721627408987</v>
      </c>
      <c r="D1996" s="17">
        <f>H1962</f>
        <v>1506</v>
      </c>
      <c r="E1996" s="17">
        <f>ROUND((C1996/D1996)/60,2)</f>
        <v>0</v>
      </c>
      <c r="F1996" s="17">
        <f>D1966</f>
        <v>15</v>
      </c>
      <c r="G1996" s="16">
        <f>ROUND(E1996*F1996,2)</f>
        <v>0</v>
      </c>
      <c r="J1996" s="130"/>
      <c r="K1996" s="868"/>
      <c r="L1996" s="65"/>
      <c r="M1996" s="65"/>
      <c r="N1996" s="65"/>
    </row>
    <row r="1997" spans="2:14" s="7" customFormat="1" ht="13.8" x14ac:dyDescent="0.25">
      <c r="B1997" s="17" t="s">
        <v>953</v>
      </c>
      <c r="C1997" s="221">
        <f>C1992</f>
        <v>374.98368308351178</v>
      </c>
      <c r="D1997" s="17">
        <f>H1962</f>
        <v>1506</v>
      </c>
      <c r="E1997" s="17">
        <f>ROUND((C1997/D1997)/60,2)</f>
        <v>0</v>
      </c>
      <c r="F1997" s="17">
        <f>D1966</f>
        <v>15</v>
      </c>
      <c r="G1997" s="16">
        <f>ROUND(E1997*F1997,2)</f>
        <v>0</v>
      </c>
      <c r="J1997" s="130"/>
      <c r="K1997" s="868"/>
      <c r="L1997" s="65"/>
      <c r="M1997" s="65"/>
      <c r="N1997" s="65"/>
    </row>
    <row r="1998" spans="2:14" s="7" customFormat="1" ht="13.8" x14ac:dyDescent="0.25">
      <c r="B1998" s="17" t="s">
        <v>1109</v>
      </c>
      <c r="C1998" s="221">
        <f>C1993</f>
        <v>1686.0389293361886</v>
      </c>
      <c r="D1998" s="17">
        <f>H1962</f>
        <v>1506</v>
      </c>
      <c r="E1998" s="17">
        <f>ROUND((C1998/D1998)/60,2)</f>
        <v>0.02</v>
      </c>
      <c r="F1998" s="17">
        <f>D1966</f>
        <v>15</v>
      </c>
      <c r="G1998" s="16">
        <f>ROUND(E1998*F1998,2)</f>
        <v>0.3</v>
      </c>
      <c r="J1998" s="130"/>
      <c r="K1998" s="868"/>
      <c r="L1998" s="65"/>
      <c r="M1998" s="65"/>
      <c r="N1998" s="65"/>
    </row>
    <row r="1999" spans="2:14" s="7" customFormat="1" ht="13.8" x14ac:dyDescent="0.25">
      <c r="B1999" s="1012" t="s">
        <v>957</v>
      </c>
      <c r="C1999" s="1013"/>
      <c r="D1999" s="1013"/>
      <c r="E1999" s="1013"/>
      <c r="F1999" s="1014"/>
      <c r="G1999" s="18">
        <f>SUM(G1990:G1998)</f>
        <v>3.45</v>
      </c>
      <c r="J1999" s="130"/>
      <c r="K1999" s="868"/>
      <c r="L1999" s="65"/>
      <c r="M1999" s="65"/>
      <c r="N1999" s="65"/>
    </row>
    <row r="2001" spans="1:14" ht="0.75" customHeight="1" x14ac:dyDescent="0.3"/>
    <row r="2002" spans="1:14" x14ac:dyDescent="0.3">
      <c r="B2002" s="1015" t="s">
        <v>959</v>
      </c>
      <c r="C2002" s="1015"/>
      <c r="D2002" s="1015"/>
      <c r="E2002" s="1015"/>
      <c r="F2002" s="1015"/>
      <c r="G2002" s="32">
        <f>E1958+E1970+E1980+E1986</f>
        <v>86.26</v>
      </c>
    </row>
    <row r="2003" spans="1:14" x14ac:dyDescent="0.3">
      <c r="B2003" s="33"/>
      <c r="C2003" s="33"/>
      <c r="D2003" s="33"/>
      <c r="E2003" s="33"/>
      <c r="F2003" s="33"/>
      <c r="G2003" s="34"/>
    </row>
    <row r="2004" spans="1:14" x14ac:dyDescent="0.3">
      <c r="B2004" s="1015" t="s">
        <v>960</v>
      </c>
      <c r="C2004" s="1015"/>
      <c r="D2004" s="1015"/>
      <c r="E2004" s="1015"/>
      <c r="F2004" s="1015"/>
      <c r="G2004" s="32">
        <f>ROUND(G2002,0)</f>
        <v>86</v>
      </c>
    </row>
    <row r="2006" spans="1:14" s="54" customFormat="1" ht="19.8" x14ac:dyDescent="0.4">
      <c r="A2006" s="1016"/>
      <c r="B2006" s="1016"/>
      <c r="C2006" s="1016"/>
      <c r="D2006" s="1016"/>
      <c r="E2006" s="1016"/>
      <c r="F2006" s="1016"/>
      <c r="G2006" s="1016"/>
      <c r="H2006" s="1016"/>
      <c r="I2006" s="1016"/>
      <c r="J2006" s="132"/>
      <c r="K2006" s="868"/>
      <c r="L2006" s="65"/>
      <c r="M2006" s="65"/>
      <c r="N2006" s="65"/>
    </row>
    <row r="2007" spans="1:14" s="54" customFormat="1" ht="19.8" x14ac:dyDescent="0.4">
      <c r="A2007" s="53"/>
      <c r="B2007" s="53"/>
      <c r="C2007" s="225"/>
      <c r="D2007" s="53"/>
      <c r="E2007" s="53"/>
      <c r="F2007" s="53"/>
      <c r="G2007" s="53"/>
      <c r="H2007" s="53"/>
      <c r="I2007" s="53"/>
      <c r="J2007" s="132"/>
      <c r="K2007" s="868"/>
      <c r="L2007" s="65"/>
      <c r="M2007" s="65"/>
      <c r="N2007" s="65"/>
    </row>
    <row r="2008" spans="1:14" s="54" customFormat="1" ht="15" customHeight="1" x14ac:dyDescent="0.4">
      <c r="A2008" s="50" t="s">
        <v>282</v>
      </c>
      <c r="B2008" s="1032" t="s">
        <v>699</v>
      </c>
      <c r="C2008" s="1032"/>
      <c r="D2008" s="1032"/>
      <c r="E2008" s="52">
        <f>G2057</f>
        <v>87</v>
      </c>
      <c r="F2008" s="52" t="s">
        <v>971</v>
      </c>
      <c r="G2008" s="53"/>
      <c r="H2008" s="124"/>
      <c r="I2008" s="125" t="s">
        <v>1022</v>
      </c>
      <c r="J2008" s="132"/>
      <c r="K2008" s="868"/>
      <c r="L2008" s="65"/>
      <c r="M2008" s="65"/>
      <c r="N2008" s="65"/>
    </row>
    <row r="2010" spans="1:14" x14ac:dyDescent="0.3">
      <c r="B2010" s="1018" t="s">
        <v>932</v>
      </c>
      <c r="C2010" s="1018"/>
      <c r="D2010" s="10"/>
      <c r="E2010" s="11">
        <f>E2017+E2020+E2018</f>
        <v>31.78</v>
      </c>
      <c r="F2010" s="12" t="s">
        <v>971</v>
      </c>
    </row>
    <row r="2012" spans="1:14" ht="27.6" x14ac:dyDescent="0.3">
      <c r="B2012" s="13" t="s">
        <v>929</v>
      </c>
      <c r="C2012" s="14" t="s">
        <v>928</v>
      </c>
      <c r="D2012" s="14" t="s">
        <v>514</v>
      </c>
      <c r="E2012" s="14" t="s">
        <v>515</v>
      </c>
      <c r="F2012" s="14" t="s">
        <v>962</v>
      </c>
      <c r="G2012" s="14" t="s">
        <v>926</v>
      </c>
      <c r="H2012" s="14" t="s">
        <v>516</v>
      </c>
      <c r="I2012" s="14" t="s">
        <v>961</v>
      </c>
    </row>
    <row r="2013" spans="1:14" x14ac:dyDescent="0.3">
      <c r="B2013" s="16" t="str">
        <f>B1961</f>
        <v>Лікар-рентгенолог</v>
      </c>
      <c r="C2013" s="78">
        <f>C1961</f>
        <v>8463.5400000000009</v>
      </c>
      <c r="D2013" s="16">
        <f>C2013*12</f>
        <v>101562.48000000001</v>
      </c>
      <c r="E2013" s="16">
        <f>E1961</f>
        <v>7052.95</v>
      </c>
      <c r="F2013" s="16">
        <f>F1961</f>
        <v>3526.4749999999999</v>
      </c>
      <c r="G2013" s="16">
        <f>D2013+E2013+F2013</f>
        <v>112141.90500000001</v>
      </c>
      <c r="H2013" s="17">
        <v>1932.7</v>
      </c>
      <c r="I2013" s="16">
        <f>ROUND((G2013/H2013)/60,2)</f>
        <v>0.97</v>
      </c>
    </row>
    <row r="2014" spans="1:14" x14ac:dyDescent="0.3">
      <c r="B2014" s="16" t="str">
        <f>B1962</f>
        <v>Рентгенолаборант</v>
      </c>
      <c r="C2014" s="78">
        <f>C1962</f>
        <v>7482.48</v>
      </c>
      <c r="D2014" s="24">
        <f>C2014*12</f>
        <v>89789.759999999995</v>
      </c>
      <c r="E2014" s="16">
        <f>E1962</f>
        <v>5755.75</v>
      </c>
      <c r="F2014" s="16">
        <f>F1962</f>
        <v>2877.875</v>
      </c>
      <c r="G2014" s="16">
        <f>D2014+E2014+F2014</f>
        <v>98423.384999999995</v>
      </c>
      <c r="H2014" s="62">
        <v>1506</v>
      </c>
      <c r="I2014" s="16">
        <f>ROUND((G2014/H2014)/60,2)</f>
        <v>1.0900000000000001</v>
      </c>
    </row>
    <row r="2016" spans="1:14" ht="27.6" x14ac:dyDescent="0.3">
      <c r="B2016" s="13" t="s">
        <v>929</v>
      </c>
      <c r="C2016" s="14" t="s">
        <v>961</v>
      </c>
      <c r="D2016" s="14" t="s">
        <v>930</v>
      </c>
      <c r="E2016" s="14" t="s">
        <v>931</v>
      </c>
    </row>
    <row r="2017" spans="1:14" x14ac:dyDescent="0.3">
      <c r="B2017" s="15" t="str">
        <f>B2013</f>
        <v>Лікар-рентгенолог</v>
      </c>
      <c r="C2017" s="78">
        <f>I2013</f>
        <v>0.97</v>
      </c>
      <c r="D2017" s="17">
        <v>10</v>
      </c>
      <c r="E2017" s="18">
        <f>ROUND(C2017*D2017,2)</f>
        <v>9.6999999999999993</v>
      </c>
    </row>
    <row r="2018" spans="1:14" x14ac:dyDescent="0.3">
      <c r="B2018" s="15" t="str">
        <f>B2014</f>
        <v>Рентгенолаборант</v>
      </c>
      <c r="C2018" s="78">
        <f>I2014</f>
        <v>1.0900000000000001</v>
      </c>
      <c r="D2018" s="17">
        <v>15</v>
      </c>
      <c r="E2018" s="18">
        <f>ROUND(C2018*D2018,2)</f>
        <v>16.350000000000001</v>
      </c>
    </row>
    <row r="2019" spans="1:14" x14ac:dyDescent="0.3">
      <c r="C2019" s="19"/>
    </row>
    <row r="2020" spans="1:14" x14ac:dyDescent="0.3">
      <c r="B2020" s="17" t="s">
        <v>933</v>
      </c>
      <c r="C2020" s="78">
        <f>E2017+E2018</f>
        <v>26.05</v>
      </c>
      <c r="D2020" s="20">
        <v>0.22</v>
      </c>
      <c r="E2020" s="21">
        <f>ROUND(C2020*D2020,2)</f>
        <v>5.73</v>
      </c>
    </row>
    <row r="2022" spans="1:14" x14ac:dyDescent="0.3">
      <c r="B2022" s="12" t="s">
        <v>946</v>
      </c>
      <c r="C2022" s="227"/>
      <c r="D2022" s="12"/>
      <c r="E2022" s="12">
        <f>F2031</f>
        <v>3.1799999999999997</v>
      </c>
      <c r="F2022" s="12" t="s">
        <v>971</v>
      </c>
    </row>
    <row r="2024" spans="1:14" x14ac:dyDescent="0.3">
      <c r="B2024" s="27" t="s">
        <v>936</v>
      </c>
      <c r="C2024" s="28" t="s">
        <v>937</v>
      </c>
      <c r="D2024" s="29">
        <v>1</v>
      </c>
      <c r="E2024" s="30">
        <f>'МЕДИЧНІ М'!F115</f>
        <v>0.3</v>
      </c>
      <c r="F2024" s="30">
        <f>ROUND(D2024*E2024,2)</f>
        <v>0.3</v>
      </c>
    </row>
    <row r="2025" spans="1:14" s="184" customFormat="1" x14ac:dyDescent="0.3">
      <c r="A2025" s="180"/>
      <c r="B2025" s="185" t="s">
        <v>1021</v>
      </c>
      <c r="C2025" s="186" t="s">
        <v>941</v>
      </c>
      <c r="D2025" s="164">
        <v>0.5</v>
      </c>
      <c r="E2025" s="164">
        <f>'МЕДИЧНІ М'!F181</f>
        <v>2</v>
      </c>
      <c r="F2025" s="164">
        <f t="shared" ref="F2025:F2030" si="67">ROUND(D2025*E2025,2)</f>
        <v>1</v>
      </c>
      <c r="G2025" s="180"/>
      <c r="H2025" s="180"/>
      <c r="I2025" s="180"/>
      <c r="J2025" s="187"/>
      <c r="K2025" s="866"/>
      <c r="L2025" s="861"/>
      <c r="M2025" s="861"/>
      <c r="N2025" s="861"/>
    </row>
    <row r="2026" spans="1:14" x14ac:dyDescent="0.3">
      <c r="B2026" s="15" t="s">
        <v>1216</v>
      </c>
      <c r="C2026" s="73" t="s">
        <v>941</v>
      </c>
      <c r="D2026" s="17">
        <v>0.1</v>
      </c>
      <c r="E2026" s="16">
        <f>'МЕДИЧНІ М'!E113</f>
        <v>8</v>
      </c>
      <c r="F2026" s="17">
        <f t="shared" si="67"/>
        <v>0.8</v>
      </c>
    </row>
    <row r="2027" spans="1:14" x14ac:dyDescent="0.3">
      <c r="B2027" s="15" t="s">
        <v>98</v>
      </c>
      <c r="C2027" s="73" t="s">
        <v>941</v>
      </c>
      <c r="D2027" s="17">
        <v>1</v>
      </c>
      <c r="E2027" s="16">
        <f>МАТЕРІАЛИ!E4</f>
        <v>0.3</v>
      </c>
      <c r="F2027" s="17">
        <f t="shared" si="67"/>
        <v>0.3</v>
      </c>
    </row>
    <row r="2028" spans="1:14" x14ac:dyDescent="0.3">
      <c r="B2028" s="15" t="s">
        <v>964</v>
      </c>
      <c r="C2028" s="73" t="s">
        <v>941</v>
      </c>
      <c r="D2028" s="17">
        <v>0.1</v>
      </c>
      <c r="E2028" s="16">
        <f>'МЕДИЧНІ М'!E119</f>
        <v>2.8</v>
      </c>
      <c r="F2028" s="17">
        <f t="shared" si="67"/>
        <v>0.28000000000000003</v>
      </c>
    </row>
    <row r="2029" spans="1:14" x14ac:dyDescent="0.3">
      <c r="B2029" s="27" t="s">
        <v>942</v>
      </c>
      <c r="C2029" s="28" t="s">
        <v>941</v>
      </c>
      <c r="D2029" s="29">
        <v>0.01</v>
      </c>
      <c r="E2029" s="29">
        <f>'МЕДИЧНІ М'!E120</f>
        <v>24.6</v>
      </c>
      <c r="F2029" s="30">
        <f t="shared" si="67"/>
        <v>0.25</v>
      </c>
    </row>
    <row r="2030" spans="1:14" x14ac:dyDescent="0.3">
      <c r="B2030" s="27" t="s">
        <v>1124</v>
      </c>
      <c r="C2030" s="28" t="s">
        <v>944</v>
      </c>
      <c r="D2030" s="29">
        <v>0.5</v>
      </c>
      <c r="E2030" s="29">
        <f>'МЕДИЧНІ М'!E114</f>
        <v>0.5</v>
      </c>
      <c r="F2030" s="30">
        <f t="shared" si="67"/>
        <v>0.25</v>
      </c>
    </row>
    <row r="2031" spans="1:14" x14ac:dyDescent="0.3">
      <c r="B2031" s="1012" t="s">
        <v>945</v>
      </c>
      <c r="C2031" s="1013"/>
      <c r="D2031" s="1013"/>
      <c r="E2031" s="1014"/>
      <c r="F2031" s="31">
        <f>SUM(F2024:F2030)</f>
        <v>3.1799999999999997</v>
      </c>
    </row>
    <row r="2033" spans="2:14" s="7" customFormat="1" ht="13.8" x14ac:dyDescent="0.25">
      <c r="B2033" s="12" t="s">
        <v>968</v>
      </c>
      <c r="C2033" s="227"/>
      <c r="D2033" s="12"/>
      <c r="E2033" s="11">
        <f>SUM(G2036:G2037)</f>
        <v>48.15</v>
      </c>
      <c r="F2033" s="12" t="s">
        <v>971</v>
      </c>
      <c r="J2033" s="130"/>
      <c r="K2033" s="868"/>
      <c r="L2033" s="65"/>
      <c r="M2033" s="65"/>
      <c r="N2033" s="65"/>
    </row>
    <row r="2034" spans="2:14" s="7" customFormat="1" ht="13.8" x14ac:dyDescent="0.25">
      <c r="B2034" s="22"/>
      <c r="C2034" s="36"/>
      <c r="D2034" s="22"/>
      <c r="E2034" s="23"/>
      <c r="F2034" s="22"/>
      <c r="J2034" s="130"/>
      <c r="K2034" s="868"/>
      <c r="L2034" s="65"/>
      <c r="M2034" s="65"/>
      <c r="N2034" s="65"/>
    </row>
    <row r="2035" spans="2:14" s="7" customFormat="1" ht="27.6" x14ac:dyDescent="0.25">
      <c r="B2035" s="14" t="s">
        <v>513</v>
      </c>
      <c r="C2035" s="14" t="s">
        <v>1108</v>
      </c>
      <c r="D2035" s="14" t="s">
        <v>516</v>
      </c>
      <c r="E2035" s="14" t="s">
        <v>970</v>
      </c>
      <c r="F2035" s="14" t="s">
        <v>930</v>
      </c>
      <c r="G2035" s="14" t="s">
        <v>961</v>
      </c>
      <c r="J2035" s="130"/>
      <c r="K2035" s="868"/>
      <c r="L2035" s="65"/>
      <c r="M2035" s="65"/>
      <c r="N2035" s="65"/>
    </row>
    <row r="2036" spans="2:14" s="7" customFormat="1" ht="13.8" x14ac:dyDescent="0.25">
      <c r="B2036" s="46" t="s">
        <v>1161</v>
      </c>
      <c r="C2036" s="78">
        <f>C1983</f>
        <v>0</v>
      </c>
      <c r="D2036" s="62">
        <f>H2013</f>
        <v>1932.7</v>
      </c>
      <c r="E2036" s="17">
        <f>ROUND((C2036/D2036)/60,2)</f>
        <v>0</v>
      </c>
      <c r="F2036" s="17">
        <f>D2017</f>
        <v>10</v>
      </c>
      <c r="G2036" s="16">
        <f>ROUND(E2036*F2036,2)</f>
        <v>0</v>
      </c>
      <c r="J2036" s="130"/>
      <c r="K2036" s="868"/>
      <c r="L2036" s="65"/>
      <c r="M2036" s="65"/>
      <c r="N2036" s="65"/>
    </row>
    <row r="2037" spans="2:14" s="7" customFormat="1" ht="13.8" x14ac:dyDescent="0.25">
      <c r="B2037" s="27" t="s">
        <v>1093</v>
      </c>
      <c r="C2037" s="78">
        <f>C1984</f>
        <v>290000</v>
      </c>
      <c r="D2037" s="62">
        <f>H2014</f>
        <v>1506</v>
      </c>
      <c r="E2037" s="17">
        <f>ROUND((C2037/D2037)/60,2)</f>
        <v>3.21</v>
      </c>
      <c r="F2037" s="17">
        <f>D2018</f>
        <v>15</v>
      </c>
      <c r="G2037" s="16">
        <f>ROUND(E2037*F2037,2)</f>
        <v>48.15</v>
      </c>
      <c r="H2037" s="38"/>
      <c r="J2037" s="130"/>
      <c r="K2037" s="868"/>
      <c r="L2037" s="65"/>
      <c r="M2037" s="65"/>
      <c r="N2037" s="65"/>
    </row>
    <row r="2039" spans="2:14" s="7" customFormat="1" ht="13.8" x14ac:dyDescent="0.25">
      <c r="B2039" s="12" t="s">
        <v>948</v>
      </c>
      <c r="C2039" s="227"/>
      <c r="D2039" s="12"/>
      <c r="E2039" s="11">
        <f>G2052</f>
        <v>3.45</v>
      </c>
      <c r="F2039" s="12" t="s">
        <v>971</v>
      </c>
      <c r="J2039" s="130"/>
      <c r="K2039" s="868"/>
      <c r="L2039" s="65"/>
      <c r="M2039" s="65"/>
      <c r="N2039" s="65"/>
    </row>
    <row r="2040" spans="2:14" s="7" customFormat="1" ht="13.8" x14ac:dyDescent="0.25">
      <c r="B2040" s="22"/>
      <c r="C2040" s="36"/>
      <c r="D2040" s="22"/>
      <c r="E2040" s="23"/>
      <c r="J2040" s="130"/>
      <c r="K2040" s="868"/>
      <c r="L2040" s="65"/>
      <c r="M2040" s="65"/>
      <c r="N2040" s="65"/>
    </row>
    <row r="2041" spans="2:14" s="7" customFormat="1" ht="27.6" x14ac:dyDescent="0.25">
      <c r="B2041" s="14" t="s">
        <v>948</v>
      </c>
      <c r="C2041" s="14" t="s">
        <v>1110</v>
      </c>
      <c r="D2041" s="14" t="s">
        <v>516</v>
      </c>
      <c r="E2041" s="14" t="s">
        <v>954</v>
      </c>
      <c r="F2041" s="14" t="s">
        <v>930</v>
      </c>
      <c r="G2041" s="14" t="s">
        <v>1111</v>
      </c>
      <c r="J2041" s="130"/>
      <c r="K2041" s="868"/>
      <c r="L2041" s="65"/>
      <c r="M2041" s="65"/>
      <c r="N2041" s="65"/>
    </row>
    <row r="2042" spans="2:14" s="7" customFormat="1" ht="13.8" x14ac:dyDescent="0.25">
      <c r="B2042" s="1009" t="str">
        <f>B2013</f>
        <v>Лікар-рентгенолог</v>
      </c>
      <c r="C2042" s="1010"/>
      <c r="D2042" s="1010"/>
      <c r="E2042" s="1010"/>
      <c r="F2042" s="1010"/>
      <c r="G2042" s="1011"/>
      <c r="J2042" s="130"/>
      <c r="K2042" s="868"/>
      <c r="L2042" s="65"/>
      <c r="M2042" s="65"/>
      <c r="N2042" s="65"/>
    </row>
    <row r="2043" spans="2:14" s="7" customFormat="1" ht="13.8" x14ac:dyDescent="0.25">
      <c r="B2043" s="17" t="s">
        <v>951</v>
      </c>
      <c r="C2043" s="221">
        <f>C1990</f>
        <v>12188.608008565312</v>
      </c>
      <c r="D2043" s="17">
        <f>H2013</f>
        <v>1932.7</v>
      </c>
      <c r="E2043" s="17">
        <f>ROUND((C2043/D2043)/60,2)</f>
        <v>0.11</v>
      </c>
      <c r="F2043" s="17">
        <f>D2017</f>
        <v>10</v>
      </c>
      <c r="G2043" s="16">
        <f>ROUND(E2043*F2043,2)</f>
        <v>1.1000000000000001</v>
      </c>
      <c r="J2043" s="130"/>
      <c r="K2043" s="868"/>
      <c r="L2043" s="65"/>
      <c r="M2043" s="65"/>
      <c r="N2043" s="65"/>
    </row>
    <row r="2044" spans="2:14" s="7" customFormat="1" ht="13.8" x14ac:dyDescent="0.25">
      <c r="B2044" s="17" t="s">
        <v>952</v>
      </c>
      <c r="C2044" s="221">
        <f>C1991</f>
        <v>53.149721627408987</v>
      </c>
      <c r="D2044" s="17">
        <f>H2013</f>
        <v>1932.7</v>
      </c>
      <c r="E2044" s="17">
        <f>ROUND((C2044/D2044)/60,2)</f>
        <v>0</v>
      </c>
      <c r="F2044" s="17">
        <f>D2017</f>
        <v>10</v>
      </c>
      <c r="G2044" s="16">
        <f>ROUND(E2044*F2044,2)</f>
        <v>0</v>
      </c>
      <c r="J2044" s="130"/>
      <c r="K2044" s="868"/>
      <c r="L2044" s="65"/>
      <c r="M2044" s="65"/>
      <c r="N2044" s="65"/>
    </row>
    <row r="2045" spans="2:14" s="7" customFormat="1" ht="13.8" x14ac:dyDescent="0.25">
      <c r="B2045" s="17" t="s">
        <v>953</v>
      </c>
      <c r="C2045" s="221">
        <f>C1992</f>
        <v>374.98368308351178</v>
      </c>
      <c r="D2045" s="17">
        <f>H2013</f>
        <v>1932.7</v>
      </c>
      <c r="E2045" s="17">
        <f>ROUND((C2045/D2045)/60,2)</f>
        <v>0</v>
      </c>
      <c r="F2045" s="17">
        <f>D2017</f>
        <v>10</v>
      </c>
      <c r="G2045" s="16">
        <f>ROUND(E2045*F2045,2)</f>
        <v>0</v>
      </c>
      <c r="J2045" s="130"/>
      <c r="K2045" s="868"/>
      <c r="L2045" s="65"/>
      <c r="M2045" s="65"/>
      <c r="N2045" s="65"/>
    </row>
    <row r="2046" spans="2:14" s="7" customFormat="1" ht="13.8" x14ac:dyDescent="0.25">
      <c r="B2046" s="17" t="s">
        <v>1109</v>
      </c>
      <c r="C2046" s="221">
        <f>C1993</f>
        <v>1686.0389293361886</v>
      </c>
      <c r="D2046" s="17">
        <f>H2013</f>
        <v>1932.7</v>
      </c>
      <c r="E2046" s="17">
        <f>ROUND((C2046/D2046)/60,2)</f>
        <v>0.01</v>
      </c>
      <c r="F2046" s="17">
        <f>D2017</f>
        <v>10</v>
      </c>
      <c r="G2046" s="16">
        <f>ROUND(E2046*F2046,2)</f>
        <v>0.1</v>
      </c>
      <c r="J2046" s="130"/>
      <c r="K2046" s="868"/>
      <c r="L2046" s="65"/>
      <c r="M2046" s="65"/>
      <c r="N2046" s="65"/>
    </row>
    <row r="2047" spans="2:14" s="7" customFormat="1" ht="13.8" x14ac:dyDescent="0.25">
      <c r="B2047" s="1009" t="str">
        <f>B2014</f>
        <v>Рентгенолаборант</v>
      </c>
      <c r="C2047" s="1010"/>
      <c r="D2047" s="1010"/>
      <c r="E2047" s="1010"/>
      <c r="F2047" s="1010"/>
      <c r="G2047" s="1011"/>
      <c r="J2047" s="130"/>
      <c r="K2047" s="868"/>
      <c r="L2047" s="65"/>
      <c r="M2047" s="65"/>
      <c r="N2047" s="65"/>
    </row>
    <row r="2048" spans="2:14" s="7" customFormat="1" ht="13.8" x14ac:dyDescent="0.25">
      <c r="B2048" s="17" t="s">
        <v>951</v>
      </c>
      <c r="C2048" s="221">
        <f>C2043</f>
        <v>12188.608008565312</v>
      </c>
      <c r="D2048" s="17">
        <f>H2014</f>
        <v>1506</v>
      </c>
      <c r="E2048" s="17">
        <f>ROUND((C2048/D2048)/60,2)</f>
        <v>0.13</v>
      </c>
      <c r="F2048" s="17">
        <f>D2018</f>
        <v>15</v>
      </c>
      <c r="G2048" s="16">
        <f>ROUND(E2048*F2048,2)</f>
        <v>1.95</v>
      </c>
      <c r="J2048" s="130"/>
      <c r="K2048" s="868"/>
      <c r="L2048" s="65"/>
      <c r="M2048" s="65"/>
      <c r="N2048" s="65"/>
    </row>
    <row r="2049" spans="1:14" x14ac:dyDescent="0.3">
      <c r="B2049" s="17" t="s">
        <v>952</v>
      </c>
      <c r="C2049" s="221">
        <f>C2044</f>
        <v>53.149721627408987</v>
      </c>
      <c r="D2049" s="17">
        <f>H2014</f>
        <v>1506</v>
      </c>
      <c r="E2049" s="17">
        <f>ROUND((C2049/D2049)/60,2)</f>
        <v>0</v>
      </c>
      <c r="F2049" s="17">
        <f>D2018</f>
        <v>15</v>
      </c>
      <c r="G2049" s="16">
        <f>ROUND(E2049*F2049,2)</f>
        <v>0</v>
      </c>
    </row>
    <row r="2050" spans="1:14" x14ac:dyDescent="0.3">
      <c r="B2050" s="17" t="s">
        <v>953</v>
      </c>
      <c r="C2050" s="221">
        <f>C2045</f>
        <v>374.98368308351178</v>
      </c>
      <c r="D2050" s="17">
        <f>H2014</f>
        <v>1506</v>
      </c>
      <c r="E2050" s="17">
        <f>ROUND((C2050/D2050)/60,2)</f>
        <v>0</v>
      </c>
      <c r="F2050" s="17">
        <f>D2018</f>
        <v>15</v>
      </c>
      <c r="G2050" s="16">
        <f>ROUND(E2050*F2050,2)</f>
        <v>0</v>
      </c>
    </row>
    <row r="2051" spans="1:14" x14ac:dyDescent="0.3">
      <c r="B2051" s="17" t="s">
        <v>1109</v>
      </c>
      <c r="C2051" s="221">
        <f>C2046</f>
        <v>1686.0389293361886</v>
      </c>
      <c r="D2051" s="17">
        <f>H2014</f>
        <v>1506</v>
      </c>
      <c r="E2051" s="17">
        <f>ROUND((C2051/D2051)/60,2)</f>
        <v>0.02</v>
      </c>
      <c r="F2051" s="17">
        <f>D2018</f>
        <v>15</v>
      </c>
      <c r="G2051" s="16">
        <f>ROUND(E2051*F2051,2)</f>
        <v>0.3</v>
      </c>
    </row>
    <row r="2052" spans="1:14" x14ac:dyDescent="0.3">
      <c r="B2052" s="1012" t="s">
        <v>957</v>
      </c>
      <c r="C2052" s="1013"/>
      <c r="D2052" s="1013"/>
      <c r="E2052" s="1013"/>
      <c r="F2052" s="1014"/>
      <c r="G2052" s="18">
        <f>SUM(G2043:G2051)</f>
        <v>3.45</v>
      </c>
    </row>
    <row r="2055" spans="1:14" x14ac:dyDescent="0.3">
      <c r="B2055" s="1015" t="s">
        <v>959</v>
      </c>
      <c r="C2055" s="1015"/>
      <c r="D2055" s="1015"/>
      <c r="E2055" s="1015"/>
      <c r="F2055" s="1015"/>
      <c r="G2055" s="32">
        <f>E2010+E2022+E2033+E2039</f>
        <v>86.56</v>
      </c>
    </row>
    <row r="2056" spans="1:14" x14ac:dyDescent="0.3">
      <c r="B2056" s="33"/>
      <c r="C2056" s="33"/>
      <c r="D2056" s="33"/>
      <c r="E2056" s="33"/>
      <c r="F2056" s="33"/>
      <c r="G2056" s="34"/>
    </row>
    <row r="2057" spans="1:14" s="54" customFormat="1" ht="19.8" x14ac:dyDescent="0.4">
      <c r="A2057" s="53"/>
      <c r="B2057" s="1051" t="s">
        <v>960</v>
      </c>
      <c r="C2057" s="1051"/>
      <c r="D2057" s="1051"/>
      <c r="E2057" s="1051"/>
      <c r="F2057" s="1051"/>
      <c r="G2057" s="32">
        <f>ROUND(G2055,0)</f>
        <v>87</v>
      </c>
      <c r="H2057" s="53"/>
      <c r="I2057" s="53"/>
      <c r="J2057" s="132"/>
      <c r="K2057" s="868"/>
      <c r="L2057" s="65"/>
      <c r="M2057" s="65"/>
      <c r="N2057" s="65"/>
    </row>
    <row r="2058" spans="1:14" s="54" customFormat="1" ht="19.8" x14ac:dyDescent="0.4">
      <c r="A2058" s="53"/>
      <c r="B2058" s="53"/>
      <c r="C2058" s="225"/>
      <c r="D2058" s="53"/>
      <c r="E2058" s="53"/>
      <c r="F2058" s="53"/>
      <c r="G2058" s="53"/>
      <c r="H2058" s="53"/>
      <c r="I2058" s="53"/>
      <c r="J2058" s="132"/>
      <c r="K2058" s="868"/>
      <c r="L2058" s="65"/>
      <c r="M2058" s="65"/>
      <c r="N2058" s="65"/>
    </row>
    <row r="2059" spans="1:14" s="54" customFormat="1" ht="19.8" x14ac:dyDescent="0.4">
      <c r="A2059" s="53"/>
      <c r="B2059" s="53"/>
      <c r="C2059" s="225"/>
      <c r="D2059" s="53"/>
      <c r="E2059" s="53"/>
      <c r="F2059" s="53"/>
      <c r="G2059" s="53"/>
      <c r="H2059" s="53"/>
      <c r="I2059" s="53"/>
      <c r="J2059" s="132"/>
      <c r="K2059" s="868"/>
      <c r="L2059" s="65"/>
      <c r="M2059" s="65"/>
      <c r="N2059" s="65"/>
    </row>
    <row r="2060" spans="1:14" s="54" customFormat="1" ht="19.8" x14ac:dyDescent="0.4">
      <c r="A2060" s="50" t="s">
        <v>283</v>
      </c>
      <c r="B2060" s="1032" t="s">
        <v>699</v>
      </c>
      <c r="C2060" s="1032"/>
      <c r="D2060" s="1032"/>
      <c r="E2060" s="52">
        <f>G2109</f>
        <v>150</v>
      </c>
      <c r="F2060" s="52" t="s">
        <v>971</v>
      </c>
      <c r="G2060" s="53"/>
      <c r="H2060" s="124"/>
      <c r="I2060" s="125" t="s">
        <v>1023</v>
      </c>
      <c r="J2060" s="132"/>
      <c r="K2060" s="868"/>
      <c r="L2060" s="65"/>
      <c r="M2060" s="65"/>
      <c r="N2060" s="65"/>
    </row>
    <row r="2061" spans="1:14" ht="18.600000000000001" x14ac:dyDescent="0.3">
      <c r="I2061" s="125" t="s">
        <v>284</v>
      </c>
    </row>
    <row r="2062" spans="1:14" x14ac:dyDescent="0.3">
      <c r="B2062" s="1018" t="s">
        <v>932</v>
      </c>
      <c r="C2062" s="1018"/>
      <c r="D2062" s="10"/>
      <c r="E2062" s="11">
        <f>E2069+E2072+E2070</f>
        <v>31.78</v>
      </c>
      <c r="F2062" s="12" t="s">
        <v>971</v>
      </c>
    </row>
    <row r="2064" spans="1:14" ht="27.6" x14ac:dyDescent="0.3">
      <c r="B2064" s="13" t="s">
        <v>929</v>
      </c>
      <c r="C2064" s="14" t="s">
        <v>928</v>
      </c>
      <c r="D2064" s="14" t="s">
        <v>514</v>
      </c>
      <c r="E2064" s="14" t="s">
        <v>515</v>
      </c>
      <c r="F2064" s="14" t="s">
        <v>962</v>
      </c>
      <c r="G2064" s="14" t="s">
        <v>926</v>
      </c>
      <c r="H2064" s="14" t="s">
        <v>516</v>
      </c>
      <c r="I2064" s="14" t="s">
        <v>961</v>
      </c>
    </row>
    <row r="2065" spans="1:14" x14ac:dyDescent="0.3">
      <c r="B2065" s="16" t="str">
        <f>B2013</f>
        <v>Лікар-рентгенолог</v>
      </c>
      <c r="C2065" s="78">
        <f>C2013</f>
        <v>8463.5400000000009</v>
      </c>
      <c r="D2065" s="16">
        <f>C2065*12</f>
        <v>101562.48000000001</v>
      </c>
      <c r="E2065" s="16">
        <f>E2013</f>
        <v>7052.95</v>
      </c>
      <c r="F2065" s="16">
        <f>F2013</f>
        <v>3526.4749999999999</v>
      </c>
      <c r="G2065" s="16">
        <f>D2065+E2065+F2065</f>
        <v>112141.90500000001</v>
      </c>
      <c r="H2065" s="17">
        <v>1932.7</v>
      </c>
      <c r="I2065" s="16">
        <f>ROUND((G2065/H2065)/60,2)</f>
        <v>0.97</v>
      </c>
    </row>
    <row r="2066" spans="1:14" x14ac:dyDescent="0.3">
      <c r="B2066" s="16" t="str">
        <f>B2014</f>
        <v>Рентгенолаборант</v>
      </c>
      <c r="C2066" s="78">
        <f>C2014</f>
        <v>7482.48</v>
      </c>
      <c r="D2066" s="24">
        <f>C2066*12</f>
        <v>89789.759999999995</v>
      </c>
      <c r="E2066" s="16">
        <f>E2014</f>
        <v>5755.75</v>
      </c>
      <c r="F2066" s="16">
        <f>F2014</f>
        <v>2877.875</v>
      </c>
      <c r="G2066" s="16">
        <f>D2066+E2066+F2066</f>
        <v>98423.384999999995</v>
      </c>
      <c r="H2066" s="62">
        <v>1506</v>
      </c>
      <c r="I2066" s="16">
        <f>ROUND((G2066/H2066)/60,2)</f>
        <v>1.0900000000000001</v>
      </c>
    </row>
    <row r="2068" spans="1:14" ht="27.6" x14ac:dyDescent="0.3">
      <c r="B2068" s="13" t="s">
        <v>929</v>
      </c>
      <c r="C2068" s="14" t="s">
        <v>961</v>
      </c>
      <c r="D2068" s="14" t="s">
        <v>930</v>
      </c>
      <c r="E2068" s="14" t="s">
        <v>931</v>
      </c>
    </row>
    <row r="2069" spans="1:14" x14ac:dyDescent="0.3">
      <c r="B2069" s="15" t="str">
        <f>B2065</f>
        <v>Лікар-рентгенолог</v>
      </c>
      <c r="C2069" s="78">
        <f>I2065</f>
        <v>0.97</v>
      </c>
      <c r="D2069" s="17">
        <v>10</v>
      </c>
      <c r="E2069" s="18">
        <f>ROUND(C2069*D2069,2)</f>
        <v>9.6999999999999993</v>
      </c>
    </row>
    <row r="2070" spans="1:14" x14ac:dyDescent="0.3">
      <c r="B2070" s="15" t="str">
        <f>B2066</f>
        <v>Рентгенолаборант</v>
      </c>
      <c r="C2070" s="78">
        <f>I2066</f>
        <v>1.0900000000000001</v>
      </c>
      <c r="D2070" s="17">
        <v>15</v>
      </c>
      <c r="E2070" s="18">
        <f>ROUND(C2070*D2070,2)</f>
        <v>16.350000000000001</v>
      </c>
    </row>
    <row r="2071" spans="1:14" x14ac:dyDescent="0.3">
      <c r="C2071" s="19"/>
    </row>
    <row r="2072" spans="1:14" x14ac:dyDescent="0.3">
      <c r="B2072" s="17" t="s">
        <v>933</v>
      </c>
      <c r="C2072" s="78">
        <f>E2069+E2070</f>
        <v>26.05</v>
      </c>
      <c r="D2072" s="20">
        <v>0.22</v>
      </c>
      <c r="E2072" s="21">
        <f>ROUND(C2072*D2072,2)</f>
        <v>5.73</v>
      </c>
    </row>
    <row r="2074" spans="1:14" x14ac:dyDescent="0.3">
      <c r="B2074" s="12" t="s">
        <v>946</v>
      </c>
      <c r="C2074" s="227"/>
      <c r="D2074" s="12"/>
      <c r="E2074" s="11">
        <f>F2083</f>
        <v>66.239999999999995</v>
      </c>
      <c r="F2074" s="12" t="s">
        <v>971</v>
      </c>
    </row>
    <row r="2076" spans="1:14" x14ac:dyDescent="0.3">
      <c r="B2076" s="27" t="s">
        <v>936</v>
      </c>
      <c r="C2076" s="28" t="s">
        <v>937</v>
      </c>
      <c r="D2076" s="29">
        <v>1</v>
      </c>
      <c r="E2076" s="30">
        <f>'МЕДИЧНІ М'!F115</f>
        <v>0.3</v>
      </c>
      <c r="F2076" s="30">
        <f>ROUND(D2076*E2076,2)</f>
        <v>0.3</v>
      </c>
    </row>
    <row r="2077" spans="1:14" s="184" customFormat="1" x14ac:dyDescent="0.3">
      <c r="A2077" s="180"/>
      <c r="B2077" s="185" t="s">
        <v>1021</v>
      </c>
      <c r="C2077" s="186" t="s">
        <v>941</v>
      </c>
      <c r="D2077" s="164">
        <v>0.5</v>
      </c>
      <c r="E2077" s="164">
        <f>'МЕДИЧНІ М'!E181</f>
        <v>2</v>
      </c>
      <c r="F2077" s="164">
        <f t="shared" ref="F2077:F2082" si="68">ROUND(D2077*E2077,2)</f>
        <v>1</v>
      </c>
      <c r="G2077" s="180"/>
      <c r="H2077" s="180"/>
      <c r="I2077" s="180"/>
      <c r="J2077" s="187"/>
      <c r="K2077" s="866"/>
      <c r="L2077" s="861"/>
      <c r="M2077" s="861"/>
      <c r="N2077" s="861"/>
    </row>
    <row r="2078" spans="1:14" x14ac:dyDescent="0.3">
      <c r="B2078" s="15" t="s">
        <v>1216</v>
      </c>
      <c r="C2078" s="73" t="s">
        <v>941</v>
      </c>
      <c r="D2078" s="17">
        <v>0.1</v>
      </c>
      <c r="E2078" s="16">
        <f>'МЕДИЧНІ М'!E113</f>
        <v>8</v>
      </c>
      <c r="F2078" s="17">
        <f t="shared" si="68"/>
        <v>0.8</v>
      </c>
    </row>
    <row r="2079" spans="1:14" x14ac:dyDescent="0.3">
      <c r="B2079" s="15" t="str">
        <f>'МЕДИЧНІ М'!B327</f>
        <v>Суха медична плівка 35*43*100</v>
      </c>
      <c r="C2079" s="73" t="s">
        <v>941</v>
      </c>
      <c r="D2079" s="17">
        <v>4</v>
      </c>
      <c r="E2079" s="16">
        <f>'МЕДИЧНІ М'!F327</f>
        <v>15.841125</v>
      </c>
      <c r="F2079" s="17">
        <f t="shared" si="68"/>
        <v>63.36</v>
      </c>
    </row>
    <row r="2080" spans="1:14" s="7" customFormat="1" ht="13.8" x14ac:dyDescent="0.25">
      <c r="B2080" s="15" t="s">
        <v>964</v>
      </c>
      <c r="C2080" s="73" t="s">
        <v>941</v>
      </c>
      <c r="D2080" s="17">
        <v>0.1</v>
      </c>
      <c r="E2080" s="16">
        <f>'МЕДИЧНІ М'!E119</f>
        <v>2.8</v>
      </c>
      <c r="F2080" s="17">
        <f t="shared" si="68"/>
        <v>0.28000000000000003</v>
      </c>
      <c r="J2080" s="130"/>
      <c r="K2080" s="868"/>
      <c r="L2080" s="65"/>
      <c r="M2080" s="65"/>
      <c r="N2080" s="65"/>
    </row>
    <row r="2081" spans="2:14" s="7" customFormat="1" ht="13.8" x14ac:dyDescent="0.25">
      <c r="B2081" s="27" t="s">
        <v>942</v>
      </c>
      <c r="C2081" s="28" t="s">
        <v>941</v>
      </c>
      <c r="D2081" s="29">
        <v>0.01</v>
      </c>
      <c r="E2081" s="29">
        <f>'МЕДИЧНІ М'!E120</f>
        <v>24.6</v>
      </c>
      <c r="F2081" s="30">
        <f t="shared" si="68"/>
        <v>0.25</v>
      </c>
      <c r="J2081" s="130"/>
      <c r="K2081" s="868"/>
      <c r="L2081" s="65"/>
      <c r="M2081" s="65"/>
      <c r="N2081" s="65"/>
    </row>
    <row r="2082" spans="2:14" s="7" customFormat="1" ht="13.8" x14ac:dyDescent="0.25">
      <c r="B2082" s="27" t="s">
        <v>1124</v>
      </c>
      <c r="C2082" s="28" t="s">
        <v>944</v>
      </c>
      <c r="D2082" s="29">
        <v>0.5</v>
      </c>
      <c r="E2082" s="29">
        <f>'МЕДИЧНІ М'!E114</f>
        <v>0.5</v>
      </c>
      <c r="F2082" s="30">
        <f t="shared" si="68"/>
        <v>0.25</v>
      </c>
      <c r="J2082" s="130"/>
      <c r="K2082" s="868"/>
      <c r="L2082" s="65"/>
      <c r="M2082" s="65"/>
      <c r="N2082" s="65"/>
    </row>
    <row r="2083" spans="2:14" s="7" customFormat="1" ht="13.8" x14ac:dyDescent="0.25">
      <c r="B2083" s="1019" t="s">
        <v>945</v>
      </c>
      <c r="C2083" s="1019"/>
      <c r="D2083" s="1019"/>
      <c r="E2083" s="1019"/>
      <c r="F2083" s="89">
        <f>SUM(F2076:F2082)</f>
        <v>66.239999999999995</v>
      </c>
      <c r="J2083" s="130"/>
      <c r="K2083" s="868"/>
      <c r="L2083" s="65"/>
      <c r="M2083" s="65"/>
      <c r="N2083" s="65"/>
    </row>
    <row r="2084" spans="2:14" s="7" customFormat="1" ht="4.5" customHeight="1" x14ac:dyDescent="0.25">
      <c r="C2084" s="74"/>
      <c r="J2084" s="130"/>
      <c r="K2084" s="868"/>
      <c r="L2084" s="65"/>
      <c r="M2084" s="65"/>
      <c r="N2084" s="65"/>
    </row>
    <row r="2085" spans="2:14" s="7" customFormat="1" ht="13.8" x14ac:dyDescent="0.25">
      <c r="B2085" s="12" t="s">
        <v>968</v>
      </c>
      <c r="C2085" s="227"/>
      <c r="D2085" s="12"/>
      <c r="E2085" s="11">
        <f>SUM(G2088:G2089)</f>
        <v>48.15</v>
      </c>
      <c r="F2085" s="12" t="s">
        <v>971</v>
      </c>
      <c r="J2085" s="130"/>
      <c r="K2085" s="868"/>
      <c r="L2085" s="65"/>
      <c r="M2085" s="65"/>
      <c r="N2085" s="65"/>
    </row>
    <row r="2086" spans="2:14" s="7" customFormat="1" ht="8.25" customHeight="1" x14ac:dyDescent="0.25">
      <c r="B2086" s="22"/>
      <c r="C2086" s="36"/>
      <c r="D2086" s="22"/>
      <c r="E2086" s="23"/>
      <c r="F2086" s="22"/>
      <c r="J2086" s="130"/>
      <c r="K2086" s="868"/>
      <c r="L2086" s="65"/>
      <c r="M2086" s="65"/>
      <c r="N2086" s="65"/>
    </row>
    <row r="2087" spans="2:14" s="7" customFormat="1" ht="27.6" x14ac:dyDescent="0.25">
      <c r="B2087" s="14" t="s">
        <v>513</v>
      </c>
      <c r="C2087" s="14" t="s">
        <v>1108</v>
      </c>
      <c r="D2087" s="14" t="s">
        <v>516</v>
      </c>
      <c r="E2087" s="14" t="s">
        <v>970</v>
      </c>
      <c r="F2087" s="14" t="s">
        <v>930</v>
      </c>
      <c r="G2087" s="14" t="s">
        <v>961</v>
      </c>
      <c r="J2087" s="130"/>
      <c r="K2087" s="868"/>
      <c r="L2087" s="65"/>
      <c r="M2087" s="65"/>
      <c r="N2087" s="65"/>
    </row>
    <row r="2088" spans="2:14" s="7" customFormat="1" ht="13.8" x14ac:dyDescent="0.25">
      <c r="B2088" s="46" t="s">
        <v>1161</v>
      </c>
      <c r="C2088" s="78">
        <f>C2036</f>
        <v>0</v>
      </c>
      <c r="D2088" s="62">
        <f>H2065</f>
        <v>1932.7</v>
      </c>
      <c r="E2088" s="17">
        <f>ROUND((C2088/D2088)/60,2)</f>
        <v>0</v>
      </c>
      <c r="F2088" s="17">
        <f>D2069</f>
        <v>10</v>
      </c>
      <c r="G2088" s="16">
        <f>ROUND(E2088*F2088,2)</f>
        <v>0</v>
      </c>
      <c r="J2088" s="130"/>
      <c r="K2088" s="868"/>
      <c r="L2088" s="65"/>
      <c r="M2088" s="65"/>
      <c r="N2088" s="65"/>
    </row>
    <row r="2089" spans="2:14" s="7" customFormat="1" ht="13.8" x14ac:dyDescent="0.25">
      <c r="B2089" s="27" t="s">
        <v>1093</v>
      </c>
      <c r="C2089" s="78">
        <f>C2037</f>
        <v>290000</v>
      </c>
      <c r="D2089" s="62">
        <f>H2066</f>
        <v>1506</v>
      </c>
      <c r="E2089" s="17">
        <f>ROUND((C2089/D2089)/60,2)</f>
        <v>3.21</v>
      </c>
      <c r="F2089" s="17">
        <f>D2070</f>
        <v>15</v>
      </c>
      <c r="G2089" s="16">
        <f>ROUND(E2089*F2089,2)</f>
        <v>48.15</v>
      </c>
      <c r="H2089" s="38"/>
      <c r="J2089" s="130"/>
      <c r="K2089" s="868"/>
      <c r="L2089" s="65"/>
      <c r="M2089" s="65"/>
      <c r="N2089" s="65"/>
    </row>
    <row r="2090" spans="2:14" s="7" customFormat="1" ht="4.5" customHeight="1" x14ac:dyDescent="0.25">
      <c r="C2090" s="74"/>
      <c r="J2090" s="130"/>
      <c r="K2090" s="868"/>
      <c r="L2090" s="65"/>
      <c r="M2090" s="65"/>
      <c r="N2090" s="65"/>
    </row>
    <row r="2091" spans="2:14" s="7" customFormat="1" ht="13.8" x14ac:dyDescent="0.25">
      <c r="B2091" s="12" t="s">
        <v>948</v>
      </c>
      <c r="C2091" s="227"/>
      <c r="D2091" s="12"/>
      <c r="E2091" s="11">
        <f>G2104</f>
        <v>3.45</v>
      </c>
      <c r="F2091" s="12" t="s">
        <v>971</v>
      </c>
      <c r="J2091" s="130"/>
      <c r="K2091" s="868"/>
      <c r="L2091" s="65"/>
      <c r="M2091" s="65"/>
      <c r="N2091" s="65"/>
    </row>
    <row r="2092" spans="2:14" s="7" customFormat="1" ht="13.8" x14ac:dyDescent="0.25">
      <c r="B2092" s="22"/>
      <c r="C2092" s="36"/>
      <c r="D2092" s="22"/>
      <c r="E2092" s="23"/>
      <c r="J2092" s="130"/>
      <c r="K2092" s="868"/>
      <c r="L2092" s="65"/>
      <c r="M2092" s="65"/>
      <c r="N2092" s="65"/>
    </row>
    <row r="2093" spans="2:14" s="7" customFormat="1" ht="27.6" x14ac:dyDescent="0.25">
      <c r="B2093" s="14" t="s">
        <v>948</v>
      </c>
      <c r="C2093" s="14" t="s">
        <v>1110</v>
      </c>
      <c r="D2093" s="14" t="s">
        <v>516</v>
      </c>
      <c r="E2093" s="14" t="s">
        <v>954</v>
      </c>
      <c r="F2093" s="14" t="s">
        <v>930</v>
      </c>
      <c r="G2093" s="14" t="s">
        <v>1111</v>
      </c>
      <c r="J2093" s="130"/>
      <c r="K2093" s="868"/>
      <c r="L2093" s="65"/>
      <c r="M2093" s="65"/>
      <c r="N2093" s="65"/>
    </row>
    <row r="2094" spans="2:14" s="7" customFormat="1" ht="13.8" x14ac:dyDescent="0.25">
      <c r="B2094" s="1009" t="str">
        <f>B2065</f>
        <v>Лікар-рентгенолог</v>
      </c>
      <c r="C2094" s="1010"/>
      <c r="D2094" s="1010"/>
      <c r="E2094" s="1010"/>
      <c r="F2094" s="1010"/>
      <c r="G2094" s="1011"/>
      <c r="J2094" s="130"/>
      <c r="K2094" s="868"/>
      <c r="L2094" s="65"/>
      <c r="M2094" s="65"/>
      <c r="N2094" s="65"/>
    </row>
    <row r="2095" spans="2:14" x14ac:dyDescent="0.3">
      <c r="B2095" s="17" t="s">
        <v>951</v>
      </c>
      <c r="C2095" s="221">
        <f>C2043</f>
        <v>12188.608008565312</v>
      </c>
      <c r="D2095" s="17">
        <f>H2065</f>
        <v>1932.7</v>
      </c>
      <c r="E2095" s="17">
        <f>ROUND((C2095/D2095)/60,2)</f>
        <v>0.11</v>
      </c>
      <c r="F2095" s="17">
        <f>D2069</f>
        <v>10</v>
      </c>
      <c r="G2095" s="16">
        <f>ROUND(E2095*F2095,2)</f>
        <v>1.1000000000000001</v>
      </c>
    </row>
    <row r="2096" spans="2:14" x14ac:dyDescent="0.3">
      <c r="B2096" s="17" t="s">
        <v>952</v>
      </c>
      <c r="C2096" s="221">
        <f>C2044</f>
        <v>53.149721627408987</v>
      </c>
      <c r="D2096" s="17">
        <f>H2065</f>
        <v>1932.7</v>
      </c>
      <c r="E2096" s="17">
        <f>ROUND((C2096/D2096)/60,2)</f>
        <v>0</v>
      </c>
      <c r="F2096" s="17">
        <f>D2069</f>
        <v>10</v>
      </c>
      <c r="G2096" s="16">
        <f>ROUND(E2096*F2096,2)</f>
        <v>0</v>
      </c>
    </row>
    <row r="2097" spans="1:14" x14ac:dyDescent="0.3">
      <c r="B2097" s="17" t="s">
        <v>953</v>
      </c>
      <c r="C2097" s="221">
        <f>C2045</f>
        <v>374.98368308351178</v>
      </c>
      <c r="D2097" s="17">
        <f>H2065</f>
        <v>1932.7</v>
      </c>
      <c r="E2097" s="17">
        <f>ROUND((C2097/D2097)/60,2)</f>
        <v>0</v>
      </c>
      <c r="F2097" s="17">
        <f>D2069</f>
        <v>10</v>
      </c>
      <c r="G2097" s="16">
        <f>ROUND(E2097*F2097,2)</f>
        <v>0</v>
      </c>
    </row>
    <row r="2098" spans="1:14" x14ac:dyDescent="0.3">
      <c r="B2098" s="17" t="s">
        <v>1109</v>
      </c>
      <c r="C2098" s="221">
        <f>C2046</f>
        <v>1686.0389293361886</v>
      </c>
      <c r="D2098" s="17">
        <f>H2065</f>
        <v>1932.7</v>
      </c>
      <c r="E2098" s="17">
        <f>ROUND((C2098/D2098)/60,2)</f>
        <v>0.01</v>
      </c>
      <c r="F2098" s="17">
        <f>D2069</f>
        <v>10</v>
      </c>
      <c r="G2098" s="16">
        <f>ROUND(E2098*F2098,2)</f>
        <v>0.1</v>
      </c>
    </row>
    <row r="2099" spans="1:14" x14ac:dyDescent="0.3">
      <c r="B2099" s="1009" t="str">
        <f>B2066</f>
        <v>Рентгенолаборант</v>
      </c>
      <c r="C2099" s="1010"/>
      <c r="D2099" s="1010"/>
      <c r="E2099" s="1010"/>
      <c r="F2099" s="1010"/>
      <c r="G2099" s="1011"/>
    </row>
    <row r="2100" spans="1:14" x14ac:dyDescent="0.3">
      <c r="B2100" s="17" t="s">
        <v>951</v>
      </c>
      <c r="C2100" s="221">
        <f>C2095</f>
        <v>12188.608008565312</v>
      </c>
      <c r="D2100" s="17">
        <f>H2066</f>
        <v>1506</v>
      </c>
      <c r="E2100" s="17">
        <f>ROUND((C2100/D2100)/60,2)</f>
        <v>0.13</v>
      </c>
      <c r="F2100" s="17">
        <f>D2070</f>
        <v>15</v>
      </c>
      <c r="G2100" s="16">
        <f>ROUND(E2100*F2100,2)</f>
        <v>1.95</v>
      </c>
    </row>
    <row r="2101" spans="1:14" x14ac:dyDescent="0.3">
      <c r="B2101" s="17" t="s">
        <v>952</v>
      </c>
      <c r="C2101" s="221">
        <f>C2096</f>
        <v>53.149721627408987</v>
      </c>
      <c r="D2101" s="17">
        <f>H2066</f>
        <v>1506</v>
      </c>
      <c r="E2101" s="17">
        <f>ROUND((C2101/D2101)/60,2)</f>
        <v>0</v>
      </c>
      <c r="F2101" s="17">
        <f>D2070</f>
        <v>15</v>
      </c>
      <c r="G2101" s="16">
        <f>ROUND(E2101*F2101,2)</f>
        <v>0</v>
      </c>
    </row>
    <row r="2102" spans="1:14" x14ac:dyDescent="0.3">
      <c r="B2102" s="17" t="s">
        <v>953</v>
      </c>
      <c r="C2102" s="221">
        <f>C2097</f>
        <v>374.98368308351178</v>
      </c>
      <c r="D2102" s="17">
        <f>H2066</f>
        <v>1506</v>
      </c>
      <c r="E2102" s="17">
        <f>ROUND((C2102/D2102)/60,2)</f>
        <v>0</v>
      </c>
      <c r="F2102" s="17">
        <f>D2070</f>
        <v>15</v>
      </c>
      <c r="G2102" s="16">
        <f>ROUND(E2102*F2102,2)</f>
        <v>0</v>
      </c>
    </row>
    <row r="2103" spans="1:14" x14ac:dyDescent="0.3">
      <c r="B2103" s="17" t="s">
        <v>1109</v>
      </c>
      <c r="C2103" s="221">
        <f>C2098</f>
        <v>1686.0389293361886</v>
      </c>
      <c r="D2103" s="17">
        <f>H2066</f>
        <v>1506</v>
      </c>
      <c r="E2103" s="17">
        <f>ROUND((C2103/D2103)/60,2)</f>
        <v>0.02</v>
      </c>
      <c r="F2103" s="17">
        <f>D2070</f>
        <v>15</v>
      </c>
      <c r="G2103" s="16">
        <f>ROUND(E2103*F2103,2)</f>
        <v>0.3</v>
      </c>
    </row>
    <row r="2104" spans="1:14" x14ac:dyDescent="0.3">
      <c r="B2104" s="1012" t="s">
        <v>957</v>
      </c>
      <c r="C2104" s="1013"/>
      <c r="D2104" s="1013"/>
      <c r="E2104" s="1013"/>
      <c r="F2104" s="1014"/>
      <c r="G2104" s="18">
        <f>SUM(G2095:G2103)</f>
        <v>3.45</v>
      </c>
    </row>
    <row r="2105" spans="1:14" ht="9" customHeight="1" x14ac:dyDescent="0.3"/>
    <row r="2107" spans="1:14" x14ac:dyDescent="0.3">
      <c r="B2107" s="1015" t="s">
        <v>959</v>
      </c>
      <c r="C2107" s="1015"/>
      <c r="D2107" s="1015"/>
      <c r="E2107" s="1015"/>
      <c r="F2107" s="1015"/>
      <c r="G2107" s="32">
        <f>E2062+E2074+E2085+E2091</f>
        <v>149.61999999999998</v>
      </c>
    </row>
    <row r="2108" spans="1:14" ht="12.75" customHeight="1" x14ac:dyDescent="0.3">
      <c r="B2108" s="33"/>
      <c r="C2108" s="33"/>
      <c r="D2108" s="33"/>
      <c r="E2108" s="33"/>
      <c r="F2108" s="33"/>
      <c r="G2108" s="34"/>
    </row>
    <row r="2109" spans="1:14" s="54" customFormat="1" ht="19.8" x14ac:dyDescent="0.4">
      <c r="A2109" s="53"/>
      <c r="B2109" s="1051" t="s">
        <v>960</v>
      </c>
      <c r="C2109" s="1051"/>
      <c r="D2109" s="1051"/>
      <c r="E2109" s="1051"/>
      <c r="F2109" s="1051"/>
      <c r="G2109" s="32">
        <f>ROUND(G2107,0)</f>
        <v>150</v>
      </c>
      <c r="H2109" s="53"/>
      <c r="I2109" s="53"/>
      <c r="J2109" s="132"/>
      <c r="K2109" s="868"/>
      <c r="L2109" s="65"/>
      <c r="M2109" s="65"/>
      <c r="N2109" s="65"/>
    </row>
    <row r="2110" spans="1:14" s="54" customFormat="1" ht="19.8" x14ac:dyDescent="0.4">
      <c r="A2110" s="53"/>
      <c r="B2110" s="53"/>
      <c r="C2110" s="225"/>
      <c r="D2110" s="53"/>
      <c r="E2110" s="53"/>
      <c r="F2110" s="53"/>
      <c r="G2110" s="53"/>
      <c r="H2110" s="53"/>
      <c r="I2110" s="53"/>
      <c r="J2110" s="132"/>
      <c r="K2110" s="868"/>
      <c r="L2110" s="65"/>
      <c r="M2110" s="65"/>
      <c r="N2110" s="65"/>
    </row>
    <row r="2111" spans="1:14" s="54" customFormat="1" ht="19.8" x14ac:dyDescent="0.4">
      <c r="A2111" s="50" t="s">
        <v>285</v>
      </c>
      <c r="B2111" s="1032" t="s">
        <v>699</v>
      </c>
      <c r="C2111" s="1032"/>
      <c r="D2111" s="1032"/>
      <c r="E2111" s="52">
        <f>G2159</f>
        <v>86</v>
      </c>
      <c r="F2111" s="52" t="s">
        <v>971</v>
      </c>
      <c r="G2111" s="53"/>
      <c r="H2111" s="124"/>
      <c r="I2111" s="125" t="s">
        <v>1128</v>
      </c>
      <c r="J2111" s="132"/>
      <c r="K2111" s="868"/>
      <c r="L2111" s="65"/>
      <c r="M2111" s="65"/>
      <c r="N2111" s="65"/>
    </row>
    <row r="2113" spans="1:14" x14ac:dyDescent="0.3">
      <c r="B2113" s="1018" t="s">
        <v>932</v>
      </c>
      <c r="C2113" s="1018"/>
      <c r="D2113" s="10"/>
      <c r="E2113" s="11">
        <f>E2120+E2123+E2121</f>
        <v>31.78</v>
      </c>
      <c r="F2113" s="12" t="s">
        <v>971</v>
      </c>
    </row>
    <row r="2115" spans="1:14" ht="27.6" x14ac:dyDescent="0.3">
      <c r="B2115" s="13" t="s">
        <v>929</v>
      </c>
      <c r="C2115" s="14" t="s">
        <v>928</v>
      </c>
      <c r="D2115" s="14" t="s">
        <v>514</v>
      </c>
      <c r="E2115" s="14" t="s">
        <v>515</v>
      </c>
      <c r="F2115" s="14" t="s">
        <v>962</v>
      </c>
      <c r="G2115" s="14" t="s">
        <v>926</v>
      </c>
      <c r="H2115" s="14" t="s">
        <v>516</v>
      </c>
      <c r="I2115" s="14" t="s">
        <v>961</v>
      </c>
    </row>
    <row r="2116" spans="1:14" x14ac:dyDescent="0.3">
      <c r="B2116" s="16" t="str">
        <f>B2065</f>
        <v>Лікар-рентгенолог</v>
      </c>
      <c r="C2116" s="78">
        <f>C2065</f>
        <v>8463.5400000000009</v>
      </c>
      <c r="D2116" s="16">
        <f>C2116*12</f>
        <v>101562.48000000001</v>
      </c>
      <c r="E2116" s="16">
        <f>E2065</f>
        <v>7052.95</v>
      </c>
      <c r="F2116" s="16">
        <f>F2065</f>
        <v>3526.4749999999999</v>
      </c>
      <c r="G2116" s="16">
        <f>D2116+E2116+F2116</f>
        <v>112141.90500000001</v>
      </c>
      <c r="H2116" s="17">
        <v>1932.7</v>
      </c>
      <c r="I2116" s="16">
        <f>ROUND((G2116/H2116)/60,2)</f>
        <v>0.97</v>
      </c>
    </row>
    <row r="2117" spans="1:14" x14ac:dyDescent="0.3">
      <c r="B2117" s="16" t="str">
        <f>B2066</f>
        <v>Рентгенолаборант</v>
      </c>
      <c r="C2117" s="78">
        <f>C2066</f>
        <v>7482.48</v>
      </c>
      <c r="D2117" s="24">
        <f>C2117*12</f>
        <v>89789.759999999995</v>
      </c>
      <c r="E2117" s="16">
        <f>E2066</f>
        <v>5755.75</v>
      </c>
      <c r="F2117" s="16">
        <f>F2066</f>
        <v>2877.875</v>
      </c>
      <c r="G2117" s="16">
        <f>D2117+E2117+F2117</f>
        <v>98423.384999999995</v>
      </c>
      <c r="H2117" s="62">
        <v>1506</v>
      </c>
      <c r="I2117" s="16">
        <f>ROUND((G2117/H2117)/60,2)</f>
        <v>1.0900000000000001</v>
      </c>
    </row>
    <row r="2119" spans="1:14" ht="27.6" x14ac:dyDescent="0.3">
      <c r="B2119" s="13" t="s">
        <v>929</v>
      </c>
      <c r="C2119" s="14" t="s">
        <v>961</v>
      </c>
      <c r="D2119" s="14" t="s">
        <v>930</v>
      </c>
      <c r="E2119" s="14" t="s">
        <v>931</v>
      </c>
    </row>
    <row r="2120" spans="1:14" x14ac:dyDescent="0.3">
      <c r="B2120" s="15" t="str">
        <f>B2116</f>
        <v>Лікар-рентгенолог</v>
      </c>
      <c r="C2120" s="78">
        <f>I2116</f>
        <v>0.97</v>
      </c>
      <c r="D2120" s="17">
        <v>10</v>
      </c>
      <c r="E2120" s="18">
        <f>ROUND(C2120*D2120,2)</f>
        <v>9.6999999999999993</v>
      </c>
    </row>
    <row r="2121" spans="1:14" x14ac:dyDescent="0.3">
      <c r="B2121" s="15" t="str">
        <f>B2117</f>
        <v>Рентгенолаборант</v>
      </c>
      <c r="C2121" s="78">
        <f>I2117</f>
        <v>1.0900000000000001</v>
      </c>
      <c r="D2121" s="17">
        <v>15</v>
      </c>
      <c r="E2121" s="18">
        <f>ROUND(C2121*D2121,2)</f>
        <v>16.350000000000001</v>
      </c>
    </row>
    <row r="2122" spans="1:14" x14ac:dyDescent="0.3">
      <c r="C2122" s="19"/>
    </row>
    <row r="2123" spans="1:14" x14ac:dyDescent="0.3">
      <c r="B2123" s="17" t="s">
        <v>933</v>
      </c>
      <c r="C2123" s="78">
        <f>E2120+E2121</f>
        <v>26.05</v>
      </c>
      <c r="D2123" s="20">
        <v>0.22</v>
      </c>
      <c r="E2123" s="21">
        <f>ROUND(C2123*D2123,2)</f>
        <v>5.73</v>
      </c>
    </row>
    <row r="2125" spans="1:14" x14ac:dyDescent="0.3">
      <c r="B2125" s="12" t="s">
        <v>946</v>
      </c>
      <c r="C2125" s="227"/>
      <c r="D2125" s="12"/>
      <c r="E2125" s="11">
        <f>F2133</f>
        <v>2.88</v>
      </c>
      <c r="F2125" s="12" t="s">
        <v>971</v>
      </c>
    </row>
    <row r="2127" spans="1:14" x14ac:dyDescent="0.3">
      <c r="B2127" s="27" t="s">
        <v>936</v>
      </c>
      <c r="C2127" s="28" t="s">
        <v>937</v>
      </c>
      <c r="D2127" s="29">
        <v>1</v>
      </c>
      <c r="E2127" s="30">
        <f>'МЕДИЧНІ М'!F115</f>
        <v>0.3</v>
      </c>
      <c r="F2127" s="30">
        <f t="shared" ref="F2127:F2132" si="69">ROUND(D2127*E2127,2)</f>
        <v>0.3</v>
      </c>
    </row>
    <row r="2128" spans="1:14" s="184" customFormat="1" x14ac:dyDescent="0.3">
      <c r="A2128" s="180"/>
      <c r="B2128" s="185" t="s">
        <v>1021</v>
      </c>
      <c r="C2128" s="186" t="s">
        <v>941</v>
      </c>
      <c r="D2128" s="164">
        <v>0.5</v>
      </c>
      <c r="E2128" s="164">
        <f>'МЕДИЧНІ М'!E181</f>
        <v>2</v>
      </c>
      <c r="F2128" s="164">
        <f t="shared" si="69"/>
        <v>1</v>
      </c>
      <c r="G2128" s="180"/>
      <c r="H2128" s="180"/>
      <c r="I2128" s="180"/>
      <c r="J2128" s="187"/>
      <c r="K2128" s="866"/>
      <c r="L2128" s="861"/>
      <c r="M2128" s="861"/>
      <c r="N2128" s="861"/>
    </row>
    <row r="2129" spans="2:14" x14ac:dyDescent="0.3">
      <c r="B2129" s="15" t="s">
        <v>1216</v>
      </c>
      <c r="C2129" s="73" t="s">
        <v>941</v>
      </c>
      <c r="D2129" s="17">
        <v>0.1</v>
      </c>
      <c r="E2129" s="16">
        <f>'МЕДИЧНІ М'!E113</f>
        <v>8</v>
      </c>
      <c r="F2129" s="17">
        <f t="shared" si="69"/>
        <v>0.8</v>
      </c>
    </row>
    <row r="2130" spans="2:14" x14ac:dyDescent="0.3">
      <c r="B2130" s="15" t="s">
        <v>964</v>
      </c>
      <c r="C2130" s="73" t="s">
        <v>941</v>
      </c>
      <c r="D2130" s="17">
        <v>0.1</v>
      </c>
      <c r="E2130" s="16">
        <f>'МЕДИЧНІ М'!E119</f>
        <v>2.8</v>
      </c>
      <c r="F2130" s="17">
        <f t="shared" si="69"/>
        <v>0.28000000000000003</v>
      </c>
    </row>
    <row r="2131" spans="2:14" x14ac:dyDescent="0.3">
      <c r="B2131" s="27" t="s">
        <v>942</v>
      </c>
      <c r="C2131" s="28" t="s">
        <v>941</v>
      </c>
      <c r="D2131" s="29">
        <v>0.01</v>
      </c>
      <c r="E2131" s="29">
        <f>'МЕДИЧНІ М'!E120</f>
        <v>24.6</v>
      </c>
      <c r="F2131" s="30">
        <f t="shared" si="69"/>
        <v>0.25</v>
      </c>
    </row>
    <row r="2132" spans="2:14" x14ac:dyDescent="0.3">
      <c r="B2132" s="27" t="s">
        <v>1124</v>
      </c>
      <c r="C2132" s="28" t="s">
        <v>944</v>
      </c>
      <c r="D2132" s="29">
        <v>0.5</v>
      </c>
      <c r="E2132" s="29">
        <f>'МЕДИЧНІ М'!E114</f>
        <v>0.5</v>
      </c>
      <c r="F2132" s="30">
        <f t="shared" si="69"/>
        <v>0.25</v>
      </c>
    </row>
    <row r="2133" spans="2:14" x14ac:dyDescent="0.3">
      <c r="B2133" s="1019" t="s">
        <v>945</v>
      </c>
      <c r="C2133" s="1019"/>
      <c r="D2133" s="1019"/>
      <c r="E2133" s="1019"/>
      <c r="F2133" s="89">
        <f>SUM(F2127:F2132)</f>
        <v>2.88</v>
      </c>
    </row>
    <row r="2135" spans="2:14" x14ac:dyDescent="0.3">
      <c r="B2135" s="12" t="s">
        <v>968</v>
      </c>
      <c r="C2135" s="227"/>
      <c r="D2135" s="12"/>
      <c r="E2135" s="11">
        <f>SUM(G2138:G2139)</f>
        <v>48.15</v>
      </c>
      <c r="F2135" s="12" t="s">
        <v>971</v>
      </c>
    </row>
    <row r="2136" spans="2:14" x14ac:dyDescent="0.3">
      <c r="B2136" s="22"/>
      <c r="C2136" s="36"/>
      <c r="D2136" s="22"/>
      <c r="E2136" s="23"/>
      <c r="F2136" s="22"/>
    </row>
    <row r="2137" spans="2:14" ht="27.6" x14ac:dyDescent="0.3">
      <c r="B2137" s="14" t="s">
        <v>513</v>
      </c>
      <c r="C2137" s="14" t="s">
        <v>1108</v>
      </c>
      <c r="D2137" s="14" t="s">
        <v>516</v>
      </c>
      <c r="E2137" s="14" t="s">
        <v>970</v>
      </c>
      <c r="F2137" s="14" t="s">
        <v>930</v>
      </c>
      <c r="G2137" s="14" t="s">
        <v>961</v>
      </c>
    </row>
    <row r="2138" spans="2:14" x14ac:dyDescent="0.3">
      <c r="B2138" s="46" t="s">
        <v>1161</v>
      </c>
      <c r="C2138" s="78">
        <f>C2088</f>
        <v>0</v>
      </c>
      <c r="D2138" s="62">
        <f>H2116</f>
        <v>1932.7</v>
      </c>
      <c r="E2138" s="17">
        <f>ROUND((C2138/D2138)/60,2)</f>
        <v>0</v>
      </c>
      <c r="F2138" s="17">
        <f>D2120</f>
        <v>10</v>
      </c>
      <c r="G2138" s="16">
        <f>ROUND(E2138*F2138,2)</f>
        <v>0</v>
      </c>
    </row>
    <row r="2139" spans="2:14" x14ac:dyDescent="0.3">
      <c r="B2139" s="27" t="s">
        <v>1093</v>
      </c>
      <c r="C2139" s="78">
        <f>C2089</f>
        <v>290000</v>
      </c>
      <c r="D2139" s="62">
        <f>H2117</f>
        <v>1506</v>
      </c>
      <c r="E2139" s="17">
        <f>ROUND((C2139/D2139)/60,2)</f>
        <v>3.21</v>
      </c>
      <c r="F2139" s="17">
        <f>D2121</f>
        <v>15</v>
      </c>
      <c r="G2139" s="16">
        <f>ROUND(E2139*F2139,2)</f>
        <v>48.15</v>
      </c>
      <c r="H2139" s="38"/>
    </row>
    <row r="2141" spans="2:14" s="7" customFormat="1" ht="13.8" x14ac:dyDescent="0.25">
      <c r="B2141" s="12" t="s">
        <v>948</v>
      </c>
      <c r="C2141" s="227"/>
      <c r="D2141" s="12"/>
      <c r="E2141" s="11">
        <f>G2154</f>
        <v>3.45</v>
      </c>
      <c r="F2141" s="12" t="s">
        <v>971</v>
      </c>
      <c r="J2141" s="130"/>
      <c r="K2141" s="868"/>
      <c r="L2141" s="65"/>
      <c r="M2141" s="65"/>
      <c r="N2141" s="65"/>
    </row>
    <row r="2142" spans="2:14" s="7" customFormat="1" ht="13.8" x14ac:dyDescent="0.25">
      <c r="B2142" s="22"/>
      <c r="C2142" s="36"/>
      <c r="D2142" s="22"/>
      <c r="E2142" s="23"/>
      <c r="J2142" s="130"/>
      <c r="K2142" s="868"/>
      <c r="L2142" s="65"/>
      <c r="M2142" s="65"/>
      <c r="N2142" s="65"/>
    </row>
    <row r="2143" spans="2:14" s="7" customFormat="1" ht="27.6" x14ac:dyDescent="0.25">
      <c r="B2143" s="14" t="s">
        <v>948</v>
      </c>
      <c r="C2143" s="14" t="s">
        <v>1110</v>
      </c>
      <c r="D2143" s="14" t="s">
        <v>516</v>
      </c>
      <c r="E2143" s="14" t="s">
        <v>954</v>
      </c>
      <c r="F2143" s="14" t="s">
        <v>930</v>
      </c>
      <c r="G2143" s="14" t="s">
        <v>1111</v>
      </c>
      <c r="J2143" s="130"/>
      <c r="K2143" s="868"/>
      <c r="L2143" s="65"/>
      <c r="M2143" s="65"/>
      <c r="N2143" s="65"/>
    </row>
    <row r="2144" spans="2:14" s="7" customFormat="1" ht="13.8" x14ac:dyDescent="0.25">
      <c r="B2144" s="1009" t="str">
        <f>B2116</f>
        <v>Лікар-рентгенолог</v>
      </c>
      <c r="C2144" s="1010"/>
      <c r="D2144" s="1010"/>
      <c r="E2144" s="1010"/>
      <c r="F2144" s="1010"/>
      <c r="G2144" s="1011"/>
      <c r="J2144" s="130"/>
      <c r="K2144" s="868"/>
      <c r="L2144" s="65"/>
      <c r="M2144" s="65"/>
      <c r="N2144" s="65"/>
    </row>
    <row r="2145" spans="2:14" s="7" customFormat="1" ht="13.8" x14ac:dyDescent="0.25">
      <c r="B2145" s="17" t="s">
        <v>951</v>
      </c>
      <c r="C2145" s="221">
        <f>C2095</f>
        <v>12188.608008565312</v>
      </c>
      <c r="D2145" s="17">
        <f>H2116</f>
        <v>1932.7</v>
      </c>
      <c r="E2145" s="17">
        <f>ROUND((C2145/D2145)/60,2)</f>
        <v>0.11</v>
      </c>
      <c r="F2145" s="17">
        <f>D2120</f>
        <v>10</v>
      </c>
      <c r="G2145" s="16">
        <f>ROUND(E2145*F2145,2)</f>
        <v>1.1000000000000001</v>
      </c>
      <c r="J2145" s="130"/>
      <c r="K2145" s="868"/>
      <c r="L2145" s="65"/>
      <c r="M2145" s="65"/>
      <c r="N2145" s="65"/>
    </row>
    <row r="2146" spans="2:14" s="7" customFormat="1" ht="13.8" x14ac:dyDescent="0.25">
      <c r="B2146" s="17" t="s">
        <v>952</v>
      </c>
      <c r="C2146" s="221">
        <f>C2096</f>
        <v>53.149721627408987</v>
      </c>
      <c r="D2146" s="17">
        <f>H2116</f>
        <v>1932.7</v>
      </c>
      <c r="E2146" s="17">
        <f>ROUND((C2146/D2146)/60,2)</f>
        <v>0</v>
      </c>
      <c r="F2146" s="17">
        <f>D2120</f>
        <v>10</v>
      </c>
      <c r="G2146" s="16">
        <f>ROUND(E2146*F2146,2)</f>
        <v>0</v>
      </c>
      <c r="J2146" s="130"/>
      <c r="K2146" s="868"/>
      <c r="L2146" s="65"/>
      <c r="M2146" s="65"/>
      <c r="N2146" s="65"/>
    </row>
    <row r="2147" spans="2:14" s="7" customFormat="1" ht="13.8" x14ac:dyDescent="0.25">
      <c r="B2147" s="17" t="s">
        <v>953</v>
      </c>
      <c r="C2147" s="221">
        <f>C2097</f>
        <v>374.98368308351178</v>
      </c>
      <c r="D2147" s="17">
        <f>H2116</f>
        <v>1932.7</v>
      </c>
      <c r="E2147" s="17">
        <f>ROUND((C2147/D2147)/60,2)</f>
        <v>0</v>
      </c>
      <c r="F2147" s="17">
        <f>D2120</f>
        <v>10</v>
      </c>
      <c r="G2147" s="16">
        <f>ROUND(E2147*F2147,2)</f>
        <v>0</v>
      </c>
      <c r="J2147" s="130"/>
      <c r="K2147" s="868"/>
      <c r="L2147" s="65"/>
      <c r="M2147" s="65"/>
      <c r="N2147" s="65"/>
    </row>
    <row r="2148" spans="2:14" s="7" customFormat="1" ht="13.8" x14ac:dyDescent="0.25">
      <c r="B2148" s="17" t="s">
        <v>1109</v>
      </c>
      <c r="C2148" s="221">
        <f>C2098</f>
        <v>1686.0389293361886</v>
      </c>
      <c r="D2148" s="17">
        <f>H2116</f>
        <v>1932.7</v>
      </c>
      <c r="E2148" s="17">
        <f>ROUND((C2148/D2148)/60,2)</f>
        <v>0.01</v>
      </c>
      <c r="F2148" s="17">
        <f>D2120</f>
        <v>10</v>
      </c>
      <c r="G2148" s="16">
        <f>ROUND(E2148*F2148,2)</f>
        <v>0.1</v>
      </c>
      <c r="J2148" s="130"/>
      <c r="K2148" s="868"/>
      <c r="L2148" s="65"/>
      <c r="M2148" s="65"/>
      <c r="N2148" s="65"/>
    </row>
    <row r="2149" spans="2:14" s="7" customFormat="1" ht="13.8" x14ac:dyDescent="0.25">
      <c r="B2149" s="1009" t="str">
        <f>B2117</f>
        <v>Рентгенолаборант</v>
      </c>
      <c r="C2149" s="1010"/>
      <c r="D2149" s="1010"/>
      <c r="E2149" s="1010"/>
      <c r="F2149" s="1010"/>
      <c r="G2149" s="1011"/>
      <c r="J2149" s="130"/>
      <c r="K2149" s="868"/>
      <c r="L2149" s="65"/>
      <c r="M2149" s="65"/>
      <c r="N2149" s="65"/>
    </row>
    <row r="2150" spans="2:14" s="7" customFormat="1" ht="13.8" x14ac:dyDescent="0.25">
      <c r="B2150" s="17" t="s">
        <v>951</v>
      </c>
      <c r="C2150" s="221">
        <f>C2145</f>
        <v>12188.608008565312</v>
      </c>
      <c r="D2150" s="17">
        <f>H2117</f>
        <v>1506</v>
      </c>
      <c r="E2150" s="17">
        <f>ROUND((C2150/D2150)/60,2)</f>
        <v>0.13</v>
      </c>
      <c r="F2150" s="17">
        <f>D2121</f>
        <v>15</v>
      </c>
      <c r="G2150" s="16">
        <f>ROUND(E2150*F2150,2)</f>
        <v>1.95</v>
      </c>
      <c r="J2150" s="130"/>
      <c r="K2150" s="868"/>
      <c r="L2150" s="65"/>
      <c r="M2150" s="65"/>
      <c r="N2150" s="65"/>
    </row>
    <row r="2151" spans="2:14" s="7" customFormat="1" ht="13.8" x14ac:dyDescent="0.25">
      <c r="B2151" s="17" t="s">
        <v>952</v>
      </c>
      <c r="C2151" s="221">
        <f>C2146</f>
        <v>53.149721627408987</v>
      </c>
      <c r="D2151" s="17">
        <f>H2117</f>
        <v>1506</v>
      </c>
      <c r="E2151" s="17">
        <f>ROUND((C2151/D2151)/60,2)</f>
        <v>0</v>
      </c>
      <c r="F2151" s="17">
        <f>D2121</f>
        <v>15</v>
      </c>
      <c r="G2151" s="16">
        <f>ROUND(E2151*F2151,2)</f>
        <v>0</v>
      </c>
      <c r="J2151" s="130"/>
      <c r="K2151" s="868"/>
      <c r="L2151" s="65"/>
      <c r="M2151" s="65"/>
      <c r="N2151" s="65"/>
    </row>
    <row r="2152" spans="2:14" s="7" customFormat="1" ht="13.8" x14ac:dyDescent="0.25">
      <c r="B2152" s="17" t="s">
        <v>953</v>
      </c>
      <c r="C2152" s="221">
        <f>C2147</f>
        <v>374.98368308351178</v>
      </c>
      <c r="D2152" s="17">
        <f>H2117</f>
        <v>1506</v>
      </c>
      <c r="E2152" s="17">
        <f>ROUND((C2152/D2152)/60,2)</f>
        <v>0</v>
      </c>
      <c r="F2152" s="17">
        <f>D2121</f>
        <v>15</v>
      </c>
      <c r="G2152" s="16">
        <f>ROUND(E2152*F2152,2)</f>
        <v>0</v>
      </c>
      <c r="J2152" s="130"/>
      <c r="K2152" s="868"/>
      <c r="L2152" s="65"/>
      <c r="M2152" s="65"/>
      <c r="N2152" s="65"/>
    </row>
    <row r="2153" spans="2:14" s="7" customFormat="1" ht="13.8" x14ac:dyDescent="0.25">
      <c r="B2153" s="17" t="s">
        <v>1109</v>
      </c>
      <c r="C2153" s="221">
        <f>C2148</f>
        <v>1686.0389293361886</v>
      </c>
      <c r="D2153" s="17">
        <f>H2117</f>
        <v>1506</v>
      </c>
      <c r="E2153" s="17">
        <f>ROUND((C2153/D2153)/60,2)</f>
        <v>0.02</v>
      </c>
      <c r="F2153" s="17">
        <f>D2121</f>
        <v>15</v>
      </c>
      <c r="G2153" s="16">
        <f>ROUND(E2153*F2153,2)</f>
        <v>0.3</v>
      </c>
      <c r="J2153" s="130"/>
      <c r="K2153" s="868"/>
      <c r="L2153" s="65"/>
      <c r="M2153" s="65"/>
      <c r="N2153" s="65"/>
    </row>
    <row r="2154" spans="2:14" s="7" customFormat="1" ht="13.8" x14ac:dyDescent="0.25">
      <c r="B2154" s="1012" t="s">
        <v>957</v>
      </c>
      <c r="C2154" s="1013"/>
      <c r="D2154" s="1013"/>
      <c r="E2154" s="1013"/>
      <c r="F2154" s="1014"/>
      <c r="G2154" s="18">
        <f>SUM(G2145:G2153)</f>
        <v>3.45</v>
      </c>
      <c r="J2154" s="130"/>
      <c r="K2154" s="868"/>
      <c r="L2154" s="65"/>
      <c r="M2154" s="65"/>
      <c r="N2154" s="65"/>
    </row>
    <row r="2156" spans="2:14" s="7" customFormat="1" ht="0.75" customHeight="1" x14ac:dyDescent="0.25">
      <c r="C2156" s="74"/>
      <c r="J2156" s="130"/>
      <c r="K2156" s="868"/>
      <c r="L2156" s="65"/>
      <c r="M2156" s="65"/>
      <c r="N2156" s="65"/>
    </row>
    <row r="2157" spans="2:14" x14ac:dyDescent="0.3">
      <c r="B2157" s="1015" t="s">
        <v>959</v>
      </c>
      <c r="C2157" s="1015"/>
      <c r="D2157" s="1015"/>
      <c r="E2157" s="1015"/>
      <c r="F2157" s="1015"/>
      <c r="G2157" s="32">
        <f>E2113+E2125+E2135+E2141</f>
        <v>86.26</v>
      </c>
    </row>
    <row r="2158" spans="2:14" x14ac:dyDescent="0.3">
      <c r="B2158" s="33"/>
      <c r="C2158" s="33"/>
      <c r="D2158" s="33"/>
      <c r="E2158" s="33"/>
      <c r="F2158" s="33"/>
      <c r="G2158" s="34"/>
    </row>
    <row r="2159" spans="2:14" x14ac:dyDescent="0.3">
      <c r="B2159" s="1015" t="s">
        <v>960</v>
      </c>
      <c r="C2159" s="1015"/>
      <c r="D2159" s="1015"/>
      <c r="E2159" s="1015"/>
      <c r="F2159" s="1015"/>
      <c r="G2159" s="32">
        <f>ROUND(G2157,0)</f>
        <v>86</v>
      </c>
    </row>
    <row r="2161" spans="1:14" s="54" customFormat="1" ht="19.8" x14ac:dyDescent="0.4">
      <c r="A2161" s="1016"/>
      <c r="B2161" s="1016"/>
      <c r="C2161" s="1016"/>
      <c r="D2161" s="1016"/>
      <c r="E2161" s="1016"/>
      <c r="F2161" s="1016"/>
      <c r="G2161" s="1016"/>
      <c r="H2161" s="1016"/>
      <c r="I2161" s="1016"/>
      <c r="J2161" s="132"/>
      <c r="K2161" s="868"/>
      <c r="L2161" s="65"/>
      <c r="M2161" s="65"/>
      <c r="N2161" s="65"/>
    </row>
    <row r="2162" spans="1:14" s="54" customFormat="1" ht="19.8" x14ac:dyDescent="0.4">
      <c r="A2162" s="53"/>
      <c r="B2162" s="53"/>
      <c r="C2162" s="225"/>
      <c r="D2162" s="53"/>
      <c r="E2162" s="53"/>
      <c r="F2162" s="53"/>
      <c r="G2162" s="53"/>
      <c r="H2162" s="53"/>
      <c r="I2162" s="53"/>
      <c r="J2162" s="132"/>
      <c r="K2162" s="868"/>
      <c r="L2162" s="65"/>
      <c r="M2162" s="65"/>
      <c r="N2162" s="65"/>
    </row>
    <row r="2163" spans="1:14" s="54" customFormat="1" ht="35.25" customHeight="1" x14ac:dyDescent="0.4">
      <c r="A2163" s="50" t="s">
        <v>286</v>
      </c>
      <c r="B2163" s="1032" t="s">
        <v>700</v>
      </c>
      <c r="C2163" s="1032"/>
      <c r="D2163" s="1032"/>
      <c r="E2163" s="52">
        <f>G2212</f>
        <v>87</v>
      </c>
      <c r="F2163" s="52" t="s">
        <v>971</v>
      </c>
      <c r="G2163" s="53"/>
      <c r="H2163" s="124"/>
      <c r="I2163" s="125" t="s">
        <v>1022</v>
      </c>
      <c r="J2163" s="132"/>
      <c r="K2163" s="868"/>
      <c r="L2163" s="65"/>
      <c r="M2163" s="65"/>
      <c r="N2163" s="65"/>
    </row>
    <row r="2165" spans="1:14" x14ac:dyDescent="0.3">
      <c r="B2165" s="1018" t="s">
        <v>932</v>
      </c>
      <c r="C2165" s="1018"/>
      <c r="D2165" s="10"/>
      <c r="E2165" s="11">
        <f>E2172+E2175+E2173</f>
        <v>31.78</v>
      </c>
      <c r="F2165" s="12" t="s">
        <v>971</v>
      </c>
    </row>
    <row r="2167" spans="1:14" ht="27.6" x14ac:dyDescent="0.3">
      <c r="B2167" s="13" t="s">
        <v>929</v>
      </c>
      <c r="C2167" s="14" t="s">
        <v>928</v>
      </c>
      <c r="D2167" s="14" t="s">
        <v>514</v>
      </c>
      <c r="E2167" s="14" t="s">
        <v>515</v>
      </c>
      <c r="F2167" s="14" t="s">
        <v>962</v>
      </c>
      <c r="G2167" s="14" t="s">
        <v>926</v>
      </c>
      <c r="H2167" s="14" t="s">
        <v>516</v>
      </c>
      <c r="I2167" s="14" t="s">
        <v>961</v>
      </c>
    </row>
    <row r="2168" spans="1:14" x14ac:dyDescent="0.3">
      <c r="B2168" s="16" t="str">
        <f>B2116</f>
        <v>Лікар-рентгенолог</v>
      </c>
      <c r="C2168" s="78">
        <f>C2116</f>
        <v>8463.5400000000009</v>
      </c>
      <c r="D2168" s="16">
        <f>C2168*12</f>
        <v>101562.48000000001</v>
      </c>
      <c r="E2168" s="16">
        <f>E2116</f>
        <v>7052.95</v>
      </c>
      <c r="F2168" s="16">
        <f>F2116</f>
        <v>3526.4749999999999</v>
      </c>
      <c r="G2168" s="16">
        <f>D2168+E2168+F2168</f>
        <v>112141.90500000001</v>
      </c>
      <c r="H2168" s="17">
        <v>1932.7</v>
      </c>
      <c r="I2168" s="16">
        <f>ROUND((G2168/H2168)/60,2)</f>
        <v>0.97</v>
      </c>
    </row>
    <row r="2169" spans="1:14" x14ac:dyDescent="0.3">
      <c r="B2169" s="16" t="str">
        <f>B2117</f>
        <v>Рентгенолаборант</v>
      </c>
      <c r="C2169" s="78">
        <f>C2117</f>
        <v>7482.48</v>
      </c>
      <c r="D2169" s="24">
        <f>C2169*12</f>
        <v>89789.759999999995</v>
      </c>
      <c r="E2169" s="16">
        <f>E2117</f>
        <v>5755.75</v>
      </c>
      <c r="F2169" s="16">
        <f>F2117</f>
        <v>2877.875</v>
      </c>
      <c r="G2169" s="16">
        <f>D2169+E2169+F2169</f>
        <v>98423.384999999995</v>
      </c>
      <c r="H2169" s="62">
        <v>1506</v>
      </c>
      <c r="I2169" s="16">
        <f>ROUND((G2169/H2169)/60,2)</f>
        <v>1.0900000000000001</v>
      </c>
    </row>
    <row r="2171" spans="1:14" ht="27.6" x14ac:dyDescent="0.3">
      <c r="B2171" s="13" t="s">
        <v>929</v>
      </c>
      <c r="C2171" s="14" t="s">
        <v>961</v>
      </c>
      <c r="D2171" s="14" t="s">
        <v>930</v>
      </c>
      <c r="E2171" s="14" t="s">
        <v>931</v>
      </c>
    </row>
    <row r="2172" spans="1:14" x14ac:dyDescent="0.3">
      <c r="B2172" s="15" t="str">
        <f>B2168</f>
        <v>Лікар-рентгенолог</v>
      </c>
      <c r="C2172" s="78">
        <f>I2168</f>
        <v>0.97</v>
      </c>
      <c r="D2172" s="17">
        <v>10</v>
      </c>
      <c r="E2172" s="18">
        <f>ROUND(C2172*D2172,2)</f>
        <v>9.6999999999999993</v>
      </c>
    </row>
    <row r="2173" spans="1:14" x14ac:dyDescent="0.3">
      <c r="B2173" s="15" t="str">
        <f>B2169</f>
        <v>Рентгенолаборант</v>
      </c>
      <c r="C2173" s="78">
        <f>I2169</f>
        <v>1.0900000000000001</v>
      </c>
      <c r="D2173" s="17">
        <v>15</v>
      </c>
      <c r="E2173" s="18">
        <f>ROUND(C2173*D2173,2)</f>
        <v>16.350000000000001</v>
      </c>
    </row>
    <row r="2174" spans="1:14" x14ac:dyDescent="0.3">
      <c r="C2174" s="19"/>
    </row>
    <row r="2175" spans="1:14" x14ac:dyDescent="0.3">
      <c r="B2175" s="17" t="s">
        <v>933</v>
      </c>
      <c r="C2175" s="78">
        <f>E2172+E2173</f>
        <v>26.05</v>
      </c>
      <c r="D2175" s="20">
        <v>0.22</v>
      </c>
      <c r="E2175" s="21">
        <f>ROUND(C2175*D2175,2)</f>
        <v>5.73</v>
      </c>
    </row>
    <row r="2177" spans="1:14" x14ac:dyDescent="0.3">
      <c r="B2177" s="12" t="s">
        <v>946</v>
      </c>
      <c r="C2177" s="227"/>
      <c r="D2177" s="12"/>
      <c r="E2177" s="12">
        <f>F2186</f>
        <v>3.1799999999999997</v>
      </c>
      <c r="F2177" s="12" t="s">
        <v>971</v>
      </c>
    </row>
    <row r="2178" spans="1:14" ht="8.25" customHeight="1" x14ac:dyDescent="0.3"/>
    <row r="2179" spans="1:14" x14ac:dyDescent="0.3">
      <c r="B2179" s="27" t="s">
        <v>936</v>
      </c>
      <c r="C2179" s="28" t="s">
        <v>937</v>
      </c>
      <c r="D2179" s="29">
        <v>1</v>
      </c>
      <c r="E2179" s="30">
        <f>'МЕДИЧНІ М'!F115</f>
        <v>0.3</v>
      </c>
      <c r="F2179" s="30">
        <f>ROUND(D2179*E2179,2)</f>
        <v>0.3</v>
      </c>
    </row>
    <row r="2180" spans="1:14" s="184" customFormat="1" x14ac:dyDescent="0.3">
      <c r="A2180" s="180"/>
      <c r="B2180" s="185" t="s">
        <v>1021</v>
      </c>
      <c r="C2180" s="186" t="s">
        <v>941</v>
      </c>
      <c r="D2180" s="164">
        <v>0.5</v>
      </c>
      <c r="E2180" s="164">
        <f>'МЕДИЧНІ М'!E181</f>
        <v>2</v>
      </c>
      <c r="F2180" s="164">
        <f t="shared" ref="F2180:F2185" si="70">ROUND(D2180*E2180,2)</f>
        <v>1</v>
      </c>
      <c r="G2180" s="180"/>
      <c r="H2180" s="180"/>
      <c r="I2180" s="180"/>
      <c r="J2180" s="187"/>
      <c r="K2180" s="866"/>
      <c r="L2180" s="861"/>
      <c r="M2180" s="861"/>
      <c r="N2180" s="861"/>
    </row>
    <row r="2181" spans="1:14" x14ac:dyDescent="0.3">
      <c r="B2181" s="15" t="s">
        <v>1216</v>
      </c>
      <c r="C2181" s="73" t="s">
        <v>941</v>
      </c>
      <c r="D2181" s="17">
        <v>0.1</v>
      </c>
      <c r="E2181" s="16">
        <f>'МЕДИЧНІ М'!E113</f>
        <v>8</v>
      </c>
      <c r="F2181" s="17">
        <f t="shared" si="70"/>
        <v>0.8</v>
      </c>
    </row>
    <row r="2182" spans="1:14" x14ac:dyDescent="0.3">
      <c r="B2182" s="15" t="s">
        <v>98</v>
      </c>
      <c r="C2182" s="73" t="s">
        <v>941</v>
      </c>
      <c r="D2182" s="17">
        <v>1</v>
      </c>
      <c r="E2182" s="16">
        <f>МАТЕРІАЛИ!E4</f>
        <v>0.3</v>
      </c>
      <c r="F2182" s="17">
        <f t="shared" si="70"/>
        <v>0.3</v>
      </c>
    </row>
    <row r="2183" spans="1:14" x14ac:dyDescent="0.3">
      <c r="B2183" s="15" t="s">
        <v>964</v>
      </c>
      <c r="C2183" s="73" t="s">
        <v>941</v>
      </c>
      <c r="D2183" s="17">
        <v>0.1</v>
      </c>
      <c r="E2183" s="16">
        <f>'МЕДИЧНІ М'!E119</f>
        <v>2.8</v>
      </c>
      <c r="F2183" s="17">
        <f t="shared" si="70"/>
        <v>0.28000000000000003</v>
      </c>
    </row>
    <row r="2184" spans="1:14" x14ac:dyDescent="0.3">
      <c r="B2184" s="27" t="s">
        <v>942</v>
      </c>
      <c r="C2184" s="28" t="s">
        <v>941</v>
      </c>
      <c r="D2184" s="29">
        <v>0.01</v>
      </c>
      <c r="E2184" s="29">
        <f>'МЕДИЧНІ М'!E120</f>
        <v>24.6</v>
      </c>
      <c r="F2184" s="30">
        <f t="shared" si="70"/>
        <v>0.25</v>
      </c>
    </row>
    <row r="2185" spans="1:14" x14ac:dyDescent="0.3">
      <c r="B2185" s="27" t="s">
        <v>1124</v>
      </c>
      <c r="C2185" s="28" t="s">
        <v>944</v>
      </c>
      <c r="D2185" s="29">
        <v>0.5</v>
      </c>
      <c r="E2185" s="29">
        <f>'МЕДИЧНІ М'!E114</f>
        <v>0.5</v>
      </c>
      <c r="F2185" s="30">
        <f t="shared" si="70"/>
        <v>0.25</v>
      </c>
    </row>
    <row r="2186" spans="1:14" x14ac:dyDescent="0.3">
      <c r="B2186" s="1019" t="s">
        <v>945</v>
      </c>
      <c r="C2186" s="1019"/>
      <c r="D2186" s="1019"/>
      <c r="E2186" s="1019"/>
      <c r="F2186" s="31">
        <f>SUM(F2179:F2185)</f>
        <v>3.1799999999999997</v>
      </c>
    </row>
    <row r="2188" spans="1:14" x14ac:dyDescent="0.3">
      <c r="B2188" s="12" t="s">
        <v>968</v>
      </c>
      <c r="C2188" s="227"/>
      <c r="D2188" s="12"/>
      <c r="E2188" s="11">
        <f>SUM(G2191:G2192)</f>
        <v>48.15</v>
      </c>
      <c r="F2188" s="12" t="s">
        <v>971</v>
      </c>
    </row>
    <row r="2189" spans="1:14" s="7" customFormat="1" ht="7.5" customHeight="1" x14ac:dyDescent="0.25">
      <c r="B2189" s="22"/>
      <c r="C2189" s="36"/>
      <c r="D2189" s="22"/>
      <c r="E2189" s="23"/>
      <c r="F2189" s="22"/>
      <c r="J2189" s="130"/>
      <c r="K2189" s="868"/>
      <c r="L2189" s="65"/>
      <c r="M2189" s="65"/>
      <c r="N2189" s="65"/>
    </row>
    <row r="2190" spans="1:14" s="7" customFormat="1" ht="27.6" x14ac:dyDescent="0.25">
      <c r="B2190" s="14" t="s">
        <v>513</v>
      </c>
      <c r="C2190" s="14" t="s">
        <v>1108</v>
      </c>
      <c r="D2190" s="14" t="s">
        <v>516</v>
      </c>
      <c r="E2190" s="14" t="s">
        <v>970</v>
      </c>
      <c r="F2190" s="14" t="s">
        <v>930</v>
      </c>
      <c r="G2190" s="14" t="s">
        <v>961</v>
      </c>
      <c r="J2190" s="130"/>
      <c r="K2190" s="868"/>
      <c r="L2190" s="65"/>
      <c r="M2190" s="65"/>
      <c r="N2190" s="65"/>
    </row>
    <row r="2191" spans="1:14" s="7" customFormat="1" ht="13.8" x14ac:dyDescent="0.25">
      <c r="B2191" s="46" t="s">
        <v>1161</v>
      </c>
      <c r="C2191" s="78">
        <f>C2138</f>
        <v>0</v>
      </c>
      <c r="D2191" s="62">
        <f>H2168</f>
        <v>1932.7</v>
      </c>
      <c r="E2191" s="17">
        <f>ROUND((C2191/D2191)/60,2)</f>
        <v>0</v>
      </c>
      <c r="F2191" s="17">
        <f>D2172</f>
        <v>10</v>
      </c>
      <c r="G2191" s="16">
        <f>ROUND(E2191*F2191,2)</f>
        <v>0</v>
      </c>
      <c r="J2191" s="130"/>
      <c r="K2191" s="868"/>
      <c r="L2191" s="65"/>
      <c r="M2191" s="65"/>
      <c r="N2191" s="65"/>
    </row>
    <row r="2192" spans="1:14" s="7" customFormat="1" ht="13.8" x14ac:dyDescent="0.25">
      <c r="B2192" s="27" t="s">
        <v>1093</v>
      </c>
      <c r="C2192" s="78">
        <f>C2139</f>
        <v>290000</v>
      </c>
      <c r="D2192" s="62">
        <f>H2169</f>
        <v>1506</v>
      </c>
      <c r="E2192" s="17">
        <f>ROUND((C2192/D2192)/60,2)</f>
        <v>3.21</v>
      </c>
      <c r="F2192" s="17">
        <f>D2173</f>
        <v>15</v>
      </c>
      <c r="G2192" s="16">
        <f>ROUND(E2192*F2192,2)</f>
        <v>48.15</v>
      </c>
      <c r="H2192" s="38"/>
      <c r="J2192" s="130"/>
      <c r="K2192" s="868"/>
      <c r="L2192" s="65"/>
      <c r="M2192" s="65"/>
      <c r="N2192" s="65"/>
    </row>
    <row r="2193" spans="2:14" s="7" customFormat="1" ht="6.75" customHeight="1" x14ac:dyDescent="0.25">
      <c r="C2193" s="74"/>
      <c r="J2193" s="130"/>
      <c r="K2193" s="868"/>
      <c r="L2193" s="65"/>
      <c r="M2193" s="65"/>
      <c r="N2193" s="65"/>
    </row>
    <row r="2194" spans="2:14" s="7" customFormat="1" ht="13.8" x14ac:dyDescent="0.25">
      <c r="B2194" s="12" t="s">
        <v>948</v>
      </c>
      <c r="C2194" s="227"/>
      <c r="D2194" s="12"/>
      <c r="E2194" s="11">
        <f>G2207</f>
        <v>3.45</v>
      </c>
      <c r="F2194" s="12" t="s">
        <v>971</v>
      </c>
      <c r="J2194" s="130"/>
      <c r="K2194" s="868"/>
      <c r="L2194" s="65"/>
      <c r="M2194" s="65"/>
      <c r="N2194" s="65"/>
    </row>
    <row r="2195" spans="2:14" s="7" customFormat="1" ht="13.8" x14ac:dyDescent="0.25">
      <c r="B2195" s="22"/>
      <c r="C2195" s="36"/>
      <c r="D2195" s="22"/>
      <c r="E2195" s="23"/>
      <c r="J2195" s="130"/>
      <c r="K2195" s="868"/>
      <c r="L2195" s="65"/>
      <c r="M2195" s="65"/>
      <c r="N2195" s="65"/>
    </row>
    <row r="2196" spans="2:14" s="7" customFormat="1" ht="27.6" x14ac:dyDescent="0.25">
      <c r="B2196" s="14" t="s">
        <v>948</v>
      </c>
      <c r="C2196" s="14" t="s">
        <v>1110</v>
      </c>
      <c r="D2196" s="14" t="s">
        <v>516</v>
      </c>
      <c r="E2196" s="14" t="s">
        <v>954</v>
      </c>
      <c r="F2196" s="14" t="s">
        <v>930</v>
      </c>
      <c r="G2196" s="14" t="s">
        <v>1111</v>
      </c>
      <c r="J2196" s="130"/>
      <c r="K2196" s="868"/>
      <c r="L2196" s="65"/>
      <c r="M2196" s="65"/>
      <c r="N2196" s="65"/>
    </row>
    <row r="2197" spans="2:14" s="7" customFormat="1" ht="13.8" x14ac:dyDescent="0.25">
      <c r="B2197" s="1009" t="str">
        <f>B2168</f>
        <v>Лікар-рентгенолог</v>
      </c>
      <c r="C2197" s="1010"/>
      <c r="D2197" s="1010"/>
      <c r="E2197" s="1010"/>
      <c r="F2197" s="1010"/>
      <c r="G2197" s="1011"/>
      <c r="J2197" s="130"/>
      <c r="K2197" s="868"/>
      <c r="L2197" s="65"/>
      <c r="M2197" s="65"/>
      <c r="N2197" s="65"/>
    </row>
    <row r="2198" spans="2:14" s="7" customFormat="1" ht="13.8" x14ac:dyDescent="0.25">
      <c r="B2198" s="17" t="s">
        <v>951</v>
      </c>
      <c r="C2198" s="221">
        <f>C2145</f>
        <v>12188.608008565312</v>
      </c>
      <c r="D2198" s="17">
        <f>H2168</f>
        <v>1932.7</v>
      </c>
      <c r="E2198" s="17">
        <f>ROUND((C2198/D2198)/60,2)</f>
        <v>0.11</v>
      </c>
      <c r="F2198" s="17">
        <f>D2172</f>
        <v>10</v>
      </c>
      <c r="G2198" s="16">
        <f>ROUND(E2198*F2198,2)</f>
        <v>1.1000000000000001</v>
      </c>
      <c r="J2198" s="130"/>
      <c r="K2198" s="868"/>
      <c r="L2198" s="65"/>
      <c r="M2198" s="65"/>
      <c r="N2198" s="65"/>
    </row>
    <row r="2199" spans="2:14" s="7" customFormat="1" ht="13.8" x14ac:dyDescent="0.25">
      <c r="B2199" s="17" t="s">
        <v>952</v>
      </c>
      <c r="C2199" s="221">
        <f>C2146</f>
        <v>53.149721627408987</v>
      </c>
      <c r="D2199" s="17">
        <f>H2168</f>
        <v>1932.7</v>
      </c>
      <c r="E2199" s="17">
        <f>ROUND((C2199/D2199)/60,2)</f>
        <v>0</v>
      </c>
      <c r="F2199" s="17">
        <f>D2172</f>
        <v>10</v>
      </c>
      <c r="G2199" s="16">
        <f>ROUND(E2199*F2199,2)</f>
        <v>0</v>
      </c>
      <c r="J2199" s="130"/>
      <c r="K2199" s="868"/>
      <c r="L2199" s="65"/>
      <c r="M2199" s="65"/>
      <c r="N2199" s="65"/>
    </row>
    <row r="2200" spans="2:14" s="7" customFormat="1" ht="13.8" x14ac:dyDescent="0.25">
      <c r="B2200" s="17" t="s">
        <v>953</v>
      </c>
      <c r="C2200" s="221">
        <f>C2147</f>
        <v>374.98368308351178</v>
      </c>
      <c r="D2200" s="17">
        <f>H2168</f>
        <v>1932.7</v>
      </c>
      <c r="E2200" s="17">
        <f>ROUND((C2200/D2200)/60,2)</f>
        <v>0</v>
      </c>
      <c r="F2200" s="17">
        <f>D2172</f>
        <v>10</v>
      </c>
      <c r="G2200" s="16">
        <f>ROUND(E2200*F2200,2)</f>
        <v>0</v>
      </c>
      <c r="J2200" s="130"/>
      <c r="K2200" s="868"/>
      <c r="L2200" s="65"/>
      <c r="M2200" s="65"/>
      <c r="N2200" s="65"/>
    </row>
    <row r="2201" spans="2:14" s="7" customFormat="1" ht="13.8" x14ac:dyDescent="0.25">
      <c r="B2201" s="17" t="s">
        <v>1109</v>
      </c>
      <c r="C2201" s="221">
        <f>C2148</f>
        <v>1686.0389293361886</v>
      </c>
      <c r="D2201" s="17">
        <f>H2168</f>
        <v>1932.7</v>
      </c>
      <c r="E2201" s="17">
        <f>ROUND((C2201/D2201)/60,2)</f>
        <v>0.01</v>
      </c>
      <c r="F2201" s="17">
        <f>D2172</f>
        <v>10</v>
      </c>
      <c r="G2201" s="16">
        <f>ROUND(E2201*F2201,2)</f>
        <v>0.1</v>
      </c>
      <c r="J2201" s="130"/>
      <c r="K2201" s="868"/>
      <c r="L2201" s="65"/>
      <c r="M2201" s="65"/>
      <c r="N2201" s="65"/>
    </row>
    <row r="2202" spans="2:14" s="7" customFormat="1" ht="13.8" x14ac:dyDescent="0.25">
      <c r="B2202" s="1009" t="str">
        <f>B2169</f>
        <v>Рентгенолаборант</v>
      </c>
      <c r="C2202" s="1010"/>
      <c r="D2202" s="1010"/>
      <c r="E2202" s="1010"/>
      <c r="F2202" s="1010"/>
      <c r="G2202" s="1011"/>
      <c r="J2202" s="130"/>
      <c r="K2202" s="868"/>
      <c r="L2202" s="65"/>
      <c r="M2202" s="65"/>
      <c r="N2202" s="65"/>
    </row>
    <row r="2203" spans="2:14" s="7" customFormat="1" ht="13.8" x14ac:dyDescent="0.25">
      <c r="B2203" s="17" t="s">
        <v>951</v>
      </c>
      <c r="C2203" s="221">
        <f>C2198</f>
        <v>12188.608008565312</v>
      </c>
      <c r="D2203" s="17">
        <f>H2169</f>
        <v>1506</v>
      </c>
      <c r="E2203" s="17">
        <f>ROUND((C2203/D2203)/60,2)</f>
        <v>0.13</v>
      </c>
      <c r="F2203" s="17">
        <f>D2173</f>
        <v>15</v>
      </c>
      <c r="G2203" s="16">
        <f>ROUND(E2203*F2203,2)</f>
        <v>1.95</v>
      </c>
      <c r="J2203" s="130"/>
      <c r="K2203" s="868"/>
      <c r="L2203" s="65"/>
      <c r="M2203" s="65"/>
      <c r="N2203" s="65"/>
    </row>
    <row r="2204" spans="2:14" s="7" customFormat="1" ht="13.8" x14ac:dyDescent="0.25">
      <c r="B2204" s="17" t="s">
        <v>952</v>
      </c>
      <c r="C2204" s="221">
        <f>C2199</f>
        <v>53.149721627408987</v>
      </c>
      <c r="D2204" s="17">
        <f>H2169</f>
        <v>1506</v>
      </c>
      <c r="E2204" s="17">
        <f>ROUND((C2204/D2204)/60,2)</f>
        <v>0</v>
      </c>
      <c r="F2204" s="17">
        <f>D2173</f>
        <v>15</v>
      </c>
      <c r="G2204" s="16">
        <f>ROUND(E2204*F2204,2)</f>
        <v>0</v>
      </c>
      <c r="J2204" s="130"/>
      <c r="K2204" s="868"/>
      <c r="L2204" s="65"/>
      <c r="M2204" s="65"/>
      <c r="N2204" s="65"/>
    </row>
    <row r="2205" spans="2:14" x14ac:dyDescent="0.3">
      <c r="B2205" s="17" t="s">
        <v>953</v>
      </c>
      <c r="C2205" s="221">
        <f>C2200</f>
        <v>374.98368308351178</v>
      </c>
      <c r="D2205" s="17">
        <f>H2169</f>
        <v>1506</v>
      </c>
      <c r="E2205" s="17">
        <f>ROUND((C2205/D2205)/60,2)</f>
        <v>0</v>
      </c>
      <c r="F2205" s="17">
        <f>D2173</f>
        <v>15</v>
      </c>
      <c r="G2205" s="16">
        <f>ROUND(E2205*F2205,2)</f>
        <v>0</v>
      </c>
    </row>
    <row r="2206" spans="2:14" x14ac:dyDescent="0.3">
      <c r="B2206" s="17" t="s">
        <v>1109</v>
      </c>
      <c r="C2206" s="221">
        <f>C2201</f>
        <v>1686.0389293361886</v>
      </c>
      <c r="D2206" s="17">
        <f>H2169</f>
        <v>1506</v>
      </c>
      <c r="E2206" s="17">
        <f>ROUND((C2206/D2206)/60,2)</f>
        <v>0.02</v>
      </c>
      <c r="F2206" s="17">
        <f>D2173</f>
        <v>15</v>
      </c>
      <c r="G2206" s="16">
        <f>ROUND(E2206*F2206,2)</f>
        <v>0.3</v>
      </c>
    </row>
    <row r="2207" spans="2:14" x14ac:dyDescent="0.3">
      <c r="B2207" s="1012" t="s">
        <v>957</v>
      </c>
      <c r="C2207" s="1013"/>
      <c r="D2207" s="1013"/>
      <c r="E2207" s="1013"/>
      <c r="F2207" s="1014"/>
      <c r="G2207" s="18">
        <f>SUM(G2198:G2206)</f>
        <v>3.45</v>
      </c>
    </row>
    <row r="2210" spans="1:14" x14ac:dyDescent="0.3">
      <c r="B2210" s="1015" t="s">
        <v>959</v>
      </c>
      <c r="C2210" s="1015"/>
      <c r="D2210" s="1015"/>
      <c r="E2210" s="1015"/>
      <c r="F2210" s="1015"/>
      <c r="G2210" s="32">
        <f>E2165+E2177+E2188+E2194</f>
        <v>86.56</v>
      </c>
    </row>
    <row r="2211" spans="1:14" x14ac:dyDescent="0.3">
      <c r="B2211" s="33"/>
      <c r="C2211" s="33"/>
      <c r="D2211" s="33"/>
      <c r="E2211" s="33"/>
      <c r="F2211" s="33"/>
      <c r="G2211" s="34"/>
    </row>
    <row r="2212" spans="1:14" s="54" customFormat="1" ht="19.8" x14ac:dyDescent="0.4">
      <c r="A2212" s="53"/>
      <c r="B2212" s="1051" t="s">
        <v>960</v>
      </c>
      <c r="C2212" s="1051"/>
      <c r="D2212" s="1051"/>
      <c r="E2212" s="1051"/>
      <c r="F2212" s="1051"/>
      <c r="G2212" s="32">
        <f>ROUND(G2210,0)</f>
        <v>87</v>
      </c>
      <c r="H2212" s="53"/>
      <c r="I2212" s="53"/>
      <c r="J2212" s="132"/>
      <c r="K2212" s="868"/>
      <c r="L2212" s="65"/>
      <c r="M2212" s="65"/>
      <c r="N2212" s="65"/>
    </row>
    <row r="2213" spans="1:14" s="54" customFormat="1" ht="19.8" x14ac:dyDescent="0.4">
      <c r="A2213" s="53"/>
      <c r="B2213" s="53"/>
      <c r="C2213" s="225"/>
      <c r="D2213" s="53"/>
      <c r="E2213" s="53"/>
      <c r="F2213" s="53"/>
      <c r="G2213" s="53"/>
      <c r="H2213" s="53"/>
      <c r="I2213" s="53"/>
      <c r="J2213" s="132"/>
      <c r="K2213" s="868"/>
      <c r="L2213" s="65"/>
      <c r="M2213" s="65"/>
      <c r="N2213" s="65"/>
    </row>
    <row r="2214" spans="1:14" s="54" customFormat="1" ht="19.8" x14ac:dyDescent="0.4">
      <c r="A2214" s="50" t="s">
        <v>287</v>
      </c>
      <c r="B2214" s="1032" t="s">
        <v>700</v>
      </c>
      <c r="C2214" s="1032"/>
      <c r="D2214" s="1032"/>
      <c r="E2214" s="52">
        <f>G2263</f>
        <v>150</v>
      </c>
      <c r="F2214" s="52" t="s">
        <v>971</v>
      </c>
      <c r="G2214" s="53"/>
      <c r="H2214" s="124"/>
      <c r="I2214" s="125" t="s">
        <v>1023</v>
      </c>
      <c r="J2214" s="132"/>
      <c r="K2214" s="868"/>
      <c r="L2214" s="65"/>
      <c r="M2214" s="65"/>
      <c r="N2214" s="65"/>
    </row>
    <row r="2215" spans="1:14" ht="18.600000000000001" x14ac:dyDescent="0.3">
      <c r="I2215" s="125" t="s">
        <v>284</v>
      </c>
    </row>
    <row r="2216" spans="1:14" x14ac:dyDescent="0.3">
      <c r="B2216" s="1018" t="s">
        <v>932</v>
      </c>
      <c r="C2216" s="1018"/>
      <c r="D2216" s="10"/>
      <c r="E2216" s="11">
        <f>E2223+E2226+E2224</f>
        <v>31.78</v>
      </c>
      <c r="F2216" s="12" t="s">
        <v>971</v>
      </c>
    </row>
    <row r="2217" spans="1:14" ht="12" customHeight="1" x14ac:dyDescent="0.3"/>
    <row r="2218" spans="1:14" ht="27.6" x14ac:dyDescent="0.3">
      <c r="B2218" s="13" t="s">
        <v>929</v>
      </c>
      <c r="C2218" s="14" t="s">
        <v>928</v>
      </c>
      <c r="D2218" s="14" t="s">
        <v>514</v>
      </c>
      <c r="E2218" s="14" t="s">
        <v>515</v>
      </c>
      <c r="F2218" s="14" t="s">
        <v>962</v>
      </c>
      <c r="G2218" s="14" t="s">
        <v>926</v>
      </c>
      <c r="H2218" s="14" t="s">
        <v>516</v>
      </c>
      <c r="I2218" s="14" t="s">
        <v>961</v>
      </c>
    </row>
    <row r="2219" spans="1:14" x14ac:dyDescent="0.3">
      <c r="B2219" s="16" t="str">
        <f>B2168</f>
        <v>Лікар-рентгенолог</v>
      </c>
      <c r="C2219" s="78">
        <f>C2168</f>
        <v>8463.5400000000009</v>
      </c>
      <c r="D2219" s="16">
        <f>C2219*12</f>
        <v>101562.48000000001</v>
      </c>
      <c r="E2219" s="16">
        <f>E2168</f>
        <v>7052.95</v>
      </c>
      <c r="F2219" s="16">
        <f>F2168</f>
        <v>3526.4749999999999</v>
      </c>
      <c r="G2219" s="16">
        <f>D2219+E2219+F2219</f>
        <v>112141.90500000001</v>
      </c>
      <c r="H2219" s="17">
        <v>1932.7</v>
      </c>
      <c r="I2219" s="16">
        <f>ROUND((G2219/H2219)/60,2)</f>
        <v>0.97</v>
      </c>
    </row>
    <row r="2220" spans="1:14" x14ac:dyDescent="0.3">
      <c r="B2220" s="16" t="str">
        <f>B2169</f>
        <v>Рентгенолаборант</v>
      </c>
      <c r="C2220" s="78">
        <f>C2169</f>
        <v>7482.48</v>
      </c>
      <c r="D2220" s="24">
        <f>C2220*12</f>
        <v>89789.759999999995</v>
      </c>
      <c r="E2220" s="16">
        <f>E2169</f>
        <v>5755.75</v>
      </c>
      <c r="F2220" s="16">
        <f>F2169</f>
        <v>2877.875</v>
      </c>
      <c r="G2220" s="16">
        <f>D2220+E2220+F2220</f>
        <v>98423.384999999995</v>
      </c>
      <c r="H2220" s="62">
        <v>1506</v>
      </c>
      <c r="I2220" s="16">
        <f>ROUND((G2220/H2220)/60,2)</f>
        <v>1.0900000000000001</v>
      </c>
    </row>
    <row r="2221" spans="1:14" ht="9.75" customHeight="1" x14ac:dyDescent="0.3"/>
    <row r="2222" spans="1:14" ht="27.6" x14ac:dyDescent="0.3">
      <c r="B2222" s="13" t="s">
        <v>929</v>
      </c>
      <c r="C2222" s="14" t="s">
        <v>961</v>
      </c>
      <c r="D2222" s="14" t="s">
        <v>930</v>
      </c>
      <c r="E2222" s="14" t="s">
        <v>931</v>
      </c>
    </row>
    <row r="2223" spans="1:14" x14ac:dyDescent="0.3">
      <c r="B2223" s="15" t="str">
        <f>B2219</f>
        <v>Лікар-рентгенолог</v>
      </c>
      <c r="C2223" s="78">
        <f>I2219</f>
        <v>0.97</v>
      </c>
      <c r="D2223" s="17">
        <v>10</v>
      </c>
      <c r="E2223" s="18">
        <f>ROUND(C2223*D2223,2)</f>
        <v>9.6999999999999993</v>
      </c>
    </row>
    <row r="2224" spans="1:14" x14ac:dyDescent="0.3">
      <c r="B2224" s="15" t="str">
        <f>B2220</f>
        <v>Рентгенолаборант</v>
      </c>
      <c r="C2224" s="78">
        <f>I2220</f>
        <v>1.0900000000000001</v>
      </c>
      <c r="D2224" s="17">
        <v>15</v>
      </c>
      <c r="E2224" s="18">
        <f>ROUND(C2224*D2224,2)</f>
        <v>16.350000000000001</v>
      </c>
    </row>
    <row r="2225" spans="1:14" x14ac:dyDescent="0.3">
      <c r="C2225" s="19"/>
    </row>
    <row r="2226" spans="1:14" x14ac:dyDescent="0.3">
      <c r="B2226" s="17" t="s">
        <v>933</v>
      </c>
      <c r="C2226" s="78">
        <f>E2223+E2224</f>
        <v>26.05</v>
      </c>
      <c r="D2226" s="20">
        <v>0.22</v>
      </c>
      <c r="E2226" s="21">
        <f>ROUND(C2226*D2226,2)</f>
        <v>5.73</v>
      </c>
    </row>
    <row r="2227" spans="1:14" ht="12" customHeight="1" x14ac:dyDescent="0.3"/>
    <row r="2228" spans="1:14" x14ac:dyDescent="0.3">
      <c r="B2228" s="12" t="s">
        <v>946</v>
      </c>
      <c r="C2228" s="227"/>
      <c r="D2228" s="12"/>
      <c r="E2228" s="11">
        <f>F2237</f>
        <v>66.239999999999995</v>
      </c>
      <c r="F2228" s="12" t="s">
        <v>971</v>
      </c>
    </row>
    <row r="2230" spans="1:14" x14ac:dyDescent="0.3">
      <c r="B2230" s="27" t="s">
        <v>936</v>
      </c>
      <c r="C2230" s="28" t="s">
        <v>937</v>
      </c>
      <c r="D2230" s="29">
        <v>1</v>
      </c>
      <c r="E2230" s="30">
        <f>'МЕДИЧНІ М'!F115</f>
        <v>0.3</v>
      </c>
      <c r="F2230" s="30">
        <f>ROUND(D2230*E2230,2)</f>
        <v>0.3</v>
      </c>
    </row>
    <row r="2231" spans="1:14" s="184" customFormat="1" x14ac:dyDescent="0.3">
      <c r="A2231" s="180"/>
      <c r="B2231" s="185" t="s">
        <v>1021</v>
      </c>
      <c r="C2231" s="186" t="s">
        <v>941</v>
      </c>
      <c r="D2231" s="164">
        <v>0.5</v>
      </c>
      <c r="E2231" s="164">
        <f>'МЕДИЧНІ М'!E181</f>
        <v>2</v>
      </c>
      <c r="F2231" s="164">
        <f t="shared" ref="F2231:F2236" si="71">ROUND(D2231*E2231,2)</f>
        <v>1</v>
      </c>
      <c r="G2231" s="180"/>
      <c r="H2231" s="180"/>
      <c r="I2231" s="180"/>
      <c r="J2231" s="187"/>
      <c r="K2231" s="866"/>
      <c r="L2231" s="861"/>
      <c r="M2231" s="861"/>
      <c r="N2231" s="861"/>
    </row>
    <row r="2232" spans="1:14" x14ac:dyDescent="0.3">
      <c r="B2232" s="15" t="s">
        <v>1216</v>
      </c>
      <c r="C2232" s="73" t="s">
        <v>941</v>
      </c>
      <c r="D2232" s="17">
        <v>0.1</v>
      </c>
      <c r="E2232" s="16">
        <f>'МЕДИЧНІ М'!E113</f>
        <v>8</v>
      </c>
      <c r="F2232" s="17">
        <f t="shared" si="71"/>
        <v>0.8</v>
      </c>
    </row>
    <row r="2233" spans="1:14" x14ac:dyDescent="0.3">
      <c r="B2233" s="15" t="str">
        <f>'МЕДИЧНІ М'!B327</f>
        <v>Суха медична плівка 35*43*100</v>
      </c>
      <c r="C2233" s="73" t="s">
        <v>941</v>
      </c>
      <c r="D2233" s="17">
        <v>4</v>
      </c>
      <c r="E2233" s="16">
        <f>'МЕДИЧНІ М'!F327</f>
        <v>15.841125</v>
      </c>
      <c r="F2233" s="17">
        <f t="shared" si="71"/>
        <v>63.36</v>
      </c>
    </row>
    <row r="2234" spans="1:14" x14ac:dyDescent="0.3">
      <c r="B2234" s="15" t="s">
        <v>964</v>
      </c>
      <c r="C2234" s="73" t="s">
        <v>941</v>
      </c>
      <c r="D2234" s="17">
        <v>0.1</v>
      </c>
      <c r="E2234" s="16">
        <f>'МЕДИЧНІ М'!E119</f>
        <v>2.8</v>
      </c>
      <c r="F2234" s="17">
        <f t="shared" si="71"/>
        <v>0.28000000000000003</v>
      </c>
    </row>
    <row r="2235" spans="1:14" s="7" customFormat="1" ht="13.8" x14ac:dyDescent="0.25">
      <c r="B2235" s="27" t="s">
        <v>942</v>
      </c>
      <c r="C2235" s="28" t="s">
        <v>941</v>
      </c>
      <c r="D2235" s="29">
        <v>0.01</v>
      </c>
      <c r="E2235" s="29">
        <f>'МЕДИЧНІ М'!E120</f>
        <v>24.6</v>
      </c>
      <c r="F2235" s="30">
        <f t="shared" si="71"/>
        <v>0.25</v>
      </c>
      <c r="J2235" s="130"/>
      <c r="K2235" s="868"/>
      <c r="L2235" s="65"/>
      <c r="M2235" s="65"/>
      <c r="N2235" s="65"/>
    </row>
    <row r="2236" spans="1:14" s="7" customFormat="1" ht="13.8" x14ac:dyDescent="0.25">
      <c r="B2236" s="27" t="s">
        <v>1124</v>
      </c>
      <c r="C2236" s="28" t="s">
        <v>944</v>
      </c>
      <c r="D2236" s="29">
        <v>0.5</v>
      </c>
      <c r="E2236" s="29">
        <f>'МЕДИЧНІ М'!E114</f>
        <v>0.5</v>
      </c>
      <c r="F2236" s="30">
        <f t="shared" si="71"/>
        <v>0.25</v>
      </c>
      <c r="J2236" s="130"/>
      <c r="K2236" s="868"/>
      <c r="L2236" s="65"/>
      <c r="M2236" s="65"/>
      <c r="N2236" s="65"/>
    </row>
    <row r="2237" spans="1:14" s="7" customFormat="1" ht="13.8" x14ac:dyDescent="0.25">
      <c r="B2237" s="1019" t="s">
        <v>945</v>
      </c>
      <c r="C2237" s="1019"/>
      <c r="D2237" s="1019"/>
      <c r="E2237" s="1019"/>
      <c r="F2237" s="89">
        <f>SUM(F2230:F2236)</f>
        <v>66.239999999999995</v>
      </c>
      <c r="J2237" s="130"/>
      <c r="K2237" s="868"/>
      <c r="L2237" s="65"/>
      <c r="M2237" s="65"/>
      <c r="N2237" s="65"/>
    </row>
    <row r="2238" spans="1:14" s="7" customFormat="1" ht="9" customHeight="1" x14ac:dyDescent="0.25">
      <c r="C2238" s="74"/>
      <c r="J2238" s="130"/>
      <c r="K2238" s="868"/>
      <c r="L2238" s="65"/>
      <c r="M2238" s="65"/>
      <c r="N2238" s="65"/>
    </row>
    <row r="2239" spans="1:14" s="7" customFormat="1" ht="13.8" x14ac:dyDescent="0.25">
      <c r="B2239" s="12" t="s">
        <v>968</v>
      </c>
      <c r="C2239" s="227"/>
      <c r="D2239" s="12"/>
      <c r="E2239" s="11">
        <f>SUM(G2242:G2243)</f>
        <v>48.15</v>
      </c>
      <c r="F2239" s="12" t="s">
        <v>971</v>
      </c>
      <c r="J2239" s="130"/>
      <c r="K2239" s="868"/>
      <c r="L2239" s="65"/>
      <c r="M2239" s="65"/>
      <c r="N2239" s="65"/>
    </row>
    <row r="2240" spans="1:14" s="7" customFormat="1" ht="6.75" customHeight="1" x14ac:dyDescent="0.25">
      <c r="B2240" s="22"/>
      <c r="C2240" s="36"/>
      <c r="D2240" s="22"/>
      <c r="E2240" s="23"/>
      <c r="F2240" s="22"/>
      <c r="J2240" s="130"/>
      <c r="K2240" s="868"/>
      <c r="L2240" s="65"/>
      <c r="M2240" s="65"/>
      <c r="N2240" s="65"/>
    </row>
    <row r="2241" spans="2:14" s="7" customFormat="1" ht="27.6" x14ac:dyDescent="0.25">
      <c r="B2241" s="14" t="s">
        <v>513</v>
      </c>
      <c r="C2241" s="14" t="s">
        <v>1108</v>
      </c>
      <c r="D2241" s="14" t="s">
        <v>516</v>
      </c>
      <c r="E2241" s="14" t="s">
        <v>970</v>
      </c>
      <c r="F2241" s="14" t="s">
        <v>930</v>
      </c>
      <c r="G2241" s="14" t="s">
        <v>961</v>
      </c>
      <c r="J2241" s="130"/>
      <c r="K2241" s="868"/>
      <c r="L2241" s="65"/>
      <c r="M2241" s="65"/>
      <c r="N2241" s="65"/>
    </row>
    <row r="2242" spans="2:14" s="7" customFormat="1" ht="13.8" x14ac:dyDescent="0.25">
      <c r="B2242" s="46" t="s">
        <v>1161</v>
      </c>
      <c r="C2242" s="78">
        <f>C2191</f>
        <v>0</v>
      </c>
      <c r="D2242" s="62">
        <f>H2219</f>
        <v>1932.7</v>
      </c>
      <c r="E2242" s="17">
        <f>ROUND((C2242/D2242)/60,2)</f>
        <v>0</v>
      </c>
      <c r="F2242" s="17">
        <f>D2223</f>
        <v>10</v>
      </c>
      <c r="G2242" s="16">
        <f>ROUND(E2242*F2242,2)</f>
        <v>0</v>
      </c>
      <c r="J2242" s="130"/>
      <c r="K2242" s="868"/>
      <c r="L2242" s="65"/>
      <c r="M2242" s="65"/>
      <c r="N2242" s="65"/>
    </row>
    <row r="2243" spans="2:14" s="7" customFormat="1" ht="13.8" x14ac:dyDescent="0.25">
      <c r="B2243" s="27" t="s">
        <v>1093</v>
      </c>
      <c r="C2243" s="78">
        <f>C2192</f>
        <v>290000</v>
      </c>
      <c r="D2243" s="62">
        <f>H2220</f>
        <v>1506</v>
      </c>
      <c r="E2243" s="17">
        <f>ROUND((C2243/D2243)/60,2)</f>
        <v>3.21</v>
      </c>
      <c r="F2243" s="17">
        <f>D2224</f>
        <v>15</v>
      </c>
      <c r="G2243" s="16">
        <f>ROUND(E2243*F2243,2)</f>
        <v>48.15</v>
      </c>
      <c r="H2243" s="38"/>
      <c r="J2243" s="130"/>
      <c r="K2243" s="868"/>
      <c r="L2243" s="65"/>
      <c r="M2243" s="65"/>
      <c r="N2243" s="65"/>
    </row>
    <row r="2244" spans="2:14" s="7" customFormat="1" ht="7.5" customHeight="1" x14ac:dyDescent="0.25">
      <c r="C2244" s="74"/>
      <c r="J2244" s="130"/>
      <c r="K2244" s="868"/>
      <c r="L2244" s="65"/>
      <c r="M2244" s="65"/>
      <c r="N2244" s="65"/>
    </row>
    <row r="2245" spans="2:14" s="7" customFormat="1" ht="13.8" x14ac:dyDescent="0.25">
      <c r="B2245" s="12" t="s">
        <v>948</v>
      </c>
      <c r="C2245" s="227"/>
      <c r="D2245" s="12"/>
      <c r="E2245" s="11">
        <f>G2258</f>
        <v>3.45</v>
      </c>
      <c r="F2245" s="12" t="s">
        <v>971</v>
      </c>
      <c r="J2245" s="130"/>
      <c r="K2245" s="868"/>
      <c r="L2245" s="65"/>
      <c r="M2245" s="65"/>
      <c r="N2245" s="65"/>
    </row>
    <row r="2246" spans="2:14" s="7" customFormat="1" ht="9" customHeight="1" x14ac:dyDescent="0.25">
      <c r="B2246" s="22"/>
      <c r="C2246" s="36"/>
      <c r="D2246" s="22"/>
      <c r="E2246" s="23"/>
      <c r="J2246" s="130"/>
      <c r="K2246" s="868"/>
      <c r="L2246" s="65"/>
      <c r="M2246" s="65"/>
      <c r="N2246" s="65"/>
    </row>
    <row r="2247" spans="2:14" s="7" customFormat="1" ht="27.6" x14ac:dyDescent="0.25">
      <c r="B2247" s="14" t="s">
        <v>948</v>
      </c>
      <c r="C2247" s="14" t="s">
        <v>1110</v>
      </c>
      <c r="D2247" s="14" t="s">
        <v>516</v>
      </c>
      <c r="E2247" s="14" t="s">
        <v>954</v>
      </c>
      <c r="F2247" s="14" t="s">
        <v>930</v>
      </c>
      <c r="G2247" s="14" t="s">
        <v>1111</v>
      </c>
      <c r="J2247" s="130"/>
      <c r="K2247" s="868"/>
      <c r="L2247" s="65"/>
      <c r="M2247" s="65"/>
      <c r="N2247" s="65"/>
    </row>
    <row r="2248" spans="2:14" s="7" customFormat="1" ht="13.8" x14ac:dyDescent="0.25">
      <c r="B2248" s="1009" t="str">
        <f>B2219</f>
        <v>Лікар-рентгенолог</v>
      </c>
      <c r="C2248" s="1010"/>
      <c r="D2248" s="1010"/>
      <c r="E2248" s="1010"/>
      <c r="F2248" s="1010"/>
      <c r="G2248" s="1011"/>
      <c r="J2248" s="130"/>
      <c r="K2248" s="868"/>
      <c r="L2248" s="65"/>
      <c r="M2248" s="65"/>
      <c r="N2248" s="65"/>
    </row>
    <row r="2249" spans="2:14" s="7" customFormat="1" ht="13.8" x14ac:dyDescent="0.25">
      <c r="B2249" s="17" t="s">
        <v>951</v>
      </c>
      <c r="C2249" s="221">
        <f>C2198</f>
        <v>12188.608008565312</v>
      </c>
      <c r="D2249" s="17">
        <f>H2219</f>
        <v>1932.7</v>
      </c>
      <c r="E2249" s="17">
        <f>ROUND((C2249/D2249)/60,2)</f>
        <v>0.11</v>
      </c>
      <c r="F2249" s="17">
        <f>D2223</f>
        <v>10</v>
      </c>
      <c r="G2249" s="16">
        <f>ROUND(E2249*F2249,2)</f>
        <v>1.1000000000000001</v>
      </c>
      <c r="J2249" s="130"/>
      <c r="K2249" s="868"/>
      <c r="L2249" s="65"/>
      <c r="M2249" s="65"/>
      <c r="N2249" s="65"/>
    </row>
    <row r="2250" spans="2:14" s="7" customFormat="1" ht="13.8" x14ac:dyDescent="0.25">
      <c r="B2250" s="17" t="s">
        <v>952</v>
      </c>
      <c r="C2250" s="221">
        <f>C2199</f>
        <v>53.149721627408987</v>
      </c>
      <c r="D2250" s="17">
        <f>H2219</f>
        <v>1932.7</v>
      </c>
      <c r="E2250" s="17">
        <f>ROUND((C2250/D2250)/60,2)</f>
        <v>0</v>
      </c>
      <c r="F2250" s="17">
        <f>D2223</f>
        <v>10</v>
      </c>
      <c r="G2250" s="16">
        <f>ROUND(E2250*F2250,2)</f>
        <v>0</v>
      </c>
      <c r="J2250" s="130"/>
      <c r="K2250" s="868"/>
      <c r="L2250" s="65"/>
      <c r="M2250" s="65"/>
      <c r="N2250" s="65"/>
    </row>
    <row r="2251" spans="2:14" x14ac:dyDescent="0.3">
      <c r="B2251" s="17" t="s">
        <v>953</v>
      </c>
      <c r="C2251" s="221">
        <f>C2200</f>
        <v>374.98368308351178</v>
      </c>
      <c r="D2251" s="17">
        <f>H2219</f>
        <v>1932.7</v>
      </c>
      <c r="E2251" s="17">
        <f>ROUND((C2251/D2251)/60,2)</f>
        <v>0</v>
      </c>
      <c r="F2251" s="17">
        <f>D2223</f>
        <v>10</v>
      </c>
      <c r="G2251" s="16">
        <f>ROUND(E2251*F2251,2)</f>
        <v>0</v>
      </c>
    </row>
    <row r="2252" spans="2:14" x14ac:dyDescent="0.3">
      <c r="B2252" s="17" t="s">
        <v>1109</v>
      </c>
      <c r="C2252" s="221">
        <f>C2201</f>
        <v>1686.0389293361886</v>
      </c>
      <c r="D2252" s="17">
        <f>H2219</f>
        <v>1932.7</v>
      </c>
      <c r="E2252" s="17">
        <f>ROUND((C2252/D2252)/60,2)</f>
        <v>0.01</v>
      </c>
      <c r="F2252" s="17">
        <f>D2223</f>
        <v>10</v>
      </c>
      <c r="G2252" s="16">
        <f>ROUND(E2252*F2252,2)</f>
        <v>0.1</v>
      </c>
    </row>
    <row r="2253" spans="2:14" x14ac:dyDescent="0.3">
      <c r="B2253" s="1009" t="str">
        <f>B2220</f>
        <v>Рентгенолаборант</v>
      </c>
      <c r="C2253" s="1010"/>
      <c r="D2253" s="1010"/>
      <c r="E2253" s="1010"/>
      <c r="F2253" s="1010"/>
      <c r="G2253" s="1011"/>
    </row>
    <row r="2254" spans="2:14" x14ac:dyDescent="0.3">
      <c r="B2254" s="17" t="s">
        <v>951</v>
      </c>
      <c r="C2254" s="221">
        <f>C2249</f>
        <v>12188.608008565312</v>
      </c>
      <c r="D2254" s="17">
        <f>H2220</f>
        <v>1506</v>
      </c>
      <c r="E2254" s="17">
        <f>ROUND((C2254/D2254)/60,2)</f>
        <v>0.13</v>
      </c>
      <c r="F2254" s="17">
        <f>D2224</f>
        <v>15</v>
      </c>
      <c r="G2254" s="16">
        <f>ROUND(E2254*F2254,2)</f>
        <v>1.95</v>
      </c>
    </row>
    <row r="2255" spans="2:14" x14ac:dyDescent="0.3">
      <c r="B2255" s="17" t="s">
        <v>952</v>
      </c>
      <c r="C2255" s="221">
        <f>C2250</f>
        <v>53.149721627408987</v>
      </c>
      <c r="D2255" s="17">
        <f>H2220</f>
        <v>1506</v>
      </c>
      <c r="E2255" s="17">
        <f>ROUND((C2255/D2255)/60,2)</f>
        <v>0</v>
      </c>
      <c r="F2255" s="17">
        <f>D2224</f>
        <v>15</v>
      </c>
      <c r="G2255" s="16">
        <f>ROUND(E2255*F2255,2)</f>
        <v>0</v>
      </c>
    </row>
    <row r="2256" spans="2:14" x14ac:dyDescent="0.3">
      <c r="B2256" s="17" t="s">
        <v>953</v>
      </c>
      <c r="C2256" s="221">
        <f>C2251</f>
        <v>374.98368308351178</v>
      </c>
      <c r="D2256" s="17">
        <f>H2220</f>
        <v>1506</v>
      </c>
      <c r="E2256" s="17">
        <f>ROUND((C2256/D2256)/60,2)</f>
        <v>0</v>
      </c>
      <c r="F2256" s="17">
        <f>D2224</f>
        <v>15</v>
      </c>
      <c r="G2256" s="16">
        <f>ROUND(E2256*F2256,2)</f>
        <v>0</v>
      </c>
    </row>
    <row r="2257" spans="1:14" x14ac:dyDescent="0.3">
      <c r="B2257" s="17" t="s">
        <v>1109</v>
      </c>
      <c r="C2257" s="221">
        <f>C2252</f>
        <v>1686.0389293361886</v>
      </c>
      <c r="D2257" s="17">
        <f>H2220</f>
        <v>1506</v>
      </c>
      <c r="E2257" s="17">
        <f>ROUND((C2257/D2257)/60,2)</f>
        <v>0.02</v>
      </c>
      <c r="F2257" s="17">
        <f>D2224</f>
        <v>15</v>
      </c>
      <c r="G2257" s="16">
        <f>ROUND(E2257*F2257,2)</f>
        <v>0.3</v>
      </c>
    </row>
    <row r="2258" spans="1:14" x14ac:dyDescent="0.3">
      <c r="B2258" s="1012" t="s">
        <v>957</v>
      </c>
      <c r="C2258" s="1013"/>
      <c r="D2258" s="1013"/>
      <c r="E2258" s="1013"/>
      <c r="F2258" s="1014"/>
      <c r="G2258" s="18">
        <f>SUM(G2249:G2257)</f>
        <v>3.45</v>
      </c>
    </row>
    <row r="2259" spans="1:14" ht="14.25" customHeight="1" x14ac:dyDescent="0.3"/>
    <row r="2261" spans="1:14" x14ac:dyDescent="0.3">
      <c r="B2261" s="1015" t="s">
        <v>959</v>
      </c>
      <c r="C2261" s="1015"/>
      <c r="D2261" s="1015"/>
      <c r="E2261" s="1015"/>
      <c r="F2261" s="1015"/>
      <c r="G2261" s="32">
        <f>E2216+E2228+E2239+E2245</f>
        <v>149.61999999999998</v>
      </c>
    </row>
    <row r="2262" spans="1:14" x14ac:dyDescent="0.3">
      <c r="B2262" s="33"/>
      <c r="C2262" s="33"/>
      <c r="D2262" s="33"/>
      <c r="E2262" s="33"/>
      <c r="F2262" s="33"/>
      <c r="G2262" s="34"/>
    </row>
    <row r="2263" spans="1:14" s="54" customFormat="1" ht="19.8" x14ac:dyDescent="0.4">
      <c r="A2263" s="53"/>
      <c r="B2263" s="1051" t="s">
        <v>960</v>
      </c>
      <c r="C2263" s="1051"/>
      <c r="D2263" s="1051"/>
      <c r="E2263" s="1051"/>
      <c r="F2263" s="1051"/>
      <c r="G2263" s="32">
        <f>ROUND(G2261,0)</f>
        <v>150</v>
      </c>
      <c r="H2263" s="53"/>
      <c r="I2263" s="53"/>
      <c r="J2263" s="132"/>
      <c r="K2263" s="868"/>
      <c r="L2263" s="65"/>
      <c r="M2263" s="65"/>
      <c r="N2263" s="65"/>
    </row>
    <row r="2264" spans="1:14" s="54" customFormat="1" ht="19.8" x14ac:dyDescent="0.4">
      <c r="A2264" s="53"/>
      <c r="B2264" s="53"/>
      <c r="C2264" s="225"/>
      <c r="D2264" s="53"/>
      <c r="E2264" s="53"/>
      <c r="F2264" s="53"/>
      <c r="G2264" s="53"/>
      <c r="H2264" s="53"/>
      <c r="I2264" s="53"/>
      <c r="J2264" s="132"/>
      <c r="K2264" s="868"/>
      <c r="L2264" s="65"/>
      <c r="M2264" s="65"/>
      <c r="N2264" s="65"/>
    </row>
    <row r="2265" spans="1:14" s="54" customFormat="1" ht="19.8" x14ac:dyDescent="0.4">
      <c r="A2265" s="53"/>
      <c r="B2265" s="53"/>
      <c r="C2265" s="225"/>
      <c r="D2265" s="53"/>
      <c r="E2265" s="53"/>
      <c r="F2265" s="53"/>
      <c r="G2265" s="53"/>
      <c r="H2265" s="53"/>
      <c r="I2265" s="53"/>
      <c r="J2265" s="132"/>
      <c r="K2265" s="868"/>
      <c r="L2265" s="65"/>
      <c r="M2265" s="65"/>
      <c r="N2265" s="65"/>
    </row>
    <row r="2266" spans="1:14" s="54" customFormat="1" ht="18.75" customHeight="1" x14ac:dyDescent="0.4">
      <c r="A2266" s="50" t="s">
        <v>288</v>
      </c>
      <c r="B2266" s="1032" t="s">
        <v>700</v>
      </c>
      <c r="C2266" s="1032"/>
      <c r="D2266" s="1032"/>
      <c r="E2266" s="52">
        <f>G2314</f>
        <v>86</v>
      </c>
      <c r="F2266" s="52" t="s">
        <v>971</v>
      </c>
      <c r="G2266" s="53"/>
      <c r="H2266" s="124"/>
      <c r="I2266" s="125" t="s">
        <v>1128</v>
      </c>
      <c r="J2266" s="132"/>
      <c r="K2266" s="868"/>
      <c r="L2266" s="65"/>
      <c r="M2266" s="65"/>
      <c r="N2266" s="65"/>
    </row>
    <row r="2268" spans="1:14" s="130" customFormat="1" ht="15" customHeight="1" x14ac:dyDescent="0.25">
      <c r="A2268" s="7"/>
      <c r="B2268" s="1018" t="s">
        <v>932</v>
      </c>
      <c r="C2268" s="1018"/>
      <c r="D2268" s="10"/>
      <c r="E2268" s="11">
        <f>E2275+E2278+E2276</f>
        <v>31.78</v>
      </c>
      <c r="F2268" s="12" t="s">
        <v>971</v>
      </c>
      <c r="G2268" s="7"/>
      <c r="H2268" s="7"/>
      <c r="I2268" s="7"/>
      <c r="K2268" s="870"/>
      <c r="L2268" s="871"/>
      <c r="M2268" s="871"/>
      <c r="N2268" s="871"/>
    </row>
    <row r="2270" spans="1:14" s="130" customFormat="1" ht="27.6" x14ac:dyDescent="0.25">
      <c r="A2270" s="7"/>
      <c r="B2270" s="13" t="s">
        <v>929</v>
      </c>
      <c r="C2270" s="14" t="s">
        <v>928</v>
      </c>
      <c r="D2270" s="14" t="s">
        <v>514</v>
      </c>
      <c r="E2270" s="14" t="s">
        <v>515</v>
      </c>
      <c r="F2270" s="14" t="s">
        <v>962</v>
      </c>
      <c r="G2270" s="14" t="s">
        <v>926</v>
      </c>
      <c r="H2270" s="14" t="s">
        <v>516</v>
      </c>
      <c r="I2270" s="14" t="s">
        <v>961</v>
      </c>
      <c r="K2270" s="870"/>
      <c r="L2270" s="871"/>
      <c r="M2270" s="871"/>
      <c r="N2270" s="871"/>
    </row>
    <row r="2271" spans="1:14" s="130" customFormat="1" ht="13.8" x14ac:dyDescent="0.25">
      <c r="A2271" s="7"/>
      <c r="B2271" s="16" t="str">
        <f>B2219</f>
        <v>Лікар-рентгенолог</v>
      </c>
      <c r="C2271" s="78">
        <f>C2219</f>
        <v>8463.5400000000009</v>
      </c>
      <c r="D2271" s="16">
        <f>C2271*12</f>
        <v>101562.48000000001</v>
      </c>
      <c r="E2271" s="16">
        <f>E2219</f>
        <v>7052.95</v>
      </c>
      <c r="F2271" s="16">
        <f>F2219</f>
        <v>3526.4749999999999</v>
      </c>
      <c r="G2271" s="16">
        <f>D2271+E2271+F2271</f>
        <v>112141.90500000001</v>
      </c>
      <c r="H2271" s="17">
        <v>1932.7</v>
      </c>
      <c r="I2271" s="16">
        <f>ROUND((G2271/H2271)/60,2)</f>
        <v>0.97</v>
      </c>
      <c r="K2271" s="870"/>
      <c r="L2271" s="871"/>
      <c r="M2271" s="871"/>
      <c r="N2271" s="871"/>
    </row>
    <row r="2272" spans="1:14" s="130" customFormat="1" ht="13.8" x14ac:dyDescent="0.25">
      <c r="A2272" s="7"/>
      <c r="B2272" s="16" t="str">
        <f>B2220</f>
        <v>Рентгенолаборант</v>
      </c>
      <c r="C2272" s="78">
        <f>C2220</f>
        <v>7482.48</v>
      </c>
      <c r="D2272" s="24">
        <f>C2272*12</f>
        <v>89789.759999999995</v>
      </c>
      <c r="E2272" s="16">
        <f>E2220</f>
        <v>5755.75</v>
      </c>
      <c r="F2272" s="16">
        <f>F2220</f>
        <v>2877.875</v>
      </c>
      <c r="G2272" s="16">
        <f>D2272+E2272+F2272</f>
        <v>98423.384999999995</v>
      </c>
      <c r="H2272" s="62">
        <v>1506</v>
      </c>
      <c r="I2272" s="16">
        <f>ROUND((G2272/H2272)/60,2)</f>
        <v>1.0900000000000001</v>
      </c>
      <c r="K2272" s="870"/>
      <c r="L2272" s="871"/>
      <c r="M2272" s="871"/>
      <c r="N2272" s="871"/>
    </row>
    <row r="2274" spans="1:14" s="130" customFormat="1" ht="27.6" x14ac:dyDescent="0.25">
      <c r="A2274" s="7"/>
      <c r="B2274" s="13" t="s">
        <v>929</v>
      </c>
      <c r="C2274" s="14" t="s">
        <v>961</v>
      </c>
      <c r="D2274" s="14" t="s">
        <v>930</v>
      </c>
      <c r="E2274" s="14" t="s">
        <v>931</v>
      </c>
      <c r="F2274" s="7"/>
      <c r="G2274" s="7"/>
      <c r="H2274" s="7"/>
      <c r="I2274" s="7"/>
      <c r="K2274" s="870"/>
      <c r="L2274" s="871"/>
      <c r="M2274" s="871"/>
      <c r="N2274" s="871"/>
    </row>
    <row r="2275" spans="1:14" s="130" customFormat="1" ht="13.8" x14ac:dyDescent="0.25">
      <c r="A2275" s="7"/>
      <c r="B2275" s="15" t="str">
        <f>B2271</f>
        <v>Лікар-рентгенолог</v>
      </c>
      <c r="C2275" s="78">
        <f>I2271</f>
        <v>0.97</v>
      </c>
      <c r="D2275" s="17">
        <v>10</v>
      </c>
      <c r="E2275" s="18">
        <f>ROUND(C2275*D2275,2)</f>
        <v>9.6999999999999993</v>
      </c>
      <c r="F2275" s="7"/>
      <c r="G2275" s="7"/>
      <c r="H2275" s="7"/>
      <c r="I2275" s="7"/>
      <c r="K2275" s="870"/>
      <c r="L2275" s="871"/>
      <c r="M2275" s="871"/>
      <c r="N2275" s="871"/>
    </row>
    <row r="2276" spans="1:14" s="130" customFormat="1" ht="13.8" x14ac:dyDescent="0.25">
      <c r="A2276" s="7"/>
      <c r="B2276" s="15" t="str">
        <f>B2272</f>
        <v>Рентгенолаборант</v>
      </c>
      <c r="C2276" s="78">
        <f>I2272</f>
        <v>1.0900000000000001</v>
      </c>
      <c r="D2276" s="17">
        <v>15</v>
      </c>
      <c r="E2276" s="18">
        <f>ROUND(C2276*D2276,2)</f>
        <v>16.350000000000001</v>
      </c>
      <c r="F2276" s="7"/>
      <c r="G2276" s="7"/>
      <c r="H2276" s="7"/>
      <c r="I2276" s="7"/>
      <c r="K2276" s="870"/>
      <c r="L2276" s="871"/>
      <c r="M2276" s="871"/>
      <c r="N2276" s="871"/>
    </row>
    <row r="2277" spans="1:14" s="130" customFormat="1" ht="13.8" x14ac:dyDescent="0.25">
      <c r="A2277" s="7"/>
      <c r="B2277" s="7"/>
      <c r="C2277" s="19"/>
      <c r="D2277" s="7"/>
      <c r="E2277" s="7"/>
      <c r="F2277" s="7"/>
      <c r="G2277" s="7"/>
      <c r="H2277" s="7"/>
      <c r="I2277" s="7"/>
      <c r="K2277" s="870"/>
      <c r="L2277" s="871"/>
      <c r="M2277" s="871"/>
      <c r="N2277" s="871"/>
    </row>
    <row r="2278" spans="1:14" s="130" customFormat="1" ht="13.8" x14ac:dyDescent="0.25">
      <c r="A2278" s="7"/>
      <c r="B2278" s="17" t="s">
        <v>933</v>
      </c>
      <c r="C2278" s="78">
        <f>E2275+E2276</f>
        <v>26.05</v>
      </c>
      <c r="D2278" s="20">
        <v>0.22</v>
      </c>
      <c r="E2278" s="21">
        <f>ROUND(C2278*D2278,2)</f>
        <v>5.73</v>
      </c>
      <c r="F2278" s="7"/>
      <c r="G2278" s="7"/>
      <c r="H2278" s="7"/>
      <c r="I2278" s="7"/>
      <c r="K2278" s="870"/>
      <c r="L2278" s="871"/>
      <c r="M2278" s="871"/>
      <c r="N2278" s="871"/>
    </row>
    <row r="2280" spans="1:14" s="130" customFormat="1" ht="13.8" x14ac:dyDescent="0.25">
      <c r="A2280" s="7"/>
      <c r="B2280" s="12" t="s">
        <v>946</v>
      </c>
      <c r="C2280" s="227"/>
      <c r="D2280" s="12"/>
      <c r="E2280" s="11">
        <f>F2288</f>
        <v>2.88</v>
      </c>
      <c r="F2280" s="12" t="s">
        <v>971</v>
      </c>
      <c r="G2280" s="7"/>
      <c r="H2280" s="7"/>
      <c r="I2280" s="7"/>
      <c r="K2280" s="870"/>
      <c r="L2280" s="871"/>
      <c r="M2280" s="871"/>
      <c r="N2280" s="871"/>
    </row>
    <row r="2282" spans="1:14" s="130" customFormat="1" ht="13.8" x14ac:dyDescent="0.25">
      <c r="A2282" s="7"/>
      <c r="B2282" s="27" t="s">
        <v>936</v>
      </c>
      <c r="C2282" s="28" t="s">
        <v>937</v>
      </c>
      <c r="D2282" s="29">
        <v>1</v>
      </c>
      <c r="E2282" s="30">
        <f>'МЕДИЧНІ М'!F115</f>
        <v>0.3</v>
      </c>
      <c r="F2282" s="30">
        <f t="shared" ref="F2282:F2287" si="72">ROUND(D2282*E2282,2)</f>
        <v>0.3</v>
      </c>
      <c r="G2282" s="7"/>
      <c r="H2282" s="7"/>
      <c r="I2282" s="7"/>
      <c r="K2282" s="870"/>
      <c r="L2282" s="871"/>
      <c r="M2282" s="871"/>
      <c r="N2282" s="871"/>
    </row>
    <row r="2283" spans="1:14" s="184" customFormat="1" x14ac:dyDescent="0.3">
      <c r="A2283" s="180"/>
      <c r="B2283" s="185" t="s">
        <v>1021</v>
      </c>
      <c r="C2283" s="186" t="s">
        <v>941</v>
      </c>
      <c r="D2283" s="164">
        <v>0.5</v>
      </c>
      <c r="E2283" s="164">
        <f>'МЕДИЧНІ М'!E181</f>
        <v>2</v>
      </c>
      <c r="F2283" s="164">
        <f t="shared" si="72"/>
        <v>1</v>
      </c>
      <c r="G2283" s="180"/>
      <c r="H2283" s="180"/>
      <c r="I2283" s="180"/>
      <c r="J2283" s="187"/>
      <c r="K2283" s="866"/>
      <c r="L2283" s="861"/>
      <c r="M2283" s="861"/>
      <c r="N2283" s="861"/>
    </row>
    <row r="2284" spans="1:14" x14ac:dyDescent="0.3">
      <c r="B2284" s="15" t="s">
        <v>1216</v>
      </c>
      <c r="C2284" s="73" t="s">
        <v>941</v>
      </c>
      <c r="D2284" s="17">
        <v>0.1</v>
      </c>
      <c r="E2284" s="16">
        <f>'МЕДИЧНІ М'!E113</f>
        <v>8</v>
      </c>
      <c r="F2284" s="17">
        <f t="shared" si="72"/>
        <v>0.8</v>
      </c>
    </row>
    <row r="2285" spans="1:14" x14ac:dyDescent="0.3">
      <c r="B2285" s="15" t="s">
        <v>964</v>
      </c>
      <c r="C2285" s="73" t="s">
        <v>941</v>
      </c>
      <c r="D2285" s="17">
        <v>0.1</v>
      </c>
      <c r="E2285" s="16">
        <f>'МЕДИЧНІ М'!E119</f>
        <v>2.8</v>
      </c>
      <c r="F2285" s="17">
        <f t="shared" si="72"/>
        <v>0.28000000000000003</v>
      </c>
    </row>
    <row r="2286" spans="1:14" x14ac:dyDescent="0.3">
      <c r="B2286" s="27" t="s">
        <v>942</v>
      </c>
      <c r="C2286" s="28" t="s">
        <v>941</v>
      </c>
      <c r="D2286" s="29">
        <v>0.01</v>
      </c>
      <c r="E2286" s="29">
        <f>'МЕДИЧНІ М'!E120</f>
        <v>24.6</v>
      </c>
      <c r="F2286" s="30">
        <f t="shared" si="72"/>
        <v>0.25</v>
      </c>
    </row>
    <row r="2287" spans="1:14" x14ac:dyDescent="0.3">
      <c r="B2287" s="27" t="s">
        <v>1124</v>
      </c>
      <c r="C2287" s="28" t="s">
        <v>944</v>
      </c>
      <c r="D2287" s="29">
        <v>0.5</v>
      </c>
      <c r="E2287" s="29">
        <f>'МЕДИЧНІ М'!E114</f>
        <v>0.5</v>
      </c>
      <c r="F2287" s="30">
        <f t="shared" si="72"/>
        <v>0.25</v>
      </c>
    </row>
    <row r="2288" spans="1:14" x14ac:dyDescent="0.3">
      <c r="B2288" s="1019" t="s">
        <v>945</v>
      </c>
      <c r="C2288" s="1019"/>
      <c r="D2288" s="1019"/>
      <c r="E2288" s="1019"/>
      <c r="F2288" s="89">
        <f>SUM(F2282:F2287)</f>
        <v>2.88</v>
      </c>
    </row>
    <row r="2290" spans="2:14" x14ac:dyDescent="0.3">
      <c r="B2290" s="12" t="s">
        <v>968</v>
      </c>
      <c r="C2290" s="227"/>
      <c r="D2290" s="12"/>
      <c r="E2290" s="11">
        <f>SUM(G2293:G2294)</f>
        <v>48.15</v>
      </c>
      <c r="F2290" s="12" t="s">
        <v>971</v>
      </c>
    </row>
    <row r="2291" spans="2:14" ht="11.25" customHeight="1" x14ac:dyDescent="0.3">
      <c r="B2291" s="22"/>
      <c r="C2291" s="36"/>
      <c r="D2291" s="22"/>
      <c r="E2291" s="23"/>
      <c r="F2291" s="22"/>
    </row>
    <row r="2292" spans="2:14" ht="27.6" x14ac:dyDescent="0.3">
      <c r="B2292" s="14" t="s">
        <v>513</v>
      </c>
      <c r="C2292" s="14" t="s">
        <v>1108</v>
      </c>
      <c r="D2292" s="14" t="s">
        <v>516</v>
      </c>
      <c r="E2292" s="14" t="s">
        <v>970</v>
      </c>
      <c r="F2292" s="14" t="s">
        <v>930</v>
      </c>
      <c r="G2292" s="14" t="s">
        <v>961</v>
      </c>
    </row>
    <row r="2293" spans="2:14" x14ac:dyDescent="0.3">
      <c r="B2293" s="46" t="s">
        <v>1161</v>
      </c>
      <c r="C2293" s="78">
        <f>C2242</f>
        <v>0</v>
      </c>
      <c r="D2293" s="62">
        <f>H2271</f>
        <v>1932.7</v>
      </c>
      <c r="E2293" s="17">
        <f>ROUND((C2293/D2293)/60,2)</f>
        <v>0</v>
      </c>
      <c r="F2293" s="17">
        <f>D2275</f>
        <v>10</v>
      </c>
      <c r="G2293" s="16">
        <f>ROUND(E2293*F2293,2)</f>
        <v>0</v>
      </c>
    </row>
    <row r="2294" spans="2:14" x14ac:dyDescent="0.3">
      <c r="B2294" s="27" t="s">
        <v>1093</v>
      </c>
      <c r="C2294" s="78">
        <f>C2243</f>
        <v>290000</v>
      </c>
      <c r="D2294" s="62">
        <f>H2272</f>
        <v>1506</v>
      </c>
      <c r="E2294" s="17">
        <f>ROUND((C2294/D2294)/60,2)</f>
        <v>3.21</v>
      </c>
      <c r="F2294" s="17">
        <f>D2276</f>
        <v>15</v>
      </c>
      <c r="G2294" s="16">
        <f>ROUND(E2294*F2294,2)</f>
        <v>48.15</v>
      </c>
      <c r="H2294" s="38"/>
    </row>
    <row r="2296" spans="2:14" x14ac:dyDescent="0.3">
      <c r="B2296" s="12" t="s">
        <v>948</v>
      </c>
      <c r="C2296" s="227"/>
      <c r="D2296" s="12"/>
      <c r="E2296" s="11">
        <f>G2309</f>
        <v>3.45</v>
      </c>
      <c r="F2296" s="12" t="s">
        <v>971</v>
      </c>
    </row>
    <row r="2297" spans="2:14" s="7" customFormat="1" ht="13.8" x14ac:dyDescent="0.25">
      <c r="B2297" s="22"/>
      <c r="C2297" s="36"/>
      <c r="D2297" s="22"/>
      <c r="E2297" s="23"/>
      <c r="J2297" s="130"/>
      <c r="K2297" s="868"/>
      <c r="L2297" s="65"/>
      <c r="M2297" s="65"/>
      <c r="N2297" s="65"/>
    </row>
    <row r="2298" spans="2:14" s="7" customFormat="1" ht="27.6" x14ac:dyDescent="0.25">
      <c r="B2298" s="14" t="s">
        <v>948</v>
      </c>
      <c r="C2298" s="14" t="s">
        <v>1110</v>
      </c>
      <c r="D2298" s="14" t="s">
        <v>516</v>
      </c>
      <c r="E2298" s="14" t="s">
        <v>954</v>
      </c>
      <c r="F2298" s="14" t="s">
        <v>930</v>
      </c>
      <c r="G2298" s="14" t="s">
        <v>1111</v>
      </c>
      <c r="J2298" s="130"/>
      <c r="K2298" s="868"/>
      <c r="L2298" s="65"/>
      <c r="M2298" s="65"/>
      <c r="N2298" s="65"/>
    </row>
    <row r="2299" spans="2:14" s="7" customFormat="1" ht="13.8" x14ac:dyDescent="0.25">
      <c r="B2299" s="1009" t="str">
        <f>B2271</f>
        <v>Лікар-рентгенолог</v>
      </c>
      <c r="C2299" s="1010"/>
      <c r="D2299" s="1010"/>
      <c r="E2299" s="1010"/>
      <c r="F2299" s="1010"/>
      <c r="G2299" s="1011"/>
      <c r="J2299" s="130"/>
      <c r="K2299" s="868"/>
      <c r="L2299" s="65"/>
      <c r="M2299" s="65"/>
      <c r="N2299" s="65"/>
    </row>
    <row r="2300" spans="2:14" s="7" customFormat="1" ht="13.8" x14ac:dyDescent="0.25">
      <c r="B2300" s="17" t="s">
        <v>951</v>
      </c>
      <c r="C2300" s="221">
        <f>C2249</f>
        <v>12188.608008565312</v>
      </c>
      <c r="D2300" s="17">
        <f>H2271</f>
        <v>1932.7</v>
      </c>
      <c r="E2300" s="17">
        <f>ROUND((C2300/D2300)/60,2)</f>
        <v>0.11</v>
      </c>
      <c r="F2300" s="17">
        <f>D2275</f>
        <v>10</v>
      </c>
      <c r="G2300" s="16">
        <f>ROUND(E2300*F2300,2)</f>
        <v>1.1000000000000001</v>
      </c>
      <c r="J2300" s="130"/>
      <c r="K2300" s="868"/>
      <c r="L2300" s="65"/>
      <c r="M2300" s="65"/>
      <c r="N2300" s="65"/>
    </row>
    <row r="2301" spans="2:14" s="7" customFormat="1" ht="13.8" x14ac:dyDescent="0.25">
      <c r="B2301" s="17" t="s">
        <v>952</v>
      </c>
      <c r="C2301" s="221">
        <f>C2250</f>
        <v>53.149721627408987</v>
      </c>
      <c r="D2301" s="17">
        <f>H2271</f>
        <v>1932.7</v>
      </c>
      <c r="E2301" s="17">
        <f>ROUND((C2301/D2301)/60,2)</f>
        <v>0</v>
      </c>
      <c r="F2301" s="17">
        <f>D2275</f>
        <v>10</v>
      </c>
      <c r="G2301" s="16">
        <f>ROUND(E2301*F2301,2)</f>
        <v>0</v>
      </c>
      <c r="J2301" s="130"/>
      <c r="K2301" s="868"/>
      <c r="L2301" s="65"/>
      <c r="M2301" s="65"/>
      <c r="N2301" s="65"/>
    </row>
    <row r="2302" spans="2:14" s="7" customFormat="1" ht="13.8" x14ac:dyDescent="0.25">
      <c r="B2302" s="17" t="s">
        <v>953</v>
      </c>
      <c r="C2302" s="221">
        <f>C2251</f>
        <v>374.98368308351178</v>
      </c>
      <c r="D2302" s="17">
        <f>H2271</f>
        <v>1932.7</v>
      </c>
      <c r="E2302" s="17">
        <f>ROUND((C2302/D2302)/60,2)</f>
        <v>0</v>
      </c>
      <c r="F2302" s="17">
        <f>D2275</f>
        <v>10</v>
      </c>
      <c r="G2302" s="16">
        <f>ROUND(E2302*F2302,2)</f>
        <v>0</v>
      </c>
      <c r="J2302" s="130"/>
      <c r="K2302" s="868"/>
      <c r="L2302" s="65"/>
      <c r="M2302" s="65"/>
      <c r="N2302" s="65"/>
    </row>
    <row r="2303" spans="2:14" s="7" customFormat="1" ht="13.8" x14ac:dyDescent="0.25">
      <c r="B2303" s="17" t="s">
        <v>1109</v>
      </c>
      <c r="C2303" s="221">
        <f>C2252</f>
        <v>1686.0389293361886</v>
      </c>
      <c r="D2303" s="17">
        <f>H2271</f>
        <v>1932.7</v>
      </c>
      <c r="E2303" s="17">
        <f>ROUND((C2303/D2303)/60,2)</f>
        <v>0.01</v>
      </c>
      <c r="F2303" s="17">
        <f>D2275</f>
        <v>10</v>
      </c>
      <c r="G2303" s="16">
        <f>ROUND(E2303*F2303,2)</f>
        <v>0.1</v>
      </c>
      <c r="J2303" s="130"/>
      <c r="K2303" s="868"/>
      <c r="L2303" s="65"/>
      <c r="M2303" s="65"/>
      <c r="N2303" s="65"/>
    </row>
    <row r="2304" spans="2:14" s="7" customFormat="1" ht="13.8" x14ac:dyDescent="0.25">
      <c r="B2304" s="1009" t="str">
        <f>B2272</f>
        <v>Рентгенолаборант</v>
      </c>
      <c r="C2304" s="1010"/>
      <c r="D2304" s="1010"/>
      <c r="E2304" s="1010"/>
      <c r="F2304" s="1010"/>
      <c r="G2304" s="1011"/>
      <c r="J2304" s="130"/>
      <c r="K2304" s="868"/>
      <c r="L2304" s="65"/>
      <c r="M2304" s="65"/>
      <c r="N2304" s="65"/>
    </row>
    <row r="2305" spans="1:14" s="7" customFormat="1" ht="13.8" x14ac:dyDescent="0.25">
      <c r="B2305" s="17" t="s">
        <v>951</v>
      </c>
      <c r="C2305" s="221">
        <f>C2300</f>
        <v>12188.608008565312</v>
      </c>
      <c r="D2305" s="17">
        <f>H2272</f>
        <v>1506</v>
      </c>
      <c r="E2305" s="17">
        <f>ROUND((C2305/D2305)/60,2)</f>
        <v>0.13</v>
      </c>
      <c r="F2305" s="17">
        <f>D2276</f>
        <v>15</v>
      </c>
      <c r="G2305" s="16">
        <f>ROUND(E2305*F2305,2)</f>
        <v>1.95</v>
      </c>
      <c r="J2305" s="130"/>
      <c r="K2305" s="868"/>
      <c r="L2305" s="65"/>
      <c r="M2305" s="65"/>
      <c r="N2305" s="65"/>
    </row>
    <row r="2306" spans="1:14" s="7" customFormat="1" ht="13.8" x14ac:dyDescent="0.25">
      <c r="B2306" s="17" t="s">
        <v>952</v>
      </c>
      <c r="C2306" s="221">
        <f>C2301</f>
        <v>53.149721627408987</v>
      </c>
      <c r="D2306" s="17">
        <f>H2272</f>
        <v>1506</v>
      </c>
      <c r="E2306" s="17">
        <f>ROUND((C2306/D2306)/60,2)</f>
        <v>0</v>
      </c>
      <c r="F2306" s="17">
        <f>D2276</f>
        <v>15</v>
      </c>
      <c r="G2306" s="16">
        <f>ROUND(E2306*F2306,2)</f>
        <v>0</v>
      </c>
      <c r="J2306" s="130"/>
      <c r="K2306" s="868"/>
      <c r="L2306" s="65"/>
      <c r="M2306" s="65"/>
      <c r="N2306" s="65"/>
    </row>
    <row r="2307" spans="1:14" s="7" customFormat="1" ht="13.8" x14ac:dyDescent="0.25">
      <c r="B2307" s="17" t="s">
        <v>953</v>
      </c>
      <c r="C2307" s="221">
        <f>C2302</f>
        <v>374.98368308351178</v>
      </c>
      <c r="D2307" s="17">
        <f>H2272</f>
        <v>1506</v>
      </c>
      <c r="E2307" s="17">
        <f>ROUND((C2307/D2307)/60,2)</f>
        <v>0</v>
      </c>
      <c r="F2307" s="17">
        <f>D2276</f>
        <v>15</v>
      </c>
      <c r="G2307" s="16">
        <f>ROUND(E2307*F2307,2)</f>
        <v>0</v>
      </c>
      <c r="J2307" s="130"/>
      <c r="K2307" s="868"/>
      <c r="L2307" s="65"/>
      <c r="M2307" s="65"/>
      <c r="N2307" s="65"/>
    </row>
    <row r="2308" spans="1:14" s="7" customFormat="1" ht="13.8" x14ac:dyDescent="0.25">
      <c r="B2308" s="17" t="s">
        <v>1109</v>
      </c>
      <c r="C2308" s="221">
        <f>C2303</f>
        <v>1686.0389293361886</v>
      </c>
      <c r="D2308" s="17">
        <f>H2272</f>
        <v>1506</v>
      </c>
      <c r="E2308" s="17">
        <f>ROUND((C2308/D2308)/60,2)</f>
        <v>0.02</v>
      </c>
      <c r="F2308" s="17">
        <f>D2276</f>
        <v>15</v>
      </c>
      <c r="G2308" s="16">
        <f>ROUND(E2308*F2308,2)</f>
        <v>0.3</v>
      </c>
      <c r="J2308" s="130"/>
      <c r="K2308" s="868"/>
      <c r="L2308" s="65"/>
      <c r="M2308" s="65"/>
      <c r="N2308" s="65"/>
    </row>
    <row r="2309" spans="1:14" s="7" customFormat="1" ht="13.8" x14ac:dyDescent="0.25">
      <c r="B2309" s="1012" t="s">
        <v>957</v>
      </c>
      <c r="C2309" s="1013"/>
      <c r="D2309" s="1013"/>
      <c r="E2309" s="1013"/>
      <c r="F2309" s="1014"/>
      <c r="G2309" s="18">
        <f>SUM(G2300:G2308)</f>
        <v>3.45</v>
      </c>
      <c r="J2309" s="130"/>
      <c r="K2309" s="868"/>
      <c r="L2309" s="65"/>
      <c r="M2309" s="65"/>
      <c r="N2309" s="65"/>
    </row>
    <row r="2310" spans="1:14" s="7" customFormat="1" ht="8.25" customHeight="1" x14ac:dyDescent="0.25">
      <c r="C2310" s="74"/>
      <c r="J2310" s="130"/>
      <c r="K2310" s="868"/>
      <c r="L2310" s="65"/>
      <c r="M2310" s="65"/>
      <c r="N2310" s="65"/>
    </row>
    <row r="2311" spans="1:14" s="7" customFormat="1" ht="0.75" customHeight="1" x14ac:dyDescent="0.25">
      <c r="C2311" s="74"/>
      <c r="J2311" s="130"/>
      <c r="K2311" s="868"/>
      <c r="L2311" s="65"/>
      <c r="M2311" s="65"/>
      <c r="N2311" s="65"/>
    </row>
    <row r="2312" spans="1:14" s="7" customFormat="1" ht="13.8" x14ac:dyDescent="0.25">
      <c r="B2312" s="1015" t="s">
        <v>959</v>
      </c>
      <c r="C2312" s="1015"/>
      <c r="D2312" s="1015"/>
      <c r="E2312" s="1015"/>
      <c r="F2312" s="1015"/>
      <c r="G2312" s="32">
        <f>E2268+E2280+E2290+E2296</f>
        <v>86.26</v>
      </c>
      <c r="J2312" s="130"/>
      <c r="K2312" s="868"/>
      <c r="L2312" s="65"/>
      <c r="M2312" s="65"/>
      <c r="N2312" s="65"/>
    </row>
    <row r="2313" spans="1:14" x14ac:dyDescent="0.3">
      <c r="B2313" s="33"/>
      <c r="C2313" s="33"/>
      <c r="D2313" s="33"/>
      <c r="E2313" s="33"/>
      <c r="F2313" s="33"/>
      <c r="G2313" s="34"/>
    </row>
    <row r="2314" spans="1:14" x14ac:dyDescent="0.3">
      <c r="B2314" s="1015" t="s">
        <v>960</v>
      </c>
      <c r="C2314" s="1015"/>
      <c r="D2314" s="1015"/>
      <c r="E2314" s="1015"/>
      <c r="F2314" s="1015"/>
      <c r="G2314" s="32">
        <f>ROUND(G2312,0)</f>
        <v>86</v>
      </c>
    </row>
    <row r="2315" spans="1:14" x14ac:dyDescent="0.3">
      <c r="A2315" s="44"/>
      <c r="B2315" s="33"/>
      <c r="C2315" s="33"/>
      <c r="D2315" s="33"/>
      <c r="E2315" s="33"/>
      <c r="F2315" s="33"/>
      <c r="G2315" s="60"/>
      <c r="H2315" s="44"/>
      <c r="I2315" s="44"/>
    </row>
  </sheetData>
  <mergeCells count="371">
    <mergeCell ref="B914:G914"/>
    <mergeCell ref="B919:F919"/>
    <mergeCell ref="B1594:F1594"/>
    <mergeCell ref="B1496:C1496"/>
    <mergeCell ref="B1517:E1517"/>
    <mergeCell ref="B1528:G1528"/>
    <mergeCell ref="A821:I821"/>
    <mergeCell ref="B823:D823"/>
    <mergeCell ref="B825:C825"/>
    <mergeCell ref="B1430:G1430"/>
    <mergeCell ref="B951:E951"/>
    <mergeCell ref="B962:G962"/>
    <mergeCell ref="B1435:F1435"/>
    <mergeCell ref="B1438:F1438"/>
    <mergeCell ref="B1440:F1440"/>
    <mergeCell ref="B1589:F1589"/>
    <mergeCell ref="B1592:F1592"/>
    <mergeCell ref="B1485:F1485"/>
    <mergeCell ref="B1488:F1488"/>
    <mergeCell ref="B1490:F1490"/>
    <mergeCell ref="B1533:G1533"/>
    <mergeCell ref="B1538:F1538"/>
    <mergeCell ref="B1541:F1541"/>
    <mergeCell ref="A1492:I1492"/>
    <mergeCell ref="B857:G857"/>
    <mergeCell ref="B862:G862"/>
    <mergeCell ref="B867:F867"/>
    <mergeCell ref="B870:F870"/>
    <mergeCell ref="B872:F872"/>
    <mergeCell ref="B875:D875"/>
    <mergeCell ref="B877:C877"/>
    <mergeCell ref="B898:E898"/>
    <mergeCell ref="B909:G909"/>
    <mergeCell ref="B159:C159"/>
    <mergeCell ref="B385:E385"/>
    <mergeCell ref="B396:G396"/>
    <mergeCell ref="B401:G401"/>
    <mergeCell ref="B180:E180"/>
    <mergeCell ref="B191:G191"/>
    <mergeCell ref="B196:G196"/>
    <mergeCell ref="B201:F201"/>
    <mergeCell ref="B204:F204"/>
    <mergeCell ref="B206:F206"/>
    <mergeCell ref="B299:G299"/>
    <mergeCell ref="B304:F304"/>
    <mergeCell ref="B307:F307"/>
    <mergeCell ref="B309:F309"/>
    <mergeCell ref="B311:D311"/>
    <mergeCell ref="B313:C313"/>
    <mergeCell ref="A258:I258"/>
    <mergeCell ref="B334:E334"/>
    <mergeCell ref="B345:G345"/>
    <mergeCell ref="B260:D260"/>
    <mergeCell ref="B262:C262"/>
    <mergeCell ref="B283:E283"/>
    <mergeCell ref="B294:G294"/>
    <mergeCell ref="B2214:D2214"/>
    <mergeCell ref="B2216:C2216"/>
    <mergeCell ref="B2237:E2237"/>
    <mergeCell ref="B2248:G2248"/>
    <mergeCell ref="B2163:D2163"/>
    <mergeCell ref="B2165:C2165"/>
    <mergeCell ref="B2312:F2312"/>
    <mergeCell ref="B2314:F2314"/>
    <mergeCell ref="B2253:G2253"/>
    <mergeCell ref="B2258:F2258"/>
    <mergeCell ref="B2186:E2186"/>
    <mergeCell ref="B2197:G2197"/>
    <mergeCell ref="B2202:G2202"/>
    <mergeCell ref="B2207:F2207"/>
    <mergeCell ref="B2210:F2210"/>
    <mergeCell ref="B2212:F2212"/>
    <mergeCell ref="B2261:F2261"/>
    <mergeCell ref="B2263:F2263"/>
    <mergeCell ref="B2266:D2266"/>
    <mergeCell ref="B2268:C2268"/>
    <mergeCell ref="B2304:G2304"/>
    <mergeCell ref="B2309:F2309"/>
    <mergeCell ref="B2288:E2288"/>
    <mergeCell ref="B2299:G2299"/>
    <mergeCell ref="B2154:F2154"/>
    <mergeCell ref="B2157:F2157"/>
    <mergeCell ref="B2159:F2159"/>
    <mergeCell ref="A2161:I2161"/>
    <mergeCell ref="B2104:F2104"/>
    <mergeCell ref="B2107:F2107"/>
    <mergeCell ref="B2109:F2109"/>
    <mergeCell ref="B2111:D2111"/>
    <mergeCell ref="B2113:C2113"/>
    <mergeCell ref="B2133:E2133"/>
    <mergeCell ref="B2144:G2144"/>
    <mergeCell ref="B2149:G2149"/>
    <mergeCell ref="B2062:C2062"/>
    <mergeCell ref="B2083:E2083"/>
    <mergeCell ref="B2094:G2094"/>
    <mergeCell ref="B2099:G2099"/>
    <mergeCell ref="B2010:C2010"/>
    <mergeCell ref="B2031:E2031"/>
    <mergeCell ref="B2042:G2042"/>
    <mergeCell ref="B2047:G2047"/>
    <mergeCell ref="B2052:F2052"/>
    <mergeCell ref="B2055:F2055"/>
    <mergeCell ref="B2057:F2057"/>
    <mergeCell ref="B2060:D2060"/>
    <mergeCell ref="B2002:F2002"/>
    <mergeCell ref="B2004:F2004"/>
    <mergeCell ref="A2006:I2006"/>
    <mergeCell ref="B2008:D2008"/>
    <mergeCell ref="B1952:F1952"/>
    <mergeCell ref="B1954:F1954"/>
    <mergeCell ref="B1956:D1956"/>
    <mergeCell ref="B1958:C1958"/>
    <mergeCell ref="B1978:E1978"/>
    <mergeCell ref="B1989:G1989"/>
    <mergeCell ref="B1994:G1994"/>
    <mergeCell ref="B1999:F1999"/>
    <mergeCell ref="B1928:E1928"/>
    <mergeCell ref="B1939:G1939"/>
    <mergeCell ref="B1944:G1944"/>
    <mergeCell ref="B1949:F1949"/>
    <mergeCell ref="B1876:E1876"/>
    <mergeCell ref="B1887:G1887"/>
    <mergeCell ref="B1892:G1892"/>
    <mergeCell ref="B1897:F1897"/>
    <mergeCell ref="B1900:F1900"/>
    <mergeCell ref="B1902:F1902"/>
    <mergeCell ref="B1905:D1905"/>
    <mergeCell ref="B1907:C1907"/>
    <mergeCell ref="B1849:F1849"/>
    <mergeCell ref="A1851:I1851"/>
    <mergeCell ref="B1853:D1853"/>
    <mergeCell ref="B1855:C1855"/>
    <mergeCell ref="B1799:F1799"/>
    <mergeCell ref="B1801:D1801"/>
    <mergeCell ref="B1803:C1803"/>
    <mergeCell ref="B1823:E1823"/>
    <mergeCell ref="B1834:G1834"/>
    <mergeCell ref="B1839:G1839"/>
    <mergeCell ref="B1844:F1844"/>
    <mergeCell ref="B1847:F1847"/>
    <mergeCell ref="B1789:G1789"/>
    <mergeCell ref="B1794:F1794"/>
    <mergeCell ref="B1797:F1797"/>
    <mergeCell ref="B1701:C1701"/>
    <mergeCell ref="B1722:E1722"/>
    <mergeCell ref="B1733:G1733"/>
    <mergeCell ref="B1738:G1738"/>
    <mergeCell ref="B1743:F1743"/>
    <mergeCell ref="B1746:F1746"/>
    <mergeCell ref="B1748:F1748"/>
    <mergeCell ref="B1750:D1750"/>
    <mergeCell ref="B1752:C1752"/>
    <mergeCell ref="B1773:E1773"/>
    <mergeCell ref="A1697:I1697"/>
    <mergeCell ref="B1699:D1699"/>
    <mergeCell ref="B1680:G1680"/>
    <mergeCell ref="B1685:G1685"/>
    <mergeCell ref="B1690:F1690"/>
    <mergeCell ref="B1693:F1693"/>
    <mergeCell ref="B1695:F1695"/>
    <mergeCell ref="B1647:D1647"/>
    <mergeCell ref="B1784:G1784"/>
    <mergeCell ref="B1475:G1475"/>
    <mergeCell ref="B1480:G1480"/>
    <mergeCell ref="B1649:C1649"/>
    <mergeCell ref="B1669:E1669"/>
    <mergeCell ref="B1543:F1543"/>
    <mergeCell ref="B1545:D1545"/>
    <mergeCell ref="B1547:C1547"/>
    <mergeCell ref="B1568:E1568"/>
    <mergeCell ref="B1579:G1579"/>
    <mergeCell ref="B1584:G1584"/>
    <mergeCell ref="B1645:F1645"/>
    <mergeCell ref="B1619:E1619"/>
    <mergeCell ref="B1630:G1630"/>
    <mergeCell ref="B1598:C1598"/>
    <mergeCell ref="B1635:G1635"/>
    <mergeCell ref="B1640:F1640"/>
    <mergeCell ref="B1643:F1643"/>
    <mergeCell ref="B1596:D1596"/>
    <mergeCell ref="B1494:D1494"/>
    <mergeCell ref="B1442:D1442"/>
    <mergeCell ref="B1444:C1444"/>
    <mergeCell ref="B1464:E1464"/>
    <mergeCell ref="B1362:E1362"/>
    <mergeCell ref="B1373:G1373"/>
    <mergeCell ref="B1378:G1378"/>
    <mergeCell ref="B1383:F1383"/>
    <mergeCell ref="B1290:C1290"/>
    <mergeCell ref="B1311:E1311"/>
    <mergeCell ref="B1322:G1322"/>
    <mergeCell ref="B1327:G1327"/>
    <mergeCell ref="B1332:F1332"/>
    <mergeCell ref="B1335:F1335"/>
    <mergeCell ref="B1391:D1391"/>
    <mergeCell ref="B1393:C1393"/>
    <mergeCell ref="B1414:E1414"/>
    <mergeCell ref="B1425:G1425"/>
    <mergeCell ref="B1386:F1386"/>
    <mergeCell ref="B1388:F1388"/>
    <mergeCell ref="B1284:F1284"/>
    <mergeCell ref="B1286:F1286"/>
    <mergeCell ref="B1288:D1288"/>
    <mergeCell ref="A1235:I1235"/>
    <mergeCell ref="B1237:D1237"/>
    <mergeCell ref="B1239:C1239"/>
    <mergeCell ref="B1260:E1260"/>
    <mergeCell ref="B1339:D1339"/>
    <mergeCell ref="B1341:C1341"/>
    <mergeCell ref="B1337:F1337"/>
    <mergeCell ref="B1271:G1271"/>
    <mergeCell ref="B1276:G1276"/>
    <mergeCell ref="B1281:F1281"/>
    <mergeCell ref="B1168:G1168"/>
    <mergeCell ref="B1173:G1173"/>
    <mergeCell ref="B1178:F1178"/>
    <mergeCell ref="B1181:F1181"/>
    <mergeCell ref="B1233:F1233"/>
    <mergeCell ref="B1218:G1218"/>
    <mergeCell ref="B1223:G1223"/>
    <mergeCell ref="B1228:F1228"/>
    <mergeCell ref="B1231:F1231"/>
    <mergeCell ref="B1122:G1122"/>
    <mergeCell ref="B1034:C1034"/>
    <mergeCell ref="B1055:E1055"/>
    <mergeCell ref="B1066:G1066"/>
    <mergeCell ref="B1071:G1071"/>
    <mergeCell ref="B1076:F1076"/>
    <mergeCell ref="B1079:F1079"/>
    <mergeCell ref="B1127:F1127"/>
    <mergeCell ref="B1130:F1130"/>
    <mergeCell ref="B1132:F1132"/>
    <mergeCell ref="B1185:D1185"/>
    <mergeCell ref="B1187:C1187"/>
    <mergeCell ref="B1207:E1207"/>
    <mergeCell ref="B1134:D1134"/>
    <mergeCell ref="B1136:C1136"/>
    <mergeCell ref="B1157:E1157"/>
    <mergeCell ref="B1183:F1183"/>
    <mergeCell ref="B1083:D1083"/>
    <mergeCell ref="B1085:C1085"/>
    <mergeCell ref="B1106:E1106"/>
    <mergeCell ref="B1117:G1117"/>
    <mergeCell ref="B967:G967"/>
    <mergeCell ref="B975:F975"/>
    <mergeCell ref="B977:F977"/>
    <mergeCell ref="B1081:F1081"/>
    <mergeCell ref="B1028:F1028"/>
    <mergeCell ref="A1030:I1030"/>
    <mergeCell ref="B1032:D1032"/>
    <mergeCell ref="B922:F922"/>
    <mergeCell ref="B924:F924"/>
    <mergeCell ref="B980:D980"/>
    <mergeCell ref="B982:C982"/>
    <mergeCell ref="B1002:E1002"/>
    <mergeCell ref="B1013:G1013"/>
    <mergeCell ref="B972:F972"/>
    <mergeCell ref="B1018:G1018"/>
    <mergeCell ref="B1023:F1023"/>
    <mergeCell ref="B928:D928"/>
    <mergeCell ref="B930:C930"/>
    <mergeCell ref="B1026:F1026"/>
    <mergeCell ref="B657:G657"/>
    <mergeCell ref="B662:F662"/>
    <mergeCell ref="B665:F665"/>
    <mergeCell ref="B667:F667"/>
    <mergeCell ref="B669:D669"/>
    <mergeCell ref="B671:C671"/>
    <mergeCell ref="B692:E692"/>
    <mergeCell ref="B817:F817"/>
    <mergeCell ref="B819:F819"/>
    <mergeCell ref="B718:F718"/>
    <mergeCell ref="B720:D720"/>
    <mergeCell ref="B722:C722"/>
    <mergeCell ref="B743:E743"/>
    <mergeCell ref="B703:G703"/>
    <mergeCell ref="B708:G708"/>
    <mergeCell ref="B713:F713"/>
    <mergeCell ref="B716:F716"/>
    <mergeCell ref="B754:G754"/>
    <mergeCell ref="B759:G759"/>
    <mergeCell ref="B764:F764"/>
    <mergeCell ref="B767:F767"/>
    <mergeCell ref="B769:F769"/>
    <mergeCell ref="B846:E846"/>
    <mergeCell ref="B539:E539"/>
    <mergeCell ref="B550:G550"/>
    <mergeCell ref="B555:G555"/>
    <mergeCell ref="B560:F560"/>
    <mergeCell ref="B616:F616"/>
    <mergeCell ref="B618:D618"/>
    <mergeCell ref="B620:C620"/>
    <mergeCell ref="B641:E641"/>
    <mergeCell ref="B601:G601"/>
    <mergeCell ref="B606:G606"/>
    <mergeCell ref="B611:F611"/>
    <mergeCell ref="B614:F614"/>
    <mergeCell ref="B771:D771"/>
    <mergeCell ref="B773:C773"/>
    <mergeCell ref="B793:E793"/>
    <mergeCell ref="B804:G804"/>
    <mergeCell ref="B809:G809"/>
    <mergeCell ref="B814:F814"/>
    <mergeCell ref="B563:F563"/>
    <mergeCell ref="B565:F565"/>
    <mergeCell ref="B569:C569"/>
    <mergeCell ref="B590:E590"/>
    <mergeCell ref="B415:C415"/>
    <mergeCell ref="B411:F411"/>
    <mergeCell ref="B362:D362"/>
    <mergeCell ref="B364:C364"/>
    <mergeCell ref="B406:F406"/>
    <mergeCell ref="B409:F409"/>
    <mergeCell ref="B516:D516"/>
    <mergeCell ref="B518:C518"/>
    <mergeCell ref="A463:I463"/>
    <mergeCell ref="B465:D465"/>
    <mergeCell ref="B467:C467"/>
    <mergeCell ref="B488:E488"/>
    <mergeCell ref="B499:G499"/>
    <mergeCell ref="B504:G504"/>
    <mergeCell ref="B509:F509"/>
    <mergeCell ref="B512:F512"/>
    <mergeCell ref="B254:F254"/>
    <mergeCell ref="B256:F256"/>
    <mergeCell ref="B241:G241"/>
    <mergeCell ref="B246:G246"/>
    <mergeCell ref="B251:F251"/>
    <mergeCell ref="B78:E78"/>
    <mergeCell ref="B652:G652"/>
    <mergeCell ref="B567:D567"/>
    <mergeCell ref="B435:E435"/>
    <mergeCell ref="B446:G446"/>
    <mergeCell ref="B451:G451"/>
    <mergeCell ref="B456:F456"/>
    <mergeCell ref="B459:F459"/>
    <mergeCell ref="B461:F461"/>
    <mergeCell ref="B350:G350"/>
    <mergeCell ref="B355:F355"/>
    <mergeCell ref="B358:F358"/>
    <mergeCell ref="B360:F360"/>
    <mergeCell ref="B89:G89"/>
    <mergeCell ref="B94:G94"/>
    <mergeCell ref="B99:F99"/>
    <mergeCell ref="B106:D106"/>
    <mergeCell ref="B514:F514"/>
    <mergeCell ref="B413:D413"/>
    <mergeCell ref="A2:I2"/>
    <mergeCell ref="B102:F102"/>
    <mergeCell ref="B104:F104"/>
    <mergeCell ref="B208:D208"/>
    <mergeCell ref="B210:C210"/>
    <mergeCell ref="B230:E230"/>
    <mergeCell ref="B55:D55"/>
    <mergeCell ref="B51:F51"/>
    <mergeCell ref="B53:F53"/>
    <mergeCell ref="B57:C57"/>
    <mergeCell ref="B4:D4"/>
    <mergeCell ref="B6:C6"/>
    <mergeCell ref="B27:E27"/>
    <mergeCell ref="B38:G38"/>
    <mergeCell ref="B43:G43"/>
    <mergeCell ref="B48:F48"/>
    <mergeCell ref="B108:C108"/>
    <mergeCell ref="B129:E129"/>
    <mergeCell ref="B140:G140"/>
    <mergeCell ref="B145:G145"/>
    <mergeCell ref="B150:F150"/>
    <mergeCell ref="B153:F153"/>
    <mergeCell ref="B155:F155"/>
    <mergeCell ref="B157:D157"/>
  </mergeCells>
  <phoneticPr fontId="8" type="noConversion"/>
  <pageMargins left="0" right="0" top="0" bottom="0" header="0.31496062992125984" footer="0.31496062992125984"/>
  <pageSetup paperSize="9" scale="76" orientation="portrait" r:id="rId1"/>
  <rowBreaks count="44" manualBreakCount="44">
    <brk id="53" max="8" man="1"/>
    <brk id="105" max="8" man="1"/>
    <brk id="156" max="8" man="1"/>
    <brk id="207" max="8" man="1"/>
    <brk id="257" max="8" man="1"/>
    <brk id="310" max="8" man="1"/>
    <brk id="360" max="8" man="1"/>
    <brk id="412" max="8" man="1"/>
    <brk id="462" max="8" man="1"/>
    <brk id="515" max="8" man="1"/>
    <brk id="566" max="8" man="1"/>
    <brk id="617" max="8" man="1"/>
    <brk id="668" max="8" man="1"/>
    <brk id="719" max="8" man="1"/>
    <brk id="770" max="8" man="1"/>
    <brk id="820" max="8" man="1"/>
    <brk id="873" max="8" man="1"/>
    <brk id="926" max="8" man="1"/>
    <brk id="979" max="8" man="1"/>
    <brk id="1029" max="8" man="1"/>
    <brk id="1082" max="8" man="1"/>
    <brk id="1133" max="8" man="1"/>
    <brk id="1184" max="8" man="1"/>
    <brk id="1234" max="8" man="1"/>
    <brk id="1287" max="8" man="1"/>
    <brk id="1337" max="8" man="1"/>
    <brk id="1389" max="8" man="1"/>
    <brk id="1441" max="8" man="1"/>
    <brk id="1491" max="8" man="1"/>
    <brk id="1544" max="8" man="1"/>
    <brk id="1595" max="8" man="1"/>
    <brk id="1646" max="8" man="1"/>
    <brk id="1696" max="8" man="1"/>
    <brk id="1749" max="8" man="1"/>
    <brk id="1800" max="8" man="1"/>
    <brk id="1850" max="8" man="1"/>
    <brk id="1904" max="8" man="1"/>
    <brk id="1955" max="8" man="1"/>
    <brk id="2005" max="8" man="1"/>
    <brk id="2059" max="8" man="1"/>
    <brk id="2110" max="8" man="1"/>
    <brk id="2160" max="8" man="1"/>
    <brk id="2213" max="8" man="1"/>
    <brk id="2265" max="8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2254"/>
  <sheetViews>
    <sheetView view="pageBreakPreview" zoomScaleNormal="100" workbookViewId="0">
      <selection activeCell="H2257" sqref="H2257"/>
    </sheetView>
  </sheetViews>
  <sheetFormatPr defaultRowHeight="14.4" x14ac:dyDescent="0.3"/>
  <cols>
    <col min="1" max="1" width="9.109375" style="7"/>
    <col min="2" max="2" width="6.33203125" style="7" bestFit="1" customWidth="1"/>
    <col min="3" max="3" width="48.44140625" style="317" customWidth="1"/>
    <col min="4" max="4" width="12" style="74" customWidth="1"/>
    <col min="5" max="5" width="10.44140625" style="74" bestFit="1" customWidth="1"/>
    <col min="6" max="6" width="11" style="74" customWidth="1"/>
    <col min="7" max="7" width="14.5546875" style="74" customWidth="1"/>
    <col min="8" max="8" width="10.44140625" style="74" bestFit="1" customWidth="1"/>
    <col min="9" max="9" width="14" style="74" customWidth="1"/>
    <col min="10" max="10" width="14.88671875" style="74" customWidth="1"/>
    <col min="11" max="11" width="9.109375" style="22"/>
    <col min="12" max="12" width="9.109375" style="346"/>
    <col min="13" max="13" width="79.5546875" style="346" customWidth="1"/>
    <col min="14" max="14" width="9.33203125" style="3" bestFit="1" customWidth="1"/>
  </cols>
  <sheetData>
    <row r="1" spans="1:14" s="54" customFormat="1" ht="19.8" x14ac:dyDescent="0.4">
      <c r="A1" s="53"/>
      <c r="B1" s="1016" t="s">
        <v>958</v>
      </c>
      <c r="C1" s="1016"/>
      <c r="D1" s="1016"/>
      <c r="E1" s="1016"/>
      <c r="F1" s="1016"/>
      <c r="G1" s="1016"/>
      <c r="H1" s="1016"/>
      <c r="I1" s="1016"/>
      <c r="J1" s="1016"/>
      <c r="K1" s="70"/>
      <c r="L1" s="342"/>
      <c r="M1" s="342"/>
      <c r="N1" s="99"/>
    </row>
    <row r="2" spans="1:14" s="54" customFormat="1" ht="19.8" x14ac:dyDescent="0.4">
      <c r="A2" s="53"/>
      <c r="B2" s="53"/>
      <c r="C2" s="56"/>
      <c r="D2" s="225"/>
      <c r="E2" s="225"/>
      <c r="F2" s="225"/>
      <c r="G2" s="225"/>
      <c r="H2" s="225"/>
      <c r="I2" s="225"/>
      <c r="J2" s="225"/>
      <c r="K2" s="70"/>
      <c r="L2" s="342"/>
      <c r="M2" s="342"/>
      <c r="N2" s="99"/>
    </row>
    <row r="3" spans="1:14" s="54" customFormat="1" ht="36" customHeight="1" x14ac:dyDescent="0.4">
      <c r="A3" s="53"/>
      <c r="B3" s="50" t="s">
        <v>925</v>
      </c>
      <c r="C3" s="1017" t="s">
        <v>549</v>
      </c>
      <c r="D3" s="1017"/>
      <c r="E3" s="1017"/>
      <c r="F3" s="296">
        <f>H54</f>
        <v>85</v>
      </c>
      <c r="G3" s="296" t="s">
        <v>971</v>
      </c>
      <c r="H3" s="225"/>
      <c r="I3" s="225"/>
      <c r="J3" s="225"/>
      <c r="K3" s="70"/>
      <c r="L3" s="343" t="s">
        <v>925</v>
      </c>
      <c r="M3" s="344" t="s">
        <v>549</v>
      </c>
      <c r="N3" s="343" t="s">
        <v>925</v>
      </c>
    </row>
    <row r="4" spans="1:14" x14ac:dyDescent="0.3">
      <c r="L4" s="343" t="s">
        <v>544</v>
      </c>
      <c r="M4" s="345" t="s">
        <v>551</v>
      </c>
      <c r="N4" s="343" t="s">
        <v>544</v>
      </c>
    </row>
    <row r="5" spans="1:14" x14ac:dyDescent="0.3">
      <c r="C5" s="1018" t="s">
        <v>932</v>
      </c>
      <c r="D5" s="1018"/>
      <c r="E5" s="297"/>
      <c r="F5" s="298">
        <f>F12+F15+F13</f>
        <v>40.019999999999996</v>
      </c>
      <c r="G5" s="227" t="s">
        <v>971</v>
      </c>
      <c r="L5" s="343" t="s">
        <v>546</v>
      </c>
      <c r="M5" s="344" t="s">
        <v>553</v>
      </c>
      <c r="N5" s="343" t="s">
        <v>546</v>
      </c>
    </row>
    <row r="6" spans="1:14" x14ac:dyDescent="0.3">
      <c r="L6" s="343" t="s">
        <v>548</v>
      </c>
      <c r="M6" s="344" t="s">
        <v>555</v>
      </c>
      <c r="N6" s="343" t="s">
        <v>548</v>
      </c>
    </row>
    <row r="7" spans="1:14" x14ac:dyDescent="0.3">
      <c r="C7" s="318" t="s">
        <v>929</v>
      </c>
      <c r="D7" s="14" t="s">
        <v>928</v>
      </c>
      <c r="E7" s="14" t="s">
        <v>514</v>
      </c>
      <c r="F7" s="14" t="s">
        <v>515</v>
      </c>
      <c r="G7" s="14" t="s">
        <v>962</v>
      </c>
      <c r="H7" s="14" t="s">
        <v>926</v>
      </c>
      <c r="I7" s="14" t="s">
        <v>516</v>
      </c>
      <c r="J7" s="14" t="s">
        <v>961</v>
      </c>
      <c r="L7" s="343" t="s">
        <v>550</v>
      </c>
      <c r="M7" s="344" t="s">
        <v>557</v>
      </c>
      <c r="N7" s="343" t="s">
        <v>550</v>
      </c>
    </row>
    <row r="8" spans="1:14" x14ac:dyDescent="0.3">
      <c r="C8" s="319" t="str">
        <f>ЗП!B22</f>
        <v>Лікар з ультразвукової діагностики</v>
      </c>
      <c r="D8" s="268">
        <f>ЗП!C22</f>
        <v>6660.23</v>
      </c>
      <c r="E8" s="268">
        <f>D8*12</f>
        <v>79922.759999999995</v>
      </c>
      <c r="F8" s="268">
        <f>ЗП!E22</f>
        <v>6054.75</v>
      </c>
      <c r="G8" s="268">
        <f>ЗП!F22</f>
        <v>3027.375</v>
      </c>
      <c r="H8" s="268">
        <f>E8+F8+G8</f>
        <v>89004.884999999995</v>
      </c>
      <c r="I8" s="268">
        <v>1656.6</v>
      </c>
      <c r="J8" s="78">
        <f>ROUND((H8/I8)/60,2)</f>
        <v>0.9</v>
      </c>
      <c r="L8" s="343" t="s">
        <v>552</v>
      </c>
      <c r="M8" s="344" t="s">
        <v>559</v>
      </c>
      <c r="N8" s="343" t="s">
        <v>552</v>
      </c>
    </row>
    <row r="9" spans="1:14" x14ac:dyDescent="0.3">
      <c r="C9" s="134" t="str">
        <f>ЗП!B41</f>
        <v xml:space="preserve">Сестра медична </v>
      </c>
      <c r="D9" s="268">
        <f>ЗП!C41</f>
        <v>6506.5</v>
      </c>
      <c r="E9" s="268">
        <f>D9*12</f>
        <v>78078</v>
      </c>
      <c r="F9" s="268">
        <f>ЗП!E41</f>
        <v>5005</v>
      </c>
      <c r="G9" s="268">
        <f>ЗП!F41</f>
        <v>2502.5</v>
      </c>
      <c r="H9" s="268">
        <f>E9+F9+G9</f>
        <v>85585.5</v>
      </c>
      <c r="I9" s="268">
        <v>1932.7</v>
      </c>
      <c r="J9" s="78">
        <f>ROUND((H9/I9)/60,2)</f>
        <v>0.74</v>
      </c>
      <c r="L9" s="343" t="s">
        <v>554</v>
      </c>
      <c r="M9" s="344" t="s">
        <v>561</v>
      </c>
      <c r="N9" s="343" t="s">
        <v>554</v>
      </c>
    </row>
    <row r="10" spans="1:14" x14ac:dyDescent="0.3">
      <c r="L10" s="343" t="s">
        <v>556</v>
      </c>
      <c r="M10" s="344" t="s">
        <v>563</v>
      </c>
      <c r="N10" s="343" t="s">
        <v>556</v>
      </c>
    </row>
    <row r="11" spans="1:14" ht="27.6" x14ac:dyDescent="0.3">
      <c r="C11" s="318" t="s">
        <v>929</v>
      </c>
      <c r="D11" s="14" t="s">
        <v>961</v>
      </c>
      <c r="E11" s="14" t="s">
        <v>930</v>
      </c>
      <c r="F11" s="14" t="s">
        <v>931</v>
      </c>
      <c r="L11" s="343" t="s">
        <v>558</v>
      </c>
      <c r="M11" s="344" t="s">
        <v>565</v>
      </c>
      <c r="N11" s="343" t="s">
        <v>558</v>
      </c>
    </row>
    <row r="12" spans="1:14" x14ac:dyDescent="0.3">
      <c r="C12" s="320" t="str">
        <f>C8</f>
        <v>Лікар з ультразвукової діагностики</v>
      </c>
      <c r="D12" s="78">
        <f>J8</f>
        <v>0.9</v>
      </c>
      <c r="E12" s="73">
        <v>20</v>
      </c>
      <c r="F12" s="299">
        <f>ROUND(D12*E12,2)</f>
        <v>18</v>
      </c>
      <c r="L12" s="343" t="s">
        <v>560</v>
      </c>
      <c r="M12" s="344" t="s">
        <v>567</v>
      </c>
      <c r="N12" s="343" t="s">
        <v>560</v>
      </c>
    </row>
    <row r="13" spans="1:14" x14ac:dyDescent="0.3">
      <c r="C13" s="320" t="str">
        <f>C9</f>
        <v xml:space="preserve">Сестра медична </v>
      </c>
      <c r="D13" s="78">
        <f>J9</f>
        <v>0.74</v>
      </c>
      <c r="E13" s="73">
        <v>20</v>
      </c>
      <c r="F13" s="299">
        <f>ROUND(D13*E13,2)</f>
        <v>14.8</v>
      </c>
      <c r="L13" s="343" t="s">
        <v>562</v>
      </c>
      <c r="M13" s="344" t="s">
        <v>569</v>
      </c>
      <c r="N13" s="343" t="s">
        <v>562</v>
      </c>
    </row>
    <row r="14" spans="1:14" x14ac:dyDescent="0.3">
      <c r="D14" s="19"/>
      <c r="L14" s="343" t="s">
        <v>564</v>
      </c>
      <c r="M14" s="347" t="s">
        <v>571</v>
      </c>
      <c r="N14" s="343" t="s">
        <v>564</v>
      </c>
    </row>
    <row r="15" spans="1:14" x14ac:dyDescent="0.3">
      <c r="C15" s="134" t="s">
        <v>933</v>
      </c>
      <c r="D15" s="78">
        <f>F12+F13</f>
        <v>32.799999999999997</v>
      </c>
      <c r="E15" s="300">
        <v>0.22</v>
      </c>
      <c r="F15" s="301">
        <f>ROUND(D15*E15,2)</f>
        <v>7.22</v>
      </c>
      <c r="L15" s="343" t="s">
        <v>566</v>
      </c>
      <c r="M15" s="344" t="s">
        <v>573</v>
      </c>
      <c r="N15" s="343" t="s">
        <v>566</v>
      </c>
    </row>
    <row r="16" spans="1:14" x14ac:dyDescent="0.3">
      <c r="L16" s="343" t="s">
        <v>568</v>
      </c>
      <c r="M16" s="344" t="s">
        <v>575</v>
      </c>
      <c r="N16" s="343" t="s">
        <v>568</v>
      </c>
    </row>
    <row r="17" spans="3:14" x14ac:dyDescent="0.3">
      <c r="C17" s="321" t="s">
        <v>946</v>
      </c>
      <c r="D17" s="227"/>
      <c r="E17" s="227"/>
      <c r="F17" s="227">
        <f>G29</f>
        <v>12.45</v>
      </c>
      <c r="G17" s="227" t="s">
        <v>971</v>
      </c>
      <c r="L17" s="343" t="s">
        <v>570</v>
      </c>
      <c r="M17" s="344" t="s">
        <v>577</v>
      </c>
      <c r="N17" s="343" t="s">
        <v>570</v>
      </c>
    </row>
    <row r="18" spans="3:14" x14ac:dyDescent="0.3">
      <c r="L18" s="343" t="s">
        <v>572</v>
      </c>
      <c r="M18" s="344" t="s">
        <v>579</v>
      </c>
      <c r="N18" s="343" t="s">
        <v>572</v>
      </c>
    </row>
    <row r="19" spans="3:14" x14ac:dyDescent="0.3">
      <c r="C19" s="27" t="s">
        <v>964</v>
      </c>
      <c r="D19" s="28" t="s">
        <v>941</v>
      </c>
      <c r="E19" s="158">
        <v>0.1</v>
      </c>
      <c r="F19" s="81">
        <f>'МЕДИЧНІ М'!E93</f>
        <v>2.8</v>
      </c>
      <c r="G19" s="228">
        <f>ROUND(F19*E19,2)</f>
        <v>0.28000000000000003</v>
      </c>
      <c r="L19" s="343" t="s">
        <v>574</v>
      </c>
      <c r="M19" s="344" t="s">
        <v>581</v>
      </c>
      <c r="N19" s="343" t="s">
        <v>574</v>
      </c>
    </row>
    <row r="20" spans="3:14" x14ac:dyDescent="0.3">
      <c r="C20" s="27" t="s">
        <v>965</v>
      </c>
      <c r="D20" s="28" t="s">
        <v>941</v>
      </c>
      <c r="E20" s="158">
        <v>0.01</v>
      </c>
      <c r="F20" s="81">
        <f>'МЕДИЧНІ М'!E94</f>
        <v>24.6</v>
      </c>
      <c r="G20" s="228">
        <f t="shared" ref="G20:G25" si="0">ROUND(F20*E20,2)</f>
        <v>0.25</v>
      </c>
      <c r="L20" s="343" t="s">
        <v>576</v>
      </c>
      <c r="M20" s="344" t="s">
        <v>583</v>
      </c>
      <c r="N20" s="343" t="s">
        <v>576</v>
      </c>
    </row>
    <row r="21" spans="3:14" x14ac:dyDescent="0.3">
      <c r="C21" s="27" t="s">
        <v>940</v>
      </c>
      <c r="D21" s="28" t="s">
        <v>941</v>
      </c>
      <c r="E21" s="158">
        <v>0.1</v>
      </c>
      <c r="F21" s="81">
        <f>'МЕДИЧНІ М'!E90</f>
        <v>2</v>
      </c>
      <c r="G21" s="228">
        <f t="shared" si="0"/>
        <v>0.2</v>
      </c>
      <c r="L21" s="343" t="s">
        <v>578</v>
      </c>
      <c r="M21" s="344" t="s">
        <v>585</v>
      </c>
      <c r="N21" s="343" t="s">
        <v>578</v>
      </c>
    </row>
    <row r="22" spans="3:14" x14ac:dyDescent="0.3">
      <c r="C22" s="27" t="s">
        <v>936</v>
      </c>
      <c r="D22" s="28" t="s">
        <v>937</v>
      </c>
      <c r="E22" s="81">
        <v>1</v>
      </c>
      <c r="F22" s="28">
        <f>'МЕДИЧНІ М'!F91</f>
        <v>0.3</v>
      </c>
      <c r="G22" s="28">
        <f>ROUND(E22*F22,2)</f>
        <v>0.3</v>
      </c>
      <c r="L22" s="343" t="s">
        <v>580</v>
      </c>
      <c r="M22" s="344" t="s">
        <v>587</v>
      </c>
      <c r="N22" s="343" t="s">
        <v>580</v>
      </c>
    </row>
    <row r="23" spans="3:14" x14ac:dyDescent="0.3">
      <c r="C23" s="27" t="str">
        <f>МАТЕРІАЛИ!B4</f>
        <v>Папір офісний А4</v>
      </c>
      <c r="D23" s="28" t="s">
        <v>941</v>
      </c>
      <c r="E23" s="81">
        <v>2</v>
      </c>
      <c r="F23" s="81">
        <f>МАТЕРІАЛИ!E4</f>
        <v>0.3</v>
      </c>
      <c r="G23" s="228">
        <f t="shared" si="0"/>
        <v>0.6</v>
      </c>
      <c r="L23" s="343" t="s">
        <v>582</v>
      </c>
      <c r="M23" s="344" t="s">
        <v>589</v>
      </c>
      <c r="N23" s="343" t="s">
        <v>582</v>
      </c>
    </row>
    <row r="24" spans="3:14" x14ac:dyDescent="0.3">
      <c r="C24" s="27" t="str">
        <f>'МЕДИЧНІ М'!B87</f>
        <v xml:space="preserve">Гель для УЗД , 1000 гр. </v>
      </c>
      <c r="D24" s="28" t="s">
        <v>967</v>
      </c>
      <c r="E24" s="158">
        <v>0.1</v>
      </c>
      <c r="F24" s="81">
        <f>'МЕДИЧНІ М'!E87</f>
        <v>48</v>
      </c>
      <c r="G24" s="228">
        <f t="shared" si="0"/>
        <v>4.8</v>
      </c>
      <c r="L24" s="343" t="s">
        <v>584</v>
      </c>
      <c r="M24" s="344" t="s">
        <v>591</v>
      </c>
      <c r="N24" s="343" t="s">
        <v>584</v>
      </c>
    </row>
    <row r="25" spans="3:14" x14ac:dyDescent="0.3">
      <c r="C25" s="27" t="s">
        <v>949</v>
      </c>
      <c r="D25" s="28" t="s">
        <v>950</v>
      </c>
      <c r="E25" s="158">
        <v>0.3</v>
      </c>
      <c r="F25" s="28">
        <f>'МЕДИЧНІ М'!F92</f>
        <v>17</v>
      </c>
      <c r="G25" s="228">
        <f t="shared" si="0"/>
        <v>5.0999999999999996</v>
      </c>
      <c r="L25" s="343" t="s">
        <v>586</v>
      </c>
      <c r="M25" s="344" t="s">
        <v>593</v>
      </c>
      <c r="N25" s="343" t="s">
        <v>586</v>
      </c>
    </row>
    <row r="26" spans="3:14" x14ac:dyDescent="0.3">
      <c r="C26" s="27" t="s">
        <v>938</v>
      </c>
      <c r="D26" s="28" t="s">
        <v>939</v>
      </c>
      <c r="E26" s="81">
        <v>0.1</v>
      </c>
      <c r="F26" s="28">
        <f>'МЕДИЧНІ М'!F89</f>
        <v>6</v>
      </c>
      <c r="G26" s="28">
        <f>ROUND(E26*F26,2)</f>
        <v>0.6</v>
      </c>
      <c r="L26" s="343" t="s">
        <v>588</v>
      </c>
      <c r="M26" s="344" t="s">
        <v>595</v>
      </c>
      <c r="N26" s="343" t="s">
        <v>588</v>
      </c>
    </row>
    <row r="27" spans="3:14" x14ac:dyDescent="0.3">
      <c r="C27" s="27" t="s">
        <v>943</v>
      </c>
      <c r="D27" s="28" t="s">
        <v>944</v>
      </c>
      <c r="E27" s="81">
        <v>1</v>
      </c>
      <c r="F27" s="28">
        <f>'МЕДИЧНІ М'!F86</f>
        <v>7.0000000000000007E-2</v>
      </c>
      <c r="G27" s="28">
        <f>ROUND(E27*F27,2)</f>
        <v>7.0000000000000007E-2</v>
      </c>
      <c r="L27" s="343" t="s">
        <v>590</v>
      </c>
      <c r="M27" s="344" t="s">
        <v>649</v>
      </c>
      <c r="N27" s="343" t="s">
        <v>590</v>
      </c>
    </row>
    <row r="28" spans="3:14" x14ac:dyDescent="0.3">
      <c r="C28" s="27" t="s">
        <v>1124</v>
      </c>
      <c r="D28" s="28" t="s">
        <v>944</v>
      </c>
      <c r="E28" s="81">
        <v>0.5</v>
      </c>
      <c r="F28" s="81">
        <f>'МЕДИЧНІ М'!E88</f>
        <v>0.5</v>
      </c>
      <c r="G28" s="28">
        <f>ROUND(E28*F28,2)</f>
        <v>0.25</v>
      </c>
      <c r="L28" s="343" t="s">
        <v>592</v>
      </c>
      <c r="M28" s="344" t="s">
        <v>651</v>
      </c>
      <c r="N28" s="343" t="s">
        <v>592</v>
      </c>
    </row>
    <row r="29" spans="3:14" x14ac:dyDescent="0.3">
      <c r="C29" s="1019"/>
      <c r="D29" s="1019"/>
      <c r="E29" s="1019"/>
      <c r="F29" s="1019"/>
      <c r="G29" s="332">
        <f>SUM(G19:G28)</f>
        <v>12.45</v>
      </c>
      <c r="L29" s="343" t="s">
        <v>594</v>
      </c>
      <c r="M29" s="344" t="s">
        <v>653</v>
      </c>
      <c r="N29" s="343" t="s">
        <v>594</v>
      </c>
    </row>
    <row r="30" spans="3:14" x14ac:dyDescent="0.3">
      <c r="L30" s="343" t="s">
        <v>596</v>
      </c>
      <c r="M30" s="344" t="s">
        <v>655</v>
      </c>
      <c r="N30" s="343" t="s">
        <v>596</v>
      </c>
    </row>
    <row r="31" spans="3:14" x14ac:dyDescent="0.3">
      <c r="C31" s="321" t="s">
        <v>968</v>
      </c>
      <c r="D31" s="227"/>
      <c r="E31" s="227"/>
      <c r="F31" s="298">
        <f>H34</f>
        <v>27.4</v>
      </c>
      <c r="G31" s="227" t="s">
        <v>971</v>
      </c>
      <c r="L31" s="343" t="s">
        <v>598</v>
      </c>
      <c r="M31" s="344" t="s">
        <v>657</v>
      </c>
      <c r="N31" s="343" t="s">
        <v>598</v>
      </c>
    </row>
    <row r="32" spans="3:14" x14ac:dyDescent="0.3">
      <c r="C32" s="322"/>
      <c r="D32" s="36"/>
      <c r="E32" s="36"/>
      <c r="F32" s="302"/>
      <c r="G32" s="36"/>
      <c r="L32" s="343" t="s">
        <v>600</v>
      </c>
      <c r="M32" s="347" t="s">
        <v>659</v>
      </c>
      <c r="N32" s="343" t="s">
        <v>600</v>
      </c>
    </row>
    <row r="33" spans="3:14" ht="27.6" x14ac:dyDescent="0.3">
      <c r="C33" s="46" t="s">
        <v>513</v>
      </c>
      <c r="D33" s="14" t="s">
        <v>969</v>
      </c>
      <c r="E33" s="14" t="s">
        <v>516</v>
      </c>
      <c r="F33" s="14" t="s">
        <v>970</v>
      </c>
      <c r="G33" s="14" t="s">
        <v>930</v>
      </c>
      <c r="H33" s="14" t="s">
        <v>961</v>
      </c>
      <c r="L33" s="343" t="s">
        <v>602</v>
      </c>
      <c r="M33" s="344" t="s">
        <v>661</v>
      </c>
      <c r="N33" s="343" t="s">
        <v>602</v>
      </c>
    </row>
    <row r="34" spans="3:14" x14ac:dyDescent="0.3">
      <c r="C34" s="27" t="str">
        <f>АМОРТИЗАЦІЯ!B66</f>
        <v>Ультразвукова система AFFINITI 30</v>
      </c>
      <c r="D34" s="73">
        <f>АМОРТИЗАЦІЯ!C64</f>
        <v>136236.38</v>
      </c>
      <c r="E34" s="268">
        <f>I8</f>
        <v>1656.6</v>
      </c>
      <c r="F34" s="73">
        <f>ROUND((D34/E34)/60,2)</f>
        <v>1.37</v>
      </c>
      <c r="G34" s="73">
        <f>E12</f>
        <v>20</v>
      </c>
      <c r="H34" s="78">
        <f>ROUND(F34*G34,2)</f>
        <v>27.4</v>
      </c>
      <c r="I34" s="333"/>
      <c r="L34" s="343" t="s">
        <v>604</v>
      </c>
      <c r="M34" s="344" t="s">
        <v>663</v>
      </c>
      <c r="N34" s="343" t="s">
        <v>604</v>
      </c>
    </row>
    <row r="35" spans="3:14" x14ac:dyDescent="0.3">
      <c r="L35" s="343" t="s">
        <v>606</v>
      </c>
      <c r="M35" s="344" t="s">
        <v>665</v>
      </c>
      <c r="N35" s="343" t="s">
        <v>606</v>
      </c>
    </row>
    <row r="36" spans="3:14" x14ac:dyDescent="0.3">
      <c r="C36" s="321" t="s">
        <v>948</v>
      </c>
      <c r="D36" s="227"/>
      <c r="E36" s="227"/>
      <c r="F36" s="298">
        <f>H49</f>
        <v>5.2</v>
      </c>
      <c r="G36" s="227" t="s">
        <v>971</v>
      </c>
      <c r="L36" s="343" t="s">
        <v>608</v>
      </c>
      <c r="M36" s="344" t="s">
        <v>1095</v>
      </c>
      <c r="N36" s="343" t="s">
        <v>608</v>
      </c>
    </row>
    <row r="37" spans="3:14" x14ac:dyDescent="0.3">
      <c r="C37" s="322"/>
      <c r="D37" s="36"/>
      <c r="E37" s="36"/>
      <c r="F37" s="302"/>
      <c r="L37" s="343" t="s">
        <v>610</v>
      </c>
      <c r="M37" s="346" t="str">
        <f>C1873</f>
        <v>Ультразвукова доплерографія екстракраніальних артерій і вен голови</v>
      </c>
      <c r="N37" s="343" t="s">
        <v>610</v>
      </c>
    </row>
    <row r="38" spans="3:14" ht="27.6" x14ac:dyDescent="0.3">
      <c r="C38" s="46" t="s">
        <v>948</v>
      </c>
      <c r="D38" s="14" t="s">
        <v>1110</v>
      </c>
      <c r="E38" s="14" t="s">
        <v>516</v>
      </c>
      <c r="F38" s="14" t="s">
        <v>954</v>
      </c>
      <c r="G38" s="14" t="s">
        <v>930</v>
      </c>
      <c r="H38" s="14" t="s">
        <v>1111</v>
      </c>
      <c r="L38" s="343" t="s">
        <v>612</v>
      </c>
      <c r="M38" s="346" t="str">
        <f>C1928</f>
        <v>Ультразвукове дослідження паращитоподібних залоз</v>
      </c>
      <c r="N38" s="343" t="s">
        <v>612</v>
      </c>
    </row>
    <row r="39" spans="3:14" x14ac:dyDescent="0.3">
      <c r="C39" s="1009" t="str">
        <f>C8</f>
        <v>Лікар з ультразвукової діагностики</v>
      </c>
      <c r="D39" s="1010"/>
      <c r="E39" s="1010"/>
      <c r="F39" s="1010"/>
      <c r="G39" s="1010"/>
      <c r="H39" s="1011"/>
      <c r="L39" s="343" t="s">
        <v>614</v>
      </c>
      <c r="M39" s="346" t="str">
        <f>C1983</f>
        <v>Доплерографія судин нирок</v>
      </c>
      <c r="N39" s="343" t="s">
        <v>614</v>
      </c>
    </row>
    <row r="40" spans="3:14" x14ac:dyDescent="0.3">
      <c r="C40" s="134" t="s">
        <v>951</v>
      </c>
      <c r="D40" s="221">
        <f>НАКЛАДНІ!F4</f>
        <v>12188.608008565312</v>
      </c>
      <c r="E40" s="73">
        <f>I8</f>
        <v>1656.6</v>
      </c>
      <c r="F40" s="73">
        <f>ROUND((D40/E40)/60,2)</f>
        <v>0.12</v>
      </c>
      <c r="G40" s="73">
        <f>E12</f>
        <v>20</v>
      </c>
      <c r="H40" s="78">
        <f>ROUND(F40*G40,2)</f>
        <v>2.4</v>
      </c>
      <c r="L40" s="343" t="s">
        <v>616</v>
      </c>
      <c r="M40" s="346" t="str">
        <f>C2038</f>
        <v>Доплерографія судин печінки</v>
      </c>
      <c r="N40" s="343" t="s">
        <v>616</v>
      </c>
    </row>
    <row r="41" spans="3:14" x14ac:dyDescent="0.3">
      <c r="C41" s="134" t="s">
        <v>952</v>
      </c>
      <c r="D41" s="221">
        <f>НАКЛАДНІ!F5</f>
        <v>53.149721627408987</v>
      </c>
      <c r="E41" s="73">
        <f>I8</f>
        <v>1656.6</v>
      </c>
      <c r="F41" s="73">
        <f>ROUND((D41/E41)/60,2)</f>
        <v>0</v>
      </c>
      <c r="G41" s="73">
        <f>E12</f>
        <v>20</v>
      </c>
      <c r="H41" s="78">
        <f>ROUND(F41*G41,2)</f>
        <v>0</v>
      </c>
      <c r="L41" s="343" t="s">
        <v>618</v>
      </c>
      <c r="M41" s="346" t="str">
        <f>C2093</f>
        <v>Доплерографія селезінкових судин</v>
      </c>
      <c r="N41" s="343" t="s">
        <v>618</v>
      </c>
    </row>
    <row r="42" spans="3:14" x14ac:dyDescent="0.3">
      <c r="C42" s="134" t="s">
        <v>953</v>
      </c>
      <c r="D42" s="221">
        <f>НАКЛАДНІ!F6</f>
        <v>374.98368308351178</v>
      </c>
      <c r="E42" s="73">
        <f>I8</f>
        <v>1656.6</v>
      </c>
      <c r="F42" s="73">
        <f>ROUND((D42/E42)/60,2)</f>
        <v>0</v>
      </c>
      <c r="G42" s="73">
        <f>E12</f>
        <v>20</v>
      </c>
      <c r="H42" s="78">
        <f>ROUND(F42*G42,2)</f>
        <v>0</v>
      </c>
      <c r="L42" s="343" t="s">
        <v>620</v>
      </c>
      <c r="M42" s="346" t="str">
        <f>C2148</f>
        <v>Доплерографія артерій верхніх кінцівок</v>
      </c>
      <c r="N42" s="343" t="s">
        <v>620</v>
      </c>
    </row>
    <row r="43" spans="3:14" x14ac:dyDescent="0.3">
      <c r="C43" s="134" t="s">
        <v>1109</v>
      </c>
      <c r="D43" s="221">
        <f>НАКЛАДНІ!F7</f>
        <v>1686.0389293361886</v>
      </c>
      <c r="E43" s="73">
        <f>I8</f>
        <v>1656.6</v>
      </c>
      <c r="F43" s="73">
        <f>ROUND((D43/E43)/60,2)</f>
        <v>0.02</v>
      </c>
      <c r="G43" s="73">
        <f>E12</f>
        <v>20</v>
      </c>
      <c r="H43" s="78">
        <f>ROUND(F43*G43,2)</f>
        <v>0.4</v>
      </c>
      <c r="L43" s="343" t="s">
        <v>622</v>
      </c>
      <c r="M43" s="346" t="str">
        <f>C2203</f>
        <v>Доплерографія артерій нижніх кінцівок</v>
      </c>
      <c r="N43" s="343" t="s">
        <v>622</v>
      </c>
    </row>
    <row r="44" spans="3:14" x14ac:dyDescent="0.3">
      <c r="C44" s="1009" t="str">
        <f>C9</f>
        <v xml:space="preserve">Сестра медична </v>
      </c>
      <c r="D44" s="1010"/>
      <c r="E44" s="1010"/>
      <c r="F44" s="1010"/>
      <c r="G44" s="1010"/>
      <c r="H44" s="1011"/>
      <c r="N44" s="343"/>
    </row>
    <row r="45" spans="3:14" x14ac:dyDescent="0.3">
      <c r="C45" s="134" t="s">
        <v>951</v>
      </c>
      <c r="D45" s="221">
        <f>D40</f>
        <v>12188.608008565312</v>
      </c>
      <c r="E45" s="73">
        <f>I9</f>
        <v>1932.7</v>
      </c>
      <c r="F45" s="73">
        <f>ROUND((D45/E45)/60,2)</f>
        <v>0.11</v>
      </c>
      <c r="G45" s="73">
        <f>E13</f>
        <v>20</v>
      </c>
      <c r="H45" s="78">
        <f>ROUND(F45*G45,2)</f>
        <v>2.2000000000000002</v>
      </c>
      <c r="N45" s="343"/>
    </row>
    <row r="46" spans="3:14" x14ac:dyDescent="0.3">
      <c r="C46" s="134" t="s">
        <v>952</v>
      </c>
      <c r="D46" s="221">
        <f>D41</f>
        <v>53.149721627408987</v>
      </c>
      <c r="E46" s="73">
        <f>I9</f>
        <v>1932.7</v>
      </c>
      <c r="F46" s="73">
        <f>ROUND((D46/E46)/60,2)</f>
        <v>0</v>
      </c>
      <c r="G46" s="73">
        <f>E13</f>
        <v>20</v>
      </c>
      <c r="H46" s="78">
        <f>ROUND(F46*G46,2)</f>
        <v>0</v>
      </c>
      <c r="L46" s="343"/>
      <c r="M46" s="351"/>
    </row>
    <row r="47" spans="3:14" x14ac:dyDescent="0.3">
      <c r="C47" s="134" t="s">
        <v>953</v>
      </c>
      <c r="D47" s="221">
        <f>D42</f>
        <v>374.98368308351178</v>
      </c>
      <c r="E47" s="73">
        <f>I9</f>
        <v>1932.7</v>
      </c>
      <c r="F47" s="73">
        <f>ROUND((D47/E47)/60,2)</f>
        <v>0</v>
      </c>
      <c r="G47" s="73">
        <f>E13</f>
        <v>20</v>
      </c>
      <c r="H47" s="78">
        <f>ROUND(F47*G47,2)</f>
        <v>0</v>
      </c>
      <c r="L47" s="343"/>
    </row>
    <row r="48" spans="3:14" x14ac:dyDescent="0.3">
      <c r="C48" s="134" t="s">
        <v>1109</v>
      </c>
      <c r="D48" s="221">
        <f>D43</f>
        <v>1686.0389293361886</v>
      </c>
      <c r="E48" s="73">
        <f>I9</f>
        <v>1932.7</v>
      </c>
      <c r="F48" s="73">
        <f>ROUND((D48/E48)/60,2)</f>
        <v>0.01</v>
      </c>
      <c r="G48" s="73">
        <f>E13</f>
        <v>20</v>
      </c>
      <c r="H48" s="78">
        <f>ROUND(F48*G48,2)</f>
        <v>0.2</v>
      </c>
      <c r="L48" s="343"/>
    </row>
    <row r="49" spans="1:14" x14ac:dyDescent="0.3">
      <c r="C49" s="1012" t="s">
        <v>957</v>
      </c>
      <c r="D49" s="1013"/>
      <c r="E49" s="1013"/>
      <c r="F49" s="1013"/>
      <c r="G49" s="1014"/>
      <c r="H49" s="299">
        <f>SUM(H40:H48)</f>
        <v>5.2</v>
      </c>
      <c r="L49" s="343"/>
    </row>
    <row r="50" spans="1:14" ht="7.5" customHeight="1" x14ac:dyDescent="0.3"/>
    <row r="52" spans="1:14" x14ac:dyDescent="0.3">
      <c r="C52" s="1015" t="s">
        <v>959</v>
      </c>
      <c r="D52" s="1015"/>
      <c r="E52" s="1015"/>
      <c r="F52" s="1015"/>
      <c r="G52" s="1015"/>
      <c r="H52" s="334">
        <f>F5+F17+F31+F36</f>
        <v>85.070000000000007</v>
      </c>
    </row>
    <row r="53" spans="1:14" x14ac:dyDescent="0.3">
      <c r="C53" s="323"/>
      <c r="D53" s="33"/>
      <c r="E53" s="33"/>
      <c r="F53" s="33"/>
      <c r="G53" s="33"/>
      <c r="H53" s="335"/>
    </row>
    <row r="54" spans="1:14" x14ac:dyDescent="0.3">
      <c r="C54" s="1015" t="s">
        <v>960</v>
      </c>
      <c r="D54" s="1015"/>
      <c r="E54" s="1015"/>
      <c r="F54" s="1015"/>
      <c r="G54" s="1015"/>
      <c r="H54" s="334">
        <f>ROUND(H52,0)</f>
        <v>85</v>
      </c>
    </row>
    <row r="56" spans="1:14" s="54" customFormat="1" ht="19.8" x14ac:dyDescent="0.4">
      <c r="A56" s="53"/>
      <c r="B56" s="1016" t="s">
        <v>958</v>
      </c>
      <c r="C56" s="1016"/>
      <c r="D56" s="1016"/>
      <c r="E56" s="1016"/>
      <c r="F56" s="1016"/>
      <c r="G56" s="1016"/>
      <c r="H56" s="1016"/>
      <c r="I56" s="1016"/>
      <c r="J56" s="1016"/>
      <c r="K56" s="70"/>
      <c r="L56" s="348"/>
      <c r="M56" s="348"/>
      <c r="N56" s="99"/>
    </row>
    <row r="57" spans="1:14" s="54" customFormat="1" ht="13.5" customHeight="1" x14ac:dyDescent="0.4">
      <c r="A57" s="53"/>
      <c r="B57" s="53"/>
      <c r="C57" s="56"/>
      <c r="D57" s="225"/>
      <c r="E57" s="225"/>
      <c r="F57" s="225"/>
      <c r="G57" s="225"/>
      <c r="H57" s="225"/>
      <c r="I57" s="225"/>
      <c r="J57" s="225"/>
      <c r="K57" s="70"/>
      <c r="L57" s="348"/>
      <c r="M57" s="348"/>
      <c r="N57" s="99"/>
    </row>
    <row r="58" spans="1:14" s="54" customFormat="1" ht="38.25" customHeight="1" x14ac:dyDescent="0.4">
      <c r="A58" s="53"/>
      <c r="B58" s="50" t="s">
        <v>544</v>
      </c>
      <c r="C58" s="1017" t="s">
        <v>551</v>
      </c>
      <c r="D58" s="1017"/>
      <c r="E58" s="1017"/>
      <c r="F58" s="296">
        <f>H109</f>
        <v>85</v>
      </c>
      <c r="G58" s="296" t="s">
        <v>971</v>
      </c>
      <c r="H58" s="225"/>
      <c r="I58" s="225"/>
      <c r="J58" s="225"/>
      <c r="K58" s="70"/>
      <c r="L58" s="348"/>
      <c r="M58" s="348"/>
      <c r="N58" s="99"/>
    </row>
    <row r="60" spans="1:14" x14ac:dyDescent="0.3">
      <c r="C60" s="1018" t="s">
        <v>932</v>
      </c>
      <c r="D60" s="1018"/>
      <c r="E60" s="297"/>
      <c r="F60" s="298">
        <f>F67+F70+F68</f>
        <v>40.019999999999996</v>
      </c>
      <c r="G60" s="227" t="s">
        <v>971</v>
      </c>
    </row>
    <row r="62" spans="1:14" x14ac:dyDescent="0.3">
      <c r="C62" s="318" t="s">
        <v>929</v>
      </c>
      <c r="D62" s="14" t="s">
        <v>928</v>
      </c>
      <c r="E62" s="14" t="s">
        <v>514</v>
      </c>
      <c r="F62" s="14" t="s">
        <v>515</v>
      </c>
      <c r="G62" s="14" t="s">
        <v>962</v>
      </c>
      <c r="H62" s="14" t="s">
        <v>926</v>
      </c>
      <c r="I62" s="14" t="s">
        <v>516</v>
      </c>
      <c r="J62" s="14" t="s">
        <v>961</v>
      </c>
    </row>
    <row r="63" spans="1:14" x14ac:dyDescent="0.3">
      <c r="C63" s="134" t="str">
        <f>C8</f>
        <v>Лікар з ультразвукової діагностики</v>
      </c>
      <c r="D63" s="73">
        <f>D8</f>
        <v>6660.23</v>
      </c>
      <c r="E63" s="78">
        <f>D63*12</f>
        <v>79922.759999999995</v>
      </c>
      <c r="F63" s="73">
        <f>F8</f>
        <v>6054.75</v>
      </c>
      <c r="G63" s="78">
        <f>G8</f>
        <v>3027.375</v>
      </c>
      <c r="H63" s="78">
        <f>E63+F63+G63</f>
        <v>89004.884999999995</v>
      </c>
      <c r="I63" s="73">
        <v>1656.6</v>
      </c>
      <c r="J63" s="78">
        <f>ROUND((H63/I63)/60,2)</f>
        <v>0.9</v>
      </c>
    </row>
    <row r="64" spans="1:14" x14ac:dyDescent="0.3">
      <c r="C64" s="134" t="str">
        <f>C9</f>
        <v xml:space="preserve">Сестра медична </v>
      </c>
      <c r="D64" s="73">
        <f>D9</f>
        <v>6506.5</v>
      </c>
      <c r="E64" s="78">
        <f>D64*12</f>
        <v>78078</v>
      </c>
      <c r="F64" s="73">
        <f>F9</f>
        <v>5005</v>
      </c>
      <c r="G64" s="73">
        <f>G9</f>
        <v>2502.5</v>
      </c>
      <c r="H64" s="78">
        <f>E64+F64+G64</f>
        <v>85585.5</v>
      </c>
      <c r="I64" s="73">
        <v>1932.7</v>
      </c>
      <c r="J64" s="78">
        <f>ROUND((H64/I64)/60,2)</f>
        <v>0.74</v>
      </c>
    </row>
    <row r="66" spans="3:7" ht="27.6" x14ac:dyDescent="0.3">
      <c r="C66" s="318" t="s">
        <v>929</v>
      </c>
      <c r="D66" s="14" t="s">
        <v>961</v>
      </c>
      <c r="E66" s="14" t="s">
        <v>930</v>
      </c>
      <c r="F66" s="14" t="s">
        <v>931</v>
      </c>
    </row>
    <row r="67" spans="3:7" x14ac:dyDescent="0.3">
      <c r="C67" s="320" t="str">
        <f>C63</f>
        <v>Лікар з ультразвукової діагностики</v>
      </c>
      <c r="D67" s="78">
        <f>J63</f>
        <v>0.9</v>
      </c>
      <c r="E67" s="73">
        <v>20</v>
      </c>
      <c r="F67" s="299">
        <f>ROUND(D67*E67,2)</f>
        <v>18</v>
      </c>
    </row>
    <row r="68" spans="3:7" x14ac:dyDescent="0.3">
      <c r="C68" s="320" t="str">
        <f>C64</f>
        <v xml:space="preserve">Сестра медична </v>
      </c>
      <c r="D68" s="78">
        <f>J64</f>
        <v>0.74</v>
      </c>
      <c r="E68" s="73">
        <v>20</v>
      </c>
      <c r="F68" s="299">
        <f>ROUND(D68*E68,2)</f>
        <v>14.8</v>
      </c>
    </row>
    <row r="69" spans="3:7" ht="6.75" customHeight="1" x14ac:dyDescent="0.3">
      <c r="D69" s="19"/>
    </row>
    <row r="70" spans="3:7" x14ac:dyDescent="0.3">
      <c r="C70" s="134" t="s">
        <v>933</v>
      </c>
      <c r="D70" s="78">
        <f>F67+F68</f>
        <v>32.799999999999997</v>
      </c>
      <c r="E70" s="300">
        <v>0.22</v>
      </c>
      <c r="F70" s="301">
        <f>ROUND(D70*E70,2)</f>
        <v>7.22</v>
      </c>
    </row>
    <row r="71" spans="3:7" ht="10.5" customHeight="1" x14ac:dyDescent="0.3"/>
    <row r="72" spans="3:7" x14ac:dyDescent="0.3">
      <c r="C72" s="321" t="s">
        <v>946</v>
      </c>
      <c r="D72" s="227"/>
      <c r="E72" s="227"/>
      <c r="F72" s="227">
        <f>G84</f>
        <v>12.45</v>
      </c>
      <c r="G72" s="227" t="s">
        <v>971</v>
      </c>
    </row>
    <row r="73" spans="3:7" ht="6" customHeight="1" x14ac:dyDescent="0.3"/>
    <row r="74" spans="3:7" x14ac:dyDescent="0.3">
      <c r="C74" s="27" t="str">
        <f t="shared" ref="C74:F83" si="1">C19</f>
        <v>Рукавиці не стерильні</v>
      </c>
      <c r="D74" s="303" t="str">
        <f t="shared" si="1"/>
        <v>шт</v>
      </c>
      <c r="E74" s="303">
        <f t="shared" si="1"/>
        <v>0.1</v>
      </c>
      <c r="F74" s="303">
        <f t="shared" si="1"/>
        <v>2.8</v>
      </c>
      <c r="G74" s="228">
        <f>ROUND(F74*E74,2)</f>
        <v>0.28000000000000003</v>
      </c>
    </row>
    <row r="75" spans="3:7" x14ac:dyDescent="0.3">
      <c r="C75" s="27" t="str">
        <f t="shared" si="1"/>
        <v xml:space="preserve">Септил 70% 100мл </v>
      </c>
      <c r="D75" s="303" t="str">
        <f t="shared" si="1"/>
        <v>шт</v>
      </c>
      <c r="E75" s="303">
        <f t="shared" si="1"/>
        <v>0.01</v>
      </c>
      <c r="F75" s="303">
        <f t="shared" si="1"/>
        <v>24.6</v>
      </c>
      <c r="G75" s="228">
        <f t="shared" ref="G75:G80" si="2">ROUND(F75*E75,2)</f>
        <v>0.25</v>
      </c>
    </row>
    <row r="76" spans="3:7" x14ac:dyDescent="0.3">
      <c r="C76" s="27" t="str">
        <f t="shared" si="1"/>
        <v>Маска на резинці, стерильна.</v>
      </c>
      <c r="D76" s="303" t="str">
        <f t="shared" si="1"/>
        <v>шт</v>
      </c>
      <c r="E76" s="303">
        <f t="shared" si="1"/>
        <v>0.1</v>
      </c>
      <c r="F76" s="303">
        <f t="shared" si="1"/>
        <v>2</v>
      </c>
      <c r="G76" s="228">
        <f t="shared" si="2"/>
        <v>0.2</v>
      </c>
    </row>
    <row r="77" spans="3:7" x14ac:dyDescent="0.3">
      <c r="C77" s="27" t="str">
        <f t="shared" si="1"/>
        <v>Мікрасепт</v>
      </c>
      <c r="D77" s="303" t="str">
        <f t="shared" si="1"/>
        <v>мл</v>
      </c>
      <c r="E77" s="303">
        <f t="shared" si="1"/>
        <v>1</v>
      </c>
      <c r="F77" s="303">
        <f t="shared" si="1"/>
        <v>0.3</v>
      </c>
      <c r="G77" s="28">
        <f>ROUND(E77*F77,2)</f>
        <v>0.3</v>
      </c>
    </row>
    <row r="78" spans="3:7" x14ac:dyDescent="0.3">
      <c r="C78" s="27" t="str">
        <f t="shared" si="1"/>
        <v>Папір офісний А4</v>
      </c>
      <c r="D78" s="303" t="str">
        <f t="shared" si="1"/>
        <v>шт</v>
      </c>
      <c r="E78" s="303">
        <f t="shared" si="1"/>
        <v>2</v>
      </c>
      <c r="F78" s="303">
        <f t="shared" si="1"/>
        <v>0.3</v>
      </c>
      <c r="G78" s="228">
        <f t="shared" si="2"/>
        <v>0.6</v>
      </c>
    </row>
    <row r="79" spans="3:7" x14ac:dyDescent="0.3">
      <c r="C79" s="27" t="str">
        <f t="shared" si="1"/>
        <v xml:space="preserve">Гель для УЗД , 1000 гр. </v>
      </c>
      <c r="D79" s="303" t="str">
        <f t="shared" si="1"/>
        <v>пляшка</v>
      </c>
      <c r="E79" s="303">
        <f t="shared" si="1"/>
        <v>0.1</v>
      </c>
      <c r="F79" s="303">
        <f t="shared" si="1"/>
        <v>48</v>
      </c>
      <c r="G79" s="228">
        <f t="shared" si="2"/>
        <v>4.8</v>
      </c>
    </row>
    <row r="80" spans="3:7" x14ac:dyDescent="0.3">
      <c r="C80" s="27" t="str">
        <f t="shared" si="1"/>
        <v>Паперові рушники "Fesko Professional"</v>
      </c>
      <c r="D80" s="303" t="str">
        <f t="shared" si="1"/>
        <v>рул</v>
      </c>
      <c r="E80" s="303">
        <f t="shared" si="1"/>
        <v>0.3</v>
      </c>
      <c r="F80" s="303">
        <f t="shared" si="1"/>
        <v>17</v>
      </c>
      <c r="G80" s="228">
        <f t="shared" si="2"/>
        <v>5.0999999999999996</v>
      </c>
    </row>
    <row r="81" spans="3:9" x14ac:dyDescent="0.3">
      <c r="C81" s="27" t="str">
        <f t="shared" si="1"/>
        <v>Марля медична</v>
      </c>
      <c r="D81" s="303" t="str">
        <f t="shared" si="1"/>
        <v>метр</v>
      </c>
      <c r="E81" s="303">
        <f t="shared" si="1"/>
        <v>0.1</v>
      </c>
      <c r="F81" s="303">
        <f t="shared" si="1"/>
        <v>6</v>
      </c>
      <c r="G81" s="28">
        <f>ROUND(E81*F81,2)</f>
        <v>0.6</v>
      </c>
    </row>
    <row r="82" spans="3:9" x14ac:dyDescent="0.3">
      <c r="C82" s="27" t="str">
        <f t="shared" si="1"/>
        <v>Вата</v>
      </c>
      <c r="D82" s="303" t="str">
        <f t="shared" si="1"/>
        <v>г</v>
      </c>
      <c r="E82" s="303">
        <f t="shared" si="1"/>
        <v>1</v>
      </c>
      <c r="F82" s="303">
        <f t="shared" si="1"/>
        <v>7.0000000000000007E-2</v>
      </c>
      <c r="G82" s="28">
        <f>ROUND(E82*F82,2)</f>
        <v>7.0000000000000007E-2</v>
      </c>
    </row>
    <row r="83" spans="3:9" x14ac:dyDescent="0.3">
      <c r="C83" s="27" t="str">
        <f t="shared" si="1"/>
        <v>Деззасоби</v>
      </c>
      <c r="D83" s="303" t="str">
        <f t="shared" si="1"/>
        <v>г</v>
      </c>
      <c r="E83" s="303">
        <f t="shared" si="1"/>
        <v>0.5</v>
      </c>
      <c r="F83" s="303">
        <f t="shared" si="1"/>
        <v>0.5</v>
      </c>
      <c r="G83" s="28">
        <f>ROUND(E83*F83,2)</f>
        <v>0.25</v>
      </c>
    </row>
    <row r="84" spans="3:9" x14ac:dyDescent="0.3">
      <c r="C84" s="1019" t="s">
        <v>945</v>
      </c>
      <c r="D84" s="1019"/>
      <c r="E84" s="1019"/>
      <c r="F84" s="1019"/>
      <c r="G84" s="332">
        <f>SUM(G74:G83)</f>
        <v>12.45</v>
      </c>
    </row>
    <row r="85" spans="3:9" ht="7.5" customHeight="1" x14ac:dyDescent="0.3"/>
    <row r="86" spans="3:9" x14ac:dyDescent="0.3">
      <c r="C86" s="321" t="s">
        <v>968</v>
      </c>
      <c r="D86" s="227"/>
      <c r="E86" s="227"/>
      <c r="F86" s="298">
        <f>H89</f>
        <v>27.4</v>
      </c>
      <c r="G86" s="227" t="s">
        <v>971</v>
      </c>
    </row>
    <row r="87" spans="3:9" ht="9" customHeight="1" x14ac:dyDescent="0.3">
      <c r="C87" s="322"/>
      <c r="D87" s="36"/>
      <c r="E87" s="36"/>
      <c r="F87" s="302"/>
      <c r="G87" s="36"/>
    </row>
    <row r="88" spans="3:9" ht="27.6" x14ac:dyDescent="0.3">
      <c r="C88" s="46" t="s">
        <v>513</v>
      </c>
      <c r="D88" s="14" t="s">
        <v>969</v>
      </c>
      <c r="E88" s="14" t="s">
        <v>516</v>
      </c>
      <c r="F88" s="14" t="s">
        <v>970</v>
      </c>
      <c r="G88" s="14" t="s">
        <v>930</v>
      </c>
      <c r="H88" s="14" t="s">
        <v>961</v>
      </c>
    </row>
    <row r="89" spans="3:9" ht="27.75" customHeight="1" x14ac:dyDescent="0.3">
      <c r="C89" s="320" t="str">
        <f>C34</f>
        <v>Ультразвукова система AFFINITI 30</v>
      </c>
      <c r="D89" s="320">
        <f>D34</f>
        <v>136236.38</v>
      </c>
      <c r="E89" s="73">
        <f>I63</f>
        <v>1656.6</v>
      </c>
      <c r="F89" s="73">
        <f>ROUND((D89/E89)/60,2)</f>
        <v>1.37</v>
      </c>
      <c r="G89" s="73">
        <f>E67</f>
        <v>20</v>
      </c>
      <c r="H89" s="78">
        <f>ROUND(F89*G89,2)</f>
        <v>27.4</v>
      </c>
      <c r="I89" s="333"/>
    </row>
    <row r="90" spans="3:9" ht="10.5" customHeight="1" x14ac:dyDescent="0.3"/>
    <row r="91" spans="3:9" x14ac:dyDescent="0.3">
      <c r="C91" s="321" t="s">
        <v>948</v>
      </c>
      <c r="D91" s="227"/>
      <c r="E91" s="227"/>
      <c r="F91" s="298">
        <f>H104</f>
        <v>5.2</v>
      </c>
      <c r="G91" s="227" t="s">
        <v>971</v>
      </c>
    </row>
    <row r="92" spans="3:9" ht="4.5" customHeight="1" x14ac:dyDescent="0.3">
      <c r="C92" s="322"/>
      <c r="D92" s="36"/>
      <c r="E92" s="36"/>
      <c r="F92" s="302"/>
    </row>
    <row r="93" spans="3:9" ht="27.6" x14ac:dyDescent="0.3">
      <c r="C93" s="46" t="s">
        <v>948</v>
      </c>
      <c r="D93" s="14" t="s">
        <v>1110</v>
      </c>
      <c r="E93" s="14" t="s">
        <v>516</v>
      </c>
      <c r="F93" s="14" t="s">
        <v>954</v>
      </c>
      <c r="G93" s="14" t="s">
        <v>930</v>
      </c>
      <c r="H93" s="14" t="s">
        <v>1111</v>
      </c>
    </row>
    <row r="94" spans="3:9" x14ac:dyDescent="0.3">
      <c r="C94" s="1009" t="str">
        <f>C63</f>
        <v>Лікар з ультразвукової діагностики</v>
      </c>
      <c r="D94" s="1010"/>
      <c r="E94" s="1010"/>
      <c r="F94" s="1010"/>
      <c r="G94" s="1010"/>
      <c r="H94" s="1011"/>
    </row>
    <row r="95" spans="3:9" x14ac:dyDescent="0.3">
      <c r="C95" s="134" t="s">
        <v>951</v>
      </c>
      <c r="D95" s="221">
        <f>D40</f>
        <v>12188.608008565312</v>
      </c>
      <c r="E95" s="73">
        <f>I63</f>
        <v>1656.6</v>
      </c>
      <c r="F95" s="73">
        <f>ROUND((D95/E95)/60,2)</f>
        <v>0.12</v>
      </c>
      <c r="G95" s="73">
        <f>E67</f>
        <v>20</v>
      </c>
      <c r="H95" s="78">
        <f>ROUND(F95*G95,2)</f>
        <v>2.4</v>
      </c>
    </row>
    <row r="96" spans="3:9" x14ac:dyDescent="0.3">
      <c r="C96" s="134" t="s">
        <v>952</v>
      </c>
      <c r="D96" s="221">
        <f>D41</f>
        <v>53.149721627408987</v>
      </c>
      <c r="E96" s="73">
        <f>I63</f>
        <v>1656.6</v>
      </c>
      <c r="F96" s="73">
        <f>ROUND((D96/E96)/60,2)</f>
        <v>0</v>
      </c>
      <c r="G96" s="73">
        <f>E67</f>
        <v>20</v>
      </c>
      <c r="H96" s="78">
        <f>ROUND(F96*G96,2)</f>
        <v>0</v>
      </c>
    </row>
    <row r="97" spans="1:14" x14ac:dyDescent="0.3">
      <c r="C97" s="134" t="s">
        <v>953</v>
      </c>
      <c r="D97" s="221">
        <f>D42</f>
        <v>374.98368308351178</v>
      </c>
      <c r="E97" s="73">
        <f>I63</f>
        <v>1656.6</v>
      </c>
      <c r="F97" s="73">
        <f>ROUND((D97/E97)/60,2)</f>
        <v>0</v>
      </c>
      <c r="G97" s="73">
        <f>E67</f>
        <v>20</v>
      </c>
      <c r="H97" s="78">
        <f>ROUND(F97*G97,2)</f>
        <v>0</v>
      </c>
    </row>
    <row r="98" spans="1:14" x14ac:dyDescent="0.3">
      <c r="C98" s="134" t="s">
        <v>1109</v>
      </c>
      <c r="D98" s="221">
        <f>D43</f>
        <v>1686.0389293361886</v>
      </c>
      <c r="E98" s="73">
        <f>I63</f>
        <v>1656.6</v>
      </c>
      <c r="F98" s="73">
        <f>ROUND((D98/E98)/60,2)</f>
        <v>0.02</v>
      </c>
      <c r="G98" s="73">
        <f>E67</f>
        <v>20</v>
      </c>
      <c r="H98" s="78">
        <f>ROUND(F98*G98,2)</f>
        <v>0.4</v>
      </c>
    </row>
    <row r="99" spans="1:14" x14ac:dyDescent="0.3">
      <c r="C99" s="1009" t="str">
        <f>C64</f>
        <v xml:space="preserve">Сестра медична </v>
      </c>
      <c r="D99" s="1010"/>
      <c r="E99" s="1010"/>
      <c r="F99" s="1010"/>
      <c r="G99" s="1010"/>
      <c r="H99" s="1011"/>
    </row>
    <row r="100" spans="1:14" x14ac:dyDescent="0.3">
      <c r="C100" s="134" t="s">
        <v>951</v>
      </c>
      <c r="D100" s="221">
        <f>D95</f>
        <v>12188.608008565312</v>
      </c>
      <c r="E100" s="73">
        <f>I64</f>
        <v>1932.7</v>
      </c>
      <c r="F100" s="73">
        <f>ROUND((D100/E100)/60,2)</f>
        <v>0.11</v>
      </c>
      <c r="G100" s="73">
        <f>E68</f>
        <v>20</v>
      </c>
      <c r="H100" s="78">
        <f>ROUND(F100*G100,2)</f>
        <v>2.2000000000000002</v>
      </c>
    </row>
    <row r="101" spans="1:14" x14ac:dyDescent="0.3">
      <c r="C101" s="134" t="s">
        <v>952</v>
      </c>
      <c r="D101" s="221">
        <f>D96</f>
        <v>53.149721627408987</v>
      </c>
      <c r="E101" s="73">
        <f>I64</f>
        <v>1932.7</v>
      </c>
      <c r="F101" s="73">
        <f>ROUND((D101/E101)/60,2)</f>
        <v>0</v>
      </c>
      <c r="G101" s="73">
        <f>E68</f>
        <v>20</v>
      </c>
      <c r="H101" s="78">
        <f>ROUND(F101*G101,2)</f>
        <v>0</v>
      </c>
    </row>
    <row r="102" spans="1:14" x14ac:dyDescent="0.3">
      <c r="C102" s="134" t="s">
        <v>953</v>
      </c>
      <c r="D102" s="221">
        <f>D97</f>
        <v>374.98368308351178</v>
      </c>
      <c r="E102" s="73">
        <f>I64</f>
        <v>1932.7</v>
      </c>
      <c r="F102" s="73">
        <f>ROUND((D102/E102)/60,2)</f>
        <v>0</v>
      </c>
      <c r="G102" s="73">
        <f>E68</f>
        <v>20</v>
      </c>
      <c r="H102" s="78">
        <f>ROUND(F102*G102,2)</f>
        <v>0</v>
      </c>
    </row>
    <row r="103" spans="1:14" x14ac:dyDescent="0.3">
      <c r="C103" s="134" t="s">
        <v>1109</v>
      </c>
      <c r="D103" s="221">
        <f>D98</f>
        <v>1686.0389293361886</v>
      </c>
      <c r="E103" s="73">
        <f>I64</f>
        <v>1932.7</v>
      </c>
      <c r="F103" s="73">
        <f>ROUND((D103/E103)/60,2)</f>
        <v>0.01</v>
      </c>
      <c r="G103" s="73">
        <f>E68</f>
        <v>20</v>
      </c>
      <c r="H103" s="78">
        <f>ROUND(F103*G103,2)</f>
        <v>0.2</v>
      </c>
    </row>
    <row r="104" spans="1:14" x14ac:dyDescent="0.3">
      <c r="C104" s="1012" t="s">
        <v>957</v>
      </c>
      <c r="D104" s="1013"/>
      <c r="E104" s="1013"/>
      <c r="F104" s="1013"/>
      <c r="G104" s="1014"/>
      <c r="H104" s="299">
        <f>SUM(H95:H103)</f>
        <v>5.2</v>
      </c>
    </row>
    <row r="107" spans="1:14" x14ac:dyDescent="0.3">
      <c r="C107" s="1015" t="s">
        <v>959</v>
      </c>
      <c r="D107" s="1015"/>
      <c r="E107" s="1015"/>
      <c r="F107" s="1015"/>
      <c r="G107" s="1015"/>
      <c r="H107" s="334">
        <f>F60+F72+F86+F91</f>
        <v>85.070000000000007</v>
      </c>
    </row>
    <row r="108" spans="1:14" x14ac:dyDescent="0.3">
      <c r="C108" s="323"/>
      <c r="D108" s="33"/>
      <c r="E108" s="33"/>
      <c r="F108" s="33"/>
      <c r="G108" s="33"/>
      <c r="H108" s="335"/>
    </row>
    <row r="109" spans="1:14" x14ac:dyDescent="0.3">
      <c r="C109" s="1015" t="s">
        <v>960</v>
      </c>
      <c r="D109" s="1015"/>
      <c r="E109" s="1015"/>
      <c r="F109" s="1015"/>
      <c r="G109" s="1015"/>
      <c r="H109" s="334">
        <f>ROUND(H107,0)</f>
        <v>85</v>
      </c>
    </row>
    <row r="111" spans="1:14" s="54" customFormat="1" ht="19.8" x14ac:dyDescent="0.4">
      <c r="A111" s="53"/>
      <c r="B111" s="1016" t="s">
        <v>958</v>
      </c>
      <c r="C111" s="1016"/>
      <c r="D111" s="1016"/>
      <c r="E111" s="1016"/>
      <c r="F111" s="1016"/>
      <c r="G111" s="1016"/>
      <c r="H111" s="1016"/>
      <c r="I111" s="1016"/>
      <c r="J111" s="1016"/>
      <c r="K111" s="70"/>
      <c r="L111" s="348"/>
      <c r="M111" s="348"/>
      <c r="N111" s="99"/>
    </row>
    <row r="112" spans="1:14" s="54" customFormat="1" ht="19.8" x14ac:dyDescent="0.4">
      <c r="A112" s="53"/>
      <c r="B112" s="53"/>
      <c r="C112" s="56"/>
      <c r="D112" s="225"/>
      <c r="E112" s="225"/>
      <c r="F112" s="225"/>
      <c r="G112" s="225"/>
      <c r="H112" s="225"/>
      <c r="I112" s="225"/>
      <c r="J112" s="225"/>
      <c r="K112" s="70"/>
      <c r="L112" s="348"/>
      <c r="M112" s="348"/>
      <c r="N112" s="99"/>
    </row>
    <row r="113" spans="1:14" s="54" customFormat="1" ht="39.75" customHeight="1" x14ac:dyDescent="0.4">
      <c r="A113" s="53"/>
      <c r="B113" s="50" t="s">
        <v>546</v>
      </c>
      <c r="C113" s="1017" t="s">
        <v>553</v>
      </c>
      <c r="D113" s="1017"/>
      <c r="E113" s="1017"/>
      <c r="F113" s="296">
        <f>H164</f>
        <v>121</v>
      </c>
      <c r="G113" s="296" t="s">
        <v>971</v>
      </c>
      <c r="H113" s="225"/>
      <c r="I113" s="225"/>
      <c r="J113" s="225"/>
      <c r="K113" s="70"/>
      <c r="L113" s="348"/>
      <c r="M113" s="348"/>
      <c r="N113" s="99"/>
    </row>
    <row r="115" spans="1:14" x14ac:dyDescent="0.3">
      <c r="C115" s="1018" t="s">
        <v>932</v>
      </c>
      <c r="D115" s="1018"/>
      <c r="E115" s="297"/>
      <c r="F115" s="298">
        <f>F122+F125+F123</f>
        <v>60.019999999999996</v>
      </c>
      <c r="G115" s="227" t="s">
        <v>971</v>
      </c>
    </row>
    <row r="117" spans="1:14" x14ac:dyDescent="0.3">
      <c r="C117" s="318" t="s">
        <v>929</v>
      </c>
      <c r="D117" s="14" t="s">
        <v>928</v>
      </c>
      <c r="E117" s="14" t="s">
        <v>514</v>
      </c>
      <c r="F117" s="14" t="s">
        <v>515</v>
      </c>
      <c r="G117" s="14" t="s">
        <v>962</v>
      </c>
      <c r="H117" s="14" t="s">
        <v>926</v>
      </c>
      <c r="I117" s="14" t="s">
        <v>516</v>
      </c>
      <c r="J117" s="14" t="s">
        <v>961</v>
      </c>
    </row>
    <row r="118" spans="1:14" x14ac:dyDescent="0.3">
      <c r="C118" s="134" t="str">
        <f>C63</f>
        <v>Лікар з ультразвукової діагностики</v>
      </c>
      <c r="D118" s="73">
        <f>D63</f>
        <v>6660.23</v>
      </c>
      <c r="E118" s="78">
        <f>D118*12</f>
        <v>79922.759999999995</v>
      </c>
      <c r="F118" s="73">
        <f>F63</f>
        <v>6054.75</v>
      </c>
      <c r="G118" s="78">
        <f>G63</f>
        <v>3027.375</v>
      </c>
      <c r="H118" s="78">
        <f>E118+F118+G118</f>
        <v>89004.884999999995</v>
      </c>
      <c r="I118" s="73">
        <v>1656.6</v>
      </c>
      <c r="J118" s="78">
        <f>ROUND((H118/I118)/60,2)</f>
        <v>0.9</v>
      </c>
    </row>
    <row r="119" spans="1:14" x14ac:dyDescent="0.3">
      <c r="C119" s="134" t="str">
        <f>C64</f>
        <v xml:space="preserve">Сестра медична </v>
      </c>
      <c r="D119" s="73">
        <f>D64</f>
        <v>6506.5</v>
      </c>
      <c r="E119" s="78">
        <f>D119*12</f>
        <v>78078</v>
      </c>
      <c r="F119" s="73">
        <f>F64</f>
        <v>5005</v>
      </c>
      <c r="G119" s="73">
        <f>G64</f>
        <v>2502.5</v>
      </c>
      <c r="H119" s="78">
        <f>E119+F119+G119</f>
        <v>85585.5</v>
      </c>
      <c r="I119" s="73">
        <v>1932.7</v>
      </c>
      <c r="J119" s="78">
        <f>ROUND((H119/I119)/60,2)</f>
        <v>0.74</v>
      </c>
    </row>
    <row r="121" spans="1:14" ht="27.6" x14ac:dyDescent="0.3">
      <c r="C121" s="318" t="s">
        <v>929</v>
      </c>
      <c r="D121" s="14" t="s">
        <v>961</v>
      </c>
      <c r="E121" s="14" t="s">
        <v>930</v>
      </c>
      <c r="F121" s="14" t="s">
        <v>931</v>
      </c>
    </row>
    <row r="122" spans="1:14" x14ac:dyDescent="0.3">
      <c r="C122" s="320" t="str">
        <f>C118</f>
        <v>Лікар з ультразвукової діагностики</v>
      </c>
      <c r="D122" s="78">
        <f>J118</f>
        <v>0.9</v>
      </c>
      <c r="E122" s="73">
        <v>30</v>
      </c>
      <c r="F122" s="299">
        <f>ROUND(D122*E122,2)</f>
        <v>27</v>
      </c>
    </row>
    <row r="123" spans="1:14" x14ac:dyDescent="0.3">
      <c r="C123" s="320" t="str">
        <f>C119</f>
        <v xml:space="preserve">Сестра медична </v>
      </c>
      <c r="D123" s="78">
        <f>J119</f>
        <v>0.74</v>
      </c>
      <c r="E123" s="73">
        <v>30</v>
      </c>
      <c r="F123" s="299">
        <f>ROUND(D123*E123,2)</f>
        <v>22.2</v>
      </c>
    </row>
    <row r="124" spans="1:14" x14ac:dyDescent="0.3">
      <c r="D124" s="19"/>
    </row>
    <row r="125" spans="1:14" x14ac:dyDescent="0.3">
      <c r="C125" s="134" t="s">
        <v>933</v>
      </c>
      <c r="D125" s="78">
        <f>F122+F123</f>
        <v>49.2</v>
      </c>
      <c r="E125" s="300">
        <v>0.22</v>
      </c>
      <c r="F125" s="301">
        <f>ROUND(D125*E125,2)</f>
        <v>10.82</v>
      </c>
    </row>
    <row r="126" spans="1:14" ht="10.5" customHeight="1" x14ac:dyDescent="0.3"/>
    <row r="127" spans="1:14" x14ac:dyDescent="0.3">
      <c r="C127" s="321" t="s">
        <v>946</v>
      </c>
      <c r="D127" s="227"/>
      <c r="E127" s="227"/>
      <c r="F127" s="227">
        <f>G139</f>
        <v>12.45</v>
      </c>
      <c r="G127" s="227" t="s">
        <v>971</v>
      </c>
    </row>
    <row r="128" spans="1:14" ht="6.75" customHeight="1" x14ac:dyDescent="0.3"/>
    <row r="129" spans="3:9" x14ac:dyDescent="0.3">
      <c r="C129" s="27" t="str">
        <f t="shared" ref="C129:F138" si="3">C74</f>
        <v>Рукавиці не стерильні</v>
      </c>
      <c r="D129" s="303" t="str">
        <f t="shared" si="3"/>
        <v>шт</v>
      </c>
      <c r="E129" s="303">
        <f t="shared" si="3"/>
        <v>0.1</v>
      </c>
      <c r="F129" s="303">
        <f t="shared" si="3"/>
        <v>2.8</v>
      </c>
      <c r="G129" s="228">
        <f>ROUND(F129*E129,2)</f>
        <v>0.28000000000000003</v>
      </c>
    </row>
    <row r="130" spans="3:9" x14ac:dyDescent="0.3">
      <c r="C130" s="27" t="str">
        <f t="shared" si="3"/>
        <v xml:space="preserve">Септил 70% 100мл </v>
      </c>
      <c r="D130" s="303" t="str">
        <f t="shared" si="3"/>
        <v>шт</v>
      </c>
      <c r="E130" s="303">
        <f t="shared" si="3"/>
        <v>0.01</v>
      </c>
      <c r="F130" s="303">
        <f t="shared" si="3"/>
        <v>24.6</v>
      </c>
      <c r="G130" s="228">
        <f t="shared" ref="G130:G135" si="4">ROUND(F130*E130,2)</f>
        <v>0.25</v>
      </c>
    </row>
    <row r="131" spans="3:9" x14ac:dyDescent="0.3">
      <c r="C131" s="27" t="str">
        <f t="shared" si="3"/>
        <v>Маска на резинці, стерильна.</v>
      </c>
      <c r="D131" s="303" t="str">
        <f t="shared" si="3"/>
        <v>шт</v>
      </c>
      <c r="E131" s="303">
        <f t="shared" si="3"/>
        <v>0.1</v>
      </c>
      <c r="F131" s="303">
        <f t="shared" si="3"/>
        <v>2</v>
      </c>
      <c r="G131" s="228">
        <f t="shared" si="4"/>
        <v>0.2</v>
      </c>
    </row>
    <row r="132" spans="3:9" x14ac:dyDescent="0.3">
      <c r="C132" s="27" t="str">
        <f t="shared" si="3"/>
        <v>Мікрасепт</v>
      </c>
      <c r="D132" s="303" t="str">
        <f t="shared" si="3"/>
        <v>мл</v>
      </c>
      <c r="E132" s="303">
        <f t="shared" si="3"/>
        <v>1</v>
      </c>
      <c r="F132" s="303">
        <f t="shared" si="3"/>
        <v>0.3</v>
      </c>
      <c r="G132" s="28">
        <f>ROUND(E132*F132,2)</f>
        <v>0.3</v>
      </c>
    </row>
    <row r="133" spans="3:9" x14ac:dyDescent="0.3">
      <c r="C133" s="27" t="str">
        <f t="shared" si="3"/>
        <v>Папір офісний А4</v>
      </c>
      <c r="D133" s="303" t="str">
        <f t="shared" si="3"/>
        <v>шт</v>
      </c>
      <c r="E133" s="303">
        <f t="shared" si="3"/>
        <v>2</v>
      </c>
      <c r="F133" s="303">
        <f t="shared" si="3"/>
        <v>0.3</v>
      </c>
      <c r="G133" s="228">
        <f t="shared" si="4"/>
        <v>0.6</v>
      </c>
    </row>
    <row r="134" spans="3:9" x14ac:dyDescent="0.3">
      <c r="C134" s="27" t="str">
        <f t="shared" si="3"/>
        <v xml:space="preserve">Гель для УЗД , 1000 гр. </v>
      </c>
      <c r="D134" s="303" t="str">
        <f t="shared" si="3"/>
        <v>пляшка</v>
      </c>
      <c r="E134" s="303">
        <f t="shared" si="3"/>
        <v>0.1</v>
      </c>
      <c r="F134" s="303">
        <f t="shared" si="3"/>
        <v>48</v>
      </c>
      <c r="G134" s="228">
        <f t="shared" si="4"/>
        <v>4.8</v>
      </c>
    </row>
    <row r="135" spans="3:9" x14ac:dyDescent="0.3">
      <c r="C135" s="27" t="str">
        <f t="shared" si="3"/>
        <v>Паперові рушники "Fesko Professional"</v>
      </c>
      <c r="D135" s="303" t="str">
        <f t="shared" si="3"/>
        <v>рул</v>
      </c>
      <c r="E135" s="303">
        <f t="shared" si="3"/>
        <v>0.3</v>
      </c>
      <c r="F135" s="303">
        <f t="shared" si="3"/>
        <v>17</v>
      </c>
      <c r="G135" s="228">
        <f t="shared" si="4"/>
        <v>5.0999999999999996</v>
      </c>
    </row>
    <row r="136" spans="3:9" x14ac:dyDescent="0.3">
      <c r="C136" s="27" t="str">
        <f t="shared" si="3"/>
        <v>Марля медична</v>
      </c>
      <c r="D136" s="303" t="str">
        <f t="shared" si="3"/>
        <v>метр</v>
      </c>
      <c r="E136" s="303">
        <f t="shared" si="3"/>
        <v>0.1</v>
      </c>
      <c r="F136" s="303">
        <f t="shared" si="3"/>
        <v>6</v>
      </c>
      <c r="G136" s="28">
        <f>ROUND(E136*F136,2)</f>
        <v>0.6</v>
      </c>
    </row>
    <row r="137" spans="3:9" x14ac:dyDescent="0.3">
      <c r="C137" s="27" t="str">
        <f t="shared" si="3"/>
        <v>Вата</v>
      </c>
      <c r="D137" s="303" t="str">
        <f t="shared" si="3"/>
        <v>г</v>
      </c>
      <c r="E137" s="303">
        <f t="shared" si="3"/>
        <v>1</v>
      </c>
      <c r="F137" s="303">
        <f t="shared" si="3"/>
        <v>7.0000000000000007E-2</v>
      </c>
      <c r="G137" s="28">
        <f>ROUND(E137*F137,2)</f>
        <v>7.0000000000000007E-2</v>
      </c>
    </row>
    <row r="138" spans="3:9" x14ac:dyDescent="0.3">
      <c r="C138" s="27" t="str">
        <f t="shared" si="3"/>
        <v>Деззасоби</v>
      </c>
      <c r="D138" s="303" t="str">
        <f t="shared" si="3"/>
        <v>г</v>
      </c>
      <c r="E138" s="303">
        <f t="shared" si="3"/>
        <v>0.5</v>
      </c>
      <c r="F138" s="303">
        <f t="shared" si="3"/>
        <v>0.5</v>
      </c>
      <c r="G138" s="28">
        <f>ROUND(E138*F138,2)</f>
        <v>0.25</v>
      </c>
    </row>
    <row r="139" spans="3:9" x14ac:dyDescent="0.3">
      <c r="C139" s="1019" t="s">
        <v>945</v>
      </c>
      <c r="D139" s="1019"/>
      <c r="E139" s="1019"/>
      <c r="F139" s="1019"/>
      <c r="G139" s="332">
        <f>SUM(G129:G138)</f>
        <v>12.45</v>
      </c>
    </row>
    <row r="140" spans="3:9" ht="8.25" customHeight="1" x14ac:dyDescent="0.3"/>
    <row r="141" spans="3:9" x14ac:dyDescent="0.3">
      <c r="C141" s="321" t="s">
        <v>968</v>
      </c>
      <c r="D141" s="227"/>
      <c r="E141" s="227"/>
      <c r="F141" s="298">
        <f>H144</f>
        <v>41.1</v>
      </c>
      <c r="G141" s="227" t="s">
        <v>971</v>
      </c>
    </row>
    <row r="142" spans="3:9" ht="6" customHeight="1" x14ac:dyDescent="0.3">
      <c r="C142" s="322"/>
      <c r="D142" s="36"/>
      <c r="E142" s="36"/>
      <c r="F142" s="302"/>
      <c r="G142" s="36"/>
    </row>
    <row r="143" spans="3:9" ht="27.6" x14ac:dyDescent="0.3">
      <c r="C143" s="46" t="s">
        <v>513</v>
      </c>
      <c r="D143" s="14" t="s">
        <v>969</v>
      </c>
      <c r="E143" s="14" t="s">
        <v>516</v>
      </c>
      <c r="F143" s="14" t="s">
        <v>970</v>
      </c>
      <c r="G143" s="14" t="s">
        <v>930</v>
      </c>
      <c r="H143" s="14" t="s">
        <v>961</v>
      </c>
    </row>
    <row r="144" spans="3:9" x14ac:dyDescent="0.3">
      <c r="C144" s="27" t="str">
        <f>C89</f>
        <v>Ультразвукова система AFFINITI 30</v>
      </c>
      <c r="D144" s="320">
        <f>D89</f>
        <v>136236.38</v>
      </c>
      <c r="E144" s="73">
        <f>I118</f>
        <v>1656.6</v>
      </c>
      <c r="F144" s="73">
        <f>ROUND((D144/E144)/60,2)</f>
        <v>1.37</v>
      </c>
      <c r="G144" s="73">
        <f>E122</f>
        <v>30</v>
      </c>
      <c r="H144" s="78">
        <f>ROUND(F144*G144,2)</f>
        <v>41.1</v>
      </c>
      <c r="I144" s="333"/>
    </row>
    <row r="146" spans="3:8" x14ac:dyDescent="0.3">
      <c r="C146" s="321" t="s">
        <v>948</v>
      </c>
      <c r="D146" s="227"/>
      <c r="E146" s="227"/>
      <c r="F146" s="298">
        <f>H159</f>
        <v>7.8</v>
      </c>
      <c r="G146" s="227" t="s">
        <v>971</v>
      </c>
    </row>
    <row r="147" spans="3:8" ht="7.5" customHeight="1" x14ac:dyDescent="0.3">
      <c r="C147" s="322"/>
      <c r="D147" s="36"/>
      <c r="E147" s="36"/>
      <c r="F147" s="302"/>
    </row>
    <row r="148" spans="3:8" ht="27.6" x14ac:dyDescent="0.3">
      <c r="C148" s="46" t="s">
        <v>948</v>
      </c>
      <c r="D148" s="14" t="s">
        <v>1110</v>
      </c>
      <c r="E148" s="14" t="s">
        <v>516</v>
      </c>
      <c r="F148" s="14" t="s">
        <v>954</v>
      </c>
      <c r="G148" s="14" t="s">
        <v>930</v>
      </c>
      <c r="H148" s="14" t="s">
        <v>1111</v>
      </c>
    </row>
    <row r="149" spans="3:8" x14ac:dyDescent="0.3">
      <c r="C149" s="1009" t="str">
        <f>C118</f>
        <v>Лікар з ультразвукової діагностики</v>
      </c>
      <c r="D149" s="1010"/>
      <c r="E149" s="1010"/>
      <c r="F149" s="1010"/>
      <c r="G149" s="1010"/>
      <c r="H149" s="1011"/>
    </row>
    <row r="150" spans="3:8" x14ac:dyDescent="0.3">
      <c r="C150" s="134" t="s">
        <v>951</v>
      </c>
      <c r="D150" s="221">
        <f>D95</f>
        <v>12188.608008565312</v>
      </c>
      <c r="E150" s="73">
        <f>I118</f>
        <v>1656.6</v>
      </c>
      <c r="F150" s="73">
        <f>ROUND((D150/E150)/60,2)</f>
        <v>0.12</v>
      </c>
      <c r="G150" s="73">
        <f>E122</f>
        <v>30</v>
      </c>
      <c r="H150" s="78">
        <f>ROUND(F150*G150,2)</f>
        <v>3.6</v>
      </c>
    </row>
    <row r="151" spans="3:8" x14ac:dyDescent="0.3">
      <c r="C151" s="134" t="s">
        <v>952</v>
      </c>
      <c r="D151" s="221">
        <f>D96</f>
        <v>53.149721627408987</v>
      </c>
      <c r="E151" s="73">
        <f>I118</f>
        <v>1656.6</v>
      </c>
      <c r="F151" s="73">
        <f>ROUND((D151/E151)/60,2)</f>
        <v>0</v>
      </c>
      <c r="G151" s="73">
        <f>E122</f>
        <v>30</v>
      </c>
      <c r="H151" s="78">
        <f>ROUND(F151*G151,2)</f>
        <v>0</v>
      </c>
    </row>
    <row r="152" spans="3:8" x14ac:dyDescent="0.3">
      <c r="C152" s="134" t="s">
        <v>953</v>
      </c>
      <c r="D152" s="221">
        <f>D97</f>
        <v>374.98368308351178</v>
      </c>
      <c r="E152" s="73">
        <f>I118</f>
        <v>1656.6</v>
      </c>
      <c r="F152" s="73">
        <f>ROUND((D152/E152)/60,2)</f>
        <v>0</v>
      </c>
      <c r="G152" s="73">
        <f>E122</f>
        <v>30</v>
      </c>
      <c r="H152" s="78">
        <f>ROUND(F152*G152,2)</f>
        <v>0</v>
      </c>
    </row>
    <row r="153" spans="3:8" x14ac:dyDescent="0.3">
      <c r="C153" s="134" t="s">
        <v>1109</v>
      </c>
      <c r="D153" s="221">
        <f>D98</f>
        <v>1686.0389293361886</v>
      </c>
      <c r="E153" s="73">
        <f>I118</f>
        <v>1656.6</v>
      </c>
      <c r="F153" s="73">
        <f>ROUND((D153/E153)/60,2)</f>
        <v>0.02</v>
      </c>
      <c r="G153" s="73">
        <f>E122</f>
        <v>30</v>
      </c>
      <c r="H153" s="78">
        <f>ROUND(F153*G153,2)</f>
        <v>0.6</v>
      </c>
    </row>
    <row r="154" spans="3:8" x14ac:dyDescent="0.3">
      <c r="C154" s="1009" t="str">
        <f>C119</f>
        <v xml:space="preserve">Сестра медична </v>
      </c>
      <c r="D154" s="1010"/>
      <c r="E154" s="1010"/>
      <c r="F154" s="1010"/>
      <c r="G154" s="1010"/>
      <c r="H154" s="1011"/>
    </row>
    <row r="155" spans="3:8" x14ac:dyDescent="0.3">
      <c r="C155" s="134" t="s">
        <v>951</v>
      </c>
      <c r="D155" s="221">
        <f>D100</f>
        <v>12188.608008565312</v>
      </c>
      <c r="E155" s="73">
        <f>I119</f>
        <v>1932.7</v>
      </c>
      <c r="F155" s="73">
        <f>ROUND((D155/E155)/60,2)</f>
        <v>0.11</v>
      </c>
      <c r="G155" s="73">
        <f>E123</f>
        <v>30</v>
      </c>
      <c r="H155" s="78">
        <f>ROUND(F155*G155,2)</f>
        <v>3.3</v>
      </c>
    </row>
    <row r="156" spans="3:8" x14ac:dyDescent="0.3">
      <c r="C156" s="134" t="s">
        <v>952</v>
      </c>
      <c r="D156" s="221">
        <f>D101</f>
        <v>53.149721627408987</v>
      </c>
      <c r="E156" s="73">
        <f>I119</f>
        <v>1932.7</v>
      </c>
      <c r="F156" s="73">
        <f>ROUND((D156/E156)/60,2)</f>
        <v>0</v>
      </c>
      <c r="G156" s="73">
        <f>E123</f>
        <v>30</v>
      </c>
      <c r="H156" s="78">
        <f>ROUND(F156*G156,2)</f>
        <v>0</v>
      </c>
    </row>
    <row r="157" spans="3:8" x14ac:dyDescent="0.3">
      <c r="C157" s="134" t="s">
        <v>953</v>
      </c>
      <c r="D157" s="221">
        <f>D102</f>
        <v>374.98368308351178</v>
      </c>
      <c r="E157" s="73">
        <f>I119</f>
        <v>1932.7</v>
      </c>
      <c r="F157" s="73">
        <f>ROUND((D157/E157)/60,2)</f>
        <v>0</v>
      </c>
      <c r="G157" s="73">
        <f>E123</f>
        <v>30</v>
      </c>
      <c r="H157" s="78">
        <f>ROUND(F157*G157,2)</f>
        <v>0</v>
      </c>
    </row>
    <row r="158" spans="3:8" x14ac:dyDescent="0.3">
      <c r="C158" s="134" t="s">
        <v>1109</v>
      </c>
      <c r="D158" s="221">
        <f>D103</f>
        <v>1686.0389293361886</v>
      </c>
      <c r="E158" s="73">
        <f>I119</f>
        <v>1932.7</v>
      </c>
      <c r="F158" s="73">
        <f>ROUND((D158/E158)/60,2)</f>
        <v>0.01</v>
      </c>
      <c r="G158" s="73">
        <f>E123</f>
        <v>30</v>
      </c>
      <c r="H158" s="78">
        <f>ROUND(F158*G158,2)</f>
        <v>0.3</v>
      </c>
    </row>
    <row r="159" spans="3:8" x14ac:dyDescent="0.3">
      <c r="C159" s="1012" t="s">
        <v>957</v>
      </c>
      <c r="D159" s="1013"/>
      <c r="E159" s="1013"/>
      <c r="F159" s="1013"/>
      <c r="G159" s="1014"/>
      <c r="H159" s="299">
        <f>SUM(H150:H158)</f>
        <v>7.8</v>
      </c>
    </row>
    <row r="160" spans="3:8" ht="12" customHeight="1" x14ac:dyDescent="0.3"/>
    <row r="162" spans="1:14" x14ac:dyDescent="0.3">
      <c r="C162" s="1015" t="s">
        <v>959</v>
      </c>
      <c r="D162" s="1015"/>
      <c r="E162" s="1015"/>
      <c r="F162" s="1015"/>
      <c r="G162" s="1015"/>
      <c r="H162" s="334">
        <f>F115+F127+F141+F146</f>
        <v>121.36999999999999</v>
      </c>
    </row>
    <row r="163" spans="1:14" x14ac:dyDescent="0.3">
      <c r="C163" s="323"/>
      <c r="D163" s="33"/>
      <c r="E163" s="33"/>
      <c r="F163" s="33"/>
      <c r="G163" s="33"/>
      <c r="H163" s="335"/>
    </row>
    <row r="164" spans="1:14" x14ac:dyDescent="0.3">
      <c r="C164" s="1015" t="s">
        <v>960</v>
      </c>
      <c r="D164" s="1015"/>
      <c r="E164" s="1015"/>
      <c r="F164" s="1015"/>
      <c r="G164" s="1015"/>
      <c r="H164" s="334">
        <f>ROUND(H162,0)</f>
        <v>121</v>
      </c>
    </row>
    <row r="166" spans="1:14" s="54" customFormat="1" ht="19.8" x14ac:dyDescent="0.4">
      <c r="A166" s="53"/>
      <c r="B166" s="1016" t="s">
        <v>958</v>
      </c>
      <c r="C166" s="1016"/>
      <c r="D166" s="1016"/>
      <c r="E166" s="1016"/>
      <c r="F166" s="1016"/>
      <c r="G166" s="1016"/>
      <c r="H166" s="1016"/>
      <c r="I166" s="1016"/>
      <c r="J166" s="1016"/>
      <c r="K166" s="70"/>
      <c r="L166" s="348"/>
      <c r="M166" s="348"/>
      <c r="N166" s="99"/>
    </row>
    <row r="167" spans="1:14" s="54" customFormat="1" ht="19.8" x14ac:dyDescent="0.4">
      <c r="A167" s="53"/>
      <c r="B167" s="53"/>
      <c r="C167" s="56"/>
      <c r="D167" s="225"/>
      <c r="E167" s="225"/>
      <c r="F167" s="225"/>
      <c r="G167" s="225"/>
      <c r="H167" s="225"/>
      <c r="I167" s="225"/>
      <c r="J167" s="225"/>
      <c r="K167" s="70"/>
      <c r="L167" s="348"/>
      <c r="M167" s="348"/>
      <c r="N167" s="99"/>
    </row>
    <row r="168" spans="1:14" s="54" customFormat="1" ht="54.75" customHeight="1" x14ac:dyDescent="0.4">
      <c r="A168" s="53"/>
      <c r="B168" s="50" t="s">
        <v>548</v>
      </c>
      <c r="C168" s="1017" t="s">
        <v>555</v>
      </c>
      <c r="D168" s="1017"/>
      <c r="E168" s="1017"/>
      <c r="F168" s="296">
        <f>H219</f>
        <v>85</v>
      </c>
      <c r="G168" s="296" t="s">
        <v>971</v>
      </c>
      <c r="H168" s="225"/>
      <c r="I168" s="225"/>
      <c r="J168" s="225"/>
      <c r="K168" s="70"/>
      <c r="L168" s="348"/>
      <c r="M168" s="348"/>
      <c r="N168" s="99"/>
    </row>
    <row r="170" spans="1:14" x14ac:dyDescent="0.3">
      <c r="C170" s="1018" t="s">
        <v>932</v>
      </c>
      <c r="D170" s="1018"/>
      <c r="E170" s="297"/>
      <c r="F170" s="298">
        <f>F177+F180+F178</f>
        <v>40.019999999999996</v>
      </c>
      <c r="G170" s="227" t="s">
        <v>971</v>
      </c>
    </row>
    <row r="172" spans="1:14" x14ac:dyDescent="0.3">
      <c r="C172" s="318" t="s">
        <v>929</v>
      </c>
      <c r="D172" s="14" t="s">
        <v>928</v>
      </c>
      <c r="E172" s="14" t="s">
        <v>514</v>
      </c>
      <c r="F172" s="14" t="s">
        <v>515</v>
      </c>
      <c r="G172" s="14" t="s">
        <v>962</v>
      </c>
      <c r="H172" s="14" t="s">
        <v>926</v>
      </c>
      <c r="I172" s="14" t="s">
        <v>516</v>
      </c>
      <c r="J172" s="14" t="s">
        <v>961</v>
      </c>
    </row>
    <row r="173" spans="1:14" x14ac:dyDescent="0.3">
      <c r="C173" s="134" t="str">
        <f>C118</f>
        <v>Лікар з ультразвукової діагностики</v>
      </c>
      <c r="D173" s="78">
        <f>D118</f>
        <v>6660.23</v>
      </c>
      <c r="E173" s="78">
        <f>D173*12</f>
        <v>79922.759999999995</v>
      </c>
      <c r="F173" s="78">
        <f>F118</f>
        <v>6054.75</v>
      </c>
      <c r="G173" s="78">
        <f>G118</f>
        <v>3027.375</v>
      </c>
      <c r="H173" s="78">
        <f>E173+F173+G173</f>
        <v>89004.884999999995</v>
      </c>
      <c r="I173" s="73">
        <v>1656.6</v>
      </c>
      <c r="J173" s="78">
        <f>ROUND((H173/I173)/60,2)</f>
        <v>0.9</v>
      </c>
    </row>
    <row r="174" spans="1:14" x14ac:dyDescent="0.3">
      <c r="C174" s="134" t="str">
        <f>C119</f>
        <v xml:space="preserve">Сестра медична </v>
      </c>
      <c r="D174" s="78">
        <f>D119</f>
        <v>6506.5</v>
      </c>
      <c r="E174" s="78">
        <f>D174*12</f>
        <v>78078</v>
      </c>
      <c r="F174" s="78">
        <f>F119</f>
        <v>5005</v>
      </c>
      <c r="G174" s="78">
        <f>G119</f>
        <v>2502.5</v>
      </c>
      <c r="H174" s="78">
        <f>E174+F174+G174</f>
        <v>85585.5</v>
      </c>
      <c r="I174" s="73">
        <v>1932.7</v>
      </c>
      <c r="J174" s="78">
        <f>ROUND((H174/I174)/60,2)</f>
        <v>0.74</v>
      </c>
    </row>
    <row r="176" spans="1:14" ht="27.6" x14ac:dyDescent="0.3">
      <c r="C176" s="318" t="s">
        <v>929</v>
      </c>
      <c r="D176" s="14" t="s">
        <v>961</v>
      </c>
      <c r="E176" s="14" t="s">
        <v>930</v>
      </c>
      <c r="F176" s="14" t="s">
        <v>931</v>
      </c>
    </row>
    <row r="177" spans="1:14" x14ac:dyDescent="0.3">
      <c r="C177" s="320" t="str">
        <f>C173</f>
        <v>Лікар з ультразвукової діагностики</v>
      </c>
      <c r="D177" s="78">
        <f>J173</f>
        <v>0.9</v>
      </c>
      <c r="E177" s="73">
        <v>20</v>
      </c>
      <c r="F177" s="299">
        <f>ROUND(D177*E177,2)</f>
        <v>18</v>
      </c>
    </row>
    <row r="178" spans="1:14" x14ac:dyDescent="0.3">
      <c r="C178" s="320" t="str">
        <f>C174</f>
        <v xml:space="preserve">Сестра медична </v>
      </c>
      <c r="D178" s="78">
        <f>J174</f>
        <v>0.74</v>
      </c>
      <c r="E178" s="73">
        <v>20</v>
      </c>
      <c r="F178" s="299">
        <f>ROUND(D178*E178,2)</f>
        <v>14.8</v>
      </c>
    </row>
    <row r="179" spans="1:14" ht="9.75" customHeight="1" x14ac:dyDescent="0.3">
      <c r="D179" s="19"/>
    </row>
    <row r="180" spans="1:14" x14ac:dyDescent="0.3">
      <c r="C180" s="134" t="s">
        <v>933</v>
      </c>
      <c r="D180" s="78">
        <f>F177+F178</f>
        <v>32.799999999999997</v>
      </c>
      <c r="E180" s="300">
        <v>0.22</v>
      </c>
      <c r="F180" s="301">
        <f>ROUND(D180*E180,2)</f>
        <v>7.22</v>
      </c>
    </row>
    <row r="181" spans="1:14" ht="10.5" customHeight="1" x14ac:dyDescent="0.3"/>
    <row r="182" spans="1:14" x14ac:dyDescent="0.3">
      <c r="C182" s="321" t="s">
        <v>946</v>
      </c>
      <c r="D182" s="227"/>
      <c r="E182" s="227"/>
      <c r="F182" s="227">
        <f>G194</f>
        <v>12.45</v>
      </c>
      <c r="G182" s="227" t="s">
        <v>971</v>
      </c>
    </row>
    <row r="183" spans="1:14" ht="3" customHeight="1" x14ac:dyDescent="0.3"/>
    <row r="184" spans="1:14" x14ac:dyDescent="0.3">
      <c r="C184" s="27" t="str">
        <f t="shared" ref="C184:F193" si="5">C129</f>
        <v>Рукавиці не стерильні</v>
      </c>
      <c r="D184" s="303" t="str">
        <f t="shared" si="5"/>
        <v>шт</v>
      </c>
      <c r="E184" s="303">
        <f t="shared" si="5"/>
        <v>0.1</v>
      </c>
      <c r="F184" s="303">
        <f t="shared" si="5"/>
        <v>2.8</v>
      </c>
      <c r="G184" s="228">
        <f>ROUND(F184*E184,2)</f>
        <v>0.28000000000000003</v>
      </c>
    </row>
    <row r="185" spans="1:14" x14ac:dyDescent="0.3">
      <c r="C185" s="27" t="str">
        <f t="shared" si="5"/>
        <v xml:space="preserve">Септил 70% 100мл </v>
      </c>
      <c r="D185" s="303" t="str">
        <f t="shared" si="5"/>
        <v>шт</v>
      </c>
      <c r="E185" s="303">
        <f t="shared" si="5"/>
        <v>0.01</v>
      </c>
      <c r="F185" s="303">
        <f t="shared" si="5"/>
        <v>24.6</v>
      </c>
      <c r="G185" s="228">
        <f t="shared" ref="G185:G190" si="6">ROUND(F185*E185,2)</f>
        <v>0.25</v>
      </c>
    </row>
    <row r="186" spans="1:14" x14ac:dyDescent="0.3">
      <c r="C186" s="27" t="str">
        <f t="shared" si="5"/>
        <v>Маска на резинці, стерильна.</v>
      </c>
      <c r="D186" s="303" t="str">
        <f t="shared" si="5"/>
        <v>шт</v>
      </c>
      <c r="E186" s="303">
        <f t="shared" si="5"/>
        <v>0.1</v>
      </c>
      <c r="F186" s="303">
        <f t="shared" si="5"/>
        <v>2</v>
      </c>
      <c r="G186" s="228">
        <f t="shared" si="6"/>
        <v>0.2</v>
      </c>
    </row>
    <row r="187" spans="1:14" x14ac:dyDescent="0.3">
      <c r="C187" s="27" t="str">
        <f t="shared" si="5"/>
        <v>Мікрасепт</v>
      </c>
      <c r="D187" s="303" t="str">
        <f t="shared" si="5"/>
        <v>мл</v>
      </c>
      <c r="E187" s="303">
        <f t="shared" si="5"/>
        <v>1</v>
      </c>
      <c r="F187" s="303">
        <f t="shared" si="5"/>
        <v>0.3</v>
      </c>
      <c r="G187" s="28">
        <f>ROUND(E187*F187,2)</f>
        <v>0.3</v>
      </c>
    </row>
    <row r="188" spans="1:14" x14ac:dyDescent="0.3">
      <c r="C188" s="27" t="str">
        <f t="shared" si="5"/>
        <v>Папір офісний А4</v>
      </c>
      <c r="D188" s="303" t="str">
        <f t="shared" si="5"/>
        <v>шт</v>
      </c>
      <c r="E188" s="303">
        <f t="shared" si="5"/>
        <v>2</v>
      </c>
      <c r="F188" s="303">
        <f t="shared" si="5"/>
        <v>0.3</v>
      </c>
      <c r="G188" s="228">
        <f t="shared" si="6"/>
        <v>0.6</v>
      </c>
    </row>
    <row r="189" spans="1:14" s="184" customFormat="1" x14ac:dyDescent="0.3">
      <c r="A189" s="180"/>
      <c r="B189" s="180"/>
      <c r="C189" s="27" t="str">
        <f t="shared" si="5"/>
        <v xml:space="preserve">Гель для УЗД , 1000 гр. </v>
      </c>
      <c r="D189" s="303" t="str">
        <f t="shared" si="5"/>
        <v>пляшка</v>
      </c>
      <c r="E189" s="303">
        <f t="shared" si="5"/>
        <v>0.1</v>
      </c>
      <c r="F189" s="303">
        <f t="shared" si="5"/>
        <v>48</v>
      </c>
      <c r="G189" s="186">
        <f t="shared" si="6"/>
        <v>4.8</v>
      </c>
      <c r="H189" s="336"/>
      <c r="I189" s="336"/>
      <c r="J189" s="336"/>
      <c r="K189" s="192"/>
      <c r="L189" s="349"/>
      <c r="M189" s="349"/>
      <c r="N189" s="193"/>
    </row>
    <row r="190" spans="1:14" x14ac:dyDescent="0.3">
      <c r="C190" s="27" t="str">
        <f t="shared" si="5"/>
        <v>Паперові рушники "Fesko Professional"</v>
      </c>
      <c r="D190" s="303" t="str">
        <f t="shared" si="5"/>
        <v>рул</v>
      </c>
      <c r="E190" s="303">
        <f t="shared" si="5"/>
        <v>0.3</v>
      </c>
      <c r="F190" s="303">
        <f t="shared" si="5"/>
        <v>17</v>
      </c>
      <c r="G190" s="228">
        <f t="shared" si="6"/>
        <v>5.0999999999999996</v>
      </c>
    </row>
    <row r="191" spans="1:14" x14ac:dyDescent="0.3">
      <c r="C191" s="27" t="str">
        <f t="shared" si="5"/>
        <v>Марля медична</v>
      </c>
      <c r="D191" s="303" t="str">
        <f t="shared" si="5"/>
        <v>метр</v>
      </c>
      <c r="E191" s="303">
        <f t="shared" si="5"/>
        <v>0.1</v>
      </c>
      <c r="F191" s="303">
        <f t="shared" si="5"/>
        <v>6</v>
      </c>
      <c r="G191" s="28">
        <f>ROUND(E191*F191,2)</f>
        <v>0.6</v>
      </c>
    </row>
    <row r="192" spans="1:14" x14ac:dyDescent="0.3">
      <c r="C192" s="27" t="str">
        <f t="shared" si="5"/>
        <v>Вата</v>
      </c>
      <c r="D192" s="303" t="str">
        <f t="shared" si="5"/>
        <v>г</v>
      </c>
      <c r="E192" s="303">
        <f t="shared" si="5"/>
        <v>1</v>
      </c>
      <c r="F192" s="303">
        <f t="shared" si="5"/>
        <v>7.0000000000000007E-2</v>
      </c>
      <c r="G192" s="28">
        <f>ROUND(E192*F192,2)</f>
        <v>7.0000000000000007E-2</v>
      </c>
    </row>
    <row r="193" spans="3:9" x14ac:dyDescent="0.3">
      <c r="C193" s="27" t="str">
        <f t="shared" si="5"/>
        <v>Деззасоби</v>
      </c>
      <c r="D193" s="303" t="str">
        <f t="shared" si="5"/>
        <v>г</v>
      </c>
      <c r="E193" s="303">
        <f t="shared" si="5"/>
        <v>0.5</v>
      </c>
      <c r="F193" s="303">
        <f t="shared" si="5"/>
        <v>0.5</v>
      </c>
      <c r="G193" s="28">
        <f>ROUND(E193*F193,2)</f>
        <v>0.25</v>
      </c>
    </row>
    <row r="194" spans="3:9" x14ac:dyDescent="0.3">
      <c r="C194" s="1019" t="s">
        <v>945</v>
      </c>
      <c r="D194" s="1019"/>
      <c r="E194" s="1019"/>
      <c r="F194" s="1019"/>
      <c r="G194" s="332">
        <f>SUM(G184:G193)</f>
        <v>12.45</v>
      </c>
    </row>
    <row r="195" spans="3:9" ht="8.25" customHeight="1" x14ac:dyDescent="0.3"/>
    <row r="196" spans="3:9" x14ac:dyDescent="0.3">
      <c r="C196" s="321" t="s">
        <v>968</v>
      </c>
      <c r="D196" s="227"/>
      <c r="E196" s="227"/>
      <c r="F196" s="298">
        <f>H199</f>
        <v>27.4</v>
      </c>
      <c r="G196" s="227" t="s">
        <v>971</v>
      </c>
    </row>
    <row r="197" spans="3:9" ht="9.75" customHeight="1" x14ac:dyDescent="0.3">
      <c r="C197" s="322"/>
      <c r="D197" s="36"/>
      <c r="E197" s="36"/>
      <c r="F197" s="302"/>
      <c r="G197" s="36"/>
    </row>
    <row r="198" spans="3:9" ht="27.6" x14ac:dyDescent="0.3">
      <c r="C198" s="46" t="s">
        <v>513</v>
      </c>
      <c r="D198" s="14" t="s">
        <v>969</v>
      </c>
      <c r="E198" s="14" t="s">
        <v>516</v>
      </c>
      <c r="F198" s="14" t="s">
        <v>970</v>
      </c>
      <c r="G198" s="14" t="s">
        <v>930</v>
      </c>
      <c r="H198" s="14" t="s">
        <v>961</v>
      </c>
    </row>
    <row r="199" spans="3:9" x14ac:dyDescent="0.3">
      <c r="C199" s="27" t="str">
        <f>C144</f>
        <v>Ультразвукова система AFFINITI 30</v>
      </c>
      <c r="D199" s="303">
        <f>D144</f>
        <v>136236.38</v>
      </c>
      <c r="E199" s="73">
        <f>I173</f>
        <v>1656.6</v>
      </c>
      <c r="F199" s="73">
        <f>ROUND((D199/E199)/60,2)</f>
        <v>1.37</v>
      </c>
      <c r="G199" s="73">
        <f>E177</f>
        <v>20</v>
      </c>
      <c r="H199" s="78">
        <f>ROUND(F199*G199,2)</f>
        <v>27.4</v>
      </c>
      <c r="I199" s="333"/>
    </row>
    <row r="200" spans="3:9" ht="6.75" customHeight="1" x14ac:dyDescent="0.3"/>
    <row r="201" spans="3:9" x14ac:dyDescent="0.3">
      <c r="C201" s="321" t="s">
        <v>948</v>
      </c>
      <c r="D201" s="227"/>
      <c r="E201" s="227"/>
      <c r="F201" s="298">
        <f>H214</f>
        <v>5.2</v>
      </c>
      <c r="G201" s="227" t="s">
        <v>971</v>
      </c>
    </row>
    <row r="202" spans="3:9" ht="8.25" customHeight="1" x14ac:dyDescent="0.3">
      <c r="C202" s="322"/>
      <c r="D202" s="36"/>
      <c r="E202" s="36"/>
      <c r="F202" s="302"/>
    </row>
    <row r="203" spans="3:9" ht="27.6" x14ac:dyDescent="0.3">
      <c r="C203" s="46" t="s">
        <v>948</v>
      </c>
      <c r="D203" s="14" t="s">
        <v>1110</v>
      </c>
      <c r="E203" s="14" t="s">
        <v>516</v>
      </c>
      <c r="F203" s="14" t="s">
        <v>954</v>
      </c>
      <c r="G203" s="14" t="s">
        <v>930</v>
      </c>
      <c r="H203" s="14" t="s">
        <v>1111</v>
      </c>
    </row>
    <row r="204" spans="3:9" x14ac:dyDescent="0.3">
      <c r="C204" s="1009" t="str">
        <f>C173</f>
        <v>Лікар з ультразвукової діагностики</v>
      </c>
      <c r="D204" s="1010"/>
      <c r="E204" s="1010"/>
      <c r="F204" s="1010"/>
      <c r="G204" s="1010"/>
      <c r="H204" s="1011"/>
    </row>
    <row r="205" spans="3:9" x14ac:dyDescent="0.3">
      <c r="C205" s="134" t="s">
        <v>951</v>
      </c>
      <c r="D205" s="221">
        <f>D150</f>
        <v>12188.608008565312</v>
      </c>
      <c r="E205" s="73">
        <f>I173</f>
        <v>1656.6</v>
      </c>
      <c r="F205" s="73">
        <f>ROUND((D205/E205)/60,2)</f>
        <v>0.12</v>
      </c>
      <c r="G205" s="73">
        <f>E177</f>
        <v>20</v>
      </c>
      <c r="H205" s="78">
        <f>ROUND(F205*G205,2)</f>
        <v>2.4</v>
      </c>
    </row>
    <row r="206" spans="3:9" x14ac:dyDescent="0.3">
      <c r="C206" s="134" t="s">
        <v>952</v>
      </c>
      <c r="D206" s="221">
        <f>D151</f>
        <v>53.149721627408987</v>
      </c>
      <c r="E206" s="73">
        <f>I173</f>
        <v>1656.6</v>
      </c>
      <c r="F206" s="73">
        <f>ROUND((D206/E206)/60,2)</f>
        <v>0</v>
      </c>
      <c r="G206" s="73">
        <f>E177</f>
        <v>20</v>
      </c>
      <c r="H206" s="78">
        <f>ROUND(F206*G206,2)</f>
        <v>0</v>
      </c>
    </row>
    <row r="207" spans="3:9" x14ac:dyDescent="0.3">
      <c r="C207" s="134" t="s">
        <v>953</v>
      </c>
      <c r="D207" s="221">
        <f>D152</f>
        <v>374.98368308351178</v>
      </c>
      <c r="E207" s="73">
        <f>I173</f>
        <v>1656.6</v>
      </c>
      <c r="F207" s="73">
        <f>ROUND((D207/E207)/60,2)</f>
        <v>0</v>
      </c>
      <c r="G207" s="73">
        <f>E177</f>
        <v>20</v>
      </c>
      <c r="H207" s="78">
        <f>ROUND(F207*G207,2)</f>
        <v>0</v>
      </c>
    </row>
    <row r="208" spans="3:9" x14ac:dyDescent="0.3">
      <c r="C208" s="134" t="s">
        <v>1109</v>
      </c>
      <c r="D208" s="221">
        <f>D153</f>
        <v>1686.0389293361886</v>
      </c>
      <c r="E208" s="73">
        <f>I173</f>
        <v>1656.6</v>
      </c>
      <c r="F208" s="73">
        <f>ROUND((D208/E208)/60,2)</f>
        <v>0.02</v>
      </c>
      <c r="G208" s="73">
        <f>E177</f>
        <v>20</v>
      </c>
      <c r="H208" s="78">
        <f>ROUND(F208*G208,2)</f>
        <v>0.4</v>
      </c>
    </row>
    <row r="209" spans="1:14" x14ac:dyDescent="0.3">
      <c r="C209" s="1009" t="str">
        <f>C174</f>
        <v xml:space="preserve">Сестра медична </v>
      </c>
      <c r="D209" s="1010"/>
      <c r="E209" s="1010"/>
      <c r="F209" s="1010"/>
      <c r="G209" s="1010"/>
      <c r="H209" s="1011"/>
    </row>
    <row r="210" spans="1:14" x14ac:dyDescent="0.3">
      <c r="C210" s="134" t="s">
        <v>951</v>
      </c>
      <c r="D210" s="221">
        <f>D205</f>
        <v>12188.608008565312</v>
      </c>
      <c r="E210" s="73">
        <f>I174</f>
        <v>1932.7</v>
      </c>
      <c r="F210" s="73">
        <f>ROUND((D210/E210)/60,2)</f>
        <v>0.11</v>
      </c>
      <c r="G210" s="73">
        <f>E178</f>
        <v>20</v>
      </c>
      <c r="H210" s="78">
        <f>ROUND(F210*G210,2)</f>
        <v>2.2000000000000002</v>
      </c>
    </row>
    <row r="211" spans="1:14" x14ac:dyDescent="0.3">
      <c r="C211" s="134" t="s">
        <v>952</v>
      </c>
      <c r="D211" s="221">
        <f>D206</f>
        <v>53.149721627408987</v>
      </c>
      <c r="E211" s="73">
        <f>I174</f>
        <v>1932.7</v>
      </c>
      <c r="F211" s="73">
        <f>ROUND((D211/E211)/60,2)</f>
        <v>0</v>
      </c>
      <c r="G211" s="73">
        <f>E178</f>
        <v>20</v>
      </c>
      <c r="H211" s="78">
        <f>ROUND(F211*G211,2)</f>
        <v>0</v>
      </c>
    </row>
    <row r="212" spans="1:14" x14ac:dyDescent="0.3">
      <c r="C212" s="134" t="s">
        <v>953</v>
      </c>
      <c r="D212" s="221">
        <f>D207</f>
        <v>374.98368308351178</v>
      </c>
      <c r="E212" s="73">
        <f>I174</f>
        <v>1932.7</v>
      </c>
      <c r="F212" s="73">
        <f>ROUND((D212/E212)/60,2)</f>
        <v>0</v>
      </c>
      <c r="G212" s="73">
        <f>E178</f>
        <v>20</v>
      </c>
      <c r="H212" s="78">
        <f>ROUND(F212*G212,2)</f>
        <v>0</v>
      </c>
    </row>
    <row r="213" spans="1:14" x14ac:dyDescent="0.3">
      <c r="C213" s="134" t="s">
        <v>1109</v>
      </c>
      <c r="D213" s="221">
        <f>D208</f>
        <v>1686.0389293361886</v>
      </c>
      <c r="E213" s="73">
        <f>I174</f>
        <v>1932.7</v>
      </c>
      <c r="F213" s="73">
        <f>ROUND((D213/E213)/60,2)</f>
        <v>0.01</v>
      </c>
      <c r="G213" s="73">
        <f>E178</f>
        <v>20</v>
      </c>
      <c r="H213" s="78">
        <f>ROUND(F213*G213,2)</f>
        <v>0.2</v>
      </c>
    </row>
    <row r="214" spans="1:14" x14ac:dyDescent="0.3">
      <c r="C214" s="1012" t="s">
        <v>957</v>
      </c>
      <c r="D214" s="1013"/>
      <c r="E214" s="1013"/>
      <c r="F214" s="1013"/>
      <c r="G214" s="1014"/>
      <c r="H214" s="299">
        <f>SUM(H205:H213)</f>
        <v>5.2</v>
      </c>
    </row>
    <row r="215" spans="1:14" ht="3" customHeight="1" x14ac:dyDescent="0.3"/>
    <row r="216" spans="1:14" ht="0.75" customHeight="1" x14ac:dyDescent="0.3"/>
    <row r="217" spans="1:14" x14ac:dyDescent="0.3">
      <c r="C217" s="1015" t="s">
        <v>959</v>
      </c>
      <c r="D217" s="1015"/>
      <c r="E217" s="1015"/>
      <c r="F217" s="1015"/>
      <c r="G217" s="1015"/>
      <c r="H217" s="334">
        <f>F170+F182+F196+F201</f>
        <v>85.070000000000007</v>
      </c>
    </row>
    <row r="218" spans="1:14" x14ac:dyDescent="0.3">
      <c r="C218" s="323"/>
      <c r="D218" s="33"/>
      <c r="E218" s="33"/>
      <c r="F218" s="33"/>
      <c r="G218" s="33"/>
      <c r="H218" s="335"/>
    </row>
    <row r="219" spans="1:14" x14ac:dyDescent="0.3">
      <c r="C219" s="1015" t="s">
        <v>960</v>
      </c>
      <c r="D219" s="1015"/>
      <c r="E219" s="1015"/>
      <c r="F219" s="1015"/>
      <c r="G219" s="1015"/>
      <c r="H219" s="334">
        <f>ROUND(H217,0)</f>
        <v>85</v>
      </c>
    </row>
    <row r="221" spans="1:14" s="54" customFormat="1" ht="19.8" x14ac:dyDescent="0.4">
      <c r="A221" s="53"/>
      <c r="B221" s="1016" t="s">
        <v>958</v>
      </c>
      <c r="C221" s="1016"/>
      <c r="D221" s="1016"/>
      <c r="E221" s="1016"/>
      <c r="F221" s="1016"/>
      <c r="G221" s="1016"/>
      <c r="H221" s="1016"/>
      <c r="I221" s="1016"/>
      <c r="J221" s="1016"/>
      <c r="K221" s="70"/>
      <c r="L221" s="348"/>
      <c r="M221" s="348"/>
      <c r="N221" s="99"/>
    </row>
    <row r="222" spans="1:14" s="54" customFormat="1" ht="19.8" x14ac:dyDescent="0.4">
      <c r="A222" s="53"/>
      <c r="B222" s="53"/>
      <c r="C222" s="56"/>
      <c r="D222" s="225"/>
      <c r="E222" s="225"/>
      <c r="F222" s="225"/>
      <c r="G222" s="225"/>
      <c r="H222" s="225"/>
      <c r="I222" s="225"/>
      <c r="J222" s="225"/>
      <c r="K222" s="70"/>
      <c r="L222" s="348"/>
      <c r="M222" s="348"/>
      <c r="N222" s="99"/>
    </row>
    <row r="223" spans="1:14" s="54" customFormat="1" ht="40.5" customHeight="1" x14ac:dyDescent="0.4">
      <c r="A223" s="53"/>
      <c r="B223" s="50" t="s">
        <v>550</v>
      </c>
      <c r="C223" s="1032" t="s">
        <v>557</v>
      </c>
      <c r="D223" s="1032"/>
      <c r="E223" s="1032"/>
      <c r="F223" s="296">
        <f>H274</f>
        <v>85</v>
      </c>
      <c r="G223" s="296" t="s">
        <v>971</v>
      </c>
      <c r="H223" s="225"/>
      <c r="I223" s="225"/>
      <c r="J223" s="225"/>
      <c r="K223" s="70"/>
      <c r="L223" s="348"/>
      <c r="M223" s="348"/>
      <c r="N223" s="99"/>
    </row>
    <row r="224" spans="1:14" ht="4.5" customHeight="1" x14ac:dyDescent="0.3"/>
    <row r="225" spans="3:10" x14ac:dyDescent="0.3">
      <c r="C225" s="1018" t="s">
        <v>932</v>
      </c>
      <c r="D225" s="1018"/>
      <c r="E225" s="297"/>
      <c r="F225" s="298">
        <f>F232+F235+F233</f>
        <v>40.019999999999996</v>
      </c>
      <c r="G225" s="227" t="s">
        <v>971</v>
      </c>
    </row>
    <row r="227" spans="3:10" x14ac:dyDescent="0.3">
      <c r="C227" s="318" t="s">
        <v>929</v>
      </c>
      <c r="D227" s="14" t="s">
        <v>928</v>
      </c>
      <c r="E227" s="14" t="s">
        <v>514</v>
      </c>
      <c r="F227" s="14" t="s">
        <v>515</v>
      </c>
      <c r="G227" s="14" t="s">
        <v>962</v>
      </c>
      <c r="H227" s="14" t="s">
        <v>926</v>
      </c>
      <c r="I227" s="14" t="s">
        <v>516</v>
      </c>
      <c r="J227" s="14" t="s">
        <v>961</v>
      </c>
    </row>
    <row r="228" spans="3:10" x14ac:dyDescent="0.3">
      <c r="C228" s="134" t="str">
        <f>C173</f>
        <v>Лікар з ультразвукової діагностики</v>
      </c>
      <c r="D228" s="78">
        <f>D173</f>
        <v>6660.23</v>
      </c>
      <c r="E228" s="78">
        <f>D228*12</f>
        <v>79922.759999999995</v>
      </c>
      <c r="F228" s="78">
        <f>F173</f>
        <v>6054.75</v>
      </c>
      <c r="G228" s="78">
        <f>G173</f>
        <v>3027.375</v>
      </c>
      <c r="H228" s="78">
        <f>E228+F228+G228</f>
        <v>89004.884999999995</v>
      </c>
      <c r="I228" s="73">
        <v>1656.6</v>
      </c>
      <c r="J228" s="78">
        <f>ROUND((H228/I228)/60,2)</f>
        <v>0.9</v>
      </c>
    </row>
    <row r="229" spans="3:10" x14ac:dyDescent="0.3">
      <c r="C229" s="134" t="str">
        <f>C174</f>
        <v xml:space="preserve">Сестра медична </v>
      </c>
      <c r="D229" s="78">
        <f>D174</f>
        <v>6506.5</v>
      </c>
      <c r="E229" s="78">
        <f>D229*12</f>
        <v>78078</v>
      </c>
      <c r="F229" s="78">
        <f>F174</f>
        <v>5005</v>
      </c>
      <c r="G229" s="78">
        <f>G174</f>
        <v>2502.5</v>
      </c>
      <c r="H229" s="78">
        <f>E229+F229+G229</f>
        <v>85585.5</v>
      </c>
      <c r="I229" s="73">
        <v>1932.7</v>
      </c>
      <c r="J229" s="78">
        <f>ROUND((H229/I229)/60,2)</f>
        <v>0.74</v>
      </c>
    </row>
    <row r="230" spans="3:10" ht="10.5" customHeight="1" x14ac:dyDescent="0.3"/>
    <row r="231" spans="3:10" ht="27.6" x14ac:dyDescent="0.3">
      <c r="C231" s="318" t="s">
        <v>929</v>
      </c>
      <c r="D231" s="14" t="s">
        <v>961</v>
      </c>
      <c r="E231" s="14" t="s">
        <v>930</v>
      </c>
      <c r="F231" s="14" t="s">
        <v>931</v>
      </c>
    </row>
    <row r="232" spans="3:10" x14ac:dyDescent="0.3">
      <c r="C232" s="320" t="str">
        <f>C228</f>
        <v>Лікар з ультразвукової діагностики</v>
      </c>
      <c r="D232" s="78">
        <f>J228</f>
        <v>0.9</v>
      </c>
      <c r="E232" s="73">
        <v>20</v>
      </c>
      <c r="F232" s="299">
        <f>ROUND(D232*E232,2)</f>
        <v>18</v>
      </c>
    </row>
    <row r="233" spans="3:10" x14ac:dyDescent="0.3">
      <c r="C233" s="320" t="str">
        <f>C229</f>
        <v xml:space="preserve">Сестра медична </v>
      </c>
      <c r="D233" s="78">
        <f>J229</f>
        <v>0.74</v>
      </c>
      <c r="E233" s="73">
        <v>20</v>
      </c>
      <c r="F233" s="299">
        <f>ROUND(D233*E233,2)</f>
        <v>14.8</v>
      </c>
    </row>
    <row r="234" spans="3:10" ht="6" customHeight="1" x14ac:dyDescent="0.3">
      <c r="D234" s="19"/>
    </row>
    <row r="235" spans="3:10" x14ac:dyDescent="0.3">
      <c r="C235" s="134" t="s">
        <v>933</v>
      </c>
      <c r="D235" s="78">
        <f>F232+F233</f>
        <v>32.799999999999997</v>
      </c>
      <c r="E235" s="300">
        <v>0.22</v>
      </c>
      <c r="F235" s="301">
        <f>ROUND(D235*E235,2)</f>
        <v>7.22</v>
      </c>
    </row>
    <row r="237" spans="3:10" x14ac:dyDescent="0.3">
      <c r="C237" s="321" t="s">
        <v>946</v>
      </c>
      <c r="D237" s="227"/>
      <c r="E237" s="227"/>
      <c r="F237" s="227">
        <f>G249</f>
        <v>12.45</v>
      </c>
      <c r="G237" s="227" t="s">
        <v>971</v>
      </c>
    </row>
    <row r="238" spans="3:10" ht="9" customHeight="1" x14ac:dyDescent="0.3"/>
    <row r="239" spans="3:10" x14ac:dyDescent="0.3">
      <c r="C239" s="27" t="str">
        <f t="shared" ref="C239:F248" si="7">C184</f>
        <v>Рукавиці не стерильні</v>
      </c>
      <c r="D239" s="303" t="str">
        <f t="shared" si="7"/>
        <v>шт</v>
      </c>
      <c r="E239" s="303">
        <f t="shared" si="7"/>
        <v>0.1</v>
      </c>
      <c r="F239" s="303">
        <f t="shared" si="7"/>
        <v>2.8</v>
      </c>
      <c r="G239" s="228">
        <f>ROUND(F239*E239,2)</f>
        <v>0.28000000000000003</v>
      </c>
    </row>
    <row r="240" spans="3:10" x14ac:dyDescent="0.3">
      <c r="C240" s="27" t="str">
        <f t="shared" si="7"/>
        <v xml:space="preserve">Септил 70% 100мл </v>
      </c>
      <c r="D240" s="303" t="str">
        <f t="shared" si="7"/>
        <v>шт</v>
      </c>
      <c r="E240" s="303">
        <f t="shared" si="7"/>
        <v>0.01</v>
      </c>
      <c r="F240" s="303">
        <f t="shared" si="7"/>
        <v>24.6</v>
      </c>
      <c r="G240" s="228">
        <f t="shared" ref="G240:G245" si="8">ROUND(F240*E240,2)</f>
        <v>0.25</v>
      </c>
    </row>
    <row r="241" spans="3:9" x14ac:dyDescent="0.3">
      <c r="C241" s="27" t="str">
        <f t="shared" si="7"/>
        <v>Маска на резинці, стерильна.</v>
      </c>
      <c r="D241" s="303" t="str">
        <f t="shared" si="7"/>
        <v>шт</v>
      </c>
      <c r="E241" s="303">
        <f t="shared" si="7"/>
        <v>0.1</v>
      </c>
      <c r="F241" s="303">
        <f t="shared" si="7"/>
        <v>2</v>
      </c>
      <c r="G241" s="228">
        <f t="shared" si="8"/>
        <v>0.2</v>
      </c>
    </row>
    <row r="242" spans="3:9" x14ac:dyDescent="0.3">
      <c r="C242" s="27" t="str">
        <f t="shared" si="7"/>
        <v>Мікрасепт</v>
      </c>
      <c r="D242" s="303" t="str">
        <f t="shared" si="7"/>
        <v>мл</v>
      </c>
      <c r="E242" s="303">
        <f t="shared" si="7"/>
        <v>1</v>
      </c>
      <c r="F242" s="303">
        <f t="shared" si="7"/>
        <v>0.3</v>
      </c>
      <c r="G242" s="28">
        <f>ROUND(E242*F242,2)</f>
        <v>0.3</v>
      </c>
    </row>
    <row r="243" spans="3:9" x14ac:dyDescent="0.3">
      <c r="C243" s="27" t="str">
        <f t="shared" si="7"/>
        <v>Папір офісний А4</v>
      </c>
      <c r="D243" s="303" t="str">
        <f t="shared" si="7"/>
        <v>шт</v>
      </c>
      <c r="E243" s="303">
        <f t="shared" si="7"/>
        <v>2</v>
      </c>
      <c r="F243" s="303">
        <f t="shared" si="7"/>
        <v>0.3</v>
      </c>
      <c r="G243" s="228">
        <f t="shared" si="8"/>
        <v>0.6</v>
      </c>
    </row>
    <row r="244" spans="3:9" x14ac:dyDescent="0.3">
      <c r="C244" s="27" t="str">
        <f t="shared" si="7"/>
        <v xml:space="preserve">Гель для УЗД , 1000 гр. </v>
      </c>
      <c r="D244" s="303" t="str">
        <f t="shared" si="7"/>
        <v>пляшка</v>
      </c>
      <c r="E244" s="303">
        <f t="shared" si="7"/>
        <v>0.1</v>
      </c>
      <c r="F244" s="303">
        <f t="shared" si="7"/>
        <v>48</v>
      </c>
      <c r="G244" s="228">
        <f t="shared" si="8"/>
        <v>4.8</v>
      </c>
    </row>
    <row r="245" spans="3:9" x14ac:dyDescent="0.3">
      <c r="C245" s="27" t="str">
        <f t="shared" si="7"/>
        <v>Паперові рушники "Fesko Professional"</v>
      </c>
      <c r="D245" s="303" t="str">
        <f t="shared" si="7"/>
        <v>рул</v>
      </c>
      <c r="E245" s="303">
        <f t="shared" si="7"/>
        <v>0.3</v>
      </c>
      <c r="F245" s="303">
        <f t="shared" si="7"/>
        <v>17</v>
      </c>
      <c r="G245" s="228">
        <f t="shared" si="8"/>
        <v>5.0999999999999996</v>
      </c>
    </row>
    <row r="246" spans="3:9" x14ac:dyDescent="0.3">
      <c r="C246" s="27" t="str">
        <f t="shared" si="7"/>
        <v>Марля медична</v>
      </c>
      <c r="D246" s="303" t="str">
        <f t="shared" si="7"/>
        <v>метр</v>
      </c>
      <c r="E246" s="303">
        <f t="shared" si="7"/>
        <v>0.1</v>
      </c>
      <c r="F246" s="303">
        <f t="shared" si="7"/>
        <v>6</v>
      </c>
      <c r="G246" s="28">
        <f>ROUND(E246*F246,2)</f>
        <v>0.6</v>
      </c>
    </row>
    <row r="247" spans="3:9" x14ac:dyDescent="0.3">
      <c r="C247" s="27" t="str">
        <f t="shared" si="7"/>
        <v>Вата</v>
      </c>
      <c r="D247" s="303" t="str">
        <f t="shared" si="7"/>
        <v>г</v>
      </c>
      <c r="E247" s="303">
        <f t="shared" si="7"/>
        <v>1</v>
      </c>
      <c r="F247" s="303">
        <f t="shared" si="7"/>
        <v>7.0000000000000007E-2</v>
      </c>
      <c r="G247" s="28">
        <f>ROUND(E247*F247,2)</f>
        <v>7.0000000000000007E-2</v>
      </c>
    </row>
    <row r="248" spans="3:9" x14ac:dyDescent="0.3">
      <c r="C248" s="27" t="str">
        <f t="shared" si="7"/>
        <v>Деззасоби</v>
      </c>
      <c r="D248" s="303" t="str">
        <f t="shared" si="7"/>
        <v>г</v>
      </c>
      <c r="E248" s="303">
        <f t="shared" si="7"/>
        <v>0.5</v>
      </c>
      <c r="F248" s="303">
        <f t="shared" si="7"/>
        <v>0.5</v>
      </c>
      <c r="G248" s="28">
        <f>ROUND(E248*F248,2)</f>
        <v>0.25</v>
      </c>
    </row>
    <row r="249" spans="3:9" x14ac:dyDescent="0.3">
      <c r="C249" s="1019" t="s">
        <v>945</v>
      </c>
      <c r="D249" s="1019"/>
      <c r="E249" s="1019"/>
      <c r="F249" s="1019"/>
      <c r="G249" s="332">
        <f>SUM(G239:G248)</f>
        <v>12.45</v>
      </c>
    </row>
    <row r="251" spans="3:9" x14ac:dyDescent="0.3">
      <c r="C251" s="321" t="s">
        <v>968</v>
      </c>
      <c r="D251" s="227"/>
      <c r="E251" s="227"/>
      <c r="F251" s="298">
        <f>H254</f>
        <v>27.4</v>
      </c>
      <c r="G251" s="227" t="s">
        <v>971</v>
      </c>
    </row>
    <row r="252" spans="3:9" ht="8.25" customHeight="1" x14ac:dyDescent="0.3">
      <c r="C252" s="322"/>
      <c r="D252" s="36"/>
      <c r="E252" s="36"/>
      <c r="F252" s="302"/>
      <c r="G252" s="36"/>
    </row>
    <row r="253" spans="3:9" ht="27.6" x14ac:dyDescent="0.3">
      <c r="C253" s="46" t="s">
        <v>513</v>
      </c>
      <c r="D253" s="14" t="s">
        <v>1108</v>
      </c>
      <c r="E253" s="14" t="s">
        <v>516</v>
      </c>
      <c r="F253" s="14" t="s">
        <v>970</v>
      </c>
      <c r="G253" s="14" t="s">
        <v>930</v>
      </c>
      <c r="H253" s="14" t="s">
        <v>961</v>
      </c>
    </row>
    <row r="254" spans="3:9" x14ac:dyDescent="0.3">
      <c r="C254" s="27" t="str">
        <f>C199</f>
        <v>Ультразвукова система AFFINITI 30</v>
      </c>
      <c r="D254" s="73">
        <f>D199</f>
        <v>136236.38</v>
      </c>
      <c r="E254" s="73">
        <f>I228</f>
        <v>1656.6</v>
      </c>
      <c r="F254" s="73">
        <f>ROUND((D254/E254)/60,2)</f>
        <v>1.37</v>
      </c>
      <c r="G254" s="73">
        <f>E232</f>
        <v>20</v>
      </c>
      <c r="H254" s="78">
        <f>ROUND(F254*G254,2)</f>
        <v>27.4</v>
      </c>
      <c r="I254" s="333"/>
    </row>
    <row r="256" spans="3:9" x14ac:dyDescent="0.3">
      <c r="C256" s="321" t="s">
        <v>948</v>
      </c>
      <c r="D256" s="227"/>
      <c r="E256" s="227"/>
      <c r="F256" s="298">
        <f>H269</f>
        <v>5.2</v>
      </c>
      <c r="G256" s="227" t="s">
        <v>971</v>
      </c>
    </row>
    <row r="257" spans="3:8" ht="11.25" customHeight="1" x14ac:dyDescent="0.3">
      <c r="C257" s="322"/>
      <c r="D257" s="36"/>
      <c r="E257" s="36"/>
      <c r="F257" s="302"/>
    </row>
    <row r="258" spans="3:8" ht="27.6" x14ac:dyDescent="0.3">
      <c r="C258" s="46" t="s">
        <v>948</v>
      </c>
      <c r="D258" s="14" t="s">
        <v>1110</v>
      </c>
      <c r="E258" s="14" t="s">
        <v>516</v>
      </c>
      <c r="F258" s="14" t="s">
        <v>954</v>
      </c>
      <c r="G258" s="14" t="s">
        <v>930</v>
      </c>
      <c r="H258" s="14" t="s">
        <v>1111</v>
      </c>
    </row>
    <row r="259" spans="3:8" x14ac:dyDescent="0.3">
      <c r="C259" s="1009" t="str">
        <f>C228</f>
        <v>Лікар з ультразвукової діагностики</v>
      </c>
      <c r="D259" s="1010"/>
      <c r="E259" s="1010"/>
      <c r="F259" s="1010"/>
      <c r="G259" s="1010"/>
      <c r="H259" s="1011"/>
    </row>
    <row r="260" spans="3:8" x14ac:dyDescent="0.3">
      <c r="C260" s="134" t="s">
        <v>951</v>
      </c>
      <c r="D260" s="221">
        <f>D205</f>
        <v>12188.608008565312</v>
      </c>
      <c r="E260" s="73">
        <f>I228</f>
        <v>1656.6</v>
      </c>
      <c r="F260" s="73">
        <f>ROUND((D260/E260)/60,2)</f>
        <v>0.12</v>
      </c>
      <c r="G260" s="73">
        <f>E232</f>
        <v>20</v>
      </c>
      <c r="H260" s="78">
        <f>ROUND(F260*G260,2)</f>
        <v>2.4</v>
      </c>
    </row>
    <row r="261" spans="3:8" x14ac:dyDescent="0.3">
      <c r="C261" s="134" t="s">
        <v>952</v>
      </c>
      <c r="D261" s="221">
        <f>D206</f>
        <v>53.149721627408987</v>
      </c>
      <c r="E261" s="73">
        <f>I228</f>
        <v>1656.6</v>
      </c>
      <c r="F261" s="73">
        <f>ROUND((D261/E261)/60,2)</f>
        <v>0</v>
      </c>
      <c r="G261" s="73">
        <f>E232</f>
        <v>20</v>
      </c>
      <c r="H261" s="78">
        <f>ROUND(F261*G261,2)</f>
        <v>0</v>
      </c>
    </row>
    <row r="262" spans="3:8" x14ac:dyDescent="0.3">
      <c r="C262" s="134" t="s">
        <v>953</v>
      </c>
      <c r="D262" s="221">
        <f>D207</f>
        <v>374.98368308351178</v>
      </c>
      <c r="E262" s="73">
        <f>I228</f>
        <v>1656.6</v>
      </c>
      <c r="F262" s="73">
        <f>ROUND((D262/E262)/60,2)</f>
        <v>0</v>
      </c>
      <c r="G262" s="73">
        <f>E232</f>
        <v>20</v>
      </c>
      <c r="H262" s="78">
        <f>ROUND(F262*G262,2)</f>
        <v>0</v>
      </c>
    </row>
    <row r="263" spans="3:8" x14ac:dyDescent="0.3">
      <c r="C263" s="134" t="s">
        <v>1109</v>
      </c>
      <c r="D263" s="221">
        <f>D208</f>
        <v>1686.0389293361886</v>
      </c>
      <c r="E263" s="73">
        <f>I228</f>
        <v>1656.6</v>
      </c>
      <c r="F263" s="73">
        <f>ROUND((D263/E263)/60,2)</f>
        <v>0.02</v>
      </c>
      <c r="G263" s="73">
        <f>E232</f>
        <v>20</v>
      </c>
      <c r="H263" s="78">
        <f>ROUND(F263*G263,2)</f>
        <v>0.4</v>
      </c>
    </row>
    <row r="264" spans="3:8" x14ac:dyDescent="0.3">
      <c r="C264" s="1009" t="str">
        <f>C229</f>
        <v xml:space="preserve">Сестра медична </v>
      </c>
      <c r="D264" s="1010"/>
      <c r="E264" s="1010"/>
      <c r="F264" s="1010"/>
      <c r="G264" s="1010"/>
      <c r="H264" s="1011"/>
    </row>
    <row r="265" spans="3:8" x14ac:dyDescent="0.3">
      <c r="C265" s="134" t="s">
        <v>951</v>
      </c>
      <c r="D265" s="221">
        <f>D260</f>
        <v>12188.608008565312</v>
      </c>
      <c r="E265" s="73">
        <f>I229</f>
        <v>1932.7</v>
      </c>
      <c r="F265" s="73">
        <f>ROUND((D265/E265)/60,2)</f>
        <v>0.11</v>
      </c>
      <c r="G265" s="73">
        <f>E233</f>
        <v>20</v>
      </c>
      <c r="H265" s="78">
        <f>ROUND(F265*G265,2)</f>
        <v>2.2000000000000002</v>
      </c>
    </row>
    <row r="266" spans="3:8" x14ac:dyDescent="0.3">
      <c r="C266" s="134" t="s">
        <v>952</v>
      </c>
      <c r="D266" s="221">
        <f>D261</f>
        <v>53.149721627408987</v>
      </c>
      <c r="E266" s="73">
        <f>I229</f>
        <v>1932.7</v>
      </c>
      <c r="F266" s="73">
        <f>ROUND((D266/E266)/60,2)</f>
        <v>0</v>
      </c>
      <c r="G266" s="73">
        <f>E233</f>
        <v>20</v>
      </c>
      <c r="H266" s="78">
        <f>ROUND(F266*G266,2)</f>
        <v>0</v>
      </c>
    </row>
    <row r="267" spans="3:8" x14ac:dyDescent="0.3">
      <c r="C267" s="134" t="s">
        <v>953</v>
      </c>
      <c r="D267" s="221">
        <f>D262</f>
        <v>374.98368308351178</v>
      </c>
      <c r="E267" s="73">
        <f>I229</f>
        <v>1932.7</v>
      </c>
      <c r="F267" s="73">
        <f>ROUND((D267/E267)/60,2)</f>
        <v>0</v>
      </c>
      <c r="G267" s="73">
        <f>E233</f>
        <v>20</v>
      </c>
      <c r="H267" s="78">
        <f>ROUND(F267*G267,2)</f>
        <v>0</v>
      </c>
    </row>
    <row r="268" spans="3:8" x14ac:dyDescent="0.3">
      <c r="C268" s="134" t="s">
        <v>1109</v>
      </c>
      <c r="D268" s="221">
        <f>D263</f>
        <v>1686.0389293361886</v>
      </c>
      <c r="E268" s="73">
        <f>I229</f>
        <v>1932.7</v>
      </c>
      <c r="F268" s="73">
        <f>ROUND((D268/E268)/60,2)</f>
        <v>0.01</v>
      </c>
      <c r="G268" s="73">
        <f>E233</f>
        <v>20</v>
      </c>
      <c r="H268" s="78">
        <f>ROUND(F268*G268,2)</f>
        <v>0.2</v>
      </c>
    </row>
    <row r="269" spans="3:8" x14ac:dyDescent="0.3">
      <c r="C269" s="1012" t="s">
        <v>957</v>
      </c>
      <c r="D269" s="1013"/>
      <c r="E269" s="1013"/>
      <c r="F269" s="1013"/>
      <c r="G269" s="1014"/>
      <c r="H269" s="299">
        <f>SUM(H260:H268)</f>
        <v>5.2</v>
      </c>
    </row>
    <row r="271" spans="3:8" ht="7.5" customHeight="1" x14ac:dyDescent="0.3"/>
    <row r="272" spans="3:8" x14ac:dyDescent="0.3">
      <c r="C272" s="1015" t="s">
        <v>959</v>
      </c>
      <c r="D272" s="1015"/>
      <c r="E272" s="1015"/>
      <c r="F272" s="1015"/>
      <c r="G272" s="1015"/>
      <c r="H272" s="334">
        <f>F225+F237+F251+F256</f>
        <v>85.070000000000007</v>
      </c>
    </row>
    <row r="273" spans="1:14" x14ac:dyDescent="0.3">
      <c r="C273" s="323"/>
      <c r="D273" s="33"/>
      <c r="E273" s="33"/>
      <c r="F273" s="33"/>
      <c r="G273" s="33"/>
      <c r="H273" s="335"/>
    </row>
    <row r="274" spans="1:14" x14ac:dyDescent="0.3">
      <c r="C274" s="1015" t="s">
        <v>960</v>
      </c>
      <c r="D274" s="1015"/>
      <c r="E274" s="1015"/>
      <c r="F274" s="1015"/>
      <c r="G274" s="1015"/>
      <c r="H274" s="334">
        <f>ROUND(H272,0)</f>
        <v>85</v>
      </c>
    </row>
    <row r="276" spans="1:14" s="54" customFormat="1" ht="19.8" x14ac:dyDescent="0.4">
      <c r="A276" s="53"/>
      <c r="B276" s="1016" t="s">
        <v>958</v>
      </c>
      <c r="C276" s="1016"/>
      <c r="D276" s="1016"/>
      <c r="E276" s="1016"/>
      <c r="F276" s="1016"/>
      <c r="G276" s="1016"/>
      <c r="H276" s="1016"/>
      <c r="I276" s="1016"/>
      <c r="J276" s="1016"/>
      <c r="K276" s="70"/>
      <c r="L276" s="348"/>
      <c r="M276" s="348"/>
      <c r="N276" s="99"/>
    </row>
    <row r="277" spans="1:14" s="54" customFormat="1" ht="19.8" x14ac:dyDescent="0.4">
      <c r="A277" s="53"/>
      <c r="B277" s="53"/>
      <c r="C277" s="56"/>
      <c r="D277" s="225"/>
      <c r="E277" s="225"/>
      <c r="F277" s="225"/>
      <c r="G277" s="225"/>
      <c r="H277" s="225"/>
      <c r="I277" s="225"/>
      <c r="J277" s="225"/>
      <c r="K277" s="70"/>
      <c r="L277" s="348"/>
      <c r="M277" s="348"/>
      <c r="N277" s="99"/>
    </row>
    <row r="278" spans="1:14" s="54" customFormat="1" ht="19.8" x14ac:dyDescent="0.4">
      <c r="A278" s="53"/>
      <c r="B278" s="50" t="s">
        <v>552</v>
      </c>
      <c r="C278" s="1032" t="s">
        <v>559</v>
      </c>
      <c r="D278" s="1032"/>
      <c r="E278" s="1032"/>
      <c r="F278" s="296">
        <f>H329</f>
        <v>85</v>
      </c>
      <c r="G278" s="296" t="s">
        <v>971</v>
      </c>
      <c r="H278" s="225"/>
      <c r="I278" s="225"/>
      <c r="J278" s="225"/>
      <c r="K278" s="70"/>
      <c r="L278" s="348"/>
      <c r="M278" s="348"/>
      <c r="N278" s="99"/>
    </row>
    <row r="280" spans="1:14" x14ac:dyDescent="0.3">
      <c r="C280" s="1018" t="s">
        <v>932</v>
      </c>
      <c r="D280" s="1018"/>
      <c r="E280" s="297"/>
      <c r="F280" s="298">
        <f>F287+F290+F288</f>
        <v>40.019999999999996</v>
      </c>
      <c r="G280" s="227" t="s">
        <v>971</v>
      </c>
    </row>
    <row r="282" spans="1:14" x14ac:dyDescent="0.3">
      <c r="C282" s="318" t="s">
        <v>929</v>
      </c>
      <c r="D282" s="14" t="s">
        <v>928</v>
      </c>
      <c r="E282" s="14" t="s">
        <v>514</v>
      </c>
      <c r="F282" s="14" t="s">
        <v>515</v>
      </c>
      <c r="G282" s="14" t="s">
        <v>962</v>
      </c>
      <c r="H282" s="14" t="s">
        <v>926</v>
      </c>
      <c r="I282" s="14" t="s">
        <v>516</v>
      </c>
      <c r="J282" s="14" t="s">
        <v>961</v>
      </c>
    </row>
    <row r="283" spans="1:14" x14ac:dyDescent="0.3">
      <c r="C283" s="134" t="str">
        <f>C228</f>
        <v>Лікар з ультразвукової діагностики</v>
      </c>
      <c r="D283" s="73">
        <f>D228</f>
        <v>6660.23</v>
      </c>
      <c r="E283" s="78">
        <f>D283*12</f>
        <v>79922.759999999995</v>
      </c>
      <c r="F283" s="73">
        <f>F228</f>
        <v>6054.75</v>
      </c>
      <c r="G283" s="78">
        <f>G228</f>
        <v>3027.375</v>
      </c>
      <c r="H283" s="78">
        <f>E283+F283+G283</f>
        <v>89004.884999999995</v>
      </c>
      <c r="I283" s="73">
        <v>1656.6</v>
      </c>
      <c r="J283" s="78">
        <f>ROUND((H283/I283)/60,2)</f>
        <v>0.9</v>
      </c>
    </row>
    <row r="284" spans="1:14" x14ac:dyDescent="0.3">
      <c r="C284" s="134" t="str">
        <f>C229</f>
        <v xml:space="preserve">Сестра медична </v>
      </c>
      <c r="D284" s="73">
        <f>D229</f>
        <v>6506.5</v>
      </c>
      <c r="E284" s="78">
        <f>D284*12</f>
        <v>78078</v>
      </c>
      <c r="F284" s="73">
        <f>F229</f>
        <v>5005</v>
      </c>
      <c r="G284" s="73">
        <f>G229</f>
        <v>2502.5</v>
      </c>
      <c r="H284" s="78">
        <f>E284+F284+G284</f>
        <v>85585.5</v>
      </c>
      <c r="I284" s="73">
        <v>1932.7</v>
      </c>
      <c r="J284" s="78">
        <f>ROUND((H284/I284)/60,2)</f>
        <v>0.74</v>
      </c>
    </row>
    <row r="286" spans="1:14" ht="27.6" x14ac:dyDescent="0.3">
      <c r="C286" s="318" t="s">
        <v>929</v>
      </c>
      <c r="D286" s="14" t="s">
        <v>961</v>
      </c>
      <c r="E286" s="14" t="s">
        <v>930</v>
      </c>
      <c r="F286" s="14" t="s">
        <v>931</v>
      </c>
    </row>
    <row r="287" spans="1:14" x14ac:dyDescent="0.3">
      <c r="C287" s="320" t="str">
        <f>C283</f>
        <v>Лікар з ультразвукової діагностики</v>
      </c>
      <c r="D287" s="78">
        <f>J283</f>
        <v>0.9</v>
      </c>
      <c r="E287" s="73">
        <v>20</v>
      </c>
      <c r="F287" s="299">
        <f>ROUND(D287*E287,2)</f>
        <v>18</v>
      </c>
    </row>
    <row r="288" spans="1:14" x14ac:dyDescent="0.3">
      <c r="C288" s="320" t="str">
        <f>C284</f>
        <v xml:space="preserve">Сестра медична </v>
      </c>
      <c r="D288" s="78">
        <f>J284</f>
        <v>0.74</v>
      </c>
      <c r="E288" s="73">
        <v>20</v>
      </c>
      <c r="F288" s="299">
        <f>ROUND(D288*E288,2)</f>
        <v>14.8</v>
      </c>
    </row>
    <row r="289" spans="3:7" x14ac:dyDescent="0.3">
      <c r="D289" s="19"/>
    </row>
    <row r="290" spans="3:7" x14ac:dyDescent="0.3">
      <c r="C290" s="134" t="s">
        <v>933</v>
      </c>
      <c r="D290" s="78">
        <f>F287+F288</f>
        <v>32.799999999999997</v>
      </c>
      <c r="E290" s="300">
        <v>0.22</v>
      </c>
      <c r="F290" s="301">
        <f>ROUND(D290*E290,2)</f>
        <v>7.22</v>
      </c>
    </row>
    <row r="291" spans="3:7" ht="10.5" customHeight="1" x14ac:dyDescent="0.3"/>
    <row r="292" spans="3:7" x14ac:dyDescent="0.3">
      <c r="C292" s="321" t="s">
        <v>946</v>
      </c>
      <c r="D292" s="227"/>
      <c r="E292" s="227"/>
      <c r="F292" s="227">
        <f>G304</f>
        <v>12.45</v>
      </c>
      <c r="G292" s="227" t="s">
        <v>971</v>
      </c>
    </row>
    <row r="293" spans="3:7" ht="9" customHeight="1" x14ac:dyDescent="0.3"/>
    <row r="294" spans="3:7" x14ac:dyDescent="0.3">
      <c r="C294" s="27" t="str">
        <f t="shared" ref="C294:F303" si="9">C239</f>
        <v>Рукавиці не стерильні</v>
      </c>
      <c r="D294" s="303" t="str">
        <f t="shared" si="9"/>
        <v>шт</v>
      </c>
      <c r="E294" s="303">
        <f t="shared" si="9"/>
        <v>0.1</v>
      </c>
      <c r="F294" s="303">
        <f t="shared" si="9"/>
        <v>2.8</v>
      </c>
      <c r="G294" s="228">
        <f>ROUND(F294*E294,2)</f>
        <v>0.28000000000000003</v>
      </c>
    </row>
    <row r="295" spans="3:7" x14ac:dyDescent="0.3">
      <c r="C295" s="27" t="str">
        <f t="shared" si="9"/>
        <v xml:space="preserve">Септил 70% 100мл </v>
      </c>
      <c r="D295" s="303" t="str">
        <f t="shared" si="9"/>
        <v>шт</v>
      </c>
      <c r="E295" s="303">
        <f t="shared" si="9"/>
        <v>0.01</v>
      </c>
      <c r="F295" s="303">
        <f t="shared" si="9"/>
        <v>24.6</v>
      </c>
      <c r="G295" s="228">
        <f t="shared" ref="G295:G300" si="10">ROUND(F295*E295,2)</f>
        <v>0.25</v>
      </c>
    </row>
    <row r="296" spans="3:7" x14ac:dyDescent="0.3">
      <c r="C296" s="27" t="str">
        <f t="shared" si="9"/>
        <v>Маска на резинці, стерильна.</v>
      </c>
      <c r="D296" s="303" t="str">
        <f t="shared" si="9"/>
        <v>шт</v>
      </c>
      <c r="E296" s="303">
        <f t="shared" si="9"/>
        <v>0.1</v>
      </c>
      <c r="F296" s="303">
        <f t="shared" si="9"/>
        <v>2</v>
      </c>
      <c r="G296" s="228">
        <f t="shared" si="10"/>
        <v>0.2</v>
      </c>
    </row>
    <row r="297" spans="3:7" x14ac:dyDescent="0.3">
      <c r="C297" s="27" t="str">
        <f t="shared" si="9"/>
        <v>Мікрасепт</v>
      </c>
      <c r="D297" s="303" t="str">
        <f t="shared" si="9"/>
        <v>мл</v>
      </c>
      <c r="E297" s="303">
        <f t="shared" si="9"/>
        <v>1</v>
      </c>
      <c r="F297" s="303">
        <f t="shared" si="9"/>
        <v>0.3</v>
      </c>
      <c r="G297" s="28">
        <f>ROUND(E297*F297,2)</f>
        <v>0.3</v>
      </c>
    </row>
    <row r="298" spans="3:7" x14ac:dyDescent="0.3">
      <c r="C298" s="27" t="str">
        <f t="shared" si="9"/>
        <v>Папір офісний А4</v>
      </c>
      <c r="D298" s="303" t="str">
        <f t="shared" si="9"/>
        <v>шт</v>
      </c>
      <c r="E298" s="303">
        <f t="shared" si="9"/>
        <v>2</v>
      </c>
      <c r="F298" s="303">
        <f t="shared" si="9"/>
        <v>0.3</v>
      </c>
      <c r="G298" s="228">
        <f t="shared" si="10"/>
        <v>0.6</v>
      </c>
    </row>
    <row r="299" spans="3:7" x14ac:dyDescent="0.3">
      <c r="C299" s="27" t="str">
        <f t="shared" si="9"/>
        <v xml:space="preserve">Гель для УЗД , 1000 гр. </v>
      </c>
      <c r="D299" s="303" t="str">
        <f t="shared" si="9"/>
        <v>пляшка</v>
      </c>
      <c r="E299" s="303">
        <f t="shared" si="9"/>
        <v>0.1</v>
      </c>
      <c r="F299" s="303">
        <f t="shared" si="9"/>
        <v>48</v>
      </c>
      <c r="G299" s="228">
        <f t="shared" si="10"/>
        <v>4.8</v>
      </c>
    </row>
    <row r="300" spans="3:7" x14ac:dyDescent="0.3">
      <c r="C300" s="27" t="str">
        <f t="shared" si="9"/>
        <v>Паперові рушники "Fesko Professional"</v>
      </c>
      <c r="D300" s="303" t="str">
        <f t="shared" si="9"/>
        <v>рул</v>
      </c>
      <c r="E300" s="303">
        <f t="shared" si="9"/>
        <v>0.3</v>
      </c>
      <c r="F300" s="303">
        <f t="shared" si="9"/>
        <v>17</v>
      </c>
      <c r="G300" s="228">
        <f t="shared" si="10"/>
        <v>5.0999999999999996</v>
      </c>
    </row>
    <row r="301" spans="3:7" x14ac:dyDescent="0.3">
      <c r="C301" s="27" t="str">
        <f t="shared" si="9"/>
        <v>Марля медична</v>
      </c>
      <c r="D301" s="303" t="str">
        <f t="shared" si="9"/>
        <v>метр</v>
      </c>
      <c r="E301" s="303">
        <f t="shared" si="9"/>
        <v>0.1</v>
      </c>
      <c r="F301" s="303">
        <f t="shared" si="9"/>
        <v>6</v>
      </c>
      <c r="G301" s="28">
        <f>ROUND(E301*F301,2)</f>
        <v>0.6</v>
      </c>
    </row>
    <row r="302" spans="3:7" x14ac:dyDescent="0.3">
      <c r="C302" s="27" t="str">
        <f t="shared" si="9"/>
        <v>Вата</v>
      </c>
      <c r="D302" s="303" t="str">
        <f t="shared" si="9"/>
        <v>г</v>
      </c>
      <c r="E302" s="303">
        <f t="shared" si="9"/>
        <v>1</v>
      </c>
      <c r="F302" s="303">
        <f t="shared" si="9"/>
        <v>7.0000000000000007E-2</v>
      </c>
      <c r="G302" s="28">
        <f>ROUND(E302*F302,2)</f>
        <v>7.0000000000000007E-2</v>
      </c>
    </row>
    <row r="303" spans="3:7" x14ac:dyDescent="0.3">
      <c r="C303" s="27" t="str">
        <f t="shared" si="9"/>
        <v>Деззасоби</v>
      </c>
      <c r="D303" s="303" t="str">
        <f t="shared" si="9"/>
        <v>г</v>
      </c>
      <c r="E303" s="303">
        <f t="shared" si="9"/>
        <v>0.5</v>
      </c>
      <c r="F303" s="303">
        <f t="shared" si="9"/>
        <v>0.5</v>
      </c>
      <c r="G303" s="28">
        <f>ROUND(E303*F303,2)</f>
        <v>0.25</v>
      </c>
    </row>
    <row r="304" spans="3:7" x14ac:dyDescent="0.3">
      <c r="C304" s="1019" t="s">
        <v>945</v>
      </c>
      <c r="D304" s="1019"/>
      <c r="E304" s="1019"/>
      <c r="F304" s="1019"/>
      <c r="G304" s="332">
        <f>SUM(G294:G303)</f>
        <v>12.45</v>
      </c>
    </row>
    <row r="305" spans="3:9" ht="9.75" customHeight="1" x14ac:dyDescent="0.3"/>
    <row r="306" spans="3:9" x14ac:dyDescent="0.3">
      <c r="C306" s="321" t="s">
        <v>968</v>
      </c>
      <c r="D306" s="227"/>
      <c r="E306" s="227"/>
      <c r="F306" s="298">
        <f>H309</f>
        <v>27.4</v>
      </c>
      <c r="G306" s="227" t="s">
        <v>971</v>
      </c>
    </row>
    <row r="307" spans="3:9" ht="8.25" customHeight="1" x14ac:dyDescent="0.3">
      <c r="C307" s="322"/>
      <c r="D307" s="36"/>
      <c r="E307" s="36"/>
      <c r="F307" s="302"/>
      <c r="G307" s="36"/>
    </row>
    <row r="308" spans="3:9" ht="27.6" x14ac:dyDescent="0.3">
      <c r="C308" s="46" t="s">
        <v>513</v>
      </c>
      <c r="D308" s="14" t="s">
        <v>969</v>
      </c>
      <c r="E308" s="14" t="s">
        <v>516</v>
      </c>
      <c r="F308" s="14" t="s">
        <v>970</v>
      </c>
      <c r="G308" s="14" t="s">
        <v>930</v>
      </c>
      <c r="H308" s="14" t="s">
        <v>961</v>
      </c>
    </row>
    <row r="309" spans="3:9" x14ac:dyDescent="0.3">
      <c r="C309" s="27" t="str">
        <f>C254</f>
        <v>Ультразвукова система AFFINITI 30</v>
      </c>
      <c r="D309" s="303">
        <f>D254</f>
        <v>136236.38</v>
      </c>
      <c r="E309" s="73">
        <f>I283</f>
        <v>1656.6</v>
      </c>
      <c r="F309" s="73">
        <f>ROUND((D309/E309)/60,2)</f>
        <v>1.37</v>
      </c>
      <c r="G309" s="73">
        <f>E287</f>
        <v>20</v>
      </c>
      <c r="H309" s="78">
        <f>ROUND(F309*G309,2)</f>
        <v>27.4</v>
      </c>
      <c r="I309" s="333"/>
    </row>
    <row r="310" spans="3:9" ht="12.75" customHeight="1" x14ac:dyDescent="0.3"/>
    <row r="311" spans="3:9" x14ac:dyDescent="0.3">
      <c r="C311" s="321" t="s">
        <v>948</v>
      </c>
      <c r="D311" s="227"/>
      <c r="E311" s="227"/>
      <c r="F311" s="298">
        <f>H324</f>
        <v>5.2</v>
      </c>
      <c r="G311" s="227" t="s">
        <v>971</v>
      </c>
    </row>
    <row r="312" spans="3:9" x14ac:dyDescent="0.3">
      <c r="C312" s="322"/>
      <c r="D312" s="36"/>
      <c r="E312" s="36"/>
      <c r="F312" s="302"/>
    </row>
    <row r="313" spans="3:9" ht="27.6" x14ac:dyDescent="0.3">
      <c r="C313" s="46" t="s">
        <v>948</v>
      </c>
      <c r="D313" s="14" t="s">
        <v>1110</v>
      </c>
      <c r="E313" s="14" t="s">
        <v>516</v>
      </c>
      <c r="F313" s="14" t="s">
        <v>954</v>
      </c>
      <c r="G313" s="14" t="s">
        <v>930</v>
      </c>
      <c r="H313" s="14" t="s">
        <v>1111</v>
      </c>
    </row>
    <row r="314" spans="3:9" x14ac:dyDescent="0.3">
      <c r="C314" s="1009" t="str">
        <f>C283</f>
        <v>Лікар з ультразвукової діагностики</v>
      </c>
      <c r="D314" s="1010"/>
      <c r="E314" s="1010"/>
      <c r="F314" s="1010"/>
      <c r="G314" s="1010"/>
      <c r="H314" s="1011"/>
    </row>
    <row r="315" spans="3:9" x14ac:dyDescent="0.3">
      <c r="C315" s="134" t="s">
        <v>951</v>
      </c>
      <c r="D315" s="221">
        <f>D260</f>
        <v>12188.608008565312</v>
      </c>
      <c r="E315" s="73">
        <f>I283</f>
        <v>1656.6</v>
      </c>
      <c r="F315" s="73">
        <f>ROUND((D315/E315)/60,2)</f>
        <v>0.12</v>
      </c>
      <c r="G315" s="73">
        <f>E287</f>
        <v>20</v>
      </c>
      <c r="H315" s="78">
        <f>ROUND(F315*G315,2)</f>
        <v>2.4</v>
      </c>
    </row>
    <row r="316" spans="3:9" x14ac:dyDescent="0.3">
      <c r="C316" s="134" t="s">
        <v>952</v>
      </c>
      <c r="D316" s="221">
        <f>D261</f>
        <v>53.149721627408987</v>
      </c>
      <c r="E316" s="73">
        <f>I283</f>
        <v>1656.6</v>
      </c>
      <c r="F316" s="73">
        <f>ROUND((D316/E316)/60,2)</f>
        <v>0</v>
      </c>
      <c r="G316" s="73">
        <f>E287</f>
        <v>20</v>
      </c>
      <c r="H316" s="78">
        <f>ROUND(F316*G316,2)</f>
        <v>0</v>
      </c>
    </row>
    <row r="317" spans="3:9" x14ac:dyDescent="0.3">
      <c r="C317" s="134" t="s">
        <v>953</v>
      </c>
      <c r="D317" s="221">
        <f>D262</f>
        <v>374.98368308351178</v>
      </c>
      <c r="E317" s="73">
        <f>I283</f>
        <v>1656.6</v>
      </c>
      <c r="F317" s="73">
        <f>ROUND((D317/E317)/60,2)</f>
        <v>0</v>
      </c>
      <c r="G317" s="73">
        <f>E287</f>
        <v>20</v>
      </c>
      <c r="H317" s="78">
        <f>ROUND(F317*G317,2)</f>
        <v>0</v>
      </c>
    </row>
    <row r="318" spans="3:9" x14ac:dyDescent="0.3">
      <c r="C318" s="134" t="s">
        <v>1109</v>
      </c>
      <c r="D318" s="221">
        <f>D263</f>
        <v>1686.0389293361886</v>
      </c>
      <c r="E318" s="73">
        <f>I283</f>
        <v>1656.6</v>
      </c>
      <c r="F318" s="73">
        <f>ROUND((D318/E318)/60,2)</f>
        <v>0.02</v>
      </c>
      <c r="G318" s="73">
        <f>E287</f>
        <v>20</v>
      </c>
      <c r="H318" s="78">
        <f>ROUND(F318*G318,2)</f>
        <v>0.4</v>
      </c>
    </row>
    <row r="319" spans="3:9" x14ac:dyDescent="0.3">
      <c r="C319" s="1009" t="str">
        <f>C284</f>
        <v xml:space="preserve">Сестра медична </v>
      </c>
      <c r="D319" s="1010"/>
      <c r="E319" s="1010"/>
      <c r="F319" s="1010"/>
      <c r="G319" s="1010"/>
      <c r="H319" s="1011"/>
    </row>
    <row r="320" spans="3:9" x14ac:dyDescent="0.3">
      <c r="C320" s="134" t="s">
        <v>951</v>
      </c>
      <c r="D320" s="221">
        <f>D315</f>
        <v>12188.608008565312</v>
      </c>
      <c r="E320" s="73">
        <f>I284</f>
        <v>1932.7</v>
      </c>
      <c r="F320" s="73">
        <f>ROUND((D320/E320)/60,2)</f>
        <v>0.11</v>
      </c>
      <c r="G320" s="73">
        <f>E288</f>
        <v>20</v>
      </c>
      <c r="H320" s="78">
        <f>ROUND(F320*G320,2)</f>
        <v>2.2000000000000002</v>
      </c>
    </row>
    <row r="321" spans="1:14" x14ac:dyDescent="0.3">
      <c r="C321" s="134" t="s">
        <v>952</v>
      </c>
      <c r="D321" s="221">
        <f>D316</f>
        <v>53.149721627408987</v>
      </c>
      <c r="E321" s="73">
        <f>I284</f>
        <v>1932.7</v>
      </c>
      <c r="F321" s="73">
        <f>ROUND((D321/E321)/60,2)</f>
        <v>0</v>
      </c>
      <c r="G321" s="73">
        <f>E288</f>
        <v>20</v>
      </c>
      <c r="H321" s="78">
        <f>ROUND(F321*G321,2)</f>
        <v>0</v>
      </c>
    </row>
    <row r="322" spans="1:14" x14ac:dyDescent="0.3">
      <c r="C322" s="134" t="s">
        <v>953</v>
      </c>
      <c r="D322" s="221">
        <f>D317</f>
        <v>374.98368308351178</v>
      </c>
      <c r="E322" s="73">
        <f>I284</f>
        <v>1932.7</v>
      </c>
      <c r="F322" s="73">
        <f>ROUND((D322/E322)/60,2)</f>
        <v>0</v>
      </c>
      <c r="G322" s="73">
        <f>E288</f>
        <v>20</v>
      </c>
      <c r="H322" s="78">
        <f>ROUND(F322*G322,2)</f>
        <v>0</v>
      </c>
    </row>
    <row r="323" spans="1:14" x14ac:dyDescent="0.3">
      <c r="C323" s="134" t="s">
        <v>1109</v>
      </c>
      <c r="D323" s="221">
        <f>D318</f>
        <v>1686.0389293361886</v>
      </c>
      <c r="E323" s="73">
        <f>I284</f>
        <v>1932.7</v>
      </c>
      <c r="F323" s="73">
        <f>ROUND((D323/E323)/60,2)</f>
        <v>0.01</v>
      </c>
      <c r="G323" s="73">
        <f>E288</f>
        <v>20</v>
      </c>
      <c r="H323" s="78">
        <f>ROUND(F323*G323,2)</f>
        <v>0.2</v>
      </c>
    </row>
    <row r="324" spans="1:14" x14ac:dyDescent="0.3">
      <c r="C324" s="1012" t="s">
        <v>957</v>
      </c>
      <c r="D324" s="1013"/>
      <c r="E324" s="1013"/>
      <c r="F324" s="1013"/>
      <c r="G324" s="1014"/>
      <c r="H324" s="299">
        <f>SUM(H315:H323)</f>
        <v>5.2</v>
      </c>
    </row>
    <row r="325" spans="1:14" ht="13.5" customHeight="1" x14ac:dyDescent="0.3"/>
    <row r="327" spans="1:14" x14ac:dyDescent="0.3">
      <c r="C327" s="1015" t="s">
        <v>959</v>
      </c>
      <c r="D327" s="1015"/>
      <c r="E327" s="1015"/>
      <c r="F327" s="1015"/>
      <c r="G327" s="1015"/>
      <c r="H327" s="334">
        <f>F280+F292+F306+F311</f>
        <v>85.070000000000007</v>
      </c>
    </row>
    <row r="328" spans="1:14" x14ac:dyDescent="0.3">
      <c r="C328" s="323"/>
      <c r="D328" s="33"/>
      <c r="E328" s="33"/>
      <c r="F328" s="33"/>
      <c r="G328" s="33"/>
      <c r="H328" s="335"/>
    </row>
    <row r="329" spans="1:14" x14ac:dyDescent="0.3">
      <c r="C329" s="1015" t="s">
        <v>960</v>
      </c>
      <c r="D329" s="1015"/>
      <c r="E329" s="1015"/>
      <c r="F329" s="1015"/>
      <c r="G329" s="1015"/>
      <c r="H329" s="334">
        <f>ROUND(H327,0)</f>
        <v>85</v>
      </c>
    </row>
    <row r="331" spans="1:14" s="54" customFormat="1" ht="19.8" x14ac:dyDescent="0.4">
      <c r="A331" s="53"/>
      <c r="B331" s="1016" t="s">
        <v>958</v>
      </c>
      <c r="C331" s="1016"/>
      <c r="D331" s="1016"/>
      <c r="E331" s="1016"/>
      <c r="F331" s="1016"/>
      <c r="G331" s="1016"/>
      <c r="H331" s="1016"/>
      <c r="I331" s="1016"/>
      <c r="J331" s="1016"/>
      <c r="K331" s="70"/>
      <c r="L331" s="348"/>
      <c r="M331" s="348"/>
      <c r="N331" s="99"/>
    </row>
    <row r="332" spans="1:14" s="54" customFormat="1" ht="19.8" x14ac:dyDescent="0.4">
      <c r="A332" s="53"/>
      <c r="B332" s="53"/>
      <c r="C332" s="56"/>
      <c r="D332" s="225"/>
      <c r="E332" s="225"/>
      <c r="F332" s="225"/>
      <c r="G332" s="225"/>
      <c r="H332" s="225"/>
      <c r="I332" s="225"/>
      <c r="J332" s="225"/>
      <c r="K332" s="70"/>
      <c r="L332" s="348"/>
      <c r="M332" s="348"/>
      <c r="N332" s="99"/>
    </row>
    <row r="333" spans="1:14" s="54" customFormat="1" ht="33" customHeight="1" x14ac:dyDescent="0.4">
      <c r="A333" s="53"/>
      <c r="B333" s="50" t="s">
        <v>554</v>
      </c>
      <c r="C333" s="1032" t="s">
        <v>561</v>
      </c>
      <c r="D333" s="1032"/>
      <c r="E333" s="1032"/>
      <c r="F333" s="296">
        <f>H384</f>
        <v>85</v>
      </c>
      <c r="G333" s="296" t="s">
        <v>971</v>
      </c>
      <c r="H333" s="225"/>
      <c r="I333" s="225"/>
      <c r="J333" s="225"/>
      <c r="K333" s="70"/>
      <c r="L333" s="348"/>
      <c r="M333" s="348"/>
      <c r="N333" s="99"/>
    </row>
    <row r="335" spans="1:14" x14ac:dyDescent="0.3">
      <c r="C335" s="1018" t="s">
        <v>932</v>
      </c>
      <c r="D335" s="1018"/>
      <c r="E335" s="297"/>
      <c r="F335" s="298">
        <f>F342+F345+F343</f>
        <v>40.019999999999996</v>
      </c>
      <c r="G335" s="227" t="s">
        <v>971</v>
      </c>
    </row>
    <row r="337" spans="3:10" x14ac:dyDescent="0.3">
      <c r="C337" s="318" t="s">
        <v>929</v>
      </c>
      <c r="D337" s="14" t="s">
        <v>928</v>
      </c>
      <c r="E337" s="14" t="s">
        <v>514</v>
      </c>
      <c r="F337" s="14" t="s">
        <v>515</v>
      </c>
      <c r="G337" s="14" t="s">
        <v>962</v>
      </c>
      <c r="H337" s="14" t="s">
        <v>926</v>
      </c>
      <c r="I337" s="14" t="s">
        <v>516</v>
      </c>
      <c r="J337" s="14" t="s">
        <v>961</v>
      </c>
    </row>
    <row r="338" spans="3:10" x14ac:dyDescent="0.3">
      <c r="C338" s="134" t="str">
        <f>C283</f>
        <v>Лікар з ультразвукової діагностики</v>
      </c>
      <c r="D338" s="73">
        <f>D283</f>
        <v>6660.23</v>
      </c>
      <c r="E338" s="78">
        <f>D338*12</f>
        <v>79922.759999999995</v>
      </c>
      <c r="F338" s="73">
        <f t="shared" ref="F338:H339" si="11">F283</f>
        <v>6054.75</v>
      </c>
      <c r="G338" s="78">
        <f t="shared" si="11"/>
        <v>3027.375</v>
      </c>
      <c r="H338" s="78">
        <f t="shared" si="11"/>
        <v>89004.884999999995</v>
      </c>
      <c r="I338" s="73">
        <v>1656.6</v>
      </c>
      <c r="J338" s="78">
        <f>ROUND((H338/I338)/60,2)</f>
        <v>0.9</v>
      </c>
    </row>
    <row r="339" spans="3:10" x14ac:dyDescent="0.3">
      <c r="C339" s="134" t="str">
        <f>C284</f>
        <v xml:space="preserve">Сестра медична </v>
      </c>
      <c r="D339" s="73">
        <f>D284</f>
        <v>6506.5</v>
      </c>
      <c r="E339" s="78">
        <f>D339*12</f>
        <v>78078</v>
      </c>
      <c r="F339" s="73">
        <f t="shared" si="11"/>
        <v>5005</v>
      </c>
      <c r="G339" s="73">
        <f t="shared" si="11"/>
        <v>2502.5</v>
      </c>
      <c r="H339" s="73">
        <f t="shared" si="11"/>
        <v>85585.5</v>
      </c>
      <c r="I339" s="73">
        <v>1932.7</v>
      </c>
      <c r="J339" s="78">
        <f>ROUND((H339/I339)/60,2)</f>
        <v>0.74</v>
      </c>
    </row>
    <row r="341" spans="3:10" ht="27.6" x14ac:dyDescent="0.3">
      <c r="C341" s="318" t="s">
        <v>929</v>
      </c>
      <c r="D341" s="14" t="s">
        <v>961</v>
      </c>
      <c r="E341" s="14" t="s">
        <v>930</v>
      </c>
      <c r="F341" s="14" t="s">
        <v>931</v>
      </c>
    </row>
    <row r="342" spans="3:10" x14ac:dyDescent="0.3">
      <c r="C342" s="320" t="str">
        <f>C338</f>
        <v>Лікар з ультразвукової діагностики</v>
      </c>
      <c r="D342" s="78">
        <f>J338</f>
        <v>0.9</v>
      </c>
      <c r="E342" s="73">
        <v>20</v>
      </c>
      <c r="F342" s="299">
        <f>ROUND(D342*E342,2)</f>
        <v>18</v>
      </c>
    </row>
    <row r="343" spans="3:10" x14ac:dyDescent="0.3">
      <c r="C343" s="320" t="str">
        <f>C339</f>
        <v xml:space="preserve">Сестра медична </v>
      </c>
      <c r="D343" s="78">
        <f>J339</f>
        <v>0.74</v>
      </c>
      <c r="E343" s="73">
        <v>20</v>
      </c>
      <c r="F343" s="299">
        <f>ROUND(D343*E343,2)</f>
        <v>14.8</v>
      </c>
    </row>
    <row r="344" spans="3:10" x14ac:dyDescent="0.3">
      <c r="D344" s="19"/>
    </row>
    <row r="345" spans="3:10" x14ac:dyDescent="0.3">
      <c r="C345" s="134" t="s">
        <v>933</v>
      </c>
      <c r="D345" s="78">
        <f>F342+F343</f>
        <v>32.799999999999997</v>
      </c>
      <c r="E345" s="300">
        <v>0.22</v>
      </c>
      <c r="F345" s="301">
        <f>ROUND(D345*E345,2)</f>
        <v>7.22</v>
      </c>
    </row>
    <row r="346" spans="3:10" ht="12" customHeight="1" x14ac:dyDescent="0.3"/>
    <row r="347" spans="3:10" x14ac:dyDescent="0.3">
      <c r="C347" s="321" t="s">
        <v>946</v>
      </c>
      <c r="D347" s="227"/>
      <c r="E347" s="227"/>
      <c r="F347" s="227">
        <f>G359</f>
        <v>12.45</v>
      </c>
      <c r="G347" s="227" t="s">
        <v>971</v>
      </c>
    </row>
    <row r="348" spans="3:10" ht="9" customHeight="1" x14ac:dyDescent="0.3"/>
    <row r="349" spans="3:10" x14ac:dyDescent="0.3">
      <c r="C349" s="27" t="str">
        <f t="shared" ref="C349:F358" si="12">C294</f>
        <v>Рукавиці не стерильні</v>
      </c>
      <c r="D349" s="303" t="str">
        <f t="shared" si="12"/>
        <v>шт</v>
      </c>
      <c r="E349" s="303">
        <f t="shared" si="12"/>
        <v>0.1</v>
      </c>
      <c r="F349" s="303">
        <f t="shared" si="12"/>
        <v>2.8</v>
      </c>
      <c r="G349" s="228">
        <f>ROUND(F349*E349,2)</f>
        <v>0.28000000000000003</v>
      </c>
    </row>
    <row r="350" spans="3:10" x14ac:dyDescent="0.3">
      <c r="C350" s="27" t="str">
        <f t="shared" si="12"/>
        <v xml:space="preserve">Септил 70% 100мл </v>
      </c>
      <c r="D350" s="303" t="str">
        <f t="shared" si="12"/>
        <v>шт</v>
      </c>
      <c r="E350" s="303">
        <f t="shared" si="12"/>
        <v>0.01</v>
      </c>
      <c r="F350" s="303">
        <f t="shared" si="12"/>
        <v>24.6</v>
      </c>
      <c r="G350" s="228">
        <f t="shared" ref="G350:G355" si="13">ROUND(F350*E350,2)</f>
        <v>0.25</v>
      </c>
    </row>
    <row r="351" spans="3:10" x14ac:dyDescent="0.3">
      <c r="C351" s="27" t="str">
        <f t="shared" si="12"/>
        <v>Маска на резинці, стерильна.</v>
      </c>
      <c r="D351" s="303" t="str">
        <f t="shared" si="12"/>
        <v>шт</v>
      </c>
      <c r="E351" s="303">
        <f t="shared" si="12"/>
        <v>0.1</v>
      </c>
      <c r="F351" s="303">
        <f t="shared" si="12"/>
        <v>2</v>
      </c>
      <c r="G351" s="228">
        <f t="shared" si="13"/>
        <v>0.2</v>
      </c>
    </row>
    <row r="352" spans="3:10" x14ac:dyDescent="0.3">
      <c r="C352" s="27" t="str">
        <f t="shared" si="12"/>
        <v>Мікрасепт</v>
      </c>
      <c r="D352" s="303" t="str">
        <f t="shared" si="12"/>
        <v>мл</v>
      </c>
      <c r="E352" s="303">
        <f t="shared" si="12"/>
        <v>1</v>
      </c>
      <c r="F352" s="303">
        <f t="shared" si="12"/>
        <v>0.3</v>
      </c>
      <c r="G352" s="28">
        <f>ROUND(E352*F352,2)</f>
        <v>0.3</v>
      </c>
    </row>
    <row r="353" spans="3:9" x14ac:dyDescent="0.3">
      <c r="C353" s="27" t="str">
        <f t="shared" si="12"/>
        <v>Папір офісний А4</v>
      </c>
      <c r="D353" s="303" t="str">
        <f t="shared" si="12"/>
        <v>шт</v>
      </c>
      <c r="E353" s="303">
        <f t="shared" si="12"/>
        <v>2</v>
      </c>
      <c r="F353" s="303">
        <f t="shared" si="12"/>
        <v>0.3</v>
      </c>
      <c r="G353" s="228">
        <f t="shared" si="13"/>
        <v>0.6</v>
      </c>
    </row>
    <row r="354" spans="3:9" x14ac:dyDescent="0.3">
      <c r="C354" s="27" t="str">
        <f t="shared" si="12"/>
        <v xml:space="preserve">Гель для УЗД , 1000 гр. </v>
      </c>
      <c r="D354" s="303" t="str">
        <f t="shared" si="12"/>
        <v>пляшка</v>
      </c>
      <c r="E354" s="303">
        <f t="shared" si="12"/>
        <v>0.1</v>
      </c>
      <c r="F354" s="303">
        <f t="shared" si="12"/>
        <v>48</v>
      </c>
      <c r="G354" s="228">
        <f t="shared" si="13"/>
        <v>4.8</v>
      </c>
    </row>
    <row r="355" spans="3:9" x14ac:dyDescent="0.3">
      <c r="C355" s="27" t="str">
        <f t="shared" si="12"/>
        <v>Паперові рушники "Fesko Professional"</v>
      </c>
      <c r="D355" s="303" t="str">
        <f t="shared" si="12"/>
        <v>рул</v>
      </c>
      <c r="E355" s="303">
        <f t="shared" si="12"/>
        <v>0.3</v>
      </c>
      <c r="F355" s="303">
        <f t="shared" si="12"/>
        <v>17</v>
      </c>
      <c r="G355" s="228">
        <f t="shared" si="13"/>
        <v>5.0999999999999996</v>
      </c>
    </row>
    <row r="356" spans="3:9" x14ac:dyDescent="0.3">
      <c r="C356" s="27" t="str">
        <f t="shared" si="12"/>
        <v>Марля медична</v>
      </c>
      <c r="D356" s="303" t="str">
        <f t="shared" si="12"/>
        <v>метр</v>
      </c>
      <c r="E356" s="303">
        <f t="shared" si="12"/>
        <v>0.1</v>
      </c>
      <c r="F356" s="303">
        <f t="shared" si="12"/>
        <v>6</v>
      </c>
      <c r="G356" s="28">
        <f>ROUND(E356*F356,2)</f>
        <v>0.6</v>
      </c>
    </row>
    <row r="357" spans="3:9" x14ac:dyDescent="0.3">
      <c r="C357" s="27" t="str">
        <f t="shared" si="12"/>
        <v>Вата</v>
      </c>
      <c r="D357" s="303" t="str">
        <f t="shared" si="12"/>
        <v>г</v>
      </c>
      <c r="E357" s="303">
        <f t="shared" si="12"/>
        <v>1</v>
      </c>
      <c r="F357" s="303">
        <f t="shared" si="12"/>
        <v>7.0000000000000007E-2</v>
      </c>
      <c r="G357" s="28">
        <f>ROUND(E357*F357,2)</f>
        <v>7.0000000000000007E-2</v>
      </c>
    </row>
    <row r="358" spans="3:9" x14ac:dyDescent="0.3">
      <c r="C358" s="27" t="str">
        <f t="shared" si="12"/>
        <v>Деззасоби</v>
      </c>
      <c r="D358" s="303" t="str">
        <f t="shared" si="12"/>
        <v>г</v>
      </c>
      <c r="E358" s="303">
        <f t="shared" si="12"/>
        <v>0.5</v>
      </c>
      <c r="F358" s="303">
        <f t="shared" si="12"/>
        <v>0.5</v>
      </c>
      <c r="G358" s="28">
        <f>ROUND(E358*F358,2)</f>
        <v>0.25</v>
      </c>
    </row>
    <row r="359" spans="3:9" x14ac:dyDescent="0.3">
      <c r="C359" s="1019" t="s">
        <v>945</v>
      </c>
      <c r="D359" s="1019"/>
      <c r="E359" s="1019"/>
      <c r="F359" s="1019"/>
      <c r="G359" s="332">
        <f>SUM(G349:G358)</f>
        <v>12.45</v>
      </c>
    </row>
    <row r="361" spans="3:9" x14ac:dyDescent="0.3">
      <c r="C361" s="321" t="s">
        <v>968</v>
      </c>
      <c r="D361" s="227"/>
      <c r="E361" s="227"/>
      <c r="F361" s="298">
        <f>H364</f>
        <v>27.4</v>
      </c>
      <c r="G361" s="227" t="s">
        <v>971</v>
      </c>
    </row>
    <row r="362" spans="3:9" ht="10.5" customHeight="1" x14ac:dyDescent="0.3">
      <c r="C362" s="322"/>
      <c r="D362" s="36"/>
      <c r="E362" s="36"/>
      <c r="F362" s="302"/>
      <c r="G362" s="36"/>
    </row>
    <row r="363" spans="3:9" ht="27.6" x14ac:dyDescent="0.3">
      <c r="C363" s="46" t="s">
        <v>513</v>
      </c>
      <c r="D363" s="14" t="s">
        <v>1108</v>
      </c>
      <c r="E363" s="14" t="s">
        <v>516</v>
      </c>
      <c r="F363" s="14" t="s">
        <v>970</v>
      </c>
      <c r="G363" s="14" t="s">
        <v>930</v>
      </c>
      <c r="H363" s="14" t="s">
        <v>961</v>
      </c>
    </row>
    <row r="364" spans="3:9" x14ac:dyDescent="0.3">
      <c r="C364" s="27" t="str">
        <f>C309</f>
        <v>Ультразвукова система AFFINITI 30</v>
      </c>
      <c r="D364" s="73">
        <f>D309</f>
        <v>136236.38</v>
      </c>
      <c r="E364" s="73">
        <f>I338</f>
        <v>1656.6</v>
      </c>
      <c r="F364" s="73">
        <f>ROUND((D364/E364)/60,2)</f>
        <v>1.37</v>
      </c>
      <c r="G364" s="73">
        <f>E342</f>
        <v>20</v>
      </c>
      <c r="H364" s="78">
        <f>ROUND(F364*G364,2)</f>
        <v>27.4</v>
      </c>
      <c r="I364" s="333"/>
    </row>
    <row r="366" spans="3:9" x14ac:dyDescent="0.3">
      <c r="C366" s="321" t="s">
        <v>948</v>
      </c>
      <c r="D366" s="227"/>
      <c r="E366" s="227"/>
      <c r="F366" s="298">
        <f>H379</f>
        <v>5.2</v>
      </c>
      <c r="G366" s="227" t="s">
        <v>971</v>
      </c>
    </row>
    <row r="367" spans="3:9" ht="6" customHeight="1" x14ac:dyDescent="0.3">
      <c r="C367" s="322"/>
      <c r="D367" s="36"/>
      <c r="E367" s="36"/>
      <c r="F367" s="302"/>
    </row>
    <row r="368" spans="3:9" ht="27.6" x14ac:dyDescent="0.3">
      <c r="C368" s="46" t="s">
        <v>948</v>
      </c>
      <c r="D368" s="14" t="s">
        <v>1110</v>
      </c>
      <c r="E368" s="14" t="s">
        <v>516</v>
      </c>
      <c r="F368" s="14" t="s">
        <v>954</v>
      </c>
      <c r="G368" s="14" t="s">
        <v>930</v>
      </c>
      <c r="H368" s="14" t="s">
        <v>1111</v>
      </c>
    </row>
    <row r="369" spans="3:8" x14ac:dyDescent="0.3">
      <c r="C369" s="1009" t="str">
        <f>C338</f>
        <v>Лікар з ультразвукової діагностики</v>
      </c>
      <c r="D369" s="1010"/>
      <c r="E369" s="1010"/>
      <c r="F369" s="1010"/>
      <c r="G369" s="1010"/>
      <c r="H369" s="1011"/>
    </row>
    <row r="370" spans="3:8" x14ac:dyDescent="0.3">
      <c r="C370" s="134" t="s">
        <v>951</v>
      </c>
      <c r="D370" s="221">
        <f>D315</f>
        <v>12188.608008565312</v>
      </c>
      <c r="E370" s="73">
        <f>I338</f>
        <v>1656.6</v>
      </c>
      <c r="F370" s="73">
        <f>ROUND((D370/E370)/60,2)</f>
        <v>0.12</v>
      </c>
      <c r="G370" s="73">
        <f>E342</f>
        <v>20</v>
      </c>
      <c r="H370" s="78">
        <f>ROUND(F370*G370,2)</f>
        <v>2.4</v>
      </c>
    </row>
    <row r="371" spans="3:8" x14ac:dyDescent="0.3">
      <c r="C371" s="134" t="s">
        <v>952</v>
      </c>
      <c r="D371" s="221">
        <f>D316</f>
        <v>53.149721627408987</v>
      </c>
      <c r="E371" s="73">
        <f>I338</f>
        <v>1656.6</v>
      </c>
      <c r="F371" s="73">
        <f>ROUND((D371/E371)/60,2)</f>
        <v>0</v>
      </c>
      <c r="G371" s="73">
        <f>E342</f>
        <v>20</v>
      </c>
      <c r="H371" s="78">
        <f>ROUND(F371*G371,2)</f>
        <v>0</v>
      </c>
    </row>
    <row r="372" spans="3:8" x14ac:dyDescent="0.3">
      <c r="C372" s="134" t="s">
        <v>953</v>
      </c>
      <c r="D372" s="221">
        <f>D317</f>
        <v>374.98368308351178</v>
      </c>
      <c r="E372" s="73">
        <f>I338</f>
        <v>1656.6</v>
      </c>
      <c r="F372" s="73">
        <f>ROUND((D372/E372)/60,2)</f>
        <v>0</v>
      </c>
      <c r="G372" s="73">
        <f>E342</f>
        <v>20</v>
      </c>
      <c r="H372" s="78">
        <f>ROUND(F372*G372,2)</f>
        <v>0</v>
      </c>
    </row>
    <row r="373" spans="3:8" x14ac:dyDescent="0.3">
      <c r="C373" s="134" t="s">
        <v>1109</v>
      </c>
      <c r="D373" s="221">
        <f>D318</f>
        <v>1686.0389293361886</v>
      </c>
      <c r="E373" s="73">
        <f>I338</f>
        <v>1656.6</v>
      </c>
      <c r="F373" s="73">
        <f>ROUND((D373/E373)/60,2)</f>
        <v>0.02</v>
      </c>
      <c r="G373" s="73">
        <f>E342</f>
        <v>20</v>
      </c>
      <c r="H373" s="78">
        <f>ROUND(F373*G373,2)</f>
        <v>0.4</v>
      </c>
    </row>
    <row r="374" spans="3:8" x14ac:dyDescent="0.3">
      <c r="C374" s="1009" t="str">
        <f>C339</f>
        <v xml:space="preserve">Сестра медична </v>
      </c>
      <c r="D374" s="1010"/>
      <c r="E374" s="1010"/>
      <c r="F374" s="1010"/>
      <c r="G374" s="1010"/>
      <c r="H374" s="1011"/>
    </row>
    <row r="375" spans="3:8" x14ac:dyDescent="0.3">
      <c r="C375" s="134" t="s">
        <v>951</v>
      </c>
      <c r="D375" s="221">
        <f>D320</f>
        <v>12188.608008565312</v>
      </c>
      <c r="E375" s="73">
        <f>I339</f>
        <v>1932.7</v>
      </c>
      <c r="F375" s="73">
        <f>ROUND((D375/E375)/60,2)</f>
        <v>0.11</v>
      </c>
      <c r="G375" s="73">
        <f>E343</f>
        <v>20</v>
      </c>
      <c r="H375" s="78">
        <f>ROUND(F375*G375,2)</f>
        <v>2.2000000000000002</v>
      </c>
    </row>
    <row r="376" spans="3:8" x14ac:dyDescent="0.3">
      <c r="C376" s="134" t="s">
        <v>952</v>
      </c>
      <c r="D376" s="221">
        <f>D321</f>
        <v>53.149721627408987</v>
      </c>
      <c r="E376" s="73">
        <f>I339</f>
        <v>1932.7</v>
      </c>
      <c r="F376" s="73">
        <f>ROUND((D376/E376)/60,2)</f>
        <v>0</v>
      </c>
      <c r="G376" s="73">
        <f>E343</f>
        <v>20</v>
      </c>
      <c r="H376" s="78">
        <f>ROUND(F376*G376,2)</f>
        <v>0</v>
      </c>
    </row>
    <row r="377" spans="3:8" x14ac:dyDescent="0.3">
      <c r="C377" s="134" t="s">
        <v>953</v>
      </c>
      <c r="D377" s="221">
        <f>D322</f>
        <v>374.98368308351178</v>
      </c>
      <c r="E377" s="73">
        <f>I339</f>
        <v>1932.7</v>
      </c>
      <c r="F377" s="73">
        <f>ROUND((D377/E377)/60,2)</f>
        <v>0</v>
      </c>
      <c r="G377" s="73">
        <f>E343</f>
        <v>20</v>
      </c>
      <c r="H377" s="78">
        <f>ROUND(F377*G377,2)</f>
        <v>0</v>
      </c>
    </row>
    <row r="378" spans="3:8" x14ac:dyDescent="0.3">
      <c r="C378" s="134" t="s">
        <v>1109</v>
      </c>
      <c r="D378" s="221">
        <f>D323</f>
        <v>1686.0389293361886</v>
      </c>
      <c r="E378" s="73">
        <f>I339</f>
        <v>1932.7</v>
      </c>
      <c r="F378" s="73">
        <f>ROUND((D378/E378)/60,2)</f>
        <v>0.01</v>
      </c>
      <c r="G378" s="73">
        <f>E343</f>
        <v>20</v>
      </c>
      <c r="H378" s="78">
        <f>ROUND(F378*G378,2)</f>
        <v>0.2</v>
      </c>
    </row>
    <row r="379" spans="3:8" x14ac:dyDescent="0.3">
      <c r="C379" s="1012" t="s">
        <v>957</v>
      </c>
      <c r="D379" s="1013"/>
      <c r="E379" s="1013"/>
      <c r="F379" s="1013"/>
      <c r="G379" s="1014"/>
      <c r="H379" s="299">
        <f>SUM(H370:H378)</f>
        <v>5.2</v>
      </c>
    </row>
    <row r="380" spans="3:8" ht="13.5" customHeight="1" x14ac:dyDescent="0.3"/>
    <row r="382" spans="3:8" x14ac:dyDescent="0.3">
      <c r="C382" s="1015" t="s">
        <v>959</v>
      </c>
      <c r="D382" s="1015"/>
      <c r="E382" s="1015"/>
      <c r="F382" s="1015"/>
      <c r="G382" s="1015"/>
      <c r="H382" s="334">
        <f>F335+F347+F361+F366</f>
        <v>85.070000000000007</v>
      </c>
    </row>
    <row r="383" spans="3:8" x14ac:dyDescent="0.3">
      <c r="C383" s="323"/>
      <c r="D383" s="33"/>
      <c r="E383" s="33"/>
      <c r="F383" s="33"/>
      <c r="G383" s="33"/>
      <c r="H383" s="335"/>
    </row>
    <row r="384" spans="3:8" x14ac:dyDescent="0.3">
      <c r="C384" s="1015" t="s">
        <v>960</v>
      </c>
      <c r="D384" s="1015"/>
      <c r="E384" s="1015"/>
      <c r="F384" s="1015"/>
      <c r="G384" s="1015"/>
      <c r="H384" s="334">
        <f>ROUND(H382,0)</f>
        <v>85</v>
      </c>
    </row>
    <row r="386" spans="1:14" s="54" customFormat="1" ht="19.8" x14ac:dyDescent="0.4">
      <c r="A386" s="53"/>
      <c r="B386" s="1016" t="s">
        <v>958</v>
      </c>
      <c r="C386" s="1016"/>
      <c r="D386" s="1016"/>
      <c r="E386" s="1016"/>
      <c r="F386" s="1016"/>
      <c r="G386" s="1016"/>
      <c r="H386" s="1016"/>
      <c r="I386" s="1016"/>
      <c r="J386" s="1016"/>
      <c r="K386" s="70"/>
      <c r="L386" s="348"/>
      <c r="M386" s="348"/>
      <c r="N386" s="99"/>
    </row>
    <row r="387" spans="1:14" s="54" customFormat="1" ht="19.8" x14ac:dyDescent="0.4">
      <c r="A387" s="53"/>
      <c r="B387" s="53"/>
      <c r="C387" s="56"/>
      <c r="D387" s="225"/>
      <c r="E387" s="225"/>
      <c r="F387" s="225"/>
      <c r="G387" s="225"/>
      <c r="H387" s="225"/>
      <c r="I387" s="225"/>
      <c r="J387" s="225"/>
      <c r="K387" s="70"/>
      <c r="L387" s="348"/>
      <c r="M387" s="348"/>
      <c r="N387" s="99"/>
    </row>
    <row r="388" spans="1:14" s="54" customFormat="1" ht="19.8" x14ac:dyDescent="0.4">
      <c r="A388" s="53"/>
      <c r="B388" s="50" t="s">
        <v>556</v>
      </c>
      <c r="C388" s="1017" t="s">
        <v>563</v>
      </c>
      <c r="D388" s="1017"/>
      <c r="E388" s="1017"/>
      <c r="F388" s="296">
        <f>H439</f>
        <v>67</v>
      </c>
      <c r="G388" s="296" t="s">
        <v>971</v>
      </c>
      <c r="H388" s="225"/>
      <c r="I388" s="225"/>
      <c r="J388" s="225"/>
      <c r="K388" s="70"/>
      <c r="L388" s="348"/>
      <c r="M388" s="348"/>
      <c r="N388" s="99"/>
    </row>
    <row r="390" spans="1:14" x14ac:dyDescent="0.3">
      <c r="C390" s="1018" t="s">
        <v>932</v>
      </c>
      <c r="D390" s="1018"/>
      <c r="E390" s="297"/>
      <c r="F390" s="298">
        <f>F397+F400+F398</f>
        <v>30.009999999999998</v>
      </c>
      <c r="G390" s="227" t="s">
        <v>971</v>
      </c>
    </row>
    <row r="392" spans="1:14" x14ac:dyDescent="0.3">
      <c r="C392" s="318" t="s">
        <v>929</v>
      </c>
      <c r="D392" s="14" t="s">
        <v>928</v>
      </c>
      <c r="E392" s="14" t="s">
        <v>514</v>
      </c>
      <c r="F392" s="14" t="s">
        <v>515</v>
      </c>
      <c r="G392" s="14" t="s">
        <v>962</v>
      </c>
      <c r="H392" s="14" t="s">
        <v>926</v>
      </c>
      <c r="I392" s="14" t="s">
        <v>516</v>
      </c>
      <c r="J392" s="14" t="s">
        <v>961</v>
      </c>
    </row>
    <row r="393" spans="1:14" x14ac:dyDescent="0.3">
      <c r="C393" s="134" t="str">
        <f>C338</f>
        <v>Лікар з ультразвукової діагностики</v>
      </c>
      <c r="D393" s="73">
        <f>D338</f>
        <v>6660.23</v>
      </c>
      <c r="E393" s="78">
        <f>D393*12</f>
        <v>79922.759999999995</v>
      </c>
      <c r="F393" s="73">
        <f>F338</f>
        <v>6054.75</v>
      </c>
      <c r="G393" s="78">
        <f>G338</f>
        <v>3027.375</v>
      </c>
      <c r="H393" s="78">
        <f>E393+F393+G393</f>
        <v>89004.884999999995</v>
      </c>
      <c r="I393" s="73">
        <v>1656.6</v>
      </c>
      <c r="J393" s="78">
        <f>ROUND((H393/I393)/60,2)</f>
        <v>0.9</v>
      </c>
    </row>
    <row r="394" spans="1:14" x14ac:dyDescent="0.3">
      <c r="C394" s="134" t="str">
        <f>C339</f>
        <v xml:space="preserve">Сестра медична </v>
      </c>
      <c r="D394" s="73">
        <f>D339</f>
        <v>6506.5</v>
      </c>
      <c r="E394" s="78">
        <f>D394*12</f>
        <v>78078</v>
      </c>
      <c r="F394" s="73">
        <f>F339</f>
        <v>5005</v>
      </c>
      <c r="G394" s="73">
        <f>G339</f>
        <v>2502.5</v>
      </c>
      <c r="H394" s="78">
        <f>E394+F394+G394</f>
        <v>85585.5</v>
      </c>
      <c r="I394" s="73">
        <v>1932.7</v>
      </c>
      <c r="J394" s="78">
        <f>ROUND((H394/I394)/60,2)</f>
        <v>0.74</v>
      </c>
    </row>
    <row r="396" spans="1:14" ht="27.6" x14ac:dyDescent="0.3">
      <c r="C396" s="318" t="s">
        <v>929</v>
      </c>
      <c r="D396" s="14" t="s">
        <v>961</v>
      </c>
      <c r="E396" s="14" t="s">
        <v>930</v>
      </c>
      <c r="F396" s="14" t="s">
        <v>931</v>
      </c>
    </row>
    <row r="397" spans="1:14" x14ac:dyDescent="0.3">
      <c r="C397" s="320" t="str">
        <f>C393</f>
        <v>Лікар з ультразвукової діагностики</v>
      </c>
      <c r="D397" s="78">
        <f>J393</f>
        <v>0.9</v>
      </c>
      <c r="E397" s="73">
        <v>15</v>
      </c>
      <c r="F397" s="299">
        <f>ROUND(D397*E397,2)</f>
        <v>13.5</v>
      </c>
    </row>
    <row r="398" spans="1:14" x14ac:dyDescent="0.3">
      <c r="C398" s="320" t="str">
        <f>C394</f>
        <v xml:space="preserve">Сестра медична </v>
      </c>
      <c r="D398" s="78">
        <f>J394</f>
        <v>0.74</v>
      </c>
      <c r="E398" s="73">
        <v>15</v>
      </c>
      <c r="F398" s="299">
        <f>ROUND(D398*E398,2)</f>
        <v>11.1</v>
      </c>
    </row>
    <row r="399" spans="1:14" x14ac:dyDescent="0.3">
      <c r="D399" s="19"/>
    </row>
    <row r="400" spans="1:14" x14ac:dyDescent="0.3">
      <c r="C400" s="134" t="s">
        <v>933</v>
      </c>
      <c r="D400" s="78">
        <f>F397+F398</f>
        <v>24.6</v>
      </c>
      <c r="E400" s="300">
        <v>0.22</v>
      </c>
      <c r="F400" s="301">
        <f>ROUND(D400*E400,2)</f>
        <v>5.41</v>
      </c>
    </row>
    <row r="402" spans="3:7" x14ac:dyDescent="0.3">
      <c r="C402" s="321" t="s">
        <v>946</v>
      </c>
      <c r="D402" s="227"/>
      <c r="E402" s="227"/>
      <c r="F402" s="227">
        <f>G414</f>
        <v>12.45</v>
      </c>
      <c r="G402" s="227" t="s">
        <v>971</v>
      </c>
    </row>
    <row r="404" spans="3:7" x14ac:dyDescent="0.3">
      <c r="C404" s="27" t="str">
        <f t="shared" ref="C404:F413" si="14">C349</f>
        <v>Рукавиці не стерильні</v>
      </c>
      <c r="D404" s="303" t="str">
        <f t="shared" si="14"/>
        <v>шт</v>
      </c>
      <c r="E404" s="303">
        <f t="shared" si="14"/>
        <v>0.1</v>
      </c>
      <c r="F404" s="303">
        <f t="shared" si="14"/>
        <v>2.8</v>
      </c>
      <c r="G404" s="228">
        <f>ROUND(F404*E404,2)</f>
        <v>0.28000000000000003</v>
      </c>
    </row>
    <row r="405" spans="3:7" x14ac:dyDescent="0.3">
      <c r="C405" s="27" t="str">
        <f t="shared" si="14"/>
        <v xml:space="preserve">Септил 70% 100мл </v>
      </c>
      <c r="D405" s="303" t="str">
        <f t="shared" si="14"/>
        <v>шт</v>
      </c>
      <c r="E405" s="303">
        <f t="shared" si="14"/>
        <v>0.01</v>
      </c>
      <c r="F405" s="303">
        <f t="shared" si="14"/>
        <v>24.6</v>
      </c>
      <c r="G405" s="228">
        <f t="shared" ref="G405:G410" si="15">ROUND(F405*E405,2)</f>
        <v>0.25</v>
      </c>
    </row>
    <row r="406" spans="3:7" x14ac:dyDescent="0.3">
      <c r="C406" s="27" t="str">
        <f t="shared" si="14"/>
        <v>Маска на резинці, стерильна.</v>
      </c>
      <c r="D406" s="303" t="str">
        <f t="shared" si="14"/>
        <v>шт</v>
      </c>
      <c r="E406" s="303">
        <f t="shared" si="14"/>
        <v>0.1</v>
      </c>
      <c r="F406" s="303">
        <f t="shared" si="14"/>
        <v>2</v>
      </c>
      <c r="G406" s="228">
        <f t="shared" si="15"/>
        <v>0.2</v>
      </c>
    </row>
    <row r="407" spans="3:7" x14ac:dyDescent="0.3">
      <c r="C407" s="27" t="str">
        <f t="shared" si="14"/>
        <v>Мікрасепт</v>
      </c>
      <c r="D407" s="303" t="str">
        <f t="shared" si="14"/>
        <v>мл</v>
      </c>
      <c r="E407" s="303">
        <f t="shared" si="14"/>
        <v>1</v>
      </c>
      <c r="F407" s="303">
        <f t="shared" si="14"/>
        <v>0.3</v>
      </c>
      <c r="G407" s="28">
        <f>ROUND(E407*F407,2)</f>
        <v>0.3</v>
      </c>
    </row>
    <row r="408" spans="3:7" x14ac:dyDescent="0.3">
      <c r="C408" s="27" t="str">
        <f t="shared" si="14"/>
        <v>Папір офісний А4</v>
      </c>
      <c r="D408" s="303" t="str">
        <f t="shared" si="14"/>
        <v>шт</v>
      </c>
      <c r="E408" s="303">
        <f t="shared" si="14"/>
        <v>2</v>
      </c>
      <c r="F408" s="303">
        <f t="shared" si="14"/>
        <v>0.3</v>
      </c>
      <c r="G408" s="228">
        <f t="shared" si="15"/>
        <v>0.6</v>
      </c>
    </row>
    <row r="409" spans="3:7" x14ac:dyDescent="0.3">
      <c r="C409" s="27" t="str">
        <f t="shared" si="14"/>
        <v xml:space="preserve">Гель для УЗД , 1000 гр. </v>
      </c>
      <c r="D409" s="303" t="str">
        <f t="shared" si="14"/>
        <v>пляшка</v>
      </c>
      <c r="E409" s="303">
        <f t="shared" si="14"/>
        <v>0.1</v>
      </c>
      <c r="F409" s="303">
        <f t="shared" si="14"/>
        <v>48</v>
      </c>
      <c r="G409" s="228">
        <f t="shared" si="15"/>
        <v>4.8</v>
      </c>
    </row>
    <row r="410" spans="3:7" x14ac:dyDescent="0.3">
      <c r="C410" s="27" t="str">
        <f t="shared" si="14"/>
        <v>Паперові рушники "Fesko Professional"</v>
      </c>
      <c r="D410" s="303" t="str">
        <f t="shared" si="14"/>
        <v>рул</v>
      </c>
      <c r="E410" s="303">
        <f t="shared" si="14"/>
        <v>0.3</v>
      </c>
      <c r="F410" s="303">
        <f t="shared" si="14"/>
        <v>17</v>
      </c>
      <c r="G410" s="228">
        <f t="shared" si="15"/>
        <v>5.0999999999999996</v>
      </c>
    </row>
    <row r="411" spans="3:7" x14ac:dyDescent="0.3">
      <c r="C411" s="27" t="str">
        <f t="shared" si="14"/>
        <v>Марля медична</v>
      </c>
      <c r="D411" s="303" t="str">
        <f t="shared" si="14"/>
        <v>метр</v>
      </c>
      <c r="E411" s="303">
        <f t="shared" si="14"/>
        <v>0.1</v>
      </c>
      <c r="F411" s="303">
        <f t="shared" si="14"/>
        <v>6</v>
      </c>
      <c r="G411" s="28">
        <f>ROUND(E411*F411,2)</f>
        <v>0.6</v>
      </c>
    </row>
    <row r="412" spans="3:7" x14ac:dyDescent="0.3">
      <c r="C412" s="27" t="str">
        <f t="shared" si="14"/>
        <v>Вата</v>
      </c>
      <c r="D412" s="303" t="str">
        <f t="shared" si="14"/>
        <v>г</v>
      </c>
      <c r="E412" s="303">
        <f t="shared" si="14"/>
        <v>1</v>
      </c>
      <c r="F412" s="303">
        <f t="shared" si="14"/>
        <v>7.0000000000000007E-2</v>
      </c>
      <c r="G412" s="28">
        <f>ROUND(E412*F412,2)</f>
        <v>7.0000000000000007E-2</v>
      </c>
    </row>
    <row r="413" spans="3:7" x14ac:dyDescent="0.3">
      <c r="C413" s="27" t="str">
        <f t="shared" si="14"/>
        <v>Деззасоби</v>
      </c>
      <c r="D413" s="303" t="str">
        <f t="shared" si="14"/>
        <v>г</v>
      </c>
      <c r="E413" s="303">
        <f t="shared" si="14"/>
        <v>0.5</v>
      </c>
      <c r="F413" s="303">
        <f t="shared" si="14"/>
        <v>0.5</v>
      </c>
      <c r="G413" s="28">
        <f>ROUND(E413*F413,2)</f>
        <v>0.25</v>
      </c>
    </row>
    <row r="414" spans="3:7" x14ac:dyDescent="0.3">
      <c r="C414" s="1019" t="s">
        <v>945</v>
      </c>
      <c r="D414" s="1019"/>
      <c r="E414" s="1019"/>
      <c r="F414" s="1019"/>
      <c r="G414" s="332">
        <f>SUM(G404:G413)</f>
        <v>12.45</v>
      </c>
    </row>
    <row r="416" spans="3:7" x14ac:dyDescent="0.3">
      <c r="C416" s="321" t="s">
        <v>968</v>
      </c>
      <c r="D416" s="227"/>
      <c r="E416" s="227"/>
      <c r="F416" s="298">
        <f>H419</f>
        <v>20.55</v>
      </c>
      <c r="G416" s="227" t="s">
        <v>971</v>
      </c>
    </row>
    <row r="417" spans="3:9" ht="7.5" customHeight="1" x14ac:dyDescent="0.3">
      <c r="C417" s="322"/>
      <c r="D417" s="36"/>
      <c r="E417" s="36"/>
      <c r="F417" s="302"/>
      <c r="G417" s="36"/>
    </row>
    <row r="418" spans="3:9" ht="27.6" x14ac:dyDescent="0.3">
      <c r="C418" s="46" t="s">
        <v>513</v>
      </c>
      <c r="D418" s="14" t="s">
        <v>1108</v>
      </c>
      <c r="E418" s="14" t="s">
        <v>516</v>
      </c>
      <c r="F418" s="14" t="s">
        <v>970</v>
      </c>
      <c r="G418" s="14" t="s">
        <v>930</v>
      </c>
      <c r="H418" s="14" t="s">
        <v>961</v>
      </c>
    </row>
    <row r="419" spans="3:9" x14ac:dyDescent="0.3">
      <c r="C419" s="27" t="str">
        <f>C364</f>
        <v>Ультразвукова система AFFINITI 30</v>
      </c>
      <c r="D419" s="73">
        <f>D364</f>
        <v>136236.38</v>
      </c>
      <c r="E419" s="73">
        <f>I393</f>
        <v>1656.6</v>
      </c>
      <c r="F419" s="73">
        <f>ROUND((D419/E419)/60,2)</f>
        <v>1.37</v>
      </c>
      <c r="G419" s="73">
        <f>E397</f>
        <v>15</v>
      </c>
      <c r="H419" s="78">
        <f>ROUND(F419*G419,2)</f>
        <v>20.55</v>
      </c>
      <c r="I419" s="333"/>
    </row>
    <row r="421" spans="3:9" x14ac:dyDescent="0.3">
      <c r="C421" s="321" t="s">
        <v>948</v>
      </c>
      <c r="D421" s="227"/>
      <c r="E421" s="227"/>
      <c r="F421" s="298">
        <f>H434</f>
        <v>3.9</v>
      </c>
      <c r="G421" s="227" t="s">
        <v>971</v>
      </c>
    </row>
    <row r="422" spans="3:9" ht="5.25" customHeight="1" x14ac:dyDescent="0.3">
      <c r="C422" s="322"/>
      <c r="D422" s="36"/>
      <c r="E422" s="36"/>
      <c r="F422" s="302"/>
    </row>
    <row r="423" spans="3:9" ht="27.6" x14ac:dyDescent="0.3">
      <c r="C423" s="46" t="s">
        <v>948</v>
      </c>
      <c r="D423" s="14" t="s">
        <v>1110</v>
      </c>
      <c r="E423" s="14" t="s">
        <v>516</v>
      </c>
      <c r="F423" s="14" t="s">
        <v>954</v>
      </c>
      <c r="G423" s="14" t="s">
        <v>930</v>
      </c>
      <c r="H423" s="14" t="s">
        <v>1111</v>
      </c>
    </row>
    <row r="424" spans="3:9" x14ac:dyDescent="0.3">
      <c r="C424" s="1009" t="str">
        <f>C393</f>
        <v>Лікар з ультразвукової діагностики</v>
      </c>
      <c r="D424" s="1010"/>
      <c r="E424" s="1010"/>
      <c r="F424" s="1010"/>
      <c r="G424" s="1010"/>
      <c r="H424" s="1011"/>
    </row>
    <row r="425" spans="3:9" x14ac:dyDescent="0.3">
      <c r="C425" s="134" t="s">
        <v>951</v>
      </c>
      <c r="D425" s="221">
        <f>D370</f>
        <v>12188.608008565312</v>
      </c>
      <c r="E425" s="73">
        <f>I393</f>
        <v>1656.6</v>
      </c>
      <c r="F425" s="73">
        <f>ROUND((D425/E425)/60,2)</f>
        <v>0.12</v>
      </c>
      <c r="G425" s="73">
        <f>E397</f>
        <v>15</v>
      </c>
      <c r="H425" s="78">
        <f>ROUND(F425*G425,2)</f>
        <v>1.8</v>
      </c>
    </row>
    <row r="426" spans="3:9" x14ac:dyDescent="0.3">
      <c r="C426" s="134" t="s">
        <v>952</v>
      </c>
      <c r="D426" s="221">
        <f>D371</f>
        <v>53.149721627408987</v>
      </c>
      <c r="E426" s="73">
        <f>I393</f>
        <v>1656.6</v>
      </c>
      <c r="F426" s="73">
        <f>ROUND((D426/E426)/60,2)</f>
        <v>0</v>
      </c>
      <c r="G426" s="73">
        <f>E397</f>
        <v>15</v>
      </c>
      <c r="H426" s="78">
        <f>ROUND(F426*G426,2)</f>
        <v>0</v>
      </c>
    </row>
    <row r="427" spans="3:9" x14ac:dyDescent="0.3">
      <c r="C427" s="134" t="s">
        <v>953</v>
      </c>
      <c r="D427" s="221">
        <f>D372</f>
        <v>374.98368308351178</v>
      </c>
      <c r="E427" s="73">
        <f>I393</f>
        <v>1656.6</v>
      </c>
      <c r="F427" s="73">
        <f>ROUND((D427/E427)/60,2)</f>
        <v>0</v>
      </c>
      <c r="G427" s="73">
        <f>E397</f>
        <v>15</v>
      </c>
      <c r="H427" s="78">
        <f>ROUND(F427*G427,2)</f>
        <v>0</v>
      </c>
    </row>
    <row r="428" spans="3:9" x14ac:dyDescent="0.3">
      <c r="C428" s="134" t="s">
        <v>1109</v>
      </c>
      <c r="D428" s="221">
        <f>D373</f>
        <v>1686.0389293361886</v>
      </c>
      <c r="E428" s="73">
        <f>I393</f>
        <v>1656.6</v>
      </c>
      <c r="F428" s="73">
        <f>ROUND((D428/E428)/60,2)</f>
        <v>0.02</v>
      </c>
      <c r="G428" s="73">
        <f>E397</f>
        <v>15</v>
      </c>
      <c r="H428" s="78">
        <f>ROUND(F428*G428,2)</f>
        <v>0.3</v>
      </c>
    </row>
    <row r="429" spans="3:9" x14ac:dyDescent="0.3">
      <c r="C429" s="1009" t="str">
        <f>C394</f>
        <v xml:space="preserve">Сестра медична </v>
      </c>
      <c r="D429" s="1010"/>
      <c r="E429" s="1010"/>
      <c r="F429" s="1010"/>
      <c r="G429" s="1010"/>
      <c r="H429" s="1011"/>
    </row>
    <row r="430" spans="3:9" x14ac:dyDescent="0.3">
      <c r="C430" s="134" t="s">
        <v>951</v>
      </c>
      <c r="D430" s="221">
        <f>D375</f>
        <v>12188.608008565312</v>
      </c>
      <c r="E430" s="73">
        <f>I394</f>
        <v>1932.7</v>
      </c>
      <c r="F430" s="73">
        <f>ROUND((D430/E430)/60,2)</f>
        <v>0.11</v>
      </c>
      <c r="G430" s="73">
        <f>E398</f>
        <v>15</v>
      </c>
      <c r="H430" s="78">
        <f>ROUND(F430*G430,2)</f>
        <v>1.65</v>
      </c>
    </row>
    <row r="431" spans="3:9" x14ac:dyDescent="0.3">
      <c r="C431" s="134" t="s">
        <v>952</v>
      </c>
      <c r="D431" s="221">
        <f>D376</f>
        <v>53.149721627408987</v>
      </c>
      <c r="E431" s="73">
        <f>I394</f>
        <v>1932.7</v>
      </c>
      <c r="F431" s="73">
        <f>ROUND((D431/E431)/60,2)</f>
        <v>0</v>
      </c>
      <c r="G431" s="73">
        <f>E398</f>
        <v>15</v>
      </c>
      <c r="H431" s="78">
        <f>ROUND(F431*G431,2)</f>
        <v>0</v>
      </c>
    </row>
    <row r="432" spans="3:9" x14ac:dyDescent="0.3">
      <c r="C432" s="134" t="s">
        <v>953</v>
      </c>
      <c r="D432" s="221">
        <f>D377</f>
        <v>374.98368308351178</v>
      </c>
      <c r="E432" s="73">
        <f>I394</f>
        <v>1932.7</v>
      </c>
      <c r="F432" s="73">
        <f>ROUND((D432/E432)/60,2)</f>
        <v>0</v>
      </c>
      <c r="G432" s="73">
        <f>E398</f>
        <v>15</v>
      </c>
      <c r="H432" s="78">
        <f>ROUND(F432*G432,2)</f>
        <v>0</v>
      </c>
    </row>
    <row r="433" spans="1:14" x14ac:dyDescent="0.3">
      <c r="C433" s="134" t="s">
        <v>1109</v>
      </c>
      <c r="D433" s="221">
        <f>D378</f>
        <v>1686.0389293361886</v>
      </c>
      <c r="E433" s="73">
        <f>I394</f>
        <v>1932.7</v>
      </c>
      <c r="F433" s="73">
        <f>ROUND((D433/E433)/60,2)</f>
        <v>0.01</v>
      </c>
      <c r="G433" s="73">
        <f>E398</f>
        <v>15</v>
      </c>
      <c r="H433" s="78">
        <f>ROUND(F433*G433,2)</f>
        <v>0.15</v>
      </c>
    </row>
    <row r="434" spans="1:14" x14ac:dyDescent="0.3">
      <c r="C434" s="1012" t="s">
        <v>957</v>
      </c>
      <c r="D434" s="1013"/>
      <c r="E434" s="1013"/>
      <c r="F434" s="1013"/>
      <c r="G434" s="1014"/>
      <c r="H434" s="299">
        <f>SUM(H425:H433)</f>
        <v>3.9</v>
      </c>
    </row>
    <row r="436" spans="1:14" ht="1.5" customHeight="1" x14ac:dyDescent="0.3"/>
    <row r="437" spans="1:14" x14ac:dyDescent="0.3">
      <c r="C437" s="1015" t="s">
        <v>959</v>
      </c>
      <c r="D437" s="1015"/>
      <c r="E437" s="1015"/>
      <c r="F437" s="1015"/>
      <c r="G437" s="1015"/>
      <c r="H437" s="334">
        <f>F390+F402+F416+F421</f>
        <v>66.91</v>
      </c>
    </row>
    <row r="438" spans="1:14" x14ac:dyDescent="0.3">
      <c r="C438" s="323"/>
      <c r="D438" s="33"/>
      <c r="E438" s="33"/>
      <c r="F438" s="33"/>
      <c r="G438" s="33"/>
      <c r="H438" s="335"/>
    </row>
    <row r="439" spans="1:14" x14ac:dyDescent="0.3">
      <c r="C439" s="1015" t="s">
        <v>960</v>
      </c>
      <c r="D439" s="1015"/>
      <c r="E439" s="1015"/>
      <c r="F439" s="1015"/>
      <c r="G439" s="1015"/>
      <c r="H439" s="334">
        <f>ROUND(H437,0)</f>
        <v>67</v>
      </c>
    </row>
    <row r="441" spans="1:14" s="54" customFormat="1" ht="19.8" x14ac:dyDescent="0.4">
      <c r="A441" s="53"/>
      <c r="B441" s="1016" t="s">
        <v>958</v>
      </c>
      <c r="C441" s="1016"/>
      <c r="D441" s="1016"/>
      <c r="E441" s="1016"/>
      <c r="F441" s="1016"/>
      <c r="G441" s="1016"/>
      <c r="H441" s="1016"/>
      <c r="I441" s="1016"/>
      <c r="J441" s="1016"/>
      <c r="K441" s="70"/>
      <c r="L441" s="348"/>
      <c r="M441" s="348"/>
      <c r="N441" s="99"/>
    </row>
    <row r="442" spans="1:14" s="54" customFormat="1" ht="19.8" x14ac:dyDescent="0.4">
      <c r="A442" s="53"/>
      <c r="B442" s="53"/>
      <c r="C442" s="56"/>
      <c r="D442" s="225"/>
      <c r="E442" s="225"/>
      <c r="F442" s="225"/>
      <c r="G442" s="225"/>
      <c r="H442" s="225"/>
      <c r="I442" s="225"/>
      <c r="J442" s="225"/>
      <c r="K442" s="70"/>
      <c r="L442" s="348"/>
      <c r="M442" s="348"/>
      <c r="N442" s="99"/>
    </row>
    <row r="443" spans="1:14" s="54" customFormat="1" ht="35.25" customHeight="1" x14ac:dyDescent="0.4">
      <c r="A443" s="53"/>
      <c r="B443" s="50" t="s">
        <v>558</v>
      </c>
      <c r="C443" s="1017" t="s">
        <v>565</v>
      </c>
      <c r="D443" s="1017"/>
      <c r="E443" s="1017"/>
      <c r="F443" s="296">
        <f>H494</f>
        <v>67</v>
      </c>
      <c r="G443" s="296" t="s">
        <v>971</v>
      </c>
      <c r="H443" s="225"/>
      <c r="I443" s="225"/>
      <c r="J443" s="225"/>
      <c r="K443" s="70"/>
      <c r="L443" s="348"/>
      <c r="M443" s="348"/>
      <c r="N443" s="99"/>
    </row>
    <row r="445" spans="1:14" x14ac:dyDescent="0.3">
      <c r="C445" s="1018" t="s">
        <v>932</v>
      </c>
      <c r="D445" s="1018"/>
      <c r="E445" s="297"/>
      <c r="F445" s="298">
        <f>F452+F455+F453</f>
        <v>30.009999999999998</v>
      </c>
      <c r="G445" s="227" t="s">
        <v>971</v>
      </c>
    </row>
    <row r="447" spans="1:14" x14ac:dyDescent="0.3">
      <c r="C447" s="318" t="s">
        <v>929</v>
      </c>
      <c r="D447" s="14" t="s">
        <v>928</v>
      </c>
      <c r="E447" s="14" t="s">
        <v>514</v>
      </c>
      <c r="F447" s="14" t="s">
        <v>515</v>
      </c>
      <c r="G447" s="14" t="s">
        <v>962</v>
      </c>
      <c r="H447" s="14" t="s">
        <v>926</v>
      </c>
      <c r="I447" s="14" t="s">
        <v>516</v>
      </c>
      <c r="J447" s="14" t="s">
        <v>961</v>
      </c>
    </row>
    <row r="448" spans="1:14" x14ac:dyDescent="0.3">
      <c r="C448" s="134" t="str">
        <f>C393</f>
        <v>Лікар з ультразвукової діагностики</v>
      </c>
      <c r="D448" s="73">
        <f>D393</f>
        <v>6660.23</v>
      </c>
      <c r="E448" s="78">
        <f>D448*12</f>
        <v>79922.759999999995</v>
      </c>
      <c r="F448" s="73">
        <f>F393</f>
        <v>6054.75</v>
      </c>
      <c r="G448" s="78">
        <f>G393</f>
        <v>3027.375</v>
      </c>
      <c r="H448" s="78">
        <f>E448+F448+G448</f>
        <v>89004.884999999995</v>
      </c>
      <c r="I448" s="73">
        <v>1656.6</v>
      </c>
      <c r="J448" s="78">
        <f>ROUND((H448/I448)/60,2)</f>
        <v>0.9</v>
      </c>
    </row>
    <row r="449" spans="3:10" x14ac:dyDescent="0.3">
      <c r="C449" s="134" t="str">
        <f>C394</f>
        <v xml:space="preserve">Сестра медична </v>
      </c>
      <c r="D449" s="73">
        <f>D394</f>
        <v>6506.5</v>
      </c>
      <c r="E449" s="78">
        <f>D449*12</f>
        <v>78078</v>
      </c>
      <c r="F449" s="73">
        <f>F394</f>
        <v>5005</v>
      </c>
      <c r="G449" s="73">
        <f>G394</f>
        <v>2502.5</v>
      </c>
      <c r="H449" s="78">
        <f>E449+F449+G449</f>
        <v>85585.5</v>
      </c>
      <c r="I449" s="73">
        <v>1932.7</v>
      </c>
      <c r="J449" s="78">
        <f>ROUND((H449/I449)/60,2)</f>
        <v>0.74</v>
      </c>
    </row>
    <row r="451" spans="3:10" ht="27.6" x14ac:dyDescent="0.3">
      <c r="C451" s="318" t="s">
        <v>929</v>
      </c>
      <c r="D451" s="14" t="s">
        <v>961</v>
      </c>
      <c r="E451" s="14" t="s">
        <v>930</v>
      </c>
      <c r="F451" s="14" t="s">
        <v>931</v>
      </c>
    </row>
    <row r="452" spans="3:10" x14ac:dyDescent="0.3">
      <c r="C452" s="320" t="str">
        <f>C448</f>
        <v>Лікар з ультразвукової діагностики</v>
      </c>
      <c r="D452" s="78">
        <f>J448</f>
        <v>0.9</v>
      </c>
      <c r="E452" s="73">
        <v>15</v>
      </c>
      <c r="F452" s="299">
        <f>ROUND(D452*E452,2)</f>
        <v>13.5</v>
      </c>
    </row>
    <row r="453" spans="3:10" x14ac:dyDescent="0.3">
      <c r="C453" s="320" t="str">
        <f>C449</f>
        <v xml:space="preserve">Сестра медична </v>
      </c>
      <c r="D453" s="78">
        <f>J449</f>
        <v>0.74</v>
      </c>
      <c r="E453" s="73">
        <v>15</v>
      </c>
      <c r="F453" s="299">
        <f>ROUND(D453*E453,2)</f>
        <v>11.1</v>
      </c>
    </row>
    <row r="454" spans="3:10" x14ac:dyDescent="0.3">
      <c r="D454" s="19"/>
    </row>
    <row r="455" spans="3:10" x14ac:dyDescent="0.3">
      <c r="C455" s="134" t="s">
        <v>933</v>
      </c>
      <c r="D455" s="78">
        <f>F452+F453</f>
        <v>24.6</v>
      </c>
      <c r="E455" s="300">
        <v>0.22</v>
      </c>
      <c r="F455" s="301">
        <f>ROUND(D455*E455,2)</f>
        <v>5.41</v>
      </c>
    </row>
    <row r="457" spans="3:10" x14ac:dyDescent="0.3">
      <c r="C457" s="321" t="s">
        <v>946</v>
      </c>
      <c r="D457" s="227"/>
      <c r="E457" s="227"/>
      <c r="F457" s="227">
        <f>G469</f>
        <v>12.45</v>
      </c>
      <c r="G457" s="227" t="s">
        <v>971</v>
      </c>
    </row>
    <row r="459" spans="3:10" x14ac:dyDescent="0.3">
      <c r="C459" s="27" t="str">
        <f t="shared" ref="C459:F468" si="16">C404</f>
        <v>Рукавиці не стерильні</v>
      </c>
      <c r="D459" s="303" t="str">
        <f t="shared" si="16"/>
        <v>шт</v>
      </c>
      <c r="E459" s="303">
        <f t="shared" si="16"/>
        <v>0.1</v>
      </c>
      <c r="F459" s="303">
        <f t="shared" si="16"/>
        <v>2.8</v>
      </c>
      <c r="G459" s="228">
        <f>ROUND(F459*E459,2)</f>
        <v>0.28000000000000003</v>
      </c>
    </row>
    <row r="460" spans="3:10" x14ac:dyDescent="0.3">
      <c r="C460" s="27" t="str">
        <f t="shared" si="16"/>
        <v xml:space="preserve">Септил 70% 100мл </v>
      </c>
      <c r="D460" s="303" t="str">
        <f t="shared" si="16"/>
        <v>шт</v>
      </c>
      <c r="E460" s="303">
        <f t="shared" si="16"/>
        <v>0.01</v>
      </c>
      <c r="F460" s="303">
        <f t="shared" si="16"/>
        <v>24.6</v>
      </c>
      <c r="G460" s="228">
        <f t="shared" ref="G460:G465" si="17">ROUND(F460*E460,2)</f>
        <v>0.25</v>
      </c>
    </row>
    <row r="461" spans="3:10" x14ac:dyDescent="0.3">
      <c r="C461" s="27" t="str">
        <f t="shared" si="16"/>
        <v>Маска на резинці, стерильна.</v>
      </c>
      <c r="D461" s="303" t="str">
        <f t="shared" si="16"/>
        <v>шт</v>
      </c>
      <c r="E461" s="303">
        <f t="shared" si="16"/>
        <v>0.1</v>
      </c>
      <c r="F461" s="303">
        <f t="shared" si="16"/>
        <v>2</v>
      </c>
      <c r="G461" s="228">
        <f t="shared" si="17"/>
        <v>0.2</v>
      </c>
    </row>
    <row r="462" spans="3:10" x14ac:dyDescent="0.3">
      <c r="C462" s="27" t="str">
        <f t="shared" si="16"/>
        <v>Мікрасепт</v>
      </c>
      <c r="D462" s="303" t="str">
        <f t="shared" si="16"/>
        <v>мл</v>
      </c>
      <c r="E462" s="303">
        <f t="shared" si="16"/>
        <v>1</v>
      </c>
      <c r="F462" s="303">
        <f t="shared" si="16"/>
        <v>0.3</v>
      </c>
      <c r="G462" s="28">
        <f>ROUND(E462*F462,2)</f>
        <v>0.3</v>
      </c>
    </row>
    <row r="463" spans="3:10" x14ac:dyDescent="0.3">
      <c r="C463" s="27" t="str">
        <f t="shared" si="16"/>
        <v>Папір офісний А4</v>
      </c>
      <c r="D463" s="303" t="str">
        <f t="shared" si="16"/>
        <v>шт</v>
      </c>
      <c r="E463" s="303">
        <f t="shared" si="16"/>
        <v>2</v>
      </c>
      <c r="F463" s="303">
        <f t="shared" si="16"/>
        <v>0.3</v>
      </c>
      <c r="G463" s="228">
        <f t="shared" si="17"/>
        <v>0.6</v>
      </c>
    </row>
    <row r="464" spans="3:10" x14ac:dyDescent="0.3">
      <c r="C464" s="27" t="str">
        <f t="shared" si="16"/>
        <v xml:space="preserve">Гель для УЗД , 1000 гр. </v>
      </c>
      <c r="D464" s="303" t="str">
        <f t="shared" si="16"/>
        <v>пляшка</v>
      </c>
      <c r="E464" s="303">
        <f t="shared" si="16"/>
        <v>0.1</v>
      </c>
      <c r="F464" s="303">
        <f t="shared" si="16"/>
        <v>48</v>
      </c>
      <c r="G464" s="228">
        <f t="shared" si="17"/>
        <v>4.8</v>
      </c>
    </row>
    <row r="465" spans="3:9" x14ac:dyDescent="0.3">
      <c r="C465" s="27" t="str">
        <f t="shared" si="16"/>
        <v>Паперові рушники "Fesko Professional"</v>
      </c>
      <c r="D465" s="303" t="str">
        <f t="shared" si="16"/>
        <v>рул</v>
      </c>
      <c r="E465" s="303">
        <f t="shared" si="16"/>
        <v>0.3</v>
      </c>
      <c r="F465" s="303">
        <f t="shared" si="16"/>
        <v>17</v>
      </c>
      <c r="G465" s="228">
        <f t="shared" si="17"/>
        <v>5.0999999999999996</v>
      </c>
    </row>
    <row r="466" spans="3:9" x14ac:dyDescent="0.3">
      <c r="C466" s="27" t="str">
        <f t="shared" si="16"/>
        <v>Марля медична</v>
      </c>
      <c r="D466" s="303" t="str">
        <f t="shared" si="16"/>
        <v>метр</v>
      </c>
      <c r="E466" s="303">
        <f t="shared" si="16"/>
        <v>0.1</v>
      </c>
      <c r="F466" s="303">
        <f t="shared" si="16"/>
        <v>6</v>
      </c>
      <c r="G466" s="28">
        <f>ROUND(E466*F466,2)</f>
        <v>0.6</v>
      </c>
    </row>
    <row r="467" spans="3:9" x14ac:dyDescent="0.3">
      <c r="C467" s="27" t="str">
        <f t="shared" si="16"/>
        <v>Вата</v>
      </c>
      <c r="D467" s="303" t="str">
        <f t="shared" si="16"/>
        <v>г</v>
      </c>
      <c r="E467" s="303">
        <f t="shared" si="16"/>
        <v>1</v>
      </c>
      <c r="F467" s="303">
        <f t="shared" si="16"/>
        <v>7.0000000000000007E-2</v>
      </c>
      <c r="G467" s="28">
        <f>ROUND(E467*F467,2)</f>
        <v>7.0000000000000007E-2</v>
      </c>
    </row>
    <row r="468" spans="3:9" x14ac:dyDescent="0.3">
      <c r="C468" s="27" t="str">
        <f t="shared" si="16"/>
        <v>Деззасоби</v>
      </c>
      <c r="D468" s="303" t="str">
        <f t="shared" si="16"/>
        <v>г</v>
      </c>
      <c r="E468" s="303">
        <f t="shared" si="16"/>
        <v>0.5</v>
      </c>
      <c r="F468" s="303">
        <f t="shared" si="16"/>
        <v>0.5</v>
      </c>
      <c r="G468" s="28">
        <f>ROUND(E468*F468,2)</f>
        <v>0.25</v>
      </c>
    </row>
    <row r="469" spans="3:9" x14ac:dyDescent="0.3">
      <c r="C469" s="1019" t="s">
        <v>945</v>
      </c>
      <c r="D469" s="1019"/>
      <c r="E469" s="1019"/>
      <c r="F469" s="1019"/>
      <c r="G469" s="332">
        <f>SUM(G459:G468)</f>
        <v>12.45</v>
      </c>
    </row>
    <row r="470" spans="3:9" ht="9" customHeight="1" x14ac:dyDescent="0.3"/>
    <row r="471" spans="3:9" x14ac:dyDescent="0.3">
      <c r="C471" s="321" t="s">
        <v>968</v>
      </c>
      <c r="D471" s="227"/>
      <c r="E471" s="227"/>
      <c r="F471" s="298">
        <f>H474</f>
        <v>20.55</v>
      </c>
      <c r="G471" s="227" t="s">
        <v>971</v>
      </c>
    </row>
    <row r="472" spans="3:9" ht="7.5" customHeight="1" x14ac:dyDescent="0.3">
      <c r="C472" s="322"/>
      <c r="D472" s="36"/>
      <c r="E472" s="36"/>
      <c r="F472" s="302"/>
      <c r="G472" s="36"/>
    </row>
    <row r="473" spans="3:9" ht="27.6" x14ac:dyDescent="0.3">
      <c r="C473" s="46" t="s">
        <v>513</v>
      </c>
      <c r="D473" s="14" t="s">
        <v>1108</v>
      </c>
      <c r="E473" s="14" t="s">
        <v>516</v>
      </c>
      <c r="F473" s="14" t="s">
        <v>970</v>
      </c>
      <c r="G473" s="14" t="s">
        <v>930</v>
      </c>
      <c r="H473" s="14" t="s">
        <v>961</v>
      </c>
    </row>
    <row r="474" spans="3:9" x14ac:dyDescent="0.3">
      <c r="C474" s="27" t="str">
        <f>C419</f>
        <v>Ультразвукова система AFFINITI 30</v>
      </c>
      <c r="D474" s="73">
        <f>D419</f>
        <v>136236.38</v>
      </c>
      <c r="E474" s="73">
        <f>I448</f>
        <v>1656.6</v>
      </c>
      <c r="F474" s="73">
        <f>ROUND((D474/E474)/60,2)</f>
        <v>1.37</v>
      </c>
      <c r="G474" s="73">
        <f>E452</f>
        <v>15</v>
      </c>
      <c r="H474" s="78">
        <f>ROUND(F474*G474,2)</f>
        <v>20.55</v>
      </c>
      <c r="I474" s="333"/>
    </row>
    <row r="475" spans="3:9" ht="8.25" customHeight="1" x14ac:dyDescent="0.3"/>
    <row r="476" spans="3:9" x14ac:dyDescent="0.3">
      <c r="C476" s="321" t="s">
        <v>948</v>
      </c>
      <c r="D476" s="227"/>
      <c r="E476" s="227"/>
      <c r="F476" s="298">
        <f>H489</f>
        <v>3.9</v>
      </c>
      <c r="G476" s="227" t="s">
        <v>971</v>
      </c>
    </row>
    <row r="477" spans="3:9" ht="9" customHeight="1" x14ac:dyDescent="0.3">
      <c r="C477" s="322"/>
      <c r="D477" s="36"/>
      <c r="E477" s="36"/>
      <c r="F477" s="302"/>
    </row>
    <row r="478" spans="3:9" ht="27.6" x14ac:dyDescent="0.3">
      <c r="C478" s="46" t="s">
        <v>948</v>
      </c>
      <c r="D478" s="14" t="s">
        <v>1110</v>
      </c>
      <c r="E478" s="14" t="s">
        <v>516</v>
      </c>
      <c r="F478" s="14" t="s">
        <v>954</v>
      </c>
      <c r="G478" s="14" t="s">
        <v>930</v>
      </c>
      <c r="H478" s="14" t="s">
        <v>1111</v>
      </c>
    </row>
    <row r="479" spans="3:9" x14ac:dyDescent="0.3">
      <c r="C479" s="1009" t="str">
        <f>C448</f>
        <v>Лікар з ультразвукової діагностики</v>
      </c>
      <c r="D479" s="1010"/>
      <c r="E479" s="1010"/>
      <c r="F479" s="1010"/>
      <c r="G479" s="1010"/>
      <c r="H479" s="1011"/>
    </row>
    <row r="480" spans="3:9" x14ac:dyDescent="0.3">
      <c r="C480" s="134" t="s">
        <v>951</v>
      </c>
      <c r="D480" s="221">
        <f>D425</f>
        <v>12188.608008565312</v>
      </c>
      <c r="E480" s="73">
        <f>I448</f>
        <v>1656.6</v>
      </c>
      <c r="F480" s="73">
        <f>ROUND((D480/E480)/60,2)</f>
        <v>0.12</v>
      </c>
      <c r="G480" s="73">
        <f>E452</f>
        <v>15</v>
      </c>
      <c r="H480" s="78">
        <f>ROUND(F480*G480,2)</f>
        <v>1.8</v>
      </c>
    </row>
    <row r="481" spans="1:14" x14ac:dyDescent="0.3">
      <c r="C481" s="134" t="s">
        <v>952</v>
      </c>
      <c r="D481" s="221">
        <f>D426</f>
        <v>53.149721627408987</v>
      </c>
      <c r="E481" s="73">
        <f>I448</f>
        <v>1656.6</v>
      </c>
      <c r="F481" s="73">
        <f>ROUND((D481/E481)/60,2)</f>
        <v>0</v>
      </c>
      <c r="G481" s="73">
        <f>E452</f>
        <v>15</v>
      </c>
      <c r="H481" s="78">
        <f>ROUND(F481*G481,2)</f>
        <v>0</v>
      </c>
    </row>
    <row r="482" spans="1:14" x14ac:dyDescent="0.3">
      <c r="C482" s="134" t="s">
        <v>953</v>
      </c>
      <c r="D482" s="221">
        <f>D427</f>
        <v>374.98368308351178</v>
      </c>
      <c r="E482" s="73">
        <f>I448</f>
        <v>1656.6</v>
      </c>
      <c r="F482" s="73">
        <f>ROUND((D482/E482)/60,2)</f>
        <v>0</v>
      </c>
      <c r="G482" s="73">
        <f>E452</f>
        <v>15</v>
      </c>
      <c r="H482" s="78">
        <f>ROUND(F482*G482,2)</f>
        <v>0</v>
      </c>
    </row>
    <row r="483" spans="1:14" x14ac:dyDescent="0.3">
      <c r="C483" s="134" t="s">
        <v>1109</v>
      </c>
      <c r="D483" s="221">
        <f>D428</f>
        <v>1686.0389293361886</v>
      </c>
      <c r="E483" s="73">
        <f>I448</f>
        <v>1656.6</v>
      </c>
      <c r="F483" s="73">
        <f>ROUND((D483/E483)/60,2)</f>
        <v>0.02</v>
      </c>
      <c r="G483" s="73">
        <f>E452</f>
        <v>15</v>
      </c>
      <c r="H483" s="78">
        <f>ROUND(F483*G483,2)</f>
        <v>0.3</v>
      </c>
    </row>
    <row r="484" spans="1:14" x14ac:dyDescent="0.3">
      <c r="C484" s="1009" t="str">
        <f>C449</f>
        <v xml:space="preserve">Сестра медична </v>
      </c>
      <c r="D484" s="1010"/>
      <c r="E484" s="1010"/>
      <c r="F484" s="1010"/>
      <c r="G484" s="1010"/>
      <c r="H484" s="1011"/>
    </row>
    <row r="485" spans="1:14" x14ac:dyDescent="0.3">
      <c r="C485" s="134" t="s">
        <v>951</v>
      </c>
      <c r="D485" s="221">
        <f>D430</f>
        <v>12188.608008565312</v>
      </c>
      <c r="E485" s="73">
        <f>I449</f>
        <v>1932.7</v>
      </c>
      <c r="F485" s="73">
        <f>ROUND((D485/E485)/60,2)</f>
        <v>0.11</v>
      </c>
      <c r="G485" s="73">
        <f>E453</f>
        <v>15</v>
      </c>
      <c r="H485" s="78">
        <f>ROUND(F485*G485,2)</f>
        <v>1.65</v>
      </c>
    </row>
    <row r="486" spans="1:14" x14ac:dyDescent="0.3">
      <c r="C486" s="134" t="s">
        <v>952</v>
      </c>
      <c r="D486" s="221">
        <f>D431</f>
        <v>53.149721627408987</v>
      </c>
      <c r="E486" s="73">
        <f>I449</f>
        <v>1932.7</v>
      </c>
      <c r="F486" s="73">
        <f>ROUND((D486/E486)/60,2)</f>
        <v>0</v>
      </c>
      <c r="G486" s="73">
        <f>E453</f>
        <v>15</v>
      </c>
      <c r="H486" s="78">
        <f>ROUND(F486*G486,2)</f>
        <v>0</v>
      </c>
    </row>
    <row r="487" spans="1:14" x14ac:dyDescent="0.3">
      <c r="C487" s="134" t="s">
        <v>953</v>
      </c>
      <c r="D487" s="221">
        <f>D432</f>
        <v>374.98368308351178</v>
      </c>
      <c r="E487" s="73">
        <f>I449</f>
        <v>1932.7</v>
      </c>
      <c r="F487" s="73">
        <f>ROUND((D487/E487)/60,2)</f>
        <v>0</v>
      </c>
      <c r="G487" s="73">
        <f>E453</f>
        <v>15</v>
      </c>
      <c r="H487" s="78">
        <f>ROUND(F487*G487,2)</f>
        <v>0</v>
      </c>
    </row>
    <row r="488" spans="1:14" x14ac:dyDescent="0.3">
      <c r="C488" s="134" t="s">
        <v>1109</v>
      </c>
      <c r="D488" s="221">
        <f>D433</f>
        <v>1686.0389293361886</v>
      </c>
      <c r="E488" s="73">
        <f>I449</f>
        <v>1932.7</v>
      </c>
      <c r="F488" s="73">
        <f>ROUND((D488/E488)/60,2)</f>
        <v>0.01</v>
      </c>
      <c r="G488" s="73">
        <f>E453</f>
        <v>15</v>
      </c>
      <c r="H488" s="78">
        <f>ROUND(F488*G488,2)</f>
        <v>0.15</v>
      </c>
    </row>
    <row r="489" spans="1:14" x14ac:dyDescent="0.3">
      <c r="C489" s="1012" t="s">
        <v>957</v>
      </c>
      <c r="D489" s="1013"/>
      <c r="E489" s="1013"/>
      <c r="F489" s="1013"/>
      <c r="G489" s="1014"/>
      <c r="H489" s="299">
        <f>SUM(H480:H488)</f>
        <v>3.9</v>
      </c>
    </row>
    <row r="490" spans="1:14" ht="13.5" customHeight="1" x14ac:dyDescent="0.3"/>
    <row r="492" spans="1:14" x14ac:dyDescent="0.3">
      <c r="C492" s="1015" t="s">
        <v>959</v>
      </c>
      <c r="D492" s="1015"/>
      <c r="E492" s="1015"/>
      <c r="F492" s="1015"/>
      <c r="G492" s="1015"/>
      <c r="H492" s="334">
        <f>F445+F457+F471+F476</f>
        <v>66.91</v>
      </c>
    </row>
    <row r="493" spans="1:14" x14ac:dyDescent="0.3">
      <c r="C493" s="323"/>
      <c r="D493" s="33"/>
      <c r="E493" s="33"/>
      <c r="F493" s="33"/>
      <c r="G493" s="33"/>
      <c r="H493" s="335"/>
    </row>
    <row r="494" spans="1:14" x14ac:dyDescent="0.3">
      <c r="C494" s="1015" t="s">
        <v>960</v>
      </c>
      <c r="D494" s="1015"/>
      <c r="E494" s="1015"/>
      <c r="F494" s="1015"/>
      <c r="G494" s="1015"/>
      <c r="H494" s="334">
        <f>ROUND(H492,0)</f>
        <v>67</v>
      </c>
    </row>
    <row r="496" spans="1:14" s="54" customFormat="1" ht="19.8" x14ac:dyDescent="0.4">
      <c r="A496" s="53"/>
      <c r="B496" s="1016" t="s">
        <v>958</v>
      </c>
      <c r="C496" s="1016"/>
      <c r="D496" s="1016"/>
      <c r="E496" s="1016"/>
      <c r="F496" s="1016"/>
      <c r="G496" s="1016"/>
      <c r="H496" s="1016"/>
      <c r="I496" s="1016"/>
      <c r="J496" s="1016"/>
      <c r="K496" s="70"/>
      <c r="L496" s="348"/>
      <c r="M496" s="348"/>
      <c r="N496" s="99"/>
    </row>
    <row r="497" spans="1:14" s="54" customFormat="1" ht="8.25" customHeight="1" x14ac:dyDescent="0.4">
      <c r="A497" s="53"/>
      <c r="B497" s="53"/>
      <c r="C497" s="56"/>
      <c r="D497" s="225"/>
      <c r="E497" s="225"/>
      <c r="F497" s="225"/>
      <c r="G497" s="225"/>
      <c r="H497" s="225"/>
      <c r="I497" s="225"/>
      <c r="J497" s="225"/>
      <c r="K497" s="70"/>
      <c r="L497" s="348"/>
      <c r="M497" s="348"/>
      <c r="N497" s="99"/>
    </row>
    <row r="498" spans="1:14" s="54" customFormat="1" ht="54" customHeight="1" x14ac:dyDescent="0.4">
      <c r="A498" s="53"/>
      <c r="B498" s="50" t="s">
        <v>560</v>
      </c>
      <c r="C498" s="1017" t="s">
        <v>567</v>
      </c>
      <c r="D498" s="1017"/>
      <c r="E498" s="1017"/>
      <c r="F498" s="296">
        <f>H549</f>
        <v>230</v>
      </c>
      <c r="G498" s="296" t="s">
        <v>971</v>
      </c>
      <c r="H498" s="225"/>
      <c r="I498" s="225"/>
      <c r="J498" s="225"/>
      <c r="K498" s="70"/>
      <c r="L498" s="348"/>
      <c r="M498" s="348"/>
      <c r="N498" s="99"/>
    </row>
    <row r="500" spans="1:14" x14ac:dyDescent="0.3">
      <c r="C500" s="1018" t="s">
        <v>932</v>
      </c>
      <c r="D500" s="1018"/>
      <c r="E500" s="297"/>
      <c r="F500" s="298">
        <f>F507+F510+F508</f>
        <v>120.05000000000001</v>
      </c>
      <c r="G500" s="227" t="s">
        <v>971</v>
      </c>
    </row>
    <row r="502" spans="1:14" x14ac:dyDescent="0.3">
      <c r="C502" s="318" t="s">
        <v>929</v>
      </c>
      <c r="D502" s="14" t="s">
        <v>928</v>
      </c>
      <c r="E502" s="14" t="s">
        <v>514</v>
      </c>
      <c r="F502" s="14" t="s">
        <v>515</v>
      </c>
      <c r="G502" s="14" t="s">
        <v>962</v>
      </c>
      <c r="H502" s="14" t="s">
        <v>926</v>
      </c>
      <c r="I502" s="14" t="s">
        <v>516</v>
      </c>
      <c r="J502" s="14" t="s">
        <v>961</v>
      </c>
    </row>
    <row r="503" spans="1:14" x14ac:dyDescent="0.3">
      <c r="C503" s="134" t="str">
        <f>C448</f>
        <v>Лікар з ультразвукової діагностики</v>
      </c>
      <c r="D503" s="73">
        <f>D448</f>
        <v>6660.23</v>
      </c>
      <c r="E503" s="78">
        <f>D503*12</f>
        <v>79922.759999999995</v>
      </c>
      <c r="F503" s="73">
        <f>F448</f>
        <v>6054.75</v>
      </c>
      <c r="G503" s="78">
        <f>G448</f>
        <v>3027.375</v>
      </c>
      <c r="H503" s="78">
        <f>E503+F503+G503</f>
        <v>89004.884999999995</v>
      </c>
      <c r="I503" s="73">
        <v>1656.6</v>
      </c>
      <c r="J503" s="78">
        <f>ROUND((H503/I503)/60,2)</f>
        <v>0.9</v>
      </c>
    </row>
    <row r="504" spans="1:14" x14ac:dyDescent="0.3">
      <c r="C504" s="134" t="str">
        <f>C449</f>
        <v xml:space="preserve">Сестра медична </v>
      </c>
      <c r="D504" s="73">
        <f>D449</f>
        <v>6506.5</v>
      </c>
      <c r="E504" s="78">
        <f>D504*12</f>
        <v>78078</v>
      </c>
      <c r="F504" s="73">
        <f>F449</f>
        <v>5005</v>
      </c>
      <c r="G504" s="73">
        <f>G449</f>
        <v>2502.5</v>
      </c>
      <c r="H504" s="78">
        <f>E504+F504+G504</f>
        <v>85585.5</v>
      </c>
      <c r="I504" s="73">
        <v>1932.7</v>
      </c>
      <c r="J504" s="78">
        <f>ROUND((H504/I504)/60,2)</f>
        <v>0.74</v>
      </c>
    </row>
    <row r="505" spans="1:14" ht="11.25" customHeight="1" x14ac:dyDescent="0.3"/>
    <row r="506" spans="1:14" ht="27.6" x14ac:dyDescent="0.3">
      <c r="C506" s="318" t="s">
        <v>929</v>
      </c>
      <c r="D506" s="14" t="s">
        <v>961</v>
      </c>
      <c r="E506" s="14" t="s">
        <v>930</v>
      </c>
      <c r="F506" s="14" t="s">
        <v>931</v>
      </c>
    </row>
    <row r="507" spans="1:14" x14ac:dyDescent="0.3">
      <c r="C507" s="320" t="str">
        <f>C503</f>
        <v>Лікар з ультразвукової діагностики</v>
      </c>
      <c r="D507" s="78">
        <f>J503</f>
        <v>0.9</v>
      </c>
      <c r="E507" s="73">
        <v>60</v>
      </c>
      <c r="F507" s="299">
        <f>ROUND(D507*E507,2)</f>
        <v>54</v>
      </c>
    </row>
    <row r="508" spans="1:14" x14ac:dyDescent="0.3">
      <c r="C508" s="320" t="str">
        <f>C504</f>
        <v xml:space="preserve">Сестра медична </v>
      </c>
      <c r="D508" s="78">
        <f>J504</f>
        <v>0.74</v>
      </c>
      <c r="E508" s="73">
        <v>60</v>
      </c>
      <c r="F508" s="299">
        <f>ROUND(D508*E508,2)</f>
        <v>44.4</v>
      </c>
    </row>
    <row r="509" spans="1:14" x14ac:dyDescent="0.3">
      <c r="D509" s="19"/>
    </row>
    <row r="510" spans="1:14" x14ac:dyDescent="0.3">
      <c r="C510" s="134" t="s">
        <v>933</v>
      </c>
      <c r="D510" s="78">
        <f>F507+F508</f>
        <v>98.4</v>
      </c>
      <c r="E510" s="300">
        <v>0.22</v>
      </c>
      <c r="F510" s="301">
        <f>ROUND(D510*E510,2)</f>
        <v>21.65</v>
      </c>
    </row>
    <row r="512" spans="1:14" x14ac:dyDescent="0.3">
      <c r="C512" s="321" t="s">
        <v>946</v>
      </c>
      <c r="D512" s="227"/>
      <c r="E512" s="227"/>
      <c r="F512" s="227">
        <f>G524</f>
        <v>12.45</v>
      </c>
      <c r="G512" s="227" t="s">
        <v>971</v>
      </c>
    </row>
    <row r="513" spans="3:8" ht="7.5" customHeight="1" x14ac:dyDescent="0.3"/>
    <row r="514" spans="3:8" x14ac:dyDescent="0.3">
      <c r="C514" s="27" t="str">
        <f t="shared" ref="C514:F523" si="18">C459</f>
        <v>Рукавиці не стерильні</v>
      </c>
      <c r="D514" s="303" t="str">
        <f t="shared" si="18"/>
        <v>шт</v>
      </c>
      <c r="E514" s="303">
        <f t="shared" si="18"/>
        <v>0.1</v>
      </c>
      <c r="F514" s="303">
        <f t="shared" si="18"/>
        <v>2.8</v>
      </c>
      <c r="G514" s="228">
        <f>ROUND(F514*E514,2)</f>
        <v>0.28000000000000003</v>
      </c>
    </row>
    <row r="515" spans="3:8" x14ac:dyDescent="0.3">
      <c r="C515" s="27" t="str">
        <f t="shared" si="18"/>
        <v xml:space="preserve">Септил 70% 100мл </v>
      </c>
      <c r="D515" s="303" t="str">
        <f t="shared" si="18"/>
        <v>шт</v>
      </c>
      <c r="E515" s="303">
        <f t="shared" si="18"/>
        <v>0.01</v>
      </c>
      <c r="F515" s="303">
        <f t="shared" si="18"/>
        <v>24.6</v>
      </c>
      <c r="G515" s="228">
        <f t="shared" ref="G515:G520" si="19">ROUND(F515*E515,2)</f>
        <v>0.25</v>
      </c>
    </row>
    <row r="516" spans="3:8" x14ac:dyDescent="0.3">
      <c r="C516" s="27" t="str">
        <f t="shared" si="18"/>
        <v>Маска на резинці, стерильна.</v>
      </c>
      <c r="D516" s="303" t="str">
        <f t="shared" si="18"/>
        <v>шт</v>
      </c>
      <c r="E516" s="303">
        <f t="shared" si="18"/>
        <v>0.1</v>
      </c>
      <c r="F516" s="303">
        <f t="shared" si="18"/>
        <v>2</v>
      </c>
      <c r="G516" s="228">
        <f t="shared" si="19"/>
        <v>0.2</v>
      </c>
    </row>
    <row r="517" spans="3:8" x14ac:dyDescent="0.3">
      <c r="C517" s="27" t="str">
        <f t="shared" si="18"/>
        <v>Мікрасепт</v>
      </c>
      <c r="D517" s="303" t="str">
        <f t="shared" si="18"/>
        <v>мл</v>
      </c>
      <c r="E517" s="303">
        <f t="shared" si="18"/>
        <v>1</v>
      </c>
      <c r="F517" s="303">
        <f t="shared" si="18"/>
        <v>0.3</v>
      </c>
      <c r="G517" s="28">
        <f>ROUND(E517*F517,2)</f>
        <v>0.3</v>
      </c>
    </row>
    <row r="518" spans="3:8" x14ac:dyDescent="0.3">
      <c r="C518" s="27" t="str">
        <f t="shared" si="18"/>
        <v>Папір офісний А4</v>
      </c>
      <c r="D518" s="303" t="str">
        <f t="shared" si="18"/>
        <v>шт</v>
      </c>
      <c r="E518" s="303">
        <f t="shared" si="18"/>
        <v>2</v>
      </c>
      <c r="F518" s="303">
        <f t="shared" si="18"/>
        <v>0.3</v>
      </c>
      <c r="G518" s="228">
        <f t="shared" si="19"/>
        <v>0.6</v>
      </c>
    </row>
    <row r="519" spans="3:8" x14ac:dyDescent="0.3">
      <c r="C519" s="27" t="str">
        <f t="shared" si="18"/>
        <v xml:space="preserve">Гель для УЗД , 1000 гр. </v>
      </c>
      <c r="D519" s="303" t="str">
        <f t="shared" si="18"/>
        <v>пляшка</v>
      </c>
      <c r="E519" s="303">
        <f t="shared" si="18"/>
        <v>0.1</v>
      </c>
      <c r="F519" s="303">
        <f t="shared" si="18"/>
        <v>48</v>
      </c>
      <c r="G519" s="228">
        <f t="shared" si="19"/>
        <v>4.8</v>
      </c>
    </row>
    <row r="520" spans="3:8" x14ac:dyDescent="0.3">
      <c r="C520" s="27" t="str">
        <f t="shared" si="18"/>
        <v>Паперові рушники "Fesko Professional"</v>
      </c>
      <c r="D520" s="303" t="str">
        <f t="shared" si="18"/>
        <v>рул</v>
      </c>
      <c r="E520" s="303">
        <f t="shared" si="18"/>
        <v>0.3</v>
      </c>
      <c r="F520" s="303">
        <f t="shared" si="18"/>
        <v>17</v>
      </c>
      <c r="G520" s="228">
        <f t="shared" si="19"/>
        <v>5.0999999999999996</v>
      </c>
    </row>
    <row r="521" spans="3:8" x14ac:dyDescent="0.3">
      <c r="C521" s="27" t="str">
        <f t="shared" si="18"/>
        <v>Марля медична</v>
      </c>
      <c r="D521" s="303" t="str">
        <f t="shared" si="18"/>
        <v>метр</v>
      </c>
      <c r="E521" s="303">
        <f t="shared" si="18"/>
        <v>0.1</v>
      </c>
      <c r="F521" s="303">
        <f t="shared" si="18"/>
        <v>6</v>
      </c>
      <c r="G521" s="28">
        <f>ROUND(E521*F521,2)</f>
        <v>0.6</v>
      </c>
    </row>
    <row r="522" spans="3:8" x14ac:dyDescent="0.3">
      <c r="C522" s="27" t="str">
        <f t="shared" si="18"/>
        <v>Вата</v>
      </c>
      <c r="D522" s="303" t="str">
        <f t="shared" si="18"/>
        <v>г</v>
      </c>
      <c r="E522" s="303">
        <f t="shared" si="18"/>
        <v>1</v>
      </c>
      <c r="F522" s="303">
        <f t="shared" si="18"/>
        <v>7.0000000000000007E-2</v>
      </c>
      <c r="G522" s="28">
        <f>ROUND(E522*F522,2)</f>
        <v>7.0000000000000007E-2</v>
      </c>
    </row>
    <row r="523" spans="3:8" x14ac:dyDescent="0.3">
      <c r="C523" s="27" t="str">
        <f t="shared" si="18"/>
        <v>Деззасоби</v>
      </c>
      <c r="D523" s="303" t="str">
        <f t="shared" si="18"/>
        <v>г</v>
      </c>
      <c r="E523" s="303">
        <f t="shared" si="18"/>
        <v>0.5</v>
      </c>
      <c r="F523" s="303">
        <f t="shared" si="18"/>
        <v>0.5</v>
      </c>
      <c r="G523" s="28">
        <f>ROUND(E523*F523,2)</f>
        <v>0.25</v>
      </c>
    </row>
    <row r="524" spans="3:8" x14ac:dyDescent="0.3">
      <c r="C524" s="1019" t="s">
        <v>945</v>
      </c>
      <c r="D524" s="1019"/>
      <c r="E524" s="1019"/>
      <c r="F524" s="1019"/>
      <c r="G524" s="332">
        <f>SUM(G514:G523)</f>
        <v>12.45</v>
      </c>
    </row>
    <row r="526" spans="3:8" x14ac:dyDescent="0.3">
      <c r="C526" s="321" t="s">
        <v>968</v>
      </c>
      <c r="D526" s="227"/>
      <c r="E526" s="227"/>
      <c r="F526" s="298">
        <f>H529</f>
        <v>82.2</v>
      </c>
      <c r="G526" s="227" t="s">
        <v>971</v>
      </c>
    </row>
    <row r="527" spans="3:8" ht="6.75" customHeight="1" x14ac:dyDescent="0.3">
      <c r="C527" s="322"/>
      <c r="D527" s="36"/>
      <c r="E527" s="36"/>
      <c r="F527" s="302"/>
      <c r="G527" s="36"/>
    </row>
    <row r="528" spans="3:8" ht="27.6" x14ac:dyDescent="0.3">
      <c r="C528" s="46" t="s">
        <v>513</v>
      </c>
      <c r="D528" s="14" t="s">
        <v>1108</v>
      </c>
      <c r="E528" s="14" t="s">
        <v>516</v>
      </c>
      <c r="F528" s="14" t="s">
        <v>970</v>
      </c>
      <c r="G528" s="14" t="s">
        <v>930</v>
      </c>
      <c r="H528" s="14" t="s">
        <v>961</v>
      </c>
    </row>
    <row r="529" spans="3:9" x14ac:dyDescent="0.3">
      <c r="C529" s="27" t="str">
        <f>C474</f>
        <v>Ультразвукова система AFFINITI 30</v>
      </c>
      <c r="D529" s="73">
        <f>D474</f>
        <v>136236.38</v>
      </c>
      <c r="E529" s="73">
        <f>I503</f>
        <v>1656.6</v>
      </c>
      <c r="F529" s="73">
        <f>ROUND((D529/E529)/60,2)</f>
        <v>1.37</v>
      </c>
      <c r="G529" s="73">
        <f>E507</f>
        <v>60</v>
      </c>
      <c r="H529" s="78">
        <f>ROUND(F529*G529,2)</f>
        <v>82.2</v>
      </c>
      <c r="I529" s="333"/>
    </row>
    <row r="530" spans="3:9" ht="9" customHeight="1" x14ac:dyDescent="0.3"/>
    <row r="531" spans="3:9" x14ac:dyDescent="0.3">
      <c r="C531" s="321" t="s">
        <v>948</v>
      </c>
      <c r="D531" s="227"/>
      <c r="E531" s="227"/>
      <c r="F531" s="298">
        <f>H544</f>
        <v>15.6</v>
      </c>
      <c r="G531" s="227" t="s">
        <v>971</v>
      </c>
    </row>
    <row r="532" spans="3:9" ht="10.5" customHeight="1" x14ac:dyDescent="0.3">
      <c r="C532" s="322"/>
      <c r="D532" s="36"/>
      <c r="E532" s="36"/>
      <c r="F532" s="302"/>
    </row>
    <row r="533" spans="3:9" ht="27.6" x14ac:dyDescent="0.3">
      <c r="C533" s="46" t="s">
        <v>948</v>
      </c>
      <c r="D533" s="14" t="s">
        <v>1110</v>
      </c>
      <c r="E533" s="14" t="s">
        <v>516</v>
      </c>
      <c r="F533" s="14" t="s">
        <v>954</v>
      </c>
      <c r="G533" s="14" t="s">
        <v>930</v>
      </c>
      <c r="H533" s="14" t="s">
        <v>1111</v>
      </c>
    </row>
    <row r="534" spans="3:9" x14ac:dyDescent="0.3">
      <c r="C534" s="1009" t="str">
        <f>C503</f>
        <v>Лікар з ультразвукової діагностики</v>
      </c>
      <c r="D534" s="1010"/>
      <c r="E534" s="1010"/>
      <c r="F534" s="1010"/>
      <c r="G534" s="1010"/>
      <c r="H534" s="1011"/>
    </row>
    <row r="535" spans="3:9" x14ac:dyDescent="0.3">
      <c r="C535" s="134" t="s">
        <v>951</v>
      </c>
      <c r="D535" s="221">
        <f>D480</f>
        <v>12188.608008565312</v>
      </c>
      <c r="E535" s="73">
        <f>I503</f>
        <v>1656.6</v>
      </c>
      <c r="F535" s="73">
        <f>ROUND((D535/E535)/60,2)</f>
        <v>0.12</v>
      </c>
      <c r="G535" s="73">
        <f>E507</f>
        <v>60</v>
      </c>
      <c r="H535" s="78">
        <f>ROUND(F535*G535,2)</f>
        <v>7.2</v>
      </c>
    </row>
    <row r="536" spans="3:9" x14ac:dyDescent="0.3">
      <c r="C536" s="134" t="s">
        <v>952</v>
      </c>
      <c r="D536" s="221">
        <f>D481</f>
        <v>53.149721627408987</v>
      </c>
      <c r="E536" s="73">
        <f>I503</f>
        <v>1656.6</v>
      </c>
      <c r="F536" s="73">
        <f>ROUND((D536/E536)/60,2)</f>
        <v>0</v>
      </c>
      <c r="G536" s="73">
        <f>E507</f>
        <v>60</v>
      </c>
      <c r="H536" s="78">
        <f>ROUND(F536*G536,2)</f>
        <v>0</v>
      </c>
    </row>
    <row r="537" spans="3:9" x14ac:dyDescent="0.3">
      <c r="C537" s="134" t="s">
        <v>953</v>
      </c>
      <c r="D537" s="221">
        <f>D482</f>
        <v>374.98368308351178</v>
      </c>
      <c r="E537" s="73">
        <f>I503</f>
        <v>1656.6</v>
      </c>
      <c r="F537" s="73">
        <f>ROUND((D537/E537)/60,2)</f>
        <v>0</v>
      </c>
      <c r="G537" s="73">
        <f>E507</f>
        <v>60</v>
      </c>
      <c r="H537" s="78">
        <f>ROUND(F537*G537,2)</f>
        <v>0</v>
      </c>
    </row>
    <row r="538" spans="3:9" x14ac:dyDescent="0.3">
      <c r="C538" s="134" t="s">
        <v>1109</v>
      </c>
      <c r="D538" s="221">
        <f>D483</f>
        <v>1686.0389293361886</v>
      </c>
      <c r="E538" s="73">
        <f>I503</f>
        <v>1656.6</v>
      </c>
      <c r="F538" s="73">
        <f>ROUND((D538/E538)/60,2)</f>
        <v>0.02</v>
      </c>
      <c r="G538" s="73">
        <f>E507</f>
        <v>60</v>
      </c>
      <c r="H538" s="78">
        <f>ROUND(F538*G538,2)</f>
        <v>1.2</v>
      </c>
    </row>
    <row r="539" spans="3:9" x14ac:dyDescent="0.3">
      <c r="C539" s="1009" t="str">
        <f>C504</f>
        <v xml:space="preserve">Сестра медична </v>
      </c>
      <c r="D539" s="1010"/>
      <c r="E539" s="1010"/>
      <c r="F539" s="1010"/>
      <c r="G539" s="1010"/>
      <c r="H539" s="1011"/>
    </row>
    <row r="540" spans="3:9" x14ac:dyDescent="0.3">
      <c r="C540" s="134" t="s">
        <v>951</v>
      </c>
      <c r="D540" s="221">
        <f>D485</f>
        <v>12188.608008565312</v>
      </c>
      <c r="E540" s="73">
        <f>I504</f>
        <v>1932.7</v>
      </c>
      <c r="F540" s="73">
        <f>ROUND((D540/E540)/60,2)</f>
        <v>0.11</v>
      </c>
      <c r="G540" s="73">
        <f>E508</f>
        <v>60</v>
      </c>
      <c r="H540" s="78">
        <f>ROUND(F540*G540,2)</f>
        <v>6.6</v>
      </c>
    </row>
    <row r="541" spans="3:9" x14ac:dyDescent="0.3">
      <c r="C541" s="134" t="s">
        <v>952</v>
      </c>
      <c r="D541" s="221">
        <f>D486</f>
        <v>53.149721627408987</v>
      </c>
      <c r="E541" s="73">
        <f>I504</f>
        <v>1932.7</v>
      </c>
      <c r="F541" s="73">
        <f>ROUND((D541/E541)/60,2)</f>
        <v>0</v>
      </c>
      <c r="G541" s="73">
        <f>E508</f>
        <v>60</v>
      </c>
      <c r="H541" s="78">
        <f>ROUND(F541*G541,2)</f>
        <v>0</v>
      </c>
    </row>
    <row r="542" spans="3:9" x14ac:dyDescent="0.3">
      <c r="C542" s="134" t="s">
        <v>953</v>
      </c>
      <c r="D542" s="221">
        <f>D487</f>
        <v>374.98368308351178</v>
      </c>
      <c r="E542" s="73">
        <f>I504</f>
        <v>1932.7</v>
      </c>
      <c r="F542" s="73">
        <f>ROUND((D542/E542)/60,2)</f>
        <v>0</v>
      </c>
      <c r="G542" s="73">
        <f>E508</f>
        <v>60</v>
      </c>
      <c r="H542" s="78">
        <f>ROUND(F542*G542,2)</f>
        <v>0</v>
      </c>
    </row>
    <row r="543" spans="3:9" x14ac:dyDescent="0.3">
      <c r="C543" s="134" t="s">
        <v>1109</v>
      </c>
      <c r="D543" s="221">
        <f>D488</f>
        <v>1686.0389293361886</v>
      </c>
      <c r="E543" s="73">
        <f>I504</f>
        <v>1932.7</v>
      </c>
      <c r="F543" s="73">
        <f>ROUND((D543/E543)/60,2)</f>
        <v>0.01</v>
      </c>
      <c r="G543" s="73">
        <f>E508</f>
        <v>60</v>
      </c>
      <c r="H543" s="78">
        <f>ROUND(F543*G543,2)</f>
        <v>0.6</v>
      </c>
    </row>
    <row r="544" spans="3:9" x14ac:dyDescent="0.3">
      <c r="C544" s="1012" t="s">
        <v>957</v>
      </c>
      <c r="D544" s="1013"/>
      <c r="E544" s="1013"/>
      <c r="F544" s="1013"/>
      <c r="G544" s="1014"/>
      <c r="H544" s="299">
        <f>SUM(H535:H543)</f>
        <v>15.6</v>
      </c>
    </row>
    <row r="545" spans="1:14" ht="12.75" customHeight="1" x14ac:dyDescent="0.3"/>
    <row r="546" spans="1:14" ht="1.5" customHeight="1" x14ac:dyDescent="0.3"/>
    <row r="547" spans="1:14" x14ac:dyDescent="0.3">
      <c r="C547" s="1015" t="s">
        <v>959</v>
      </c>
      <c r="D547" s="1015"/>
      <c r="E547" s="1015"/>
      <c r="F547" s="1015"/>
      <c r="G547" s="1015"/>
      <c r="H547" s="334">
        <f>F500+F512+F526+F531</f>
        <v>230.29999999999998</v>
      </c>
    </row>
    <row r="548" spans="1:14" ht="11.25" customHeight="1" x14ac:dyDescent="0.3">
      <c r="C548" s="323"/>
      <c r="D548" s="33"/>
      <c r="E548" s="33"/>
      <c r="F548" s="33"/>
      <c r="G548" s="33"/>
      <c r="H548" s="335"/>
    </row>
    <row r="549" spans="1:14" x14ac:dyDescent="0.3">
      <c r="C549" s="1015" t="s">
        <v>960</v>
      </c>
      <c r="D549" s="1015"/>
      <c r="E549" s="1015"/>
      <c r="F549" s="1015"/>
      <c r="G549" s="1015"/>
      <c r="H549" s="334">
        <f>ROUND(H547,0)</f>
        <v>230</v>
      </c>
    </row>
    <row r="551" spans="1:14" s="54" customFormat="1" ht="19.8" x14ac:dyDescent="0.4">
      <c r="A551" s="53"/>
      <c r="B551" s="1016" t="s">
        <v>958</v>
      </c>
      <c r="C551" s="1016"/>
      <c r="D551" s="1016"/>
      <c r="E551" s="1016"/>
      <c r="F551" s="1016"/>
      <c r="G551" s="1016"/>
      <c r="H551" s="1016"/>
      <c r="I551" s="1016"/>
      <c r="J551" s="1016"/>
      <c r="K551" s="70"/>
      <c r="L551" s="348"/>
      <c r="M551" s="348"/>
      <c r="N551" s="99"/>
    </row>
    <row r="552" spans="1:14" s="54" customFormat="1" ht="9" customHeight="1" x14ac:dyDescent="0.4">
      <c r="A552" s="53"/>
      <c r="B552" s="53"/>
      <c r="C552" s="56"/>
      <c r="D552" s="225"/>
      <c r="E552" s="225"/>
      <c r="F552" s="225"/>
      <c r="G552" s="225"/>
      <c r="H552" s="225"/>
      <c r="I552" s="225"/>
      <c r="J552" s="225"/>
      <c r="K552" s="70"/>
      <c r="L552" s="348"/>
      <c r="M552" s="348"/>
      <c r="N552" s="99"/>
    </row>
    <row r="553" spans="1:14" s="54" customFormat="1" ht="56.25" customHeight="1" x14ac:dyDescent="0.4">
      <c r="A553" s="53"/>
      <c r="B553" s="50" t="s">
        <v>562</v>
      </c>
      <c r="C553" s="1017" t="s">
        <v>569</v>
      </c>
      <c r="D553" s="1017"/>
      <c r="E553" s="1017"/>
      <c r="F553" s="296">
        <f>H604</f>
        <v>176</v>
      </c>
      <c r="G553" s="296" t="s">
        <v>971</v>
      </c>
      <c r="H553" s="225"/>
      <c r="I553" s="225"/>
      <c r="J553" s="225"/>
      <c r="K553" s="70"/>
      <c r="L553" s="348"/>
      <c r="M553" s="348"/>
      <c r="N553" s="99"/>
    </row>
    <row r="555" spans="1:14" x14ac:dyDescent="0.3">
      <c r="C555" s="1018" t="s">
        <v>932</v>
      </c>
      <c r="D555" s="1018"/>
      <c r="E555" s="297"/>
      <c r="F555" s="298">
        <f>F562+F565+F563</f>
        <v>90.039999999999992</v>
      </c>
      <c r="G555" s="227" t="s">
        <v>971</v>
      </c>
    </row>
    <row r="557" spans="1:14" x14ac:dyDescent="0.3">
      <c r="C557" s="318" t="s">
        <v>929</v>
      </c>
      <c r="D557" s="14" t="s">
        <v>928</v>
      </c>
      <c r="E557" s="14" t="s">
        <v>514</v>
      </c>
      <c r="F557" s="14" t="s">
        <v>515</v>
      </c>
      <c r="G557" s="14" t="s">
        <v>962</v>
      </c>
      <c r="H557" s="14" t="s">
        <v>926</v>
      </c>
      <c r="I557" s="14" t="s">
        <v>516</v>
      </c>
      <c r="J557" s="14" t="s">
        <v>961</v>
      </c>
    </row>
    <row r="558" spans="1:14" x14ac:dyDescent="0.3">
      <c r="C558" s="134" t="str">
        <f>C503</f>
        <v>Лікар з ультразвукової діагностики</v>
      </c>
      <c r="D558" s="73">
        <f>D503</f>
        <v>6660.23</v>
      </c>
      <c r="E558" s="78">
        <f>D558*12</f>
        <v>79922.759999999995</v>
      </c>
      <c r="F558" s="73">
        <f>F503</f>
        <v>6054.75</v>
      </c>
      <c r="G558" s="78">
        <f>G503</f>
        <v>3027.375</v>
      </c>
      <c r="H558" s="78">
        <f>E558+F558+G558</f>
        <v>89004.884999999995</v>
      </c>
      <c r="I558" s="73">
        <v>1656.6</v>
      </c>
      <c r="J558" s="78">
        <f>ROUND((H558/I558)/60,2)</f>
        <v>0.9</v>
      </c>
    </row>
    <row r="559" spans="1:14" x14ac:dyDescent="0.3">
      <c r="C559" s="134" t="str">
        <f>C504</f>
        <v xml:space="preserve">Сестра медична </v>
      </c>
      <c r="D559" s="73">
        <f>D504</f>
        <v>6506.5</v>
      </c>
      <c r="E559" s="78">
        <f>D559*12</f>
        <v>78078</v>
      </c>
      <c r="F559" s="73">
        <f>F504</f>
        <v>5005</v>
      </c>
      <c r="G559" s="73">
        <f>G504</f>
        <v>2502.5</v>
      </c>
      <c r="H559" s="78">
        <f>E559+F559+G559</f>
        <v>85585.5</v>
      </c>
      <c r="I559" s="73">
        <v>1932.7</v>
      </c>
      <c r="J559" s="78">
        <f>ROUND((H559/I559)/60,2)</f>
        <v>0.74</v>
      </c>
    </row>
    <row r="560" spans="1:14" ht="9.75" customHeight="1" x14ac:dyDescent="0.3"/>
    <row r="561" spans="3:7" ht="27.6" x14ac:dyDescent="0.3">
      <c r="C561" s="318" t="s">
        <v>929</v>
      </c>
      <c r="D561" s="14" t="s">
        <v>961</v>
      </c>
      <c r="E561" s="14" t="s">
        <v>930</v>
      </c>
      <c r="F561" s="14" t="s">
        <v>931</v>
      </c>
    </row>
    <row r="562" spans="3:7" x14ac:dyDescent="0.3">
      <c r="C562" s="320" t="str">
        <f>C558</f>
        <v>Лікар з ультразвукової діагностики</v>
      </c>
      <c r="D562" s="78">
        <f>J558</f>
        <v>0.9</v>
      </c>
      <c r="E562" s="73">
        <v>45</v>
      </c>
      <c r="F562" s="299">
        <f>ROUND(D562*E562,2)</f>
        <v>40.5</v>
      </c>
    </row>
    <row r="563" spans="3:7" x14ac:dyDescent="0.3">
      <c r="C563" s="320" t="str">
        <f>C559</f>
        <v xml:space="preserve">Сестра медична </v>
      </c>
      <c r="D563" s="78">
        <f>J559</f>
        <v>0.74</v>
      </c>
      <c r="E563" s="73">
        <v>45</v>
      </c>
      <c r="F563" s="299">
        <f>ROUND(D563*E563,2)</f>
        <v>33.299999999999997</v>
      </c>
    </row>
    <row r="564" spans="3:7" x14ac:dyDescent="0.3">
      <c r="D564" s="19"/>
    </row>
    <row r="565" spans="3:7" x14ac:dyDescent="0.3">
      <c r="C565" s="134" t="s">
        <v>933</v>
      </c>
      <c r="D565" s="78">
        <f>F562+F563</f>
        <v>73.8</v>
      </c>
      <c r="E565" s="300">
        <v>0.22</v>
      </c>
      <c r="F565" s="301">
        <f>ROUND(D565*E565,2)</f>
        <v>16.239999999999998</v>
      </c>
    </row>
    <row r="566" spans="3:7" ht="10.5" customHeight="1" x14ac:dyDescent="0.3"/>
    <row r="567" spans="3:7" x14ac:dyDescent="0.3">
      <c r="C567" s="321" t="s">
        <v>946</v>
      </c>
      <c r="D567" s="227"/>
      <c r="E567" s="227"/>
      <c r="F567" s="227">
        <f>G579</f>
        <v>12.45</v>
      </c>
      <c r="G567" s="227" t="s">
        <v>971</v>
      </c>
    </row>
    <row r="568" spans="3:7" ht="6.75" customHeight="1" x14ac:dyDescent="0.3"/>
    <row r="569" spans="3:7" x14ac:dyDescent="0.3">
      <c r="C569" s="27" t="str">
        <f t="shared" ref="C569:F578" si="20">C514</f>
        <v>Рукавиці не стерильні</v>
      </c>
      <c r="D569" s="303" t="str">
        <f t="shared" si="20"/>
        <v>шт</v>
      </c>
      <c r="E569" s="303">
        <f t="shared" si="20"/>
        <v>0.1</v>
      </c>
      <c r="F569" s="303">
        <f t="shared" si="20"/>
        <v>2.8</v>
      </c>
      <c r="G569" s="228">
        <f>ROUND(F569*E569,2)</f>
        <v>0.28000000000000003</v>
      </c>
    </row>
    <row r="570" spans="3:7" x14ac:dyDescent="0.3">
      <c r="C570" s="27" t="str">
        <f t="shared" si="20"/>
        <v xml:space="preserve">Септил 70% 100мл </v>
      </c>
      <c r="D570" s="303" t="str">
        <f t="shared" si="20"/>
        <v>шт</v>
      </c>
      <c r="E570" s="303">
        <f t="shared" si="20"/>
        <v>0.01</v>
      </c>
      <c r="F570" s="303">
        <f t="shared" si="20"/>
        <v>24.6</v>
      </c>
      <c r="G570" s="228">
        <f t="shared" ref="G570:G575" si="21">ROUND(F570*E570,2)</f>
        <v>0.25</v>
      </c>
    </row>
    <row r="571" spans="3:7" x14ac:dyDescent="0.3">
      <c r="C571" s="27" t="str">
        <f t="shared" si="20"/>
        <v>Маска на резинці, стерильна.</v>
      </c>
      <c r="D571" s="303" t="str">
        <f t="shared" si="20"/>
        <v>шт</v>
      </c>
      <c r="E571" s="303">
        <f t="shared" si="20"/>
        <v>0.1</v>
      </c>
      <c r="F571" s="303">
        <f t="shared" si="20"/>
        <v>2</v>
      </c>
      <c r="G571" s="228">
        <f t="shared" si="21"/>
        <v>0.2</v>
      </c>
    </row>
    <row r="572" spans="3:7" x14ac:dyDescent="0.3">
      <c r="C572" s="27" t="str">
        <f t="shared" si="20"/>
        <v>Мікрасепт</v>
      </c>
      <c r="D572" s="303" t="str">
        <f t="shared" si="20"/>
        <v>мл</v>
      </c>
      <c r="E572" s="303">
        <f t="shared" si="20"/>
        <v>1</v>
      </c>
      <c r="F572" s="303">
        <f t="shared" si="20"/>
        <v>0.3</v>
      </c>
      <c r="G572" s="28">
        <f>ROUND(E572*F572,2)</f>
        <v>0.3</v>
      </c>
    </row>
    <row r="573" spans="3:7" x14ac:dyDescent="0.3">
      <c r="C573" s="27" t="str">
        <f t="shared" si="20"/>
        <v>Папір офісний А4</v>
      </c>
      <c r="D573" s="303" t="str">
        <f t="shared" si="20"/>
        <v>шт</v>
      </c>
      <c r="E573" s="303">
        <f t="shared" si="20"/>
        <v>2</v>
      </c>
      <c r="F573" s="303">
        <f t="shared" si="20"/>
        <v>0.3</v>
      </c>
      <c r="G573" s="228">
        <f t="shared" si="21"/>
        <v>0.6</v>
      </c>
    </row>
    <row r="574" spans="3:7" x14ac:dyDescent="0.3">
      <c r="C574" s="27" t="str">
        <f t="shared" si="20"/>
        <v xml:space="preserve">Гель для УЗД , 1000 гр. </v>
      </c>
      <c r="D574" s="303" t="str">
        <f t="shared" si="20"/>
        <v>пляшка</v>
      </c>
      <c r="E574" s="303">
        <f t="shared" si="20"/>
        <v>0.1</v>
      </c>
      <c r="F574" s="303">
        <f t="shared" si="20"/>
        <v>48</v>
      </c>
      <c r="G574" s="228">
        <f t="shared" si="21"/>
        <v>4.8</v>
      </c>
    </row>
    <row r="575" spans="3:7" x14ac:dyDescent="0.3">
      <c r="C575" s="27" t="str">
        <f t="shared" si="20"/>
        <v>Паперові рушники "Fesko Professional"</v>
      </c>
      <c r="D575" s="303" t="str">
        <f t="shared" si="20"/>
        <v>рул</v>
      </c>
      <c r="E575" s="303">
        <f t="shared" si="20"/>
        <v>0.3</v>
      </c>
      <c r="F575" s="303">
        <f t="shared" si="20"/>
        <v>17</v>
      </c>
      <c r="G575" s="228">
        <f t="shared" si="21"/>
        <v>5.0999999999999996</v>
      </c>
    </row>
    <row r="576" spans="3:7" x14ac:dyDescent="0.3">
      <c r="C576" s="27" t="str">
        <f t="shared" si="20"/>
        <v>Марля медична</v>
      </c>
      <c r="D576" s="303" t="str">
        <f t="shared" si="20"/>
        <v>метр</v>
      </c>
      <c r="E576" s="303">
        <f t="shared" si="20"/>
        <v>0.1</v>
      </c>
      <c r="F576" s="303">
        <f t="shared" si="20"/>
        <v>6</v>
      </c>
      <c r="G576" s="28">
        <f>ROUND(E576*F576,2)</f>
        <v>0.6</v>
      </c>
    </row>
    <row r="577" spans="3:9" x14ac:dyDescent="0.3">
      <c r="C577" s="27" t="str">
        <f t="shared" si="20"/>
        <v>Вата</v>
      </c>
      <c r="D577" s="303" t="str">
        <f t="shared" si="20"/>
        <v>г</v>
      </c>
      <c r="E577" s="303">
        <f t="shared" si="20"/>
        <v>1</v>
      </c>
      <c r="F577" s="303">
        <f t="shared" si="20"/>
        <v>7.0000000000000007E-2</v>
      </c>
      <c r="G577" s="28">
        <f>ROUND(E577*F577,2)</f>
        <v>7.0000000000000007E-2</v>
      </c>
    </row>
    <row r="578" spans="3:9" x14ac:dyDescent="0.3">
      <c r="C578" s="27" t="str">
        <f t="shared" si="20"/>
        <v>Деззасоби</v>
      </c>
      <c r="D578" s="303" t="str">
        <f t="shared" si="20"/>
        <v>г</v>
      </c>
      <c r="E578" s="303">
        <f t="shared" si="20"/>
        <v>0.5</v>
      </c>
      <c r="F578" s="303">
        <f t="shared" si="20"/>
        <v>0.5</v>
      </c>
      <c r="G578" s="28">
        <f>ROUND(E578*F578,2)</f>
        <v>0.25</v>
      </c>
    </row>
    <row r="579" spans="3:9" x14ac:dyDescent="0.3">
      <c r="C579" s="1019" t="s">
        <v>945</v>
      </c>
      <c r="D579" s="1019"/>
      <c r="E579" s="1019"/>
      <c r="F579" s="1019"/>
      <c r="G579" s="332">
        <f>SUM(G569:G578)</f>
        <v>12.45</v>
      </c>
    </row>
    <row r="580" spans="3:9" ht="8.25" customHeight="1" x14ac:dyDescent="0.3"/>
    <row r="581" spans="3:9" x14ac:dyDescent="0.3">
      <c r="C581" s="321" t="s">
        <v>968</v>
      </c>
      <c r="D581" s="227"/>
      <c r="E581" s="227"/>
      <c r="F581" s="298">
        <f>H584</f>
        <v>61.65</v>
      </c>
      <c r="G581" s="227" t="s">
        <v>971</v>
      </c>
    </row>
    <row r="582" spans="3:9" ht="9.75" customHeight="1" x14ac:dyDescent="0.3">
      <c r="C582" s="322"/>
      <c r="D582" s="36"/>
      <c r="E582" s="36"/>
      <c r="F582" s="302"/>
      <c r="G582" s="36"/>
    </row>
    <row r="583" spans="3:9" ht="27.6" x14ac:dyDescent="0.3">
      <c r="C583" s="46" t="s">
        <v>513</v>
      </c>
      <c r="D583" s="14" t="s">
        <v>1108</v>
      </c>
      <c r="E583" s="14" t="s">
        <v>516</v>
      </c>
      <c r="F583" s="14" t="s">
        <v>970</v>
      </c>
      <c r="G583" s="14" t="s">
        <v>930</v>
      </c>
      <c r="H583" s="14" t="s">
        <v>961</v>
      </c>
    </row>
    <row r="584" spans="3:9" x14ac:dyDescent="0.3">
      <c r="C584" s="27" t="str">
        <f>C529</f>
        <v>Ультразвукова система AFFINITI 30</v>
      </c>
      <c r="D584" s="73">
        <f>D529</f>
        <v>136236.38</v>
      </c>
      <c r="E584" s="73">
        <f>I558</f>
        <v>1656.6</v>
      </c>
      <c r="F584" s="73">
        <f>ROUND((D584/E584)/60,2)</f>
        <v>1.37</v>
      </c>
      <c r="G584" s="73">
        <f>E562</f>
        <v>45</v>
      </c>
      <c r="H584" s="78">
        <f>ROUND(F584*G584,2)</f>
        <v>61.65</v>
      </c>
      <c r="I584" s="333"/>
    </row>
    <row r="585" spans="3:9" ht="9" customHeight="1" x14ac:dyDescent="0.3"/>
    <row r="586" spans="3:9" x14ac:dyDescent="0.3">
      <c r="C586" s="321" t="s">
        <v>948</v>
      </c>
      <c r="D586" s="227"/>
      <c r="E586" s="227"/>
      <c r="F586" s="298">
        <f>H599</f>
        <v>11.7</v>
      </c>
      <c r="G586" s="227" t="s">
        <v>971</v>
      </c>
    </row>
    <row r="587" spans="3:9" ht="12" customHeight="1" x14ac:dyDescent="0.3">
      <c r="C587" s="322"/>
      <c r="D587" s="36"/>
      <c r="E587" s="36"/>
      <c r="F587" s="302"/>
    </row>
    <row r="588" spans="3:9" ht="27.6" x14ac:dyDescent="0.3">
      <c r="C588" s="46" t="s">
        <v>948</v>
      </c>
      <c r="D588" s="14" t="s">
        <v>1110</v>
      </c>
      <c r="E588" s="14" t="s">
        <v>516</v>
      </c>
      <c r="F588" s="14" t="s">
        <v>954</v>
      </c>
      <c r="G588" s="14" t="s">
        <v>930</v>
      </c>
      <c r="H588" s="14" t="s">
        <v>1111</v>
      </c>
    </row>
    <row r="589" spans="3:9" x14ac:dyDescent="0.3">
      <c r="C589" s="1009" t="str">
        <f>C558</f>
        <v>Лікар з ультразвукової діагностики</v>
      </c>
      <c r="D589" s="1010"/>
      <c r="E589" s="1010"/>
      <c r="F589" s="1010"/>
      <c r="G589" s="1010"/>
      <c r="H589" s="1011"/>
    </row>
    <row r="590" spans="3:9" x14ac:dyDescent="0.3">
      <c r="C590" s="134" t="s">
        <v>951</v>
      </c>
      <c r="D590" s="221">
        <f>D535</f>
        <v>12188.608008565312</v>
      </c>
      <c r="E590" s="73">
        <f>I558</f>
        <v>1656.6</v>
      </c>
      <c r="F590" s="73">
        <f>ROUND((D590/E590)/60,2)</f>
        <v>0.12</v>
      </c>
      <c r="G590" s="73">
        <f>E562</f>
        <v>45</v>
      </c>
      <c r="H590" s="78">
        <f>ROUND(F590*G590,2)</f>
        <v>5.4</v>
      </c>
    </row>
    <row r="591" spans="3:9" x14ac:dyDescent="0.3">
      <c r="C591" s="134" t="s">
        <v>952</v>
      </c>
      <c r="D591" s="221">
        <f>D536</f>
        <v>53.149721627408987</v>
      </c>
      <c r="E591" s="73">
        <f>I558</f>
        <v>1656.6</v>
      </c>
      <c r="F591" s="73">
        <f>ROUND((D591/E591)/60,2)</f>
        <v>0</v>
      </c>
      <c r="G591" s="73">
        <f>E562</f>
        <v>45</v>
      </c>
      <c r="H591" s="78">
        <f>ROUND(F591*G591,2)</f>
        <v>0</v>
      </c>
    </row>
    <row r="592" spans="3:9" x14ac:dyDescent="0.3">
      <c r="C592" s="134" t="s">
        <v>953</v>
      </c>
      <c r="D592" s="221">
        <f>D537</f>
        <v>374.98368308351178</v>
      </c>
      <c r="E592" s="73">
        <f>I558</f>
        <v>1656.6</v>
      </c>
      <c r="F592" s="73">
        <f>ROUND((D592/E592)/60,2)</f>
        <v>0</v>
      </c>
      <c r="G592" s="73">
        <f>E562</f>
        <v>45</v>
      </c>
      <c r="H592" s="78">
        <f>ROUND(F592*G592,2)</f>
        <v>0</v>
      </c>
    </row>
    <row r="593" spans="1:14" x14ac:dyDescent="0.3">
      <c r="C593" s="134" t="s">
        <v>1109</v>
      </c>
      <c r="D593" s="221">
        <f>D538</f>
        <v>1686.0389293361886</v>
      </c>
      <c r="E593" s="73">
        <f>I558</f>
        <v>1656.6</v>
      </c>
      <c r="F593" s="73">
        <f>ROUND((D593/E593)/60,2)</f>
        <v>0.02</v>
      </c>
      <c r="G593" s="73">
        <f>E562</f>
        <v>45</v>
      </c>
      <c r="H593" s="78">
        <f>ROUND(F593*G593,2)</f>
        <v>0.9</v>
      </c>
    </row>
    <row r="594" spans="1:14" x14ac:dyDescent="0.3">
      <c r="C594" s="1009" t="str">
        <f>C559</f>
        <v xml:space="preserve">Сестра медична </v>
      </c>
      <c r="D594" s="1010"/>
      <c r="E594" s="1010"/>
      <c r="F594" s="1010"/>
      <c r="G594" s="1010"/>
      <c r="H594" s="1011"/>
    </row>
    <row r="595" spans="1:14" x14ac:dyDescent="0.3">
      <c r="C595" s="134" t="s">
        <v>951</v>
      </c>
      <c r="D595" s="221">
        <f>D540</f>
        <v>12188.608008565312</v>
      </c>
      <c r="E595" s="73">
        <f>I559</f>
        <v>1932.7</v>
      </c>
      <c r="F595" s="73">
        <f>ROUND((D595/E595)/60,2)</f>
        <v>0.11</v>
      </c>
      <c r="G595" s="73">
        <f>E563</f>
        <v>45</v>
      </c>
      <c r="H595" s="78">
        <f>ROUND(F595*G595,2)</f>
        <v>4.95</v>
      </c>
    </row>
    <row r="596" spans="1:14" x14ac:dyDescent="0.3">
      <c r="C596" s="134" t="s">
        <v>952</v>
      </c>
      <c r="D596" s="221">
        <f>D541</f>
        <v>53.149721627408987</v>
      </c>
      <c r="E596" s="73">
        <f>I559</f>
        <v>1932.7</v>
      </c>
      <c r="F596" s="73">
        <f>ROUND((D596/E596)/60,2)</f>
        <v>0</v>
      </c>
      <c r="G596" s="73">
        <f>E563</f>
        <v>45</v>
      </c>
      <c r="H596" s="78">
        <f>ROUND(F596*G596,2)</f>
        <v>0</v>
      </c>
    </row>
    <row r="597" spans="1:14" x14ac:dyDescent="0.3">
      <c r="C597" s="134" t="s">
        <v>953</v>
      </c>
      <c r="D597" s="221">
        <f>D542</f>
        <v>374.98368308351178</v>
      </c>
      <c r="E597" s="73">
        <f>I559</f>
        <v>1932.7</v>
      </c>
      <c r="F597" s="73">
        <f>ROUND((D597/E597)/60,2)</f>
        <v>0</v>
      </c>
      <c r="G597" s="73">
        <f>E563</f>
        <v>45</v>
      </c>
      <c r="H597" s="78">
        <f>ROUND(F597*G597,2)</f>
        <v>0</v>
      </c>
    </row>
    <row r="598" spans="1:14" x14ac:dyDescent="0.3">
      <c r="C598" s="134" t="s">
        <v>1109</v>
      </c>
      <c r="D598" s="221">
        <f>D543</f>
        <v>1686.0389293361886</v>
      </c>
      <c r="E598" s="73">
        <f>I559</f>
        <v>1932.7</v>
      </c>
      <c r="F598" s="73">
        <f>ROUND((D598/E598)/60,2)</f>
        <v>0.01</v>
      </c>
      <c r="G598" s="73">
        <f>E563</f>
        <v>45</v>
      </c>
      <c r="H598" s="78">
        <f>ROUND(F598*G598,2)</f>
        <v>0.45</v>
      </c>
    </row>
    <row r="599" spans="1:14" x14ac:dyDescent="0.3">
      <c r="C599" s="1012" t="s">
        <v>957</v>
      </c>
      <c r="D599" s="1013"/>
      <c r="E599" s="1013"/>
      <c r="F599" s="1013"/>
      <c r="G599" s="1014"/>
      <c r="H599" s="299">
        <f>SUM(H590:H598)</f>
        <v>11.7</v>
      </c>
    </row>
    <row r="600" spans="1:14" ht="12.75" customHeight="1" x14ac:dyDescent="0.3"/>
    <row r="602" spans="1:14" x14ac:dyDescent="0.3">
      <c r="C602" s="1015" t="s">
        <v>959</v>
      </c>
      <c r="D602" s="1015"/>
      <c r="E602" s="1015"/>
      <c r="F602" s="1015"/>
      <c r="G602" s="1015"/>
      <c r="H602" s="334">
        <f>F555+F567+F581+F586</f>
        <v>175.83999999999997</v>
      </c>
    </row>
    <row r="603" spans="1:14" x14ac:dyDescent="0.3">
      <c r="C603" s="323"/>
      <c r="D603" s="33"/>
      <c r="E603" s="33"/>
      <c r="F603" s="33"/>
      <c r="G603" s="33"/>
      <c r="H603" s="335"/>
    </row>
    <row r="604" spans="1:14" x14ac:dyDescent="0.3">
      <c r="C604" s="1015" t="s">
        <v>960</v>
      </c>
      <c r="D604" s="1015"/>
      <c r="E604" s="1015"/>
      <c r="F604" s="1015"/>
      <c r="G604" s="1015"/>
      <c r="H604" s="334">
        <f>ROUND(H602,0)</f>
        <v>176</v>
      </c>
    </row>
    <row r="606" spans="1:14" s="54" customFormat="1" ht="19.8" x14ac:dyDescent="0.4">
      <c r="A606" s="53"/>
      <c r="B606" s="1016" t="s">
        <v>958</v>
      </c>
      <c r="C606" s="1016"/>
      <c r="D606" s="1016"/>
      <c r="E606" s="1016"/>
      <c r="F606" s="1016"/>
      <c r="G606" s="1016"/>
      <c r="H606" s="1016"/>
      <c r="I606" s="1016"/>
      <c r="J606" s="1016"/>
      <c r="K606" s="70"/>
      <c r="L606" s="348"/>
      <c r="M606" s="348"/>
      <c r="N606" s="99"/>
    </row>
    <row r="607" spans="1:14" s="54" customFormat="1" ht="19.8" x14ac:dyDescent="0.4">
      <c r="A607" s="53"/>
      <c r="B607" s="53"/>
      <c r="C607" s="56"/>
      <c r="D607" s="225"/>
      <c r="E607" s="225"/>
      <c r="F607" s="225"/>
      <c r="G607" s="225"/>
      <c r="H607" s="225"/>
      <c r="I607" s="225"/>
      <c r="J607" s="225"/>
      <c r="K607" s="70"/>
      <c r="L607" s="348"/>
      <c r="M607" s="348"/>
      <c r="N607" s="99"/>
    </row>
    <row r="608" spans="1:14" s="54" customFormat="1" ht="36" customHeight="1" x14ac:dyDescent="0.4">
      <c r="A608" s="53"/>
      <c r="B608" s="50" t="s">
        <v>564</v>
      </c>
      <c r="C608" s="1017" t="s">
        <v>571</v>
      </c>
      <c r="D608" s="1017"/>
      <c r="E608" s="1017"/>
      <c r="F608" s="296">
        <f>H659</f>
        <v>67</v>
      </c>
      <c r="G608" s="296" t="s">
        <v>971</v>
      </c>
      <c r="H608" s="225"/>
      <c r="I608" s="225"/>
      <c r="J608" s="225"/>
      <c r="K608" s="70"/>
      <c r="L608" s="348"/>
      <c r="M608" s="348"/>
      <c r="N608" s="99"/>
    </row>
    <row r="610" spans="3:10" x14ac:dyDescent="0.3">
      <c r="C610" s="1018" t="s">
        <v>932</v>
      </c>
      <c r="D610" s="1018"/>
      <c r="E610" s="297"/>
      <c r="F610" s="298">
        <f>F617+F620+F618</f>
        <v>30.009999999999998</v>
      </c>
      <c r="G610" s="227" t="s">
        <v>971</v>
      </c>
    </row>
    <row r="612" spans="3:10" x14ac:dyDescent="0.3">
      <c r="C612" s="318" t="s">
        <v>929</v>
      </c>
      <c r="D612" s="14" t="s">
        <v>928</v>
      </c>
      <c r="E612" s="14" t="s">
        <v>514</v>
      </c>
      <c r="F612" s="14" t="s">
        <v>515</v>
      </c>
      <c r="G612" s="14" t="s">
        <v>962</v>
      </c>
      <c r="H612" s="14" t="s">
        <v>926</v>
      </c>
      <c r="I612" s="14" t="s">
        <v>516</v>
      </c>
      <c r="J612" s="14" t="s">
        <v>961</v>
      </c>
    </row>
    <row r="613" spans="3:10" x14ac:dyDescent="0.3">
      <c r="C613" s="134" t="str">
        <f>C558</f>
        <v>Лікар з ультразвукової діагностики</v>
      </c>
      <c r="D613" s="73">
        <f>D558</f>
        <v>6660.23</v>
      </c>
      <c r="E613" s="78">
        <f>D613*12</f>
        <v>79922.759999999995</v>
      </c>
      <c r="F613" s="73">
        <f>F558</f>
        <v>6054.75</v>
      </c>
      <c r="G613" s="78">
        <f>G558</f>
        <v>3027.375</v>
      </c>
      <c r="H613" s="78">
        <f>E613+F613+G613</f>
        <v>89004.884999999995</v>
      </c>
      <c r="I613" s="73">
        <v>1656.6</v>
      </c>
      <c r="J613" s="78">
        <f>ROUND((H613/I613)/60,2)</f>
        <v>0.9</v>
      </c>
    </row>
    <row r="614" spans="3:10" x14ac:dyDescent="0.3">
      <c r="C614" s="134" t="str">
        <f>C559</f>
        <v xml:space="preserve">Сестра медична </v>
      </c>
      <c r="D614" s="73">
        <f>D559</f>
        <v>6506.5</v>
      </c>
      <c r="E614" s="78">
        <f>D614*12</f>
        <v>78078</v>
      </c>
      <c r="F614" s="73">
        <f>F559</f>
        <v>5005</v>
      </c>
      <c r="G614" s="73">
        <f>G559</f>
        <v>2502.5</v>
      </c>
      <c r="H614" s="78">
        <f>E614+F614+G614</f>
        <v>85585.5</v>
      </c>
      <c r="I614" s="73">
        <v>1932.7</v>
      </c>
      <c r="J614" s="78">
        <f>ROUND((H614/I614)/60,2)</f>
        <v>0.74</v>
      </c>
    </row>
    <row r="616" spans="3:10" ht="27.6" x14ac:dyDescent="0.3">
      <c r="C616" s="318" t="s">
        <v>929</v>
      </c>
      <c r="D616" s="14" t="s">
        <v>961</v>
      </c>
      <c r="E616" s="14" t="s">
        <v>930</v>
      </c>
      <c r="F616" s="14" t="s">
        <v>931</v>
      </c>
    </row>
    <row r="617" spans="3:10" x14ac:dyDescent="0.3">
      <c r="C617" s="320" t="str">
        <f>C613</f>
        <v>Лікар з ультразвукової діагностики</v>
      </c>
      <c r="D617" s="78">
        <f>J613</f>
        <v>0.9</v>
      </c>
      <c r="E617" s="73">
        <v>15</v>
      </c>
      <c r="F617" s="299">
        <f>ROUND(D617*E617,2)</f>
        <v>13.5</v>
      </c>
    </row>
    <row r="618" spans="3:10" x14ac:dyDescent="0.3">
      <c r="C618" s="320" t="str">
        <f>C614</f>
        <v xml:space="preserve">Сестра медична </v>
      </c>
      <c r="D618" s="78">
        <f>J614</f>
        <v>0.74</v>
      </c>
      <c r="E618" s="73">
        <v>15</v>
      </c>
      <c r="F618" s="299">
        <f>ROUND(D618*E618,2)</f>
        <v>11.1</v>
      </c>
    </row>
    <row r="619" spans="3:10" x14ac:dyDescent="0.3">
      <c r="D619" s="19"/>
    </row>
    <row r="620" spans="3:10" x14ac:dyDescent="0.3">
      <c r="C620" s="134" t="s">
        <v>933</v>
      </c>
      <c r="D620" s="78">
        <f>F617+F618</f>
        <v>24.6</v>
      </c>
      <c r="E620" s="300">
        <v>0.22</v>
      </c>
      <c r="F620" s="301">
        <f>ROUND(D620*E620,2)</f>
        <v>5.41</v>
      </c>
    </row>
    <row r="622" spans="3:10" x14ac:dyDescent="0.3">
      <c r="C622" s="321" t="s">
        <v>946</v>
      </c>
      <c r="D622" s="227"/>
      <c r="E622" s="227"/>
      <c r="F622" s="227">
        <f>G634</f>
        <v>12.45</v>
      </c>
      <c r="G622" s="227" t="s">
        <v>971</v>
      </c>
    </row>
    <row r="624" spans="3:10" x14ac:dyDescent="0.3">
      <c r="C624" s="27" t="str">
        <f t="shared" ref="C624:F633" si="22">C569</f>
        <v>Рукавиці не стерильні</v>
      </c>
      <c r="D624" s="303" t="str">
        <f t="shared" si="22"/>
        <v>шт</v>
      </c>
      <c r="E624" s="303">
        <f t="shared" si="22"/>
        <v>0.1</v>
      </c>
      <c r="F624" s="303">
        <f t="shared" si="22"/>
        <v>2.8</v>
      </c>
      <c r="G624" s="228">
        <f>ROUND(F624*E624,2)</f>
        <v>0.28000000000000003</v>
      </c>
    </row>
    <row r="625" spans="3:9" x14ac:dyDescent="0.3">
      <c r="C625" s="27" t="str">
        <f t="shared" si="22"/>
        <v xml:space="preserve">Септил 70% 100мл </v>
      </c>
      <c r="D625" s="303" t="str">
        <f t="shared" si="22"/>
        <v>шт</v>
      </c>
      <c r="E625" s="303">
        <f t="shared" si="22"/>
        <v>0.01</v>
      </c>
      <c r="F625" s="303">
        <f t="shared" si="22"/>
        <v>24.6</v>
      </c>
      <c r="G625" s="228">
        <f t="shared" ref="G625:G630" si="23">ROUND(F625*E625,2)</f>
        <v>0.25</v>
      </c>
    </row>
    <row r="626" spans="3:9" x14ac:dyDescent="0.3">
      <c r="C626" s="27" t="str">
        <f t="shared" si="22"/>
        <v>Маска на резинці, стерильна.</v>
      </c>
      <c r="D626" s="303" t="str">
        <f t="shared" si="22"/>
        <v>шт</v>
      </c>
      <c r="E626" s="303">
        <f t="shared" si="22"/>
        <v>0.1</v>
      </c>
      <c r="F626" s="303">
        <f t="shared" si="22"/>
        <v>2</v>
      </c>
      <c r="G626" s="228">
        <f t="shared" si="23"/>
        <v>0.2</v>
      </c>
    </row>
    <row r="627" spans="3:9" x14ac:dyDescent="0.3">
      <c r="C627" s="27" t="str">
        <f t="shared" si="22"/>
        <v>Мікрасепт</v>
      </c>
      <c r="D627" s="303" t="str">
        <f t="shared" si="22"/>
        <v>мл</v>
      </c>
      <c r="E627" s="303">
        <f t="shared" si="22"/>
        <v>1</v>
      </c>
      <c r="F627" s="303">
        <f t="shared" si="22"/>
        <v>0.3</v>
      </c>
      <c r="G627" s="28">
        <f>ROUND(E627*F627,2)</f>
        <v>0.3</v>
      </c>
    </row>
    <row r="628" spans="3:9" x14ac:dyDescent="0.3">
      <c r="C628" s="27" t="str">
        <f t="shared" si="22"/>
        <v>Папір офісний А4</v>
      </c>
      <c r="D628" s="303" t="str">
        <f t="shared" si="22"/>
        <v>шт</v>
      </c>
      <c r="E628" s="303">
        <f t="shared" si="22"/>
        <v>2</v>
      </c>
      <c r="F628" s="303">
        <f t="shared" si="22"/>
        <v>0.3</v>
      </c>
      <c r="G628" s="228">
        <f t="shared" si="23"/>
        <v>0.6</v>
      </c>
    </row>
    <row r="629" spans="3:9" x14ac:dyDescent="0.3">
      <c r="C629" s="27" t="str">
        <f t="shared" si="22"/>
        <v xml:space="preserve">Гель для УЗД , 1000 гр. </v>
      </c>
      <c r="D629" s="303" t="str">
        <f t="shared" si="22"/>
        <v>пляшка</v>
      </c>
      <c r="E629" s="303">
        <f t="shared" si="22"/>
        <v>0.1</v>
      </c>
      <c r="F629" s="303">
        <f t="shared" si="22"/>
        <v>48</v>
      </c>
      <c r="G629" s="228">
        <f t="shared" si="23"/>
        <v>4.8</v>
      </c>
    </row>
    <row r="630" spans="3:9" x14ac:dyDescent="0.3">
      <c r="C630" s="27" t="str">
        <f t="shared" si="22"/>
        <v>Паперові рушники "Fesko Professional"</v>
      </c>
      <c r="D630" s="303" t="str">
        <f t="shared" si="22"/>
        <v>рул</v>
      </c>
      <c r="E630" s="303">
        <f t="shared" si="22"/>
        <v>0.3</v>
      </c>
      <c r="F630" s="303">
        <f t="shared" si="22"/>
        <v>17</v>
      </c>
      <c r="G630" s="228">
        <f t="shared" si="23"/>
        <v>5.0999999999999996</v>
      </c>
    </row>
    <row r="631" spans="3:9" x14ac:dyDescent="0.3">
      <c r="C631" s="27" t="str">
        <f t="shared" si="22"/>
        <v>Марля медична</v>
      </c>
      <c r="D631" s="303" t="str">
        <f t="shared" si="22"/>
        <v>метр</v>
      </c>
      <c r="E631" s="303">
        <f t="shared" si="22"/>
        <v>0.1</v>
      </c>
      <c r="F631" s="303">
        <f t="shared" si="22"/>
        <v>6</v>
      </c>
      <c r="G631" s="28">
        <f>ROUND(E631*F631,2)</f>
        <v>0.6</v>
      </c>
    </row>
    <row r="632" spans="3:9" x14ac:dyDescent="0.3">
      <c r="C632" s="27" t="str">
        <f t="shared" si="22"/>
        <v>Вата</v>
      </c>
      <c r="D632" s="303" t="str">
        <f t="shared" si="22"/>
        <v>г</v>
      </c>
      <c r="E632" s="303">
        <f t="shared" si="22"/>
        <v>1</v>
      </c>
      <c r="F632" s="303">
        <f t="shared" si="22"/>
        <v>7.0000000000000007E-2</v>
      </c>
      <c r="G632" s="28">
        <f>ROUND(E632*F632,2)</f>
        <v>7.0000000000000007E-2</v>
      </c>
    </row>
    <row r="633" spans="3:9" x14ac:dyDescent="0.3">
      <c r="C633" s="27" t="str">
        <f t="shared" si="22"/>
        <v>Деззасоби</v>
      </c>
      <c r="D633" s="303" t="str">
        <f t="shared" si="22"/>
        <v>г</v>
      </c>
      <c r="E633" s="303">
        <f t="shared" si="22"/>
        <v>0.5</v>
      </c>
      <c r="F633" s="303">
        <f t="shared" si="22"/>
        <v>0.5</v>
      </c>
      <c r="G633" s="28">
        <f>ROUND(E633*F633,2)</f>
        <v>0.25</v>
      </c>
    </row>
    <row r="634" spans="3:9" x14ac:dyDescent="0.3">
      <c r="C634" s="1019" t="s">
        <v>945</v>
      </c>
      <c r="D634" s="1019"/>
      <c r="E634" s="1019"/>
      <c r="F634" s="1019"/>
      <c r="G634" s="332">
        <f>SUM(G624:G633)</f>
        <v>12.45</v>
      </c>
    </row>
    <row r="635" spans="3:9" ht="8.25" customHeight="1" x14ac:dyDescent="0.3"/>
    <row r="636" spans="3:9" x14ac:dyDescent="0.3">
      <c r="C636" s="321" t="s">
        <v>968</v>
      </c>
      <c r="D636" s="227"/>
      <c r="E636" s="227"/>
      <c r="F636" s="298">
        <f>H639</f>
        <v>20.55</v>
      </c>
      <c r="G636" s="227" t="s">
        <v>971</v>
      </c>
    </row>
    <row r="637" spans="3:9" ht="9.75" customHeight="1" x14ac:dyDescent="0.3">
      <c r="C637" s="322"/>
      <c r="D637" s="36"/>
      <c r="E637" s="36"/>
      <c r="F637" s="302"/>
      <c r="G637" s="36"/>
    </row>
    <row r="638" spans="3:9" ht="27.6" x14ac:dyDescent="0.3">
      <c r="C638" s="46" t="s">
        <v>513</v>
      </c>
      <c r="D638" s="14" t="s">
        <v>1108</v>
      </c>
      <c r="E638" s="14" t="s">
        <v>516</v>
      </c>
      <c r="F638" s="14" t="s">
        <v>970</v>
      </c>
      <c r="G638" s="14" t="s">
        <v>930</v>
      </c>
      <c r="H638" s="14" t="s">
        <v>961</v>
      </c>
    </row>
    <row r="639" spans="3:9" x14ac:dyDescent="0.3">
      <c r="C639" s="27" t="str">
        <f>C584</f>
        <v>Ультразвукова система AFFINITI 30</v>
      </c>
      <c r="D639" s="73">
        <f>D584</f>
        <v>136236.38</v>
      </c>
      <c r="E639" s="73">
        <f>I613</f>
        <v>1656.6</v>
      </c>
      <c r="F639" s="73">
        <f>ROUND((D639/E639)/60,2)</f>
        <v>1.37</v>
      </c>
      <c r="G639" s="73">
        <f>E617</f>
        <v>15</v>
      </c>
      <c r="H639" s="78">
        <f>ROUND(F639*G639,2)</f>
        <v>20.55</v>
      </c>
      <c r="I639" s="333"/>
    </row>
    <row r="640" spans="3:9" ht="9.75" customHeight="1" x14ac:dyDescent="0.3"/>
    <row r="641" spans="3:8" x14ac:dyDescent="0.3">
      <c r="C641" s="321" t="s">
        <v>948</v>
      </c>
      <c r="D641" s="227"/>
      <c r="E641" s="227"/>
      <c r="F641" s="298">
        <f>H654</f>
        <v>3.9</v>
      </c>
      <c r="G641" s="227" t="s">
        <v>971</v>
      </c>
    </row>
    <row r="642" spans="3:8" ht="9" customHeight="1" x14ac:dyDescent="0.3">
      <c r="C642" s="322"/>
      <c r="D642" s="36"/>
      <c r="E642" s="36"/>
      <c r="F642" s="302"/>
    </row>
    <row r="643" spans="3:8" ht="27.6" x14ac:dyDescent="0.3">
      <c r="C643" s="46" t="s">
        <v>948</v>
      </c>
      <c r="D643" s="14" t="s">
        <v>1110</v>
      </c>
      <c r="E643" s="14" t="s">
        <v>516</v>
      </c>
      <c r="F643" s="14" t="s">
        <v>954</v>
      </c>
      <c r="G643" s="14" t="s">
        <v>930</v>
      </c>
      <c r="H643" s="14" t="s">
        <v>1111</v>
      </c>
    </row>
    <row r="644" spans="3:8" x14ac:dyDescent="0.3">
      <c r="C644" s="1009" t="str">
        <f>C613</f>
        <v>Лікар з ультразвукової діагностики</v>
      </c>
      <c r="D644" s="1010"/>
      <c r="E644" s="1010"/>
      <c r="F644" s="1010"/>
      <c r="G644" s="1010"/>
      <c r="H644" s="1011"/>
    </row>
    <row r="645" spans="3:8" x14ac:dyDescent="0.3">
      <c r="C645" s="134" t="s">
        <v>951</v>
      </c>
      <c r="D645" s="221">
        <f>D590</f>
        <v>12188.608008565312</v>
      </c>
      <c r="E645" s="73">
        <f>I613</f>
        <v>1656.6</v>
      </c>
      <c r="F645" s="73">
        <f>ROUND((D645/E645)/60,2)</f>
        <v>0.12</v>
      </c>
      <c r="G645" s="73">
        <f>E617</f>
        <v>15</v>
      </c>
      <c r="H645" s="78">
        <f>ROUND(F645*G645,2)</f>
        <v>1.8</v>
      </c>
    </row>
    <row r="646" spans="3:8" x14ac:dyDescent="0.3">
      <c r="C646" s="134" t="s">
        <v>952</v>
      </c>
      <c r="D646" s="221">
        <f>D591</f>
        <v>53.149721627408987</v>
      </c>
      <c r="E646" s="73">
        <f>I613</f>
        <v>1656.6</v>
      </c>
      <c r="F646" s="73">
        <f>ROUND((D646/E646)/60,2)</f>
        <v>0</v>
      </c>
      <c r="G646" s="73">
        <f>E617</f>
        <v>15</v>
      </c>
      <c r="H646" s="78">
        <f>ROUND(F646*G646,2)</f>
        <v>0</v>
      </c>
    </row>
    <row r="647" spans="3:8" x14ac:dyDescent="0.3">
      <c r="C647" s="134" t="s">
        <v>953</v>
      </c>
      <c r="D647" s="221">
        <f>D592</f>
        <v>374.98368308351178</v>
      </c>
      <c r="E647" s="73">
        <f>I613</f>
        <v>1656.6</v>
      </c>
      <c r="F647" s="73">
        <f>ROUND((D647/E647)/60,2)</f>
        <v>0</v>
      </c>
      <c r="G647" s="73">
        <f>E617</f>
        <v>15</v>
      </c>
      <c r="H647" s="78">
        <f>ROUND(F647*G647,2)</f>
        <v>0</v>
      </c>
    </row>
    <row r="648" spans="3:8" x14ac:dyDescent="0.3">
      <c r="C648" s="134" t="s">
        <v>1109</v>
      </c>
      <c r="D648" s="221">
        <f>D593</f>
        <v>1686.0389293361886</v>
      </c>
      <c r="E648" s="73">
        <f>I613</f>
        <v>1656.6</v>
      </c>
      <c r="F648" s="73">
        <f>ROUND((D648/E648)/60,2)</f>
        <v>0.02</v>
      </c>
      <c r="G648" s="73">
        <f>E617</f>
        <v>15</v>
      </c>
      <c r="H648" s="78">
        <f>ROUND(F648*G648,2)</f>
        <v>0.3</v>
      </c>
    </row>
    <row r="649" spans="3:8" x14ac:dyDescent="0.3">
      <c r="C649" s="1009" t="str">
        <f>C614</f>
        <v xml:space="preserve">Сестра медична </v>
      </c>
      <c r="D649" s="1010"/>
      <c r="E649" s="1010"/>
      <c r="F649" s="1010"/>
      <c r="G649" s="1010"/>
      <c r="H649" s="1011"/>
    </row>
    <row r="650" spans="3:8" x14ac:dyDescent="0.3">
      <c r="C650" s="134" t="s">
        <v>951</v>
      </c>
      <c r="D650" s="221">
        <f>D645</f>
        <v>12188.608008565312</v>
      </c>
      <c r="E650" s="73">
        <f>I614</f>
        <v>1932.7</v>
      </c>
      <c r="F650" s="73">
        <f>ROUND((D650/E650)/60,2)</f>
        <v>0.11</v>
      </c>
      <c r="G650" s="73">
        <f>E618</f>
        <v>15</v>
      </c>
      <c r="H650" s="78">
        <f>ROUND(F650*G650,2)</f>
        <v>1.65</v>
      </c>
    </row>
    <row r="651" spans="3:8" x14ac:dyDescent="0.3">
      <c r="C651" s="134" t="s">
        <v>952</v>
      </c>
      <c r="D651" s="221">
        <f>D646</f>
        <v>53.149721627408987</v>
      </c>
      <c r="E651" s="73">
        <f>I614</f>
        <v>1932.7</v>
      </c>
      <c r="F651" s="73">
        <f>ROUND((D651/E651)/60,2)</f>
        <v>0</v>
      </c>
      <c r="G651" s="73">
        <f>E618</f>
        <v>15</v>
      </c>
      <c r="H651" s="78">
        <f>ROUND(F651*G651,2)</f>
        <v>0</v>
      </c>
    </row>
    <row r="652" spans="3:8" x14ac:dyDescent="0.3">
      <c r="C652" s="134" t="s">
        <v>953</v>
      </c>
      <c r="D652" s="221">
        <f>D647</f>
        <v>374.98368308351178</v>
      </c>
      <c r="E652" s="73">
        <f>I614</f>
        <v>1932.7</v>
      </c>
      <c r="F652" s="73">
        <f>ROUND((D652/E652)/60,2)</f>
        <v>0</v>
      </c>
      <c r="G652" s="73">
        <f>E618</f>
        <v>15</v>
      </c>
      <c r="H652" s="78">
        <f>ROUND(F652*G652,2)</f>
        <v>0</v>
      </c>
    </row>
    <row r="653" spans="3:8" x14ac:dyDescent="0.3">
      <c r="C653" s="134" t="s">
        <v>1109</v>
      </c>
      <c r="D653" s="221">
        <f>D648</f>
        <v>1686.0389293361886</v>
      </c>
      <c r="E653" s="73">
        <f>I614</f>
        <v>1932.7</v>
      </c>
      <c r="F653" s="73">
        <f>ROUND((D653/E653)/60,2)</f>
        <v>0.01</v>
      </c>
      <c r="G653" s="73">
        <f>E618</f>
        <v>15</v>
      </c>
      <c r="H653" s="78">
        <f>ROUND(F653*G653,2)</f>
        <v>0.15</v>
      </c>
    </row>
    <row r="654" spans="3:8" x14ac:dyDescent="0.3">
      <c r="C654" s="1012" t="s">
        <v>957</v>
      </c>
      <c r="D654" s="1013"/>
      <c r="E654" s="1013"/>
      <c r="F654" s="1013"/>
      <c r="G654" s="1014"/>
      <c r="H654" s="299">
        <f>SUM(H645:H653)</f>
        <v>3.9</v>
      </c>
    </row>
    <row r="656" spans="3:8" ht="0.75" customHeight="1" x14ac:dyDescent="0.3"/>
    <row r="657" spans="1:14" x14ac:dyDescent="0.3">
      <c r="C657" s="1015" t="s">
        <v>959</v>
      </c>
      <c r="D657" s="1015"/>
      <c r="E657" s="1015"/>
      <c r="F657" s="1015"/>
      <c r="G657" s="1015"/>
      <c r="H657" s="334">
        <f>F610+F622+F636+F641</f>
        <v>66.91</v>
      </c>
    </row>
    <row r="658" spans="1:14" x14ac:dyDescent="0.3">
      <c r="C658" s="323"/>
      <c r="D658" s="33"/>
      <c r="E658" s="33"/>
      <c r="F658" s="33"/>
      <c r="G658" s="33"/>
      <c r="H658" s="335"/>
    </row>
    <row r="659" spans="1:14" x14ac:dyDescent="0.3">
      <c r="C659" s="1015" t="s">
        <v>960</v>
      </c>
      <c r="D659" s="1015"/>
      <c r="E659" s="1015"/>
      <c r="F659" s="1015"/>
      <c r="G659" s="1015"/>
      <c r="H659" s="334">
        <f>ROUND(H657,0)</f>
        <v>67</v>
      </c>
    </row>
    <row r="661" spans="1:14" s="54" customFormat="1" ht="19.8" x14ac:dyDescent="0.4">
      <c r="A661" s="53"/>
      <c r="B661" s="1016" t="s">
        <v>958</v>
      </c>
      <c r="C661" s="1016"/>
      <c r="D661" s="1016"/>
      <c r="E661" s="1016"/>
      <c r="F661" s="1016"/>
      <c r="G661" s="1016"/>
      <c r="H661" s="1016"/>
      <c r="I661" s="1016"/>
      <c r="J661" s="1016"/>
      <c r="K661" s="70"/>
      <c r="L661" s="348"/>
      <c r="M661" s="348"/>
      <c r="N661" s="99"/>
    </row>
    <row r="662" spans="1:14" s="54" customFormat="1" ht="19.8" x14ac:dyDescent="0.4">
      <c r="A662" s="53"/>
      <c r="B662" s="53"/>
      <c r="C662" s="56"/>
      <c r="D662" s="225"/>
      <c r="E662" s="225"/>
      <c r="F662" s="225"/>
      <c r="G662" s="225"/>
      <c r="H662" s="225"/>
      <c r="I662" s="225"/>
      <c r="J662" s="225"/>
      <c r="K662" s="70"/>
      <c r="L662" s="348"/>
      <c r="M662" s="348"/>
      <c r="N662" s="99"/>
    </row>
    <row r="663" spans="1:14" s="54" customFormat="1" ht="34.5" customHeight="1" x14ac:dyDescent="0.4">
      <c r="A663" s="53"/>
      <c r="B663" s="50" t="s">
        <v>566</v>
      </c>
      <c r="C663" s="1017" t="s">
        <v>573</v>
      </c>
      <c r="D663" s="1017"/>
      <c r="E663" s="1017"/>
      <c r="F663" s="296">
        <f>H714</f>
        <v>85</v>
      </c>
      <c r="G663" s="296" t="s">
        <v>971</v>
      </c>
      <c r="H663" s="225"/>
      <c r="I663" s="225"/>
      <c r="J663" s="225"/>
      <c r="K663" s="70"/>
      <c r="L663" s="348"/>
      <c r="M663" s="348"/>
      <c r="N663" s="99"/>
    </row>
    <row r="665" spans="1:14" x14ac:dyDescent="0.3">
      <c r="C665" s="1018" t="s">
        <v>932</v>
      </c>
      <c r="D665" s="1018"/>
      <c r="E665" s="297"/>
      <c r="F665" s="298">
        <f>F672+F675+F673</f>
        <v>40.019999999999996</v>
      </c>
      <c r="G665" s="227" t="s">
        <v>971</v>
      </c>
    </row>
    <row r="667" spans="1:14" x14ac:dyDescent="0.3">
      <c r="C667" s="318" t="s">
        <v>929</v>
      </c>
      <c r="D667" s="14" t="s">
        <v>928</v>
      </c>
      <c r="E667" s="14" t="s">
        <v>514</v>
      </c>
      <c r="F667" s="14" t="s">
        <v>515</v>
      </c>
      <c r="G667" s="14" t="s">
        <v>962</v>
      </c>
      <c r="H667" s="14" t="s">
        <v>926</v>
      </c>
      <c r="I667" s="14" t="s">
        <v>516</v>
      </c>
      <c r="J667" s="14" t="s">
        <v>961</v>
      </c>
    </row>
    <row r="668" spans="1:14" x14ac:dyDescent="0.3">
      <c r="C668" s="134" t="str">
        <f>C613</f>
        <v>Лікар з ультразвукової діагностики</v>
      </c>
      <c r="D668" s="73">
        <f>D613</f>
        <v>6660.23</v>
      </c>
      <c r="E668" s="78">
        <f>D668*12</f>
        <v>79922.759999999995</v>
      </c>
      <c r="F668" s="73">
        <f>F613</f>
        <v>6054.75</v>
      </c>
      <c r="G668" s="78">
        <f>G613</f>
        <v>3027.375</v>
      </c>
      <c r="H668" s="78">
        <f>E668+F668+G668</f>
        <v>89004.884999999995</v>
      </c>
      <c r="I668" s="73">
        <v>1656.6</v>
      </c>
      <c r="J668" s="78">
        <f>ROUND((H668/I668)/60,2)</f>
        <v>0.9</v>
      </c>
    </row>
    <row r="669" spans="1:14" x14ac:dyDescent="0.3">
      <c r="C669" s="134" t="str">
        <f>C614</f>
        <v xml:space="preserve">Сестра медична </v>
      </c>
      <c r="D669" s="73">
        <f>D614</f>
        <v>6506.5</v>
      </c>
      <c r="E669" s="78">
        <f>D669*12</f>
        <v>78078</v>
      </c>
      <c r="F669" s="73">
        <f>F614</f>
        <v>5005</v>
      </c>
      <c r="G669" s="73">
        <f>G614</f>
        <v>2502.5</v>
      </c>
      <c r="H669" s="78">
        <f>E669+F669+G669</f>
        <v>85585.5</v>
      </c>
      <c r="I669" s="73">
        <v>1932.7</v>
      </c>
      <c r="J669" s="78">
        <f>ROUND((H669/I669)/60,2)</f>
        <v>0.74</v>
      </c>
    </row>
    <row r="671" spans="1:14" ht="27.6" x14ac:dyDescent="0.3">
      <c r="C671" s="318" t="s">
        <v>929</v>
      </c>
      <c r="D671" s="14" t="s">
        <v>961</v>
      </c>
      <c r="E671" s="14" t="s">
        <v>930</v>
      </c>
      <c r="F671" s="14" t="s">
        <v>931</v>
      </c>
    </row>
    <row r="672" spans="1:14" x14ac:dyDescent="0.3">
      <c r="C672" s="320" t="str">
        <f>C668</f>
        <v>Лікар з ультразвукової діагностики</v>
      </c>
      <c r="D672" s="78">
        <f>J668</f>
        <v>0.9</v>
      </c>
      <c r="E672" s="73">
        <v>20</v>
      </c>
      <c r="F672" s="299">
        <f>ROUND(D672*E672,2)</f>
        <v>18</v>
      </c>
    </row>
    <row r="673" spans="3:7" x14ac:dyDescent="0.3">
      <c r="C673" s="320" t="str">
        <f>C669</f>
        <v xml:space="preserve">Сестра медична </v>
      </c>
      <c r="D673" s="78">
        <f>J669</f>
        <v>0.74</v>
      </c>
      <c r="E673" s="73">
        <v>20</v>
      </c>
      <c r="F673" s="299">
        <f>ROUND(D673*E673,2)</f>
        <v>14.8</v>
      </c>
    </row>
    <row r="674" spans="3:7" x14ac:dyDescent="0.3">
      <c r="D674" s="19"/>
    </row>
    <row r="675" spans="3:7" x14ac:dyDescent="0.3">
      <c r="C675" s="134" t="s">
        <v>933</v>
      </c>
      <c r="D675" s="78">
        <f>F672+F673</f>
        <v>32.799999999999997</v>
      </c>
      <c r="E675" s="300">
        <v>0.22</v>
      </c>
      <c r="F675" s="301">
        <f>ROUND(D675*E675,2)</f>
        <v>7.22</v>
      </c>
    </row>
    <row r="677" spans="3:7" x14ac:dyDescent="0.3">
      <c r="C677" s="321" t="s">
        <v>946</v>
      </c>
      <c r="D677" s="227"/>
      <c r="E677" s="227"/>
      <c r="F677" s="227">
        <f>G689</f>
        <v>12.45</v>
      </c>
      <c r="G677" s="227" t="s">
        <v>971</v>
      </c>
    </row>
    <row r="679" spans="3:7" x14ac:dyDescent="0.3">
      <c r="C679" s="27" t="str">
        <f t="shared" ref="C679:F688" si="24">C624</f>
        <v>Рукавиці не стерильні</v>
      </c>
      <c r="D679" s="303" t="str">
        <f t="shared" si="24"/>
        <v>шт</v>
      </c>
      <c r="E679" s="303">
        <f t="shared" si="24"/>
        <v>0.1</v>
      </c>
      <c r="F679" s="303">
        <f t="shared" si="24"/>
        <v>2.8</v>
      </c>
      <c r="G679" s="228">
        <f>ROUND(F679*E679,2)</f>
        <v>0.28000000000000003</v>
      </c>
    </row>
    <row r="680" spans="3:7" x14ac:dyDescent="0.3">
      <c r="C680" s="27" t="str">
        <f t="shared" si="24"/>
        <v xml:space="preserve">Септил 70% 100мл </v>
      </c>
      <c r="D680" s="303" t="str">
        <f t="shared" si="24"/>
        <v>шт</v>
      </c>
      <c r="E680" s="303">
        <f t="shared" si="24"/>
        <v>0.01</v>
      </c>
      <c r="F680" s="303">
        <f t="shared" si="24"/>
        <v>24.6</v>
      </c>
      <c r="G680" s="228">
        <f t="shared" ref="G680:G685" si="25">ROUND(F680*E680,2)</f>
        <v>0.25</v>
      </c>
    </row>
    <row r="681" spans="3:7" x14ac:dyDescent="0.3">
      <c r="C681" s="27" t="str">
        <f t="shared" si="24"/>
        <v>Маска на резинці, стерильна.</v>
      </c>
      <c r="D681" s="303" t="str">
        <f t="shared" si="24"/>
        <v>шт</v>
      </c>
      <c r="E681" s="303">
        <f t="shared" si="24"/>
        <v>0.1</v>
      </c>
      <c r="F681" s="303">
        <f t="shared" si="24"/>
        <v>2</v>
      </c>
      <c r="G681" s="228">
        <f t="shared" si="25"/>
        <v>0.2</v>
      </c>
    </row>
    <row r="682" spans="3:7" x14ac:dyDescent="0.3">
      <c r="C682" s="27" t="str">
        <f t="shared" si="24"/>
        <v>Мікрасепт</v>
      </c>
      <c r="D682" s="303" t="str">
        <f t="shared" si="24"/>
        <v>мл</v>
      </c>
      <c r="E682" s="303">
        <f t="shared" si="24"/>
        <v>1</v>
      </c>
      <c r="F682" s="303">
        <f t="shared" si="24"/>
        <v>0.3</v>
      </c>
      <c r="G682" s="28">
        <f>ROUND(E682*F682,2)</f>
        <v>0.3</v>
      </c>
    </row>
    <row r="683" spans="3:7" x14ac:dyDescent="0.3">
      <c r="C683" s="27" t="str">
        <f t="shared" si="24"/>
        <v>Папір офісний А4</v>
      </c>
      <c r="D683" s="303" t="str">
        <f t="shared" si="24"/>
        <v>шт</v>
      </c>
      <c r="E683" s="303">
        <f t="shared" si="24"/>
        <v>2</v>
      </c>
      <c r="F683" s="303">
        <f t="shared" si="24"/>
        <v>0.3</v>
      </c>
      <c r="G683" s="228">
        <f t="shared" si="25"/>
        <v>0.6</v>
      </c>
    </row>
    <row r="684" spans="3:7" x14ac:dyDescent="0.3">
      <c r="C684" s="27" t="str">
        <f t="shared" si="24"/>
        <v xml:space="preserve">Гель для УЗД , 1000 гр. </v>
      </c>
      <c r="D684" s="303" t="str">
        <f t="shared" si="24"/>
        <v>пляшка</v>
      </c>
      <c r="E684" s="303">
        <f t="shared" si="24"/>
        <v>0.1</v>
      </c>
      <c r="F684" s="303">
        <f t="shared" si="24"/>
        <v>48</v>
      </c>
      <c r="G684" s="228">
        <f t="shared" si="25"/>
        <v>4.8</v>
      </c>
    </row>
    <row r="685" spans="3:7" x14ac:dyDescent="0.3">
      <c r="C685" s="27" t="str">
        <f t="shared" si="24"/>
        <v>Паперові рушники "Fesko Professional"</v>
      </c>
      <c r="D685" s="303" t="str">
        <f t="shared" si="24"/>
        <v>рул</v>
      </c>
      <c r="E685" s="303">
        <f t="shared" si="24"/>
        <v>0.3</v>
      </c>
      <c r="F685" s="303">
        <f t="shared" si="24"/>
        <v>17</v>
      </c>
      <c r="G685" s="228">
        <f t="shared" si="25"/>
        <v>5.0999999999999996</v>
      </c>
    </row>
    <row r="686" spans="3:7" x14ac:dyDescent="0.3">
      <c r="C686" s="27" t="str">
        <f t="shared" si="24"/>
        <v>Марля медична</v>
      </c>
      <c r="D686" s="303" t="str">
        <f t="shared" si="24"/>
        <v>метр</v>
      </c>
      <c r="E686" s="303">
        <f t="shared" si="24"/>
        <v>0.1</v>
      </c>
      <c r="F686" s="303">
        <f t="shared" si="24"/>
        <v>6</v>
      </c>
      <c r="G686" s="28">
        <f>ROUND(E686*F686,2)</f>
        <v>0.6</v>
      </c>
    </row>
    <row r="687" spans="3:7" x14ac:dyDescent="0.3">
      <c r="C687" s="27" t="str">
        <f t="shared" si="24"/>
        <v>Вата</v>
      </c>
      <c r="D687" s="303" t="str">
        <f t="shared" si="24"/>
        <v>г</v>
      </c>
      <c r="E687" s="303">
        <f t="shared" si="24"/>
        <v>1</v>
      </c>
      <c r="F687" s="303">
        <f t="shared" si="24"/>
        <v>7.0000000000000007E-2</v>
      </c>
      <c r="G687" s="28">
        <f>ROUND(E687*F687,2)</f>
        <v>7.0000000000000007E-2</v>
      </c>
    </row>
    <row r="688" spans="3:7" x14ac:dyDescent="0.3">
      <c r="C688" s="27" t="str">
        <f t="shared" si="24"/>
        <v>Деззасоби</v>
      </c>
      <c r="D688" s="303" t="str">
        <f t="shared" si="24"/>
        <v>г</v>
      </c>
      <c r="E688" s="303">
        <f t="shared" si="24"/>
        <v>0.5</v>
      </c>
      <c r="F688" s="303">
        <f t="shared" si="24"/>
        <v>0.5</v>
      </c>
      <c r="G688" s="28">
        <f>ROUND(E688*F688,2)</f>
        <v>0.25</v>
      </c>
    </row>
    <row r="689" spans="3:9" x14ac:dyDescent="0.3">
      <c r="C689" s="1019" t="s">
        <v>945</v>
      </c>
      <c r="D689" s="1019"/>
      <c r="E689" s="1019"/>
      <c r="F689" s="1019"/>
      <c r="G689" s="332">
        <f>SUM(G679:G688)</f>
        <v>12.45</v>
      </c>
    </row>
    <row r="691" spans="3:9" x14ac:dyDescent="0.3">
      <c r="C691" s="321" t="s">
        <v>968</v>
      </c>
      <c r="D691" s="227"/>
      <c r="E691" s="227"/>
      <c r="F691" s="298">
        <f>H694</f>
        <v>27.4</v>
      </c>
      <c r="G691" s="227" t="s">
        <v>971</v>
      </c>
    </row>
    <row r="692" spans="3:9" ht="6" customHeight="1" x14ac:dyDescent="0.3">
      <c r="C692" s="322"/>
      <c r="D692" s="36"/>
      <c r="E692" s="36"/>
      <c r="F692" s="302"/>
      <c r="G692" s="36"/>
    </row>
    <row r="693" spans="3:9" ht="27.6" x14ac:dyDescent="0.3">
      <c r="C693" s="46" t="s">
        <v>513</v>
      </c>
      <c r="D693" s="14" t="s">
        <v>1108</v>
      </c>
      <c r="E693" s="14" t="s">
        <v>516</v>
      </c>
      <c r="F693" s="14" t="s">
        <v>970</v>
      </c>
      <c r="G693" s="14" t="s">
        <v>930</v>
      </c>
      <c r="H693" s="14" t="s">
        <v>961</v>
      </c>
    </row>
    <row r="694" spans="3:9" x14ac:dyDescent="0.3">
      <c r="C694" s="27" t="str">
        <f>C639</f>
        <v>Ультразвукова система AFFINITI 30</v>
      </c>
      <c r="D694" s="73">
        <f>D639</f>
        <v>136236.38</v>
      </c>
      <c r="E694" s="73">
        <f>I668</f>
        <v>1656.6</v>
      </c>
      <c r="F694" s="73">
        <f>ROUND((D694/E694)/60,2)</f>
        <v>1.37</v>
      </c>
      <c r="G694" s="73">
        <f>E672</f>
        <v>20</v>
      </c>
      <c r="H694" s="78">
        <f>ROUND(F694*G694,2)</f>
        <v>27.4</v>
      </c>
      <c r="I694" s="333"/>
    </row>
    <row r="695" spans="3:9" ht="8.25" customHeight="1" x14ac:dyDescent="0.3"/>
    <row r="696" spans="3:9" x14ac:dyDescent="0.3">
      <c r="C696" s="321" t="s">
        <v>948</v>
      </c>
      <c r="D696" s="227"/>
      <c r="E696" s="227"/>
      <c r="F696" s="298">
        <f>H709</f>
        <v>5.2</v>
      </c>
      <c r="G696" s="227" t="s">
        <v>971</v>
      </c>
    </row>
    <row r="697" spans="3:9" ht="7.5" customHeight="1" x14ac:dyDescent="0.3">
      <c r="C697" s="322"/>
      <c r="D697" s="36"/>
      <c r="E697" s="36"/>
      <c r="F697" s="302"/>
    </row>
    <row r="698" spans="3:9" ht="27.6" x14ac:dyDescent="0.3">
      <c r="C698" s="46" t="s">
        <v>948</v>
      </c>
      <c r="D698" s="14" t="s">
        <v>1110</v>
      </c>
      <c r="E698" s="14" t="s">
        <v>516</v>
      </c>
      <c r="F698" s="14" t="s">
        <v>954</v>
      </c>
      <c r="G698" s="14" t="s">
        <v>930</v>
      </c>
      <c r="H698" s="14" t="s">
        <v>1111</v>
      </c>
    </row>
    <row r="699" spans="3:9" x14ac:dyDescent="0.3">
      <c r="C699" s="1009" t="str">
        <f>C668</f>
        <v>Лікар з ультразвукової діагностики</v>
      </c>
      <c r="D699" s="1010"/>
      <c r="E699" s="1010"/>
      <c r="F699" s="1010"/>
      <c r="G699" s="1010"/>
      <c r="H699" s="1011"/>
    </row>
    <row r="700" spans="3:9" x14ac:dyDescent="0.3">
      <c r="C700" s="134" t="s">
        <v>951</v>
      </c>
      <c r="D700" s="221">
        <f>D645</f>
        <v>12188.608008565312</v>
      </c>
      <c r="E700" s="73">
        <f>I668</f>
        <v>1656.6</v>
      </c>
      <c r="F700" s="73">
        <f>ROUND((D700/E700)/60,2)</f>
        <v>0.12</v>
      </c>
      <c r="G700" s="73">
        <f>E672</f>
        <v>20</v>
      </c>
      <c r="H700" s="78">
        <f>ROUND(F700*G700,2)</f>
        <v>2.4</v>
      </c>
    </row>
    <row r="701" spans="3:9" x14ac:dyDescent="0.3">
      <c r="C701" s="134" t="s">
        <v>952</v>
      </c>
      <c r="D701" s="221">
        <f>D646</f>
        <v>53.149721627408987</v>
      </c>
      <c r="E701" s="73">
        <f>I668</f>
        <v>1656.6</v>
      </c>
      <c r="F701" s="73">
        <f>ROUND((D701/E701)/60,2)</f>
        <v>0</v>
      </c>
      <c r="G701" s="73">
        <f>E672</f>
        <v>20</v>
      </c>
      <c r="H701" s="78">
        <f>ROUND(F701*G701,2)</f>
        <v>0</v>
      </c>
    </row>
    <row r="702" spans="3:9" x14ac:dyDescent="0.3">
      <c r="C702" s="134" t="s">
        <v>953</v>
      </c>
      <c r="D702" s="221">
        <f>D647</f>
        <v>374.98368308351178</v>
      </c>
      <c r="E702" s="73">
        <f>I668</f>
        <v>1656.6</v>
      </c>
      <c r="F702" s="73">
        <f>ROUND((D702/E702)/60,2)</f>
        <v>0</v>
      </c>
      <c r="G702" s="73">
        <f>E672</f>
        <v>20</v>
      </c>
      <c r="H702" s="78">
        <f>ROUND(F702*G702,2)</f>
        <v>0</v>
      </c>
    </row>
    <row r="703" spans="3:9" x14ac:dyDescent="0.3">
      <c r="C703" s="134" t="s">
        <v>1109</v>
      </c>
      <c r="D703" s="221">
        <f>D648</f>
        <v>1686.0389293361886</v>
      </c>
      <c r="E703" s="73">
        <f>I668</f>
        <v>1656.6</v>
      </c>
      <c r="F703" s="73">
        <f>ROUND((D703/E703)/60,2)</f>
        <v>0.02</v>
      </c>
      <c r="G703" s="73">
        <f>E672</f>
        <v>20</v>
      </c>
      <c r="H703" s="78">
        <f>ROUND(F703*G703,2)</f>
        <v>0.4</v>
      </c>
    </row>
    <row r="704" spans="3:9" x14ac:dyDescent="0.3">
      <c r="C704" s="1009" t="str">
        <f>C669</f>
        <v xml:space="preserve">Сестра медична </v>
      </c>
      <c r="D704" s="1010"/>
      <c r="E704" s="1010"/>
      <c r="F704" s="1010"/>
      <c r="G704" s="1010"/>
      <c r="H704" s="1011"/>
    </row>
    <row r="705" spans="1:14" x14ac:dyDescent="0.3">
      <c r="C705" s="134" t="s">
        <v>951</v>
      </c>
      <c r="D705" s="221">
        <f>D700</f>
        <v>12188.608008565312</v>
      </c>
      <c r="E705" s="73">
        <f>I669</f>
        <v>1932.7</v>
      </c>
      <c r="F705" s="73">
        <f>ROUND((D705/E705)/60,2)</f>
        <v>0.11</v>
      </c>
      <c r="G705" s="73">
        <f>E673</f>
        <v>20</v>
      </c>
      <c r="H705" s="78">
        <f>ROUND(F705*G705,2)</f>
        <v>2.2000000000000002</v>
      </c>
    </row>
    <row r="706" spans="1:14" x14ac:dyDescent="0.3">
      <c r="C706" s="134" t="s">
        <v>952</v>
      </c>
      <c r="D706" s="221">
        <f>D701</f>
        <v>53.149721627408987</v>
      </c>
      <c r="E706" s="73">
        <f>I669</f>
        <v>1932.7</v>
      </c>
      <c r="F706" s="73">
        <f>ROUND((D706/E706)/60,2)</f>
        <v>0</v>
      </c>
      <c r="G706" s="73">
        <f>E673</f>
        <v>20</v>
      </c>
      <c r="H706" s="78">
        <f>ROUND(F706*G706,2)</f>
        <v>0</v>
      </c>
    </row>
    <row r="707" spans="1:14" x14ac:dyDescent="0.3">
      <c r="C707" s="134" t="s">
        <v>953</v>
      </c>
      <c r="D707" s="221">
        <f>D702</f>
        <v>374.98368308351178</v>
      </c>
      <c r="E707" s="73">
        <f>I669</f>
        <v>1932.7</v>
      </c>
      <c r="F707" s="73">
        <f>ROUND((D707/E707)/60,2)</f>
        <v>0</v>
      </c>
      <c r="G707" s="73">
        <f>E673</f>
        <v>20</v>
      </c>
      <c r="H707" s="78">
        <f>ROUND(F707*G707,2)</f>
        <v>0</v>
      </c>
    </row>
    <row r="708" spans="1:14" x14ac:dyDescent="0.3">
      <c r="C708" s="134" t="s">
        <v>1109</v>
      </c>
      <c r="D708" s="221">
        <f>D703</f>
        <v>1686.0389293361886</v>
      </c>
      <c r="E708" s="73">
        <f>I669</f>
        <v>1932.7</v>
      </c>
      <c r="F708" s="73">
        <f>ROUND((D708/E708)/60,2)</f>
        <v>0.01</v>
      </c>
      <c r="G708" s="73">
        <f>E673</f>
        <v>20</v>
      </c>
      <c r="H708" s="78">
        <f>ROUND(F708*G708,2)</f>
        <v>0.2</v>
      </c>
    </row>
    <row r="709" spans="1:14" x14ac:dyDescent="0.3">
      <c r="C709" s="1012" t="s">
        <v>957</v>
      </c>
      <c r="D709" s="1013"/>
      <c r="E709" s="1013"/>
      <c r="F709" s="1013"/>
      <c r="G709" s="1014"/>
      <c r="H709" s="299">
        <f>SUM(H700:H708)</f>
        <v>5.2</v>
      </c>
    </row>
    <row r="711" spans="1:14" ht="0.75" customHeight="1" x14ac:dyDescent="0.3"/>
    <row r="712" spans="1:14" x14ac:dyDescent="0.3">
      <c r="C712" s="1015" t="s">
        <v>959</v>
      </c>
      <c r="D712" s="1015"/>
      <c r="E712" s="1015"/>
      <c r="F712" s="1015"/>
      <c r="G712" s="1015"/>
      <c r="H712" s="334">
        <f>F665+F677+F691+F696</f>
        <v>85.070000000000007</v>
      </c>
    </row>
    <row r="713" spans="1:14" x14ac:dyDescent="0.3">
      <c r="C713" s="323"/>
      <c r="D713" s="33"/>
      <c r="E713" s="33"/>
      <c r="F713" s="33"/>
      <c r="G713" s="33"/>
      <c r="H713" s="335"/>
    </row>
    <row r="714" spans="1:14" x14ac:dyDescent="0.3">
      <c r="C714" s="1015" t="s">
        <v>960</v>
      </c>
      <c r="D714" s="1015"/>
      <c r="E714" s="1015"/>
      <c r="F714" s="1015"/>
      <c r="G714" s="1015"/>
      <c r="H714" s="334">
        <f>ROUND(H712,0)</f>
        <v>85</v>
      </c>
    </row>
    <row r="716" spans="1:14" s="54" customFormat="1" ht="19.8" x14ac:dyDescent="0.4">
      <c r="A716" s="53"/>
      <c r="B716" s="1016" t="s">
        <v>958</v>
      </c>
      <c r="C716" s="1016"/>
      <c r="D716" s="1016"/>
      <c r="E716" s="1016"/>
      <c r="F716" s="1016"/>
      <c r="G716" s="1016"/>
      <c r="H716" s="1016"/>
      <c r="I716" s="1016"/>
      <c r="J716" s="1016"/>
      <c r="K716" s="70"/>
      <c r="L716" s="348"/>
      <c r="M716" s="348"/>
      <c r="N716" s="99"/>
    </row>
    <row r="717" spans="1:14" s="54" customFormat="1" ht="19.8" x14ac:dyDescent="0.4">
      <c r="A717" s="53"/>
      <c r="B717" s="53"/>
      <c r="C717" s="56"/>
      <c r="D717" s="225"/>
      <c r="E717" s="225"/>
      <c r="F717" s="225"/>
      <c r="G717" s="225"/>
      <c r="H717" s="225"/>
      <c r="I717" s="225"/>
      <c r="J717" s="225"/>
      <c r="K717" s="70"/>
      <c r="L717" s="348"/>
      <c r="M717" s="348"/>
      <c r="N717" s="99"/>
    </row>
    <row r="718" spans="1:14" s="54" customFormat="1" ht="54.75" customHeight="1" x14ac:dyDescent="0.4">
      <c r="A718" s="53"/>
      <c r="B718" s="50" t="s">
        <v>568</v>
      </c>
      <c r="C718" s="1017" t="s">
        <v>575</v>
      </c>
      <c r="D718" s="1017"/>
      <c r="E718" s="1017"/>
      <c r="F718" s="296">
        <f>H769</f>
        <v>121</v>
      </c>
      <c r="G718" s="296" t="s">
        <v>971</v>
      </c>
      <c r="H718" s="225"/>
      <c r="I718" s="225"/>
      <c r="J718" s="225"/>
      <c r="K718" s="70"/>
      <c r="L718" s="348"/>
      <c r="M718" s="348"/>
      <c r="N718" s="99"/>
    </row>
    <row r="719" spans="1:14" ht="9" customHeight="1" x14ac:dyDescent="0.3"/>
    <row r="720" spans="1:14" x14ac:dyDescent="0.3">
      <c r="C720" s="1018" t="s">
        <v>932</v>
      </c>
      <c r="D720" s="1018"/>
      <c r="E720" s="297"/>
      <c r="F720" s="298">
        <f>F727+F730+F728</f>
        <v>60.019999999999996</v>
      </c>
      <c r="G720" s="227" t="s">
        <v>971</v>
      </c>
    </row>
    <row r="722" spans="3:10" x14ac:dyDescent="0.3">
      <c r="C722" s="318" t="s">
        <v>929</v>
      </c>
      <c r="D722" s="14" t="s">
        <v>928</v>
      </c>
      <c r="E722" s="14" t="s">
        <v>514</v>
      </c>
      <c r="F722" s="14" t="s">
        <v>515</v>
      </c>
      <c r="G722" s="14" t="s">
        <v>962</v>
      </c>
      <c r="H722" s="14" t="s">
        <v>926</v>
      </c>
      <c r="I722" s="14" t="s">
        <v>516</v>
      </c>
      <c r="J722" s="14" t="s">
        <v>961</v>
      </c>
    </row>
    <row r="723" spans="3:10" x14ac:dyDescent="0.3">
      <c r="C723" s="134" t="str">
        <f>C668</f>
        <v>Лікар з ультразвукової діагностики</v>
      </c>
      <c r="D723" s="73">
        <f>D668</f>
        <v>6660.23</v>
      </c>
      <c r="E723" s="78">
        <f>D723*12</f>
        <v>79922.759999999995</v>
      </c>
      <c r="F723" s="73">
        <f>F668</f>
        <v>6054.75</v>
      </c>
      <c r="G723" s="78">
        <f>G668</f>
        <v>3027.375</v>
      </c>
      <c r="H723" s="78">
        <f>E723+F723+G723</f>
        <v>89004.884999999995</v>
      </c>
      <c r="I723" s="73">
        <v>1656.6</v>
      </c>
      <c r="J723" s="78">
        <f>ROUND((H723/I723)/60,2)</f>
        <v>0.9</v>
      </c>
    </row>
    <row r="724" spans="3:10" x14ac:dyDescent="0.3">
      <c r="C724" s="134" t="str">
        <f>C669</f>
        <v xml:space="preserve">Сестра медична </v>
      </c>
      <c r="D724" s="73">
        <f>D669</f>
        <v>6506.5</v>
      </c>
      <c r="E724" s="78">
        <f>D724*12</f>
        <v>78078</v>
      </c>
      <c r="F724" s="73">
        <f>F669</f>
        <v>5005</v>
      </c>
      <c r="G724" s="73">
        <f>G669</f>
        <v>2502.5</v>
      </c>
      <c r="H724" s="78">
        <f>E724+F724+G724</f>
        <v>85585.5</v>
      </c>
      <c r="I724" s="73">
        <v>1932.7</v>
      </c>
      <c r="J724" s="78">
        <f>ROUND((H724/I724)/60,2)</f>
        <v>0.74</v>
      </c>
    </row>
    <row r="725" spans="3:10" ht="8.25" customHeight="1" x14ac:dyDescent="0.3"/>
    <row r="726" spans="3:10" ht="27.6" x14ac:dyDescent="0.3">
      <c r="C726" s="318" t="s">
        <v>929</v>
      </c>
      <c r="D726" s="14" t="s">
        <v>961</v>
      </c>
      <c r="E726" s="14" t="s">
        <v>930</v>
      </c>
      <c r="F726" s="14" t="s">
        <v>931</v>
      </c>
    </row>
    <row r="727" spans="3:10" x14ac:dyDescent="0.3">
      <c r="C727" s="320" t="str">
        <f>C723</f>
        <v>Лікар з ультразвукової діагностики</v>
      </c>
      <c r="D727" s="78">
        <f>J723</f>
        <v>0.9</v>
      </c>
      <c r="E727" s="73">
        <v>30</v>
      </c>
      <c r="F727" s="299">
        <f>ROUND(D727*E727,2)</f>
        <v>27</v>
      </c>
    </row>
    <row r="728" spans="3:10" x14ac:dyDescent="0.3">
      <c r="C728" s="320" t="str">
        <f>C724</f>
        <v xml:space="preserve">Сестра медична </v>
      </c>
      <c r="D728" s="78">
        <f>J724</f>
        <v>0.74</v>
      </c>
      <c r="E728" s="73">
        <v>30</v>
      </c>
      <c r="F728" s="299">
        <f>ROUND(D728*E728,2)</f>
        <v>22.2</v>
      </c>
    </row>
    <row r="729" spans="3:10" x14ac:dyDescent="0.3">
      <c r="D729" s="19"/>
    </row>
    <row r="730" spans="3:10" x14ac:dyDescent="0.3">
      <c r="C730" s="134" t="s">
        <v>933</v>
      </c>
      <c r="D730" s="78">
        <f>F727+F728</f>
        <v>49.2</v>
      </c>
      <c r="E730" s="300">
        <v>0.22</v>
      </c>
      <c r="F730" s="301">
        <f>ROUND(D730*E730,2)</f>
        <v>10.82</v>
      </c>
    </row>
    <row r="731" spans="3:10" ht="12" customHeight="1" x14ac:dyDescent="0.3"/>
    <row r="732" spans="3:10" x14ac:dyDescent="0.3">
      <c r="C732" s="321" t="s">
        <v>946</v>
      </c>
      <c r="D732" s="227"/>
      <c r="E732" s="227"/>
      <c r="F732" s="227">
        <f>G744</f>
        <v>12.45</v>
      </c>
      <c r="G732" s="227" t="s">
        <v>971</v>
      </c>
    </row>
    <row r="733" spans="3:10" ht="6.75" customHeight="1" x14ac:dyDescent="0.3"/>
    <row r="734" spans="3:10" x14ac:dyDescent="0.3">
      <c r="C734" s="27" t="str">
        <f t="shared" ref="C734:F743" si="26">C679</f>
        <v>Рукавиці не стерильні</v>
      </c>
      <c r="D734" s="303" t="str">
        <f t="shared" si="26"/>
        <v>шт</v>
      </c>
      <c r="E734" s="303">
        <f t="shared" si="26"/>
        <v>0.1</v>
      </c>
      <c r="F734" s="303">
        <f t="shared" si="26"/>
        <v>2.8</v>
      </c>
      <c r="G734" s="228">
        <f>ROUND(F734*E734,2)</f>
        <v>0.28000000000000003</v>
      </c>
    </row>
    <row r="735" spans="3:10" x14ac:dyDescent="0.3">
      <c r="C735" s="27" t="str">
        <f t="shared" si="26"/>
        <v xml:space="preserve">Септил 70% 100мл </v>
      </c>
      <c r="D735" s="303" t="str">
        <f t="shared" si="26"/>
        <v>шт</v>
      </c>
      <c r="E735" s="303">
        <f t="shared" si="26"/>
        <v>0.01</v>
      </c>
      <c r="F735" s="303">
        <f t="shared" si="26"/>
        <v>24.6</v>
      </c>
      <c r="G735" s="228">
        <f t="shared" ref="G735:G740" si="27">ROUND(F735*E735,2)</f>
        <v>0.25</v>
      </c>
    </row>
    <row r="736" spans="3:10" x14ac:dyDescent="0.3">
      <c r="C736" s="27" t="str">
        <f t="shared" si="26"/>
        <v>Маска на резинці, стерильна.</v>
      </c>
      <c r="D736" s="303" t="str">
        <f t="shared" si="26"/>
        <v>шт</v>
      </c>
      <c r="E736" s="303">
        <f t="shared" si="26"/>
        <v>0.1</v>
      </c>
      <c r="F736" s="303">
        <f t="shared" si="26"/>
        <v>2</v>
      </c>
      <c r="G736" s="228">
        <f t="shared" si="27"/>
        <v>0.2</v>
      </c>
    </row>
    <row r="737" spans="3:9" x14ac:dyDescent="0.3">
      <c r="C737" s="27" t="str">
        <f t="shared" si="26"/>
        <v>Мікрасепт</v>
      </c>
      <c r="D737" s="303" t="str">
        <f t="shared" si="26"/>
        <v>мл</v>
      </c>
      <c r="E737" s="303">
        <f t="shared" si="26"/>
        <v>1</v>
      </c>
      <c r="F737" s="303">
        <f t="shared" si="26"/>
        <v>0.3</v>
      </c>
      <c r="G737" s="28">
        <f>ROUND(E737*F737,2)</f>
        <v>0.3</v>
      </c>
    </row>
    <row r="738" spans="3:9" x14ac:dyDescent="0.3">
      <c r="C738" s="27" t="str">
        <f t="shared" si="26"/>
        <v>Папір офісний А4</v>
      </c>
      <c r="D738" s="303" t="str">
        <f t="shared" si="26"/>
        <v>шт</v>
      </c>
      <c r="E738" s="303">
        <f t="shared" si="26"/>
        <v>2</v>
      </c>
      <c r="F738" s="303">
        <f t="shared" si="26"/>
        <v>0.3</v>
      </c>
      <c r="G738" s="228">
        <f t="shared" si="27"/>
        <v>0.6</v>
      </c>
    </row>
    <row r="739" spans="3:9" x14ac:dyDescent="0.3">
      <c r="C739" s="27" t="str">
        <f t="shared" si="26"/>
        <v xml:space="preserve">Гель для УЗД , 1000 гр. </v>
      </c>
      <c r="D739" s="303" t="str">
        <f t="shared" si="26"/>
        <v>пляшка</v>
      </c>
      <c r="E739" s="303">
        <f t="shared" si="26"/>
        <v>0.1</v>
      </c>
      <c r="F739" s="303">
        <f t="shared" si="26"/>
        <v>48</v>
      </c>
      <c r="G739" s="228">
        <f t="shared" si="27"/>
        <v>4.8</v>
      </c>
    </row>
    <row r="740" spans="3:9" x14ac:dyDescent="0.3">
      <c r="C740" s="27" t="str">
        <f t="shared" si="26"/>
        <v>Паперові рушники "Fesko Professional"</v>
      </c>
      <c r="D740" s="303" t="str">
        <f t="shared" si="26"/>
        <v>рул</v>
      </c>
      <c r="E740" s="303">
        <f t="shared" si="26"/>
        <v>0.3</v>
      </c>
      <c r="F740" s="303">
        <f t="shared" si="26"/>
        <v>17</v>
      </c>
      <c r="G740" s="228">
        <f t="shared" si="27"/>
        <v>5.0999999999999996</v>
      </c>
    </row>
    <row r="741" spans="3:9" x14ac:dyDescent="0.3">
      <c r="C741" s="27" t="str">
        <f t="shared" si="26"/>
        <v>Марля медична</v>
      </c>
      <c r="D741" s="303" t="str">
        <f t="shared" si="26"/>
        <v>метр</v>
      </c>
      <c r="E741" s="303">
        <f t="shared" si="26"/>
        <v>0.1</v>
      </c>
      <c r="F741" s="303">
        <f t="shared" si="26"/>
        <v>6</v>
      </c>
      <c r="G741" s="28">
        <f>ROUND(E741*F741,2)</f>
        <v>0.6</v>
      </c>
    </row>
    <row r="742" spans="3:9" x14ac:dyDescent="0.3">
      <c r="C742" s="27" t="str">
        <f t="shared" si="26"/>
        <v>Вата</v>
      </c>
      <c r="D742" s="303" t="str">
        <f t="shared" si="26"/>
        <v>г</v>
      </c>
      <c r="E742" s="303">
        <f t="shared" si="26"/>
        <v>1</v>
      </c>
      <c r="F742" s="303">
        <f t="shared" si="26"/>
        <v>7.0000000000000007E-2</v>
      </c>
      <c r="G742" s="28">
        <f>ROUND(E742*F742,2)</f>
        <v>7.0000000000000007E-2</v>
      </c>
    </row>
    <row r="743" spans="3:9" x14ac:dyDescent="0.3">
      <c r="C743" s="27" t="str">
        <f t="shared" si="26"/>
        <v>Деззасоби</v>
      </c>
      <c r="D743" s="303" t="str">
        <f t="shared" si="26"/>
        <v>г</v>
      </c>
      <c r="E743" s="303">
        <f t="shared" si="26"/>
        <v>0.5</v>
      </c>
      <c r="F743" s="303">
        <f t="shared" si="26"/>
        <v>0.5</v>
      </c>
      <c r="G743" s="28">
        <f>ROUND(E743*F743,2)</f>
        <v>0.25</v>
      </c>
    </row>
    <row r="744" spans="3:9" x14ac:dyDescent="0.3">
      <c r="C744" s="1019" t="s">
        <v>945</v>
      </c>
      <c r="D744" s="1019"/>
      <c r="E744" s="1019"/>
      <c r="F744" s="1019"/>
      <c r="G744" s="332">
        <f>SUM(G734:G743)</f>
        <v>12.45</v>
      </c>
    </row>
    <row r="745" spans="3:9" ht="8.25" customHeight="1" x14ac:dyDescent="0.3"/>
    <row r="746" spans="3:9" x14ac:dyDescent="0.3">
      <c r="C746" s="321" t="s">
        <v>968</v>
      </c>
      <c r="D746" s="227"/>
      <c r="E746" s="227"/>
      <c r="F746" s="298">
        <f>H749</f>
        <v>41.1</v>
      </c>
      <c r="G746" s="227" t="s">
        <v>971</v>
      </c>
    </row>
    <row r="747" spans="3:9" ht="7.5" customHeight="1" x14ac:dyDescent="0.3">
      <c r="C747" s="322"/>
      <c r="D747" s="36"/>
      <c r="E747" s="36"/>
      <c r="F747" s="302"/>
      <c r="G747" s="36"/>
    </row>
    <row r="748" spans="3:9" ht="27.6" x14ac:dyDescent="0.3">
      <c r="C748" s="46" t="s">
        <v>513</v>
      </c>
      <c r="D748" s="14" t="s">
        <v>1108</v>
      </c>
      <c r="E748" s="14" t="s">
        <v>516</v>
      </c>
      <c r="F748" s="14" t="s">
        <v>970</v>
      </c>
      <c r="G748" s="14" t="s">
        <v>930</v>
      </c>
      <c r="H748" s="14" t="s">
        <v>961</v>
      </c>
    </row>
    <row r="749" spans="3:9" x14ac:dyDescent="0.3">
      <c r="C749" s="27" t="str">
        <f>C694</f>
        <v>Ультразвукова система AFFINITI 30</v>
      </c>
      <c r="D749" s="73">
        <f>D694</f>
        <v>136236.38</v>
      </c>
      <c r="E749" s="73">
        <f>I723</f>
        <v>1656.6</v>
      </c>
      <c r="F749" s="73">
        <f>ROUND((D749/E749)/60,2)</f>
        <v>1.37</v>
      </c>
      <c r="G749" s="73">
        <f>E727</f>
        <v>30</v>
      </c>
      <c r="H749" s="78">
        <f>ROUND(F749*G749,2)</f>
        <v>41.1</v>
      </c>
      <c r="I749" s="333"/>
    </row>
    <row r="750" spans="3:9" ht="11.25" customHeight="1" x14ac:dyDescent="0.3"/>
    <row r="751" spans="3:9" x14ac:dyDescent="0.3">
      <c r="C751" s="321" t="s">
        <v>948</v>
      </c>
      <c r="D751" s="227"/>
      <c r="E751" s="227"/>
      <c r="F751" s="298">
        <f>H764</f>
        <v>7.8</v>
      </c>
      <c r="G751" s="227" t="s">
        <v>971</v>
      </c>
    </row>
    <row r="752" spans="3:9" x14ac:dyDescent="0.3">
      <c r="C752" s="322"/>
      <c r="D752" s="36"/>
      <c r="E752" s="36"/>
      <c r="F752" s="302"/>
    </row>
    <row r="753" spans="3:8" ht="27.6" x14ac:dyDescent="0.3">
      <c r="C753" s="46" t="s">
        <v>948</v>
      </c>
      <c r="D753" s="14" t="s">
        <v>1110</v>
      </c>
      <c r="E753" s="14" t="s">
        <v>516</v>
      </c>
      <c r="F753" s="14" t="s">
        <v>954</v>
      </c>
      <c r="G753" s="14" t="s">
        <v>930</v>
      </c>
      <c r="H753" s="14" t="s">
        <v>1111</v>
      </c>
    </row>
    <row r="754" spans="3:8" x14ac:dyDescent="0.3">
      <c r="C754" s="1009" t="str">
        <f>C723</f>
        <v>Лікар з ультразвукової діагностики</v>
      </c>
      <c r="D754" s="1010"/>
      <c r="E754" s="1010"/>
      <c r="F754" s="1010"/>
      <c r="G754" s="1010"/>
      <c r="H754" s="1011"/>
    </row>
    <row r="755" spans="3:8" x14ac:dyDescent="0.3">
      <c r="C755" s="134" t="s">
        <v>951</v>
      </c>
      <c r="D755" s="221">
        <f>D700</f>
        <v>12188.608008565312</v>
      </c>
      <c r="E755" s="73">
        <f>I723</f>
        <v>1656.6</v>
      </c>
      <c r="F755" s="73">
        <f>ROUND((D755/E755)/60,2)</f>
        <v>0.12</v>
      </c>
      <c r="G755" s="73">
        <f>E727</f>
        <v>30</v>
      </c>
      <c r="H755" s="78">
        <f>ROUND(F755*G755,2)</f>
        <v>3.6</v>
      </c>
    </row>
    <row r="756" spans="3:8" x14ac:dyDescent="0.3">
      <c r="C756" s="134" t="s">
        <v>952</v>
      </c>
      <c r="D756" s="221">
        <f>D701</f>
        <v>53.149721627408987</v>
      </c>
      <c r="E756" s="73">
        <f>I723</f>
        <v>1656.6</v>
      </c>
      <c r="F756" s="73">
        <f>ROUND((D756/E756)/60,2)</f>
        <v>0</v>
      </c>
      <c r="G756" s="73">
        <f>E727</f>
        <v>30</v>
      </c>
      <c r="H756" s="78">
        <f>ROUND(F756*G756,2)</f>
        <v>0</v>
      </c>
    </row>
    <row r="757" spans="3:8" x14ac:dyDescent="0.3">
      <c r="C757" s="134" t="s">
        <v>953</v>
      </c>
      <c r="D757" s="221">
        <f>D702</f>
        <v>374.98368308351178</v>
      </c>
      <c r="E757" s="73">
        <f>I723</f>
        <v>1656.6</v>
      </c>
      <c r="F757" s="73">
        <f>ROUND((D757/E757)/60,2)</f>
        <v>0</v>
      </c>
      <c r="G757" s="73">
        <f>E727</f>
        <v>30</v>
      </c>
      <c r="H757" s="78">
        <f>ROUND(F757*G757,2)</f>
        <v>0</v>
      </c>
    </row>
    <row r="758" spans="3:8" x14ac:dyDescent="0.3">
      <c r="C758" s="134" t="s">
        <v>1109</v>
      </c>
      <c r="D758" s="221">
        <f>D703</f>
        <v>1686.0389293361886</v>
      </c>
      <c r="E758" s="73">
        <f>I723</f>
        <v>1656.6</v>
      </c>
      <c r="F758" s="73">
        <f>ROUND((D758/E758)/60,2)</f>
        <v>0.02</v>
      </c>
      <c r="G758" s="73">
        <f>E727</f>
        <v>30</v>
      </c>
      <c r="H758" s="78">
        <f>ROUND(F758*G758,2)</f>
        <v>0.6</v>
      </c>
    </row>
    <row r="759" spans="3:8" x14ac:dyDescent="0.3">
      <c r="C759" s="1009" t="str">
        <f>C724</f>
        <v xml:space="preserve">Сестра медична </v>
      </c>
      <c r="D759" s="1010"/>
      <c r="E759" s="1010"/>
      <c r="F759" s="1010"/>
      <c r="G759" s="1010"/>
      <c r="H759" s="1011"/>
    </row>
    <row r="760" spans="3:8" x14ac:dyDescent="0.3">
      <c r="C760" s="134" t="s">
        <v>951</v>
      </c>
      <c r="D760" s="221">
        <f>D705</f>
        <v>12188.608008565312</v>
      </c>
      <c r="E760" s="73">
        <f>I724</f>
        <v>1932.7</v>
      </c>
      <c r="F760" s="73">
        <f>ROUND((D760/E760)/60,2)</f>
        <v>0.11</v>
      </c>
      <c r="G760" s="73">
        <f>E728</f>
        <v>30</v>
      </c>
      <c r="H760" s="78">
        <f>ROUND(F760*G760,2)</f>
        <v>3.3</v>
      </c>
    </row>
    <row r="761" spans="3:8" x14ac:dyDescent="0.3">
      <c r="C761" s="134" t="s">
        <v>952</v>
      </c>
      <c r="D761" s="221">
        <f>D706</f>
        <v>53.149721627408987</v>
      </c>
      <c r="E761" s="73">
        <f>I724</f>
        <v>1932.7</v>
      </c>
      <c r="F761" s="73">
        <f>ROUND((D761/E761)/60,2)</f>
        <v>0</v>
      </c>
      <c r="G761" s="73">
        <f>E728</f>
        <v>30</v>
      </c>
      <c r="H761" s="78">
        <f>ROUND(F761*G761,2)</f>
        <v>0</v>
      </c>
    </row>
    <row r="762" spans="3:8" ht="15.75" customHeight="1" x14ac:dyDescent="0.3">
      <c r="C762" s="134" t="s">
        <v>953</v>
      </c>
      <c r="D762" s="221">
        <f>D707</f>
        <v>374.98368308351178</v>
      </c>
      <c r="E762" s="73">
        <f>I724</f>
        <v>1932.7</v>
      </c>
      <c r="F762" s="73">
        <f>ROUND((D762/E762)/60,2)</f>
        <v>0</v>
      </c>
      <c r="G762" s="73">
        <f>E728</f>
        <v>30</v>
      </c>
      <c r="H762" s="78">
        <f>ROUND(F762*G762,2)</f>
        <v>0</v>
      </c>
    </row>
    <row r="763" spans="3:8" ht="15.75" customHeight="1" x14ac:dyDescent="0.3">
      <c r="C763" s="134" t="s">
        <v>1109</v>
      </c>
      <c r="D763" s="221">
        <f>D708</f>
        <v>1686.0389293361886</v>
      </c>
      <c r="E763" s="73">
        <f>I724</f>
        <v>1932.7</v>
      </c>
      <c r="F763" s="73">
        <f>ROUND((D763/E763)/60,2)</f>
        <v>0.01</v>
      </c>
      <c r="G763" s="73">
        <f>E728</f>
        <v>30</v>
      </c>
      <c r="H763" s="78">
        <f>ROUND(F763*G763,2)</f>
        <v>0.3</v>
      </c>
    </row>
    <row r="764" spans="3:8" x14ac:dyDescent="0.3">
      <c r="C764" s="1012" t="s">
        <v>957</v>
      </c>
      <c r="D764" s="1013"/>
      <c r="E764" s="1013"/>
      <c r="F764" s="1013"/>
      <c r="G764" s="1014"/>
      <c r="H764" s="299">
        <f>SUM(H755:H763)</f>
        <v>7.8</v>
      </c>
    </row>
    <row r="765" spans="3:8" ht="8.25" customHeight="1" x14ac:dyDescent="0.3"/>
    <row r="766" spans="3:8" ht="0.75" customHeight="1" x14ac:dyDescent="0.3"/>
    <row r="767" spans="3:8" x14ac:dyDescent="0.3">
      <c r="C767" s="1015" t="s">
        <v>959</v>
      </c>
      <c r="D767" s="1015"/>
      <c r="E767" s="1015"/>
      <c r="F767" s="1015"/>
      <c r="G767" s="1015"/>
      <c r="H767" s="334">
        <f>F720+F732+F746+F751</f>
        <v>121.36999999999999</v>
      </c>
    </row>
    <row r="768" spans="3:8" x14ac:dyDescent="0.3">
      <c r="C768" s="323"/>
      <c r="D768" s="33"/>
      <c r="E768" s="33"/>
      <c r="F768" s="33"/>
      <c r="G768" s="33"/>
      <c r="H768" s="335"/>
    </row>
    <row r="769" spans="1:14" x14ac:dyDescent="0.3">
      <c r="C769" s="1015" t="s">
        <v>960</v>
      </c>
      <c r="D769" s="1015"/>
      <c r="E769" s="1015"/>
      <c r="F769" s="1015"/>
      <c r="G769" s="1015"/>
      <c r="H769" s="334">
        <f>ROUND(H767,0)</f>
        <v>121</v>
      </c>
    </row>
    <row r="771" spans="1:14" s="54" customFormat="1" ht="19.8" x14ac:dyDescent="0.4">
      <c r="A771" s="53"/>
      <c r="B771" s="1016" t="s">
        <v>958</v>
      </c>
      <c r="C771" s="1016"/>
      <c r="D771" s="1016"/>
      <c r="E771" s="1016"/>
      <c r="F771" s="1016"/>
      <c r="G771" s="1016"/>
      <c r="H771" s="1016"/>
      <c r="I771" s="1016"/>
      <c r="J771" s="1016"/>
      <c r="K771" s="70"/>
      <c r="L771" s="348"/>
      <c r="M771" s="348"/>
      <c r="N771" s="99"/>
    </row>
    <row r="772" spans="1:14" s="54" customFormat="1" ht="19.8" x14ac:dyDescent="0.4">
      <c r="A772" s="53"/>
      <c r="B772" s="53"/>
      <c r="C772" s="56"/>
      <c r="D772" s="225"/>
      <c r="E772" s="225"/>
      <c r="F772" s="225"/>
      <c r="G772" s="225"/>
      <c r="H772" s="225"/>
      <c r="I772" s="225"/>
      <c r="J772" s="225"/>
      <c r="K772" s="70"/>
      <c r="L772" s="348"/>
      <c r="M772" s="348"/>
      <c r="N772" s="99"/>
    </row>
    <row r="773" spans="1:14" s="54" customFormat="1" ht="19.8" x14ac:dyDescent="0.4">
      <c r="A773" s="53"/>
      <c r="B773" s="50" t="s">
        <v>570</v>
      </c>
      <c r="C773" s="1017" t="s">
        <v>577</v>
      </c>
      <c r="D773" s="1017"/>
      <c r="E773" s="1017"/>
      <c r="F773" s="296">
        <f>H824</f>
        <v>85</v>
      </c>
      <c r="G773" s="296" t="s">
        <v>971</v>
      </c>
      <c r="H773" s="225"/>
      <c r="I773" s="225"/>
      <c r="J773" s="225"/>
      <c r="K773" s="70"/>
      <c r="L773" s="348"/>
      <c r="M773" s="348"/>
      <c r="N773" s="99"/>
    </row>
    <row r="775" spans="1:14" x14ac:dyDescent="0.3">
      <c r="C775" s="1018" t="s">
        <v>932</v>
      </c>
      <c r="D775" s="1018"/>
      <c r="E775" s="297"/>
      <c r="F775" s="298">
        <f>F782+F785+F783</f>
        <v>40.019999999999996</v>
      </c>
      <c r="G775" s="227" t="s">
        <v>971</v>
      </c>
    </row>
    <row r="777" spans="1:14" x14ac:dyDescent="0.3">
      <c r="C777" s="318" t="s">
        <v>929</v>
      </c>
      <c r="D777" s="14" t="s">
        <v>928</v>
      </c>
      <c r="E777" s="14" t="s">
        <v>514</v>
      </c>
      <c r="F777" s="14" t="s">
        <v>515</v>
      </c>
      <c r="G777" s="14" t="s">
        <v>962</v>
      </c>
      <c r="H777" s="14" t="s">
        <v>926</v>
      </c>
      <c r="I777" s="14" t="s">
        <v>516</v>
      </c>
      <c r="J777" s="14" t="s">
        <v>961</v>
      </c>
    </row>
    <row r="778" spans="1:14" x14ac:dyDescent="0.3">
      <c r="C778" s="134" t="str">
        <f>C723</f>
        <v>Лікар з ультразвукової діагностики</v>
      </c>
      <c r="D778" s="73">
        <f>D723</f>
        <v>6660.23</v>
      </c>
      <c r="E778" s="78">
        <f>D778*12</f>
        <v>79922.759999999995</v>
      </c>
      <c r="F778" s="73">
        <f>F723</f>
        <v>6054.75</v>
      </c>
      <c r="G778" s="78">
        <f>G723</f>
        <v>3027.375</v>
      </c>
      <c r="H778" s="78">
        <f>E778+F778+G778</f>
        <v>89004.884999999995</v>
      </c>
      <c r="I778" s="73">
        <v>1656.6</v>
      </c>
      <c r="J778" s="78">
        <f>ROUND((H778/I778)/60,2)</f>
        <v>0.9</v>
      </c>
    </row>
    <row r="779" spans="1:14" x14ac:dyDescent="0.3">
      <c r="C779" s="134" t="str">
        <f>C724</f>
        <v xml:space="preserve">Сестра медична </v>
      </c>
      <c r="D779" s="73">
        <f>D724</f>
        <v>6506.5</v>
      </c>
      <c r="E779" s="78">
        <f>D779*12</f>
        <v>78078</v>
      </c>
      <c r="F779" s="73">
        <f>F724</f>
        <v>5005</v>
      </c>
      <c r="G779" s="73">
        <f>G724</f>
        <v>2502.5</v>
      </c>
      <c r="H779" s="78">
        <f>E779+F779+G779</f>
        <v>85585.5</v>
      </c>
      <c r="I779" s="73">
        <v>1932.7</v>
      </c>
      <c r="J779" s="78">
        <f>ROUND((H779/I779)/60,2)</f>
        <v>0.74</v>
      </c>
    </row>
    <row r="781" spans="1:14" ht="27.6" x14ac:dyDescent="0.3">
      <c r="C781" s="318" t="s">
        <v>929</v>
      </c>
      <c r="D781" s="14" t="s">
        <v>961</v>
      </c>
      <c r="E781" s="14" t="s">
        <v>930</v>
      </c>
      <c r="F781" s="14" t="s">
        <v>931</v>
      </c>
    </row>
    <row r="782" spans="1:14" x14ac:dyDescent="0.3">
      <c r="C782" s="320" t="str">
        <f>C778</f>
        <v>Лікар з ультразвукової діагностики</v>
      </c>
      <c r="D782" s="78">
        <f>J778</f>
        <v>0.9</v>
      </c>
      <c r="E782" s="73">
        <v>20</v>
      </c>
      <c r="F782" s="299">
        <f>ROUND(D782*E782,2)</f>
        <v>18</v>
      </c>
    </row>
    <row r="783" spans="1:14" x14ac:dyDescent="0.3">
      <c r="C783" s="320" t="str">
        <f>C779</f>
        <v xml:space="preserve">Сестра медична </v>
      </c>
      <c r="D783" s="78">
        <f>J779</f>
        <v>0.74</v>
      </c>
      <c r="E783" s="73">
        <v>20</v>
      </c>
      <c r="F783" s="299">
        <f>ROUND(D783*E783,2)</f>
        <v>14.8</v>
      </c>
    </row>
    <row r="784" spans="1:14" x14ac:dyDescent="0.3">
      <c r="D784" s="19"/>
    </row>
    <row r="785" spans="3:7" x14ac:dyDescent="0.3">
      <c r="C785" s="134" t="s">
        <v>933</v>
      </c>
      <c r="D785" s="78">
        <f>F782+F783</f>
        <v>32.799999999999997</v>
      </c>
      <c r="E785" s="300">
        <v>0.22</v>
      </c>
      <c r="F785" s="301">
        <f>ROUND(D785*E785,2)</f>
        <v>7.22</v>
      </c>
    </row>
    <row r="787" spans="3:7" x14ac:dyDescent="0.3">
      <c r="C787" s="321" t="s">
        <v>946</v>
      </c>
      <c r="D787" s="227"/>
      <c r="E787" s="227"/>
      <c r="F787" s="227">
        <f>G799</f>
        <v>12.45</v>
      </c>
      <c r="G787" s="227" t="s">
        <v>971</v>
      </c>
    </row>
    <row r="789" spans="3:7" x14ac:dyDescent="0.3">
      <c r="C789" s="27" t="str">
        <f t="shared" ref="C789:F798" si="28">C734</f>
        <v>Рукавиці не стерильні</v>
      </c>
      <c r="D789" s="303" t="str">
        <f t="shared" si="28"/>
        <v>шт</v>
      </c>
      <c r="E789" s="303">
        <f t="shared" si="28"/>
        <v>0.1</v>
      </c>
      <c r="F789" s="303">
        <f t="shared" si="28"/>
        <v>2.8</v>
      </c>
      <c r="G789" s="228">
        <f>ROUND(F789*E789,2)</f>
        <v>0.28000000000000003</v>
      </c>
    </row>
    <row r="790" spans="3:7" x14ac:dyDescent="0.3">
      <c r="C790" s="27" t="str">
        <f t="shared" si="28"/>
        <v xml:space="preserve">Септил 70% 100мл </v>
      </c>
      <c r="D790" s="303" t="str">
        <f t="shared" si="28"/>
        <v>шт</v>
      </c>
      <c r="E790" s="303">
        <f t="shared" si="28"/>
        <v>0.01</v>
      </c>
      <c r="F790" s="303">
        <f t="shared" si="28"/>
        <v>24.6</v>
      </c>
      <c r="G790" s="228">
        <f t="shared" ref="G790:G795" si="29">ROUND(F790*E790,2)</f>
        <v>0.25</v>
      </c>
    </row>
    <row r="791" spans="3:7" x14ac:dyDescent="0.3">
      <c r="C791" s="27" t="str">
        <f t="shared" si="28"/>
        <v>Маска на резинці, стерильна.</v>
      </c>
      <c r="D791" s="303" t="str">
        <f t="shared" si="28"/>
        <v>шт</v>
      </c>
      <c r="E791" s="303">
        <f t="shared" si="28"/>
        <v>0.1</v>
      </c>
      <c r="F791" s="303">
        <f t="shared" si="28"/>
        <v>2</v>
      </c>
      <c r="G791" s="228">
        <f t="shared" si="29"/>
        <v>0.2</v>
      </c>
    </row>
    <row r="792" spans="3:7" x14ac:dyDescent="0.3">
      <c r="C792" s="27" t="str">
        <f t="shared" si="28"/>
        <v>Мікрасепт</v>
      </c>
      <c r="D792" s="303" t="str">
        <f t="shared" si="28"/>
        <v>мл</v>
      </c>
      <c r="E792" s="303">
        <f t="shared" si="28"/>
        <v>1</v>
      </c>
      <c r="F792" s="303">
        <f t="shared" si="28"/>
        <v>0.3</v>
      </c>
      <c r="G792" s="28">
        <f>ROUND(E792*F792,2)</f>
        <v>0.3</v>
      </c>
    </row>
    <row r="793" spans="3:7" x14ac:dyDescent="0.3">
      <c r="C793" s="27" t="str">
        <f t="shared" si="28"/>
        <v>Папір офісний А4</v>
      </c>
      <c r="D793" s="303" t="str">
        <f t="shared" si="28"/>
        <v>шт</v>
      </c>
      <c r="E793" s="303">
        <f t="shared" si="28"/>
        <v>2</v>
      </c>
      <c r="F793" s="303">
        <f t="shared" si="28"/>
        <v>0.3</v>
      </c>
      <c r="G793" s="228">
        <f t="shared" si="29"/>
        <v>0.6</v>
      </c>
    </row>
    <row r="794" spans="3:7" x14ac:dyDescent="0.3">
      <c r="C794" s="27" t="str">
        <f t="shared" si="28"/>
        <v xml:space="preserve">Гель для УЗД , 1000 гр. </v>
      </c>
      <c r="D794" s="303" t="str">
        <f t="shared" si="28"/>
        <v>пляшка</v>
      </c>
      <c r="E794" s="303">
        <f t="shared" si="28"/>
        <v>0.1</v>
      </c>
      <c r="F794" s="303">
        <f t="shared" si="28"/>
        <v>48</v>
      </c>
      <c r="G794" s="228">
        <f t="shared" si="29"/>
        <v>4.8</v>
      </c>
    </row>
    <row r="795" spans="3:7" x14ac:dyDescent="0.3">
      <c r="C795" s="27" t="str">
        <f t="shared" si="28"/>
        <v>Паперові рушники "Fesko Professional"</v>
      </c>
      <c r="D795" s="303" t="str">
        <f t="shared" si="28"/>
        <v>рул</v>
      </c>
      <c r="E795" s="303">
        <f t="shared" si="28"/>
        <v>0.3</v>
      </c>
      <c r="F795" s="303">
        <f t="shared" si="28"/>
        <v>17</v>
      </c>
      <c r="G795" s="228">
        <f t="shared" si="29"/>
        <v>5.0999999999999996</v>
      </c>
    </row>
    <row r="796" spans="3:7" x14ac:dyDescent="0.3">
      <c r="C796" s="27" t="str">
        <f t="shared" si="28"/>
        <v>Марля медична</v>
      </c>
      <c r="D796" s="303" t="str">
        <f t="shared" si="28"/>
        <v>метр</v>
      </c>
      <c r="E796" s="303">
        <f t="shared" si="28"/>
        <v>0.1</v>
      </c>
      <c r="F796" s="303">
        <f t="shared" si="28"/>
        <v>6</v>
      </c>
      <c r="G796" s="28">
        <f>ROUND(E796*F796,2)</f>
        <v>0.6</v>
      </c>
    </row>
    <row r="797" spans="3:7" x14ac:dyDescent="0.3">
      <c r="C797" s="27" t="str">
        <f t="shared" si="28"/>
        <v>Вата</v>
      </c>
      <c r="D797" s="303" t="str">
        <f t="shared" si="28"/>
        <v>г</v>
      </c>
      <c r="E797" s="303">
        <f t="shared" si="28"/>
        <v>1</v>
      </c>
      <c r="F797" s="303">
        <f t="shared" si="28"/>
        <v>7.0000000000000007E-2</v>
      </c>
      <c r="G797" s="28">
        <f>ROUND(E797*F797,2)</f>
        <v>7.0000000000000007E-2</v>
      </c>
    </row>
    <row r="798" spans="3:7" x14ac:dyDescent="0.3">
      <c r="C798" s="27" t="str">
        <f t="shared" si="28"/>
        <v>Деззасоби</v>
      </c>
      <c r="D798" s="303" t="str">
        <f t="shared" si="28"/>
        <v>г</v>
      </c>
      <c r="E798" s="303">
        <f t="shared" si="28"/>
        <v>0.5</v>
      </c>
      <c r="F798" s="303">
        <f t="shared" si="28"/>
        <v>0.5</v>
      </c>
      <c r="G798" s="28">
        <f>ROUND(E798*F798,2)</f>
        <v>0.25</v>
      </c>
    </row>
    <row r="799" spans="3:7" x14ac:dyDescent="0.3">
      <c r="C799" s="1019" t="s">
        <v>945</v>
      </c>
      <c r="D799" s="1019"/>
      <c r="E799" s="1019"/>
      <c r="F799" s="1019"/>
      <c r="G799" s="332">
        <f>SUM(G789:G798)</f>
        <v>12.45</v>
      </c>
    </row>
    <row r="801" spans="3:9" x14ac:dyDescent="0.3">
      <c r="C801" s="321" t="s">
        <v>968</v>
      </c>
      <c r="D801" s="227"/>
      <c r="E801" s="227"/>
      <c r="F801" s="298">
        <f>H804</f>
        <v>27.4</v>
      </c>
      <c r="G801" s="227" t="s">
        <v>971</v>
      </c>
    </row>
    <row r="802" spans="3:9" x14ac:dyDescent="0.3">
      <c r="C802" s="322"/>
      <c r="D802" s="36"/>
      <c r="E802" s="36"/>
      <c r="F802" s="302"/>
      <c r="G802" s="36"/>
    </row>
    <row r="803" spans="3:9" ht="27.6" x14ac:dyDescent="0.3">
      <c r="C803" s="46" t="s">
        <v>513</v>
      </c>
      <c r="D803" s="14" t="s">
        <v>1108</v>
      </c>
      <c r="E803" s="14" t="s">
        <v>516</v>
      </c>
      <c r="F803" s="14" t="s">
        <v>970</v>
      </c>
      <c r="G803" s="14" t="s">
        <v>930</v>
      </c>
      <c r="H803" s="14" t="s">
        <v>961</v>
      </c>
    </row>
    <row r="804" spans="3:9" x14ac:dyDescent="0.3">
      <c r="C804" s="27" t="str">
        <f>C749</f>
        <v>Ультразвукова система AFFINITI 30</v>
      </c>
      <c r="D804" s="73">
        <f>D749</f>
        <v>136236.38</v>
      </c>
      <c r="E804" s="73">
        <f>I778</f>
        <v>1656.6</v>
      </c>
      <c r="F804" s="73">
        <f>ROUND((D804/E804)/60,2)</f>
        <v>1.37</v>
      </c>
      <c r="G804" s="73">
        <f>E782</f>
        <v>20</v>
      </c>
      <c r="H804" s="78">
        <f>ROUND(F804*G804,2)</f>
        <v>27.4</v>
      </c>
      <c r="I804" s="333"/>
    </row>
    <row r="806" spans="3:9" x14ac:dyDescent="0.3">
      <c r="C806" s="321" t="s">
        <v>948</v>
      </c>
      <c r="D806" s="227"/>
      <c r="E806" s="227"/>
      <c r="F806" s="298">
        <f>H819</f>
        <v>5.2</v>
      </c>
      <c r="G806" s="227" t="s">
        <v>971</v>
      </c>
    </row>
    <row r="807" spans="3:9" ht="7.5" customHeight="1" x14ac:dyDescent="0.3">
      <c r="C807" s="322"/>
      <c r="D807" s="36"/>
      <c r="E807" s="36"/>
      <c r="F807" s="302"/>
    </row>
    <row r="808" spans="3:9" ht="27.6" x14ac:dyDescent="0.3">
      <c r="C808" s="46" t="s">
        <v>948</v>
      </c>
      <c r="D808" s="14" t="s">
        <v>1110</v>
      </c>
      <c r="E808" s="14" t="s">
        <v>516</v>
      </c>
      <c r="F808" s="14" t="s">
        <v>954</v>
      </c>
      <c r="G808" s="14" t="s">
        <v>930</v>
      </c>
      <c r="H808" s="14" t="s">
        <v>1111</v>
      </c>
    </row>
    <row r="809" spans="3:9" x14ac:dyDescent="0.3">
      <c r="C809" s="1009" t="str">
        <f>C778</f>
        <v>Лікар з ультразвукової діагностики</v>
      </c>
      <c r="D809" s="1010"/>
      <c r="E809" s="1010"/>
      <c r="F809" s="1010"/>
      <c r="G809" s="1010"/>
      <c r="H809" s="1011"/>
    </row>
    <row r="810" spans="3:9" x14ac:dyDescent="0.3">
      <c r="C810" s="134" t="s">
        <v>951</v>
      </c>
      <c r="D810" s="221">
        <f>D755</f>
        <v>12188.608008565312</v>
      </c>
      <c r="E810" s="73">
        <f>I778</f>
        <v>1656.6</v>
      </c>
      <c r="F810" s="73">
        <f>ROUND((D810/E810)/60,2)</f>
        <v>0.12</v>
      </c>
      <c r="G810" s="73">
        <f>E782</f>
        <v>20</v>
      </c>
      <c r="H810" s="78">
        <f>ROUND(F810*G810,2)</f>
        <v>2.4</v>
      </c>
    </row>
    <row r="811" spans="3:9" x14ac:dyDescent="0.3">
      <c r="C811" s="134" t="s">
        <v>952</v>
      </c>
      <c r="D811" s="221">
        <f>D756</f>
        <v>53.149721627408987</v>
      </c>
      <c r="E811" s="73">
        <f>I778</f>
        <v>1656.6</v>
      </c>
      <c r="F811" s="73">
        <f>ROUND((D811/E811)/60,2)</f>
        <v>0</v>
      </c>
      <c r="G811" s="73">
        <f>E782</f>
        <v>20</v>
      </c>
      <c r="H811" s="78">
        <f>ROUND(F811*G811,2)</f>
        <v>0</v>
      </c>
    </row>
    <row r="812" spans="3:9" x14ac:dyDescent="0.3">
      <c r="C812" s="134" t="s">
        <v>953</v>
      </c>
      <c r="D812" s="221">
        <f>D757</f>
        <v>374.98368308351178</v>
      </c>
      <c r="E812" s="73">
        <f>I778</f>
        <v>1656.6</v>
      </c>
      <c r="F812" s="73">
        <f>ROUND((D812/E812)/60,2)</f>
        <v>0</v>
      </c>
      <c r="G812" s="73">
        <f>E782</f>
        <v>20</v>
      </c>
      <c r="H812" s="78">
        <f>ROUND(F812*G812,2)</f>
        <v>0</v>
      </c>
    </row>
    <row r="813" spans="3:9" x14ac:dyDescent="0.3">
      <c r="C813" s="134" t="s">
        <v>1109</v>
      </c>
      <c r="D813" s="221">
        <f>D758</f>
        <v>1686.0389293361886</v>
      </c>
      <c r="E813" s="73">
        <f>I778</f>
        <v>1656.6</v>
      </c>
      <c r="F813" s="73">
        <f>ROUND((D813/E813)/60,2)</f>
        <v>0.02</v>
      </c>
      <c r="G813" s="73">
        <f>E782</f>
        <v>20</v>
      </c>
      <c r="H813" s="78">
        <f>ROUND(F813*G813,2)</f>
        <v>0.4</v>
      </c>
    </row>
    <row r="814" spans="3:9" x14ac:dyDescent="0.3">
      <c r="C814" s="1009" t="str">
        <f>C779</f>
        <v xml:space="preserve">Сестра медична </v>
      </c>
      <c r="D814" s="1010"/>
      <c r="E814" s="1010"/>
      <c r="F814" s="1010"/>
      <c r="G814" s="1010"/>
      <c r="H814" s="1011"/>
    </row>
    <row r="815" spans="3:9" x14ac:dyDescent="0.3">
      <c r="C815" s="134" t="s">
        <v>951</v>
      </c>
      <c r="D815" s="221">
        <f>D810</f>
        <v>12188.608008565312</v>
      </c>
      <c r="E815" s="73">
        <f>I779</f>
        <v>1932.7</v>
      </c>
      <c r="F815" s="73">
        <f>ROUND((D815/E815)/60,2)</f>
        <v>0.11</v>
      </c>
      <c r="G815" s="73">
        <f>E783</f>
        <v>20</v>
      </c>
      <c r="H815" s="78">
        <f>ROUND(F815*G815,2)</f>
        <v>2.2000000000000002</v>
      </c>
    </row>
    <row r="816" spans="3:9" x14ac:dyDescent="0.3">
      <c r="C816" s="134" t="s">
        <v>952</v>
      </c>
      <c r="D816" s="221">
        <f>D811</f>
        <v>53.149721627408987</v>
      </c>
      <c r="E816" s="73">
        <f>I779</f>
        <v>1932.7</v>
      </c>
      <c r="F816" s="73">
        <f>ROUND((D816/E816)/60,2)</f>
        <v>0</v>
      </c>
      <c r="G816" s="73">
        <f>E783</f>
        <v>20</v>
      </c>
      <c r="H816" s="78">
        <f>ROUND(F816*G816,2)</f>
        <v>0</v>
      </c>
    </row>
    <row r="817" spans="1:14" x14ac:dyDescent="0.3">
      <c r="C817" s="134" t="s">
        <v>953</v>
      </c>
      <c r="D817" s="221">
        <f>D812</f>
        <v>374.98368308351178</v>
      </c>
      <c r="E817" s="73">
        <f>I779</f>
        <v>1932.7</v>
      </c>
      <c r="F817" s="73">
        <f>ROUND((D817/E817)/60,2)</f>
        <v>0</v>
      </c>
      <c r="G817" s="73">
        <f>E783</f>
        <v>20</v>
      </c>
      <c r="H817" s="78">
        <f>ROUND(F817*G817,2)</f>
        <v>0</v>
      </c>
    </row>
    <row r="818" spans="1:14" x14ac:dyDescent="0.3">
      <c r="C818" s="134" t="s">
        <v>1109</v>
      </c>
      <c r="D818" s="221">
        <f>D813</f>
        <v>1686.0389293361886</v>
      </c>
      <c r="E818" s="73">
        <f>I779</f>
        <v>1932.7</v>
      </c>
      <c r="F818" s="73">
        <f>ROUND((D818/E818)/60,2)</f>
        <v>0.01</v>
      </c>
      <c r="G818" s="73">
        <f>E783</f>
        <v>20</v>
      </c>
      <c r="H818" s="78">
        <f>ROUND(F818*G818,2)</f>
        <v>0.2</v>
      </c>
    </row>
    <row r="819" spans="1:14" x14ac:dyDescent="0.3">
      <c r="C819" s="1012" t="s">
        <v>957</v>
      </c>
      <c r="D819" s="1013"/>
      <c r="E819" s="1013"/>
      <c r="F819" s="1013"/>
      <c r="G819" s="1014"/>
      <c r="H819" s="299">
        <f>SUM(H810:H818)</f>
        <v>5.2</v>
      </c>
    </row>
    <row r="820" spans="1:14" ht="11.25" customHeight="1" x14ac:dyDescent="0.3"/>
    <row r="822" spans="1:14" x14ac:dyDescent="0.3">
      <c r="C822" s="1015" t="s">
        <v>959</v>
      </c>
      <c r="D822" s="1015"/>
      <c r="E822" s="1015"/>
      <c r="F822" s="1015"/>
      <c r="G822" s="1015"/>
      <c r="H822" s="334">
        <f>F775+F787+F801+F806</f>
        <v>85.070000000000007</v>
      </c>
    </row>
    <row r="823" spans="1:14" x14ac:dyDescent="0.3">
      <c r="C823" s="323"/>
      <c r="D823" s="33"/>
      <c r="E823" s="33"/>
      <c r="F823" s="33"/>
      <c r="G823" s="33"/>
      <c r="H823" s="335"/>
    </row>
    <row r="824" spans="1:14" x14ac:dyDescent="0.3">
      <c r="C824" s="1015" t="s">
        <v>960</v>
      </c>
      <c r="D824" s="1015"/>
      <c r="E824" s="1015"/>
      <c r="F824" s="1015"/>
      <c r="G824" s="1015"/>
      <c r="H824" s="334">
        <f>ROUND(H822,0)</f>
        <v>85</v>
      </c>
    </row>
    <row r="826" spans="1:14" s="54" customFormat="1" ht="19.8" x14ac:dyDescent="0.4">
      <c r="A826" s="53"/>
      <c r="B826" s="1016" t="s">
        <v>958</v>
      </c>
      <c r="C826" s="1016"/>
      <c r="D826" s="1016"/>
      <c r="E826" s="1016"/>
      <c r="F826" s="1016"/>
      <c r="G826" s="1016"/>
      <c r="H826" s="1016"/>
      <c r="I826" s="1016"/>
      <c r="J826" s="1016"/>
      <c r="K826" s="70"/>
      <c r="L826" s="348"/>
      <c r="M826" s="348"/>
      <c r="N826" s="99"/>
    </row>
    <row r="827" spans="1:14" s="54" customFormat="1" ht="19.8" x14ac:dyDescent="0.4">
      <c r="A827" s="53"/>
      <c r="B827" s="53"/>
      <c r="C827" s="56"/>
      <c r="D827" s="225"/>
      <c r="E827" s="225"/>
      <c r="F827" s="225"/>
      <c r="G827" s="225"/>
      <c r="H827" s="225"/>
      <c r="I827" s="225"/>
      <c r="J827" s="225"/>
      <c r="K827" s="70"/>
      <c r="L827" s="348"/>
      <c r="M827" s="348"/>
      <c r="N827" s="99"/>
    </row>
    <row r="828" spans="1:14" s="54" customFormat="1" ht="19.8" x14ac:dyDescent="0.4">
      <c r="A828" s="53"/>
      <c r="B828" s="50" t="s">
        <v>572</v>
      </c>
      <c r="C828" s="1017" t="s">
        <v>579</v>
      </c>
      <c r="D828" s="1017"/>
      <c r="E828" s="1017"/>
      <c r="F828" s="296">
        <f>H879</f>
        <v>67</v>
      </c>
      <c r="G828" s="296" t="s">
        <v>971</v>
      </c>
      <c r="H828" s="225"/>
      <c r="I828" s="225"/>
      <c r="J828" s="225"/>
      <c r="K828" s="70"/>
      <c r="L828" s="348"/>
      <c r="M828" s="348"/>
      <c r="N828" s="99"/>
    </row>
    <row r="830" spans="1:14" x14ac:dyDescent="0.3">
      <c r="C830" s="1018" t="s">
        <v>932</v>
      </c>
      <c r="D830" s="1018"/>
      <c r="E830" s="297"/>
      <c r="F830" s="298">
        <f>F837+F840+F838</f>
        <v>30.009999999999998</v>
      </c>
      <c r="G830" s="227" t="s">
        <v>971</v>
      </c>
    </row>
    <row r="832" spans="1:14" x14ac:dyDescent="0.3">
      <c r="C832" s="318" t="s">
        <v>929</v>
      </c>
      <c r="D832" s="14" t="s">
        <v>928</v>
      </c>
      <c r="E832" s="14" t="s">
        <v>514</v>
      </c>
      <c r="F832" s="14" t="s">
        <v>515</v>
      </c>
      <c r="G832" s="14" t="s">
        <v>962</v>
      </c>
      <c r="H832" s="14" t="s">
        <v>926</v>
      </c>
      <c r="I832" s="14" t="s">
        <v>516</v>
      </c>
      <c r="J832" s="14" t="s">
        <v>961</v>
      </c>
    </row>
    <row r="833" spans="3:10" x14ac:dyDescent="0.3">
      <c r="C833" s="134" t="str">
        <f>C778</f>
        <v>Лікар з ультразвукової діагностики</v>
      </c>
      <c r="D833" s="73">
        <f>D778</f>
        <v>6660.23</v>
      </c>
      <c r="E833" s="78">
        <f>D833*12</f>
        <v>79922.759999999995</v>
      </c>
      <c r="F833" s="73">
        <f>F778</f>
        <v>6054.75</v>
      </c>
      <c r="G833" s="78">
        <f>G778</f>
        <v>3027.375</v>
      </c>
      <c r="H833" s="78">
        <f>E833+F833+G833</f>
        <v>89004.884999999995</v>
      </c>
      <c r="I833" s="73">
        <v>1656.6</v>
      </c>
      <c r="J833" s="78">
        <f>ROUND((H833/I833)/60,2)</f>
        <v>0.9</v>
      </c>
    </row>
    <row r="834" spans="3:10" x14ac:dyDescent="0.3">
      <c r="C834" s="134" t="str">
        <f>C779</f>
        <v xml:space="preserve">Сестра медична </v>
      </c>
      <c r="D834" s="73">
        <f>D779</f>
        <v>6506.5</v>
      </c>
      <c r="E834" s="78">
        <f>D834*12</f>
        <v>78078</v>
      </c>
      <c r="F834" s="73">
        <f>F779</f>
        <v>5005</v>
      </c>
      <c r="G834" s="73">
        <f>G779</f>
        <v>2502.5</v>
      </c>
      <c r="H834" s="78">
        <f>E834+F834+G834</f>
        <v>85585.5</v>
      </c>
      <c r="I834" s="73">
        <v>1932.7</v>
      </c>
      <c r="J834" s="78">
        <f>ROUND((H834/I834)/60,2)</f>
        <v>0.74</v>
      </c>
    </row>
    <row r="836" spans="3:10" ht="27.6" x14ac:dyDescent="0.3">
      <c r="C836" s="318" t="s">
        <v>929</v>
      </c>
      <c r="D836" s="14" t="s">
        <v>961</v>
      </c>
      <c r="E836" s="14" t="s">
        <v>930</v>
      </c>
      <c r="F836" s="14" t="s">
        <v>931</v>
      </c>
    </row>
    <row r="837" spans="3:10" x14ac:dyDescent="0.3">
      <c r="C837" s="320" t="str">
        <f>C833</f>
        <v>Лікар з ультразвукової діагностики</v>
      </c>
      <c r="D837" s="78">
        <f>J833</f>
        <v>0.9</v>
      </c>
      <c r="E837" s="73">
        <v>15</v>
      </c>
      <c r="F837" s="299">
        <f>ROUND(D837*E837,2)</f>
        <v>13.5</v>
      </c>
    </row>
    <row r="838" spans="3:10" x14ac:dyDescent="0.3">
      <c r="C838" s="320" t="str">
        <f>C834</f>
        <v xml:space="preserve">Сестра медична </v>
      </c>
      <c r="D838" s="78">
        <f>J834</f>
        <v>0.74</v>
      </c>
      <c r="E838" s="73">
        <v>15</v>
      </c>
      <c r="F838" s="299">
        <f>ROUND(D838*E838,2)</f>
        <v>11.1</v>
      </c>
    </row>
    <row r="839" spans="3:10" x14ac:dyDescent="0.3">
      <c r="D839" s="19"/>
    </row>
    <row r="840" spans="3:10" x14ac:dyDescent="0.3">
      <c r="C840" s="134" t="s">
        <v>933</v>
      </c>
      <c r="D840" s="78">
        <f>F837+F838</f>
        <v>24.6</v>
      </c>
      <c r="E840" s="300">
        <v>0.22</v>
      </c>
      <c r="F840" s="301">
        <f>ROUND(D840*E840,2)</f>
        <v>5.41</v>
      </c>
    </row>
    <row r="842" spans="3:10" x14ac:dyDescent="0.3">
      <c r="C842" s="321" t="s">
        <v>946</v>
      </c>
      <c r="D842" s="227"/>
      <c r="E842" s="227"/>
      <c r="F842" s="227">
        <f>G854</f>
        <v>12.45</v>
      </c>
      <c r="G842" s="227" t="s">
        <v>971</v>
      </c>
    </row>
    <row r="844" spans="3:10" x14ac:dyDescent="0.3">
      <c r="C844" s="27" t="str">
        <f t="shared" ref="C844:F853" si="30">C789</f>
        <v>Рукавиці не стерильні</v>
      </c>
      <c r="D844" s="303" t="str">
        <f t="shared" si="30"/>
        <v>шт</v>
      </c>
      <c r="E844" s="303">
        <f t="shared" si="30"/>
        <v>0.1</v>
      </c>
      <c r="F844" s="303">
        <f t="shared" si="30"/>
        <v>2.8</v>
      </c>
      <c r="G844" s="228">
        <f>ROUND(F844*E844,2)</f>
        <v>0.28000000000000003</v>
      </c>
    </row>
    <row r="845" spans="3:10" x14ac:dyDescent="0.3">
      <c r="C845" s="27" t="str">
        <f t="shared" si="30"/>
        <v xml:space="preserve">Септил 70% 100мл </v>
      </c>
      <c r="D845" s="303" t="str">
        <f t="shared" si="30"/>
        <v>шт</v>
      </c>
      <c r="E845" s="303">
        <f t="shared" si="30"/>
        <v>0.01</v>
      </c>
      <c r="F845" s="303">
        <f t="shared" si="30"/>
        <v>24.6</v>
      </c>
      <c r="G845" s="228">
        <f t="shared" ref="G845:G850" si="31">ROUND(F845*E845,2)</f>
        <v>0.25</v>
      </c>
    </row>
    <row r="846" spans="3:10" x14ac:dyDescent="0.3">
      <c r="C846" s="27" t="str">
        <f t="shared" si="30"/>
        <v>Маска на резинці, стерильна.</v>
      </c>
      <c r="D846" s="303" t="str">
        <f t="shared" si="30"/>
        <v>шт</v>
      </c>
      <c r="E846" s="303">
        <f t="shared" si="30"/>
        <v>0.1</v>
      </c>
      <c r="F846" s="303">
        <f t="shared" si="30"/>
        <v>2</v>
      </c>
      <c r="G846" s="228">
        <f t="shared" si="31"/>
        <v>0.2</v>
      </c>
    </row>
    <row r="847" spans="3:10" x14ac:dyDescent="0.3">
      <c r="C847" s="27" t="str">
        <f t="shared" si="30"/>
        <v>Мікрасепт</v>
      </c>
      <c r="D847" s="303" t="str">
        <f t="shared" si="30"/>
        <v>мл</v>
      </c>
      <c r="E847" s="303">
        <f t="shared" si="30"/>
        <v>1</v>
      </c>
      <c r="F847" s="303">
        <f t="shared" si="30"/>
        <v>0.3</v>
      </c>
      <c r="G847" s="28">
        <f>ROUND(E847*F847,2)</f>
        <v>0.3</v>
      </c>
    </row>
    <row r="848" spans="3:10" x14ac:dyDescent="0.3">
      <c r="C848" s="27" t="str">
        <f t="shared" si="30"/>
        <v>Папір офісний А4</v>
      </c>
      <c r="D848" s="303" t="str">
        <f t="shared" si="30"/>
        <v>шт</v>
      </c>
      <c r="E848" s="303">
        <f t="shared" si="30"/>
        <v>2</v>
      </c>
      <c r="F848" s="303">
        <f t="shared" si="30"/>
        <v>0.3</v>
      </c>
      <c r="G848" s="228">
        <f t="shared" si="31"/>
        <v>0.6</v>
      </c>
    </row>
    <row r="849" spans="3:9" x14ac:dyDescent="0.3">
      <c r="C849" s="27" t="str">
        <f t="shared" si="30"/>
        <v xml:space="preserve">Гель для УЗД , 1000 гр. </v>
      </c>
      <c r="D849" s="303" t="str">
        <f t="shared" si="30"/>
        <v>пляшка</v>
      </c>
      <c r="E849" s="303">
        <f t="shared" si="30"/>
        <v>0.1</v>
      </c>
      <c r="F849" s="303">
        <f t="shared" si="30"/>
        <v>48</v>
      </c>
      <c r="G849" s="228">
        <f t="shared" si="31"/>
        <v>4.8</v>
      </c>
    </row>
    <row r="850" spans="3:9" x14ac:dyDescent="0.3">
      <c r="C850" s="27" t="str">
        <f t="shared" si="30"/>
        <v>Паперові рушники "Fesko Professional"</v>
      </c>
      <c r="D850" s="303" t="str">
        <f t="shared" si="30"/>
        <v>рул</v>
      </c>
      <c r="E850" s="303">
        <f t="shared" si="30"/>
        <v>0.3</v>
      </c>
      <c r="F850" s="303">
        <f t="shared" si="30"/>
        <v>17</v>
      </c>
      <c r="G850" s="228">
        <f t="shared" si="31"/>
        <v>5.0999999999999996</v>
      </c>
    </row>
    <row r="851" spans="3:9" x14ac:dyDescent="0.3">
      <c r="C851" s="27" t="str">
        <f t="shared" si="30"/>
        <v>Марля медична</v>
      </c>
      <c r="D851" s="303" t="str">
        <f t="shared" si="30"/>
        <v>метр</v>
      </c>
      <c r="E851" s="303">
        <f t="shared" si="30"/>
        <v>0.1</v>
      </c>
      <c r="F851" s="303">
        <f t="shared" si="30"/>
        <v>6</v>
      </c>
      <c r="G851" s="28">
        <f>ROUND(E851*F851,2)</f>
        <v>0.6</v>
      </c>
    </row>
    <row r="852" spans="3:9" x14ac:dyDescent="0.3">
      <c r="C852" s="27" t="str">
        <f t="shared" si="30"/>
        <v>Вата</v>
      </c>
      <c r="D852" s="303" t="str">
        <f t="shared" si="30"/>
        <v>г</v>
      </c>
      <c r="E852" s="303">
        <f t="shared" si="30"/>
        <v>1</v>
      </c>
      <c r="F852" s="303">
        <f t="shared" si="30"/>
        <v>7.0000000000000007E-2</v>
      </c>
      <c r="G852" s="28">
        <f>ROUND(E852*F852,2)</f>
        <v>7.0000000000000007E-2</v>
      </c>
    </row>
    <row r="853" spans="3:9" x14ac:dyDescent="0.3">
      <c r="C853" s="27" t="str">
        <f t="shared" si="30"/>
        <v>Деззасоби</v>
      </c>
      <c r="D853" s="303" t="str">
        <f t="shared" si="30"/>
        <v>г</v>
      </c>
      <c r="E853" s="303">
        <f t="shared" si="30"/>
        <v>0.5</v>
      </c>
      <c r="F853" s="303">
        <f t="shared" si="30"/>
        <v>0.5</v>
      </c>
      <c r="G853" s="28">
        <f>ROUND(E853*F853,2)</f>
        <v>0.25</v>
      </c>
    </row>
    <row r="854" spans="3:9" x14ac:dyDescent="0.3">
      <c r="C854" s="1019"/>
      <c r="D854" s="1019"/>
      <c r="E854" s="1019"/>
      <c r="F854" s="1019"/>
      <c r="G854" s="332">
        <f>SUM(G844:G853)</f>
        <v>12.45</v>
      </c>
    </row>
    <row r="856" spans="3:9" x14ac:dyDescent="0.3">
      <c r="C856" s="321" t="s">
        <v>968</v>
      </c>
      <c r="D856" s="227"/>
      <c r="E856" s="227"/>
      <c r="F856" s="298">
        <f>H859</f>
        <v>20.55</v>
      </c>
      <c r="G856" s="227" t="s">
        <v>971</v>
      </c>
    </row>
    <row r="857" spans="3:9" x14ac:dyDescent="0.3">
      <c r="C857" s="322"/>
      <c r="D857" s="36"/>
      <c r="E857" s="36"/>
      <c r="F857" s="302"/>
      <c r="G857" s="36"/>
    </row>
    <row r="858" spans="3:9" ht="27.6" x14ac:dyDescent="0.3">
      <c r="C858" s="46" t="s">
        <v>513</v>
      </c>
      <c r="D858" s="14" t="s">
        <v>1108</v>
      </c>
      <c r="E858" s="14" t="s">
        <v>516</v>
      </c>
      <c r="F858" s="14" t="s">
        <v>970</v>
      </c>
      <c r="G858" s="14" t="s">
        <v>930</v>
      </c>
      <c r="H858" s="14" t="s">
        <v>961</v>
      </c>
    </row>
    <row r="859" spans="3:9" x14ac:dyDescent="0.3">
      <c r="C859" s="27" t="str">
        <f>C804</f>
        <v>Ультразвукова система AFFINITI 30</v>
      </c>
      <c r="D859" s="73">
        <f>D804</f>
        <v>136236.38</v>
      </c>
      <c r="E859" s="73">
        <f>I833</f>
        <v>1656.6</v>
      </c>
      <c r="F859" s="73">
        <f>ROUND((D859/E859)/60,2)</f>
        <v>1.37</v>
      </c>
      <c r="G859" s="73">
        <f>E837</f>
        <v>15</v>
      </c>
      <c r="H859" s="78">
        <f>ROUND(F859*G859,2)</f>
        <v>20.55</v>
      </c>
      <c r="I859" s="333"/>
    </row>
    <row r="861" spans="3:9" x14ac:dyDescent="0.3">
      <c r="C861" s="321" t="s">
        <v>948</v>
      </c>
      <c r="D861" s="227"/>
      <c r="E861" s="227"/>
      <c r="F861" s="298">
        <f>H874</f>
        <v>3.9</v>
      </c>
      <c r="G861" s="227" t="s">
        <v>971</v>
      </c>
    </row>
    <row r="862" spans="3:9" ht="7.5" customHeight="1" x14ac:dyDescent="0.3">
      <c r="C862" s="322"/>
      <c r="D862" s="36"/>
      <c r="E862" s="36"/>
      <c r="F862" s="302"/>
    </row>
    <row r="863" spans="3:9" ht="27.6" x14ac:dyDescent="0.3">
      <c r="C863" s="46" t="s">
        <v>948</v>
      </c>
      <c r="D863" s="14" t="s">
        <v>1110</v>
      </c>
      <c r="E863" s="14" t="s">
        <v>516</v>
      </c>
      <c r="F863" s="14" t="s">
        <v>954</v>
      </c>
      <c r="G863" s="14" t="s">
        <v>930</v>
      </c>
      <c r="H863" s="14" t="s">
        <v>1111</v>
      </c>
    </row>
    <row r="864" spans="3:9" x14ac:dyDescent="0.3">
      <c r="C864" s="1009" t="str">
        <f>C833</f>
        <v>Лікар з ультразвукової діагностики</v>
      </c>
      <c r="D864" s="1010"/>
      <c r="E864" s="1010"/>
      <c r="F864" s="1010"/>
      <c r="G864" s="1010"/>
      <c r="H864" s="1011"/>
    </row>
    <row r="865" spans="3:8" x14ac:dyDescent="0.3">
      <c r="C865" s="134" t="s">
        <v>951</v>
      </c>
      <c r="D865" s="221">
        <f>D810</f>
        <v>12188.608008565312</v>
      </c>
      <c r="E865" s="73">
        <f>I833</f>
        <v>1656.6</v>
      </c>
      <c r="F865" s="73">
        <f>ROUND((D865/E865)/60,2)</f>
        <v>0.12</v>
      </c>
      <c r="G865" s="73">
        <f>E837</f>
        <v>15</v>
      </c>
      <c r="H865" s="78">
        <f>ROUND(F865*G865,2)</f>
        <v>1.8</v>
      </c>
    </row>
    <row r="866" spans="3:8" x14ac:dyDescent="0.3">
      <c r="C866" s="134" t="s">
        <v>952</v>
      </c>
      <c r="D866" s="221">
        <f>D811</f>
        <v>53.149721627408987</v>
      </c>
      <c r="E866" s="73">
        <f>I833</f>
        <v>1656.6</v>
      </c>
      <c r="F866" s="73">
        <f>ROUND((D866/E866)/60,2)</f>
        <v>0</v>
      </c>
      <c r="G866" s="73">
        <f>E837</f>
        <v>15</v>
      </c>
      <c r="H866" s="78">
        <f>ROUND(F866*G866,2)</f>
        <v>0</v>
      </c>
    </row>
    <row r="867" spans="3:8" x14ac:dyDescent="0.3">
      <c r="C867" s="134" t="s">
        <v>953</v>
      </c>
      <c r="D867" s="221">
        <f>D812</f>
        <v>374.98368308351178</v>
      </c>
      <c r="E867" s="73">
        <f>I833</f>
        <v>1656.6</v>
      </c>
      <c r="F867" s="73">
        <f>ROUND((D867/E867)/60,2)</f>
        <v>0</v>
      </c>
      <c r="G867" s="73">
        <f>E837</f>
        <v>15</v>
      </c>
      <c r="H867" s="78">
        <f>ROUND(F867*G867,2)</f>
        <v>0</v>
      </c>
    </row>
    <row r="868" spans="3:8" x14ac:dyDescent="0.3">
      <c r="C868" s="134" t="s">
        <v>1109</v>
      </c>
      <c r="D868" s="221">
        <f>D813</f>
        <v>1686.0389293361886</v>
      </c>
      <c r="E868" s="73">
        <f>I833</f>
        <v>1656.6</v>
      </c>
      <c r="F868" s="73">
        <f>ROUND((D868/E868)/60,2)</f>
        <v>0.02</v>
      </c>
      <c r="G868" s="73">
        <f>E837</f>
        <v>15</v>
      </c>
      <c r="H868" s="78">
        <f>ROUND(F868*G868,2)</f>
        <v>0.3</v>
      </c>
    </row>
    <row r="869" spans="3:8" x14ac:dyDescent="0.3">
      <c r="C869" s="1009" t="str">
        <f>C834</f>
        <v xml:space="preserve">Сестра медична </v>
      </c>
      <c r="D869" s="1010"/>
      <c r="E869" s="1010"/>
      <c r="F869" s="1010"/>
      <c r="G869" s="1010"/>
      <c r="H869" s="1011"/>
    </row>
    <row r="870" spans="3:8" x14ac:dyDescent="0.3">
      <c r="C870" s="134" t="s">
        <v>951</v>
      </c>
      <c r="D870" s="221">
        <f>D815</f>
        <v>12188.608008565312</v>
      </c>
      <c r="E870" s="73">
        <f>I834</f>
        <v>1932.7</v>
      </c>
      <c r="F870" s="73">
        <f>ROUND((D870/E870)/60,2)</f>
        <v>0.11</v>
      </c>
      <c r="G870" s="73">
        <f>E838</f>
        <v>15</v>
      </c>
      <c r="H870" s="78">
        <f>ROUND(F870*G870,2)</f>
        <v>1.65</v>
      </c>
    </row>
    <row r="871" spans="3:8" x14ac:dyDescent="0.3">
      <c r="C871" s="134" t="s">
        <v>952</v>
      </c>
      <c r="D871" s="221">
        <f>D816</f>
        <v>53.149721627408987</v>
      </c>
      <c r="E871" s="73">
        <f>I834</f>
        <v>1932.7</v>
      </c>
      <c r="F871" s="73">
        <f>ROUND((D871/E871)/60,2)</f>
        <v>0</v>
      </c>
      <c r="G871" s="73">
        <f>E838</f>
        <v>15</v>
      </c>
      <c r="H871" s="78">
        <f>ROUND(F871*G871,2)</f>
        <v>0</v>
      </c>
    </row>
    <row r="872" spans="3:8" x14ac:dyDescent="0.3">
      <c r="C872" s="134" t="s">
        <v>953</v>
      </c>
      <c r="D872" s="221">
        <f>D817</f>
        <v>374.98368308351178</v>
      </c>
      <c r="E872" s="73">
        <f>I834</f>
        <v>1932.7</v>
      </c>
      <c r="F872" s="73">
        <f>ROUND((D872/E872)/60,2)</f>
        <v>0</v>
      </c>
      <c r="G872" s="73">
        <f>E838</f>
        <v>15</v>
      </c>
      <c r="H872" s="78">
        <f>ROUND(F872*G872,2)</f>
        <v>0</v>
      </c>
    </row>
    <row r="873" spans="3:8" x14ac:dyDescent="0.3">
      <c r="C873" s="134" t="s">
        <v>1109</v>
      </c>
      <c r="D873" s="221">
        <f>D818</f>
        <v>1686.0389293361886</v>
      </c>
      <c r="E873" s="73">
        <f>I834</f>
        <v>1932.7</v>
      </c>
      <c r="F873" s="73">
        <f>ROUND((D873/E873)/60,2)</f>
        <v>0.01</v>
      </c>
      <c r="G873" s="73">
        <f>E838</f>
        <v>15</v>
      </c>
      <c r="H873" s="78">
        <f>ROUND(F873*G873,2)</f>
        <v>0.15</v>
      </c>
    </row>
    <row r="874" spans="3:8" x14ac:dyDescent="0.3">
      <c r="C874" s="1012" t="s">
        <v>957</v>
      </c>
      <c r="D874" s="1013"/>
      <c r="E874" s="1013"/>
      <c r="F874" s="1013"/>
      <c r="G874" s="1014"/>
      <c r="H874" s="299">
        <f>SUM(H865:H873)</f>
        <v>3.9</v>
      </c>
    </row>
    <row r="875" spans="3:8" ht="13.5" customHeight="1" x14ac:dyDescent="0.3"/>
    <row r="877" spans="3:8" x14ac:dyDescent="0.3">
      <c r="C877" s="1015" t="s">
        <v>959</v>
      </c>
      <c r="D877" s="1015"/>
      <c r="E877" s="1015"/>
      <c r="F877" s="1015"/>
      <c r="G877" s="1015"/>
      <c r="H877" s="334">
        <f>F830+F842+F856+F861</f>
        <v>66.91</v>
      </c>
    </row>
    <row r="878" spans="3:8" x14ac:dyDescent="0.3">
      <c r="C878" s="323"/>
      <c r="D878" s="33"/>
      <c r="E878" s="33"/>
      <c r="F878" s="33"/>
      <c r="G878" s="33"/>
      <c r="H878" s="335"/>
    </row>
    <row r="879" spans="3:8" x14ac:dyDescent="0.3">
      <c r="C879" s="1015" t="s">
        <v>960</v>
      </c>
      <c r="D879" s="1015"/>
      <c r="E879" s="1015"/>
      <c r="F879" s="1015"/>
      <c r="G879" s="1015"/>
      <c r="H879" s="334">
        <f>ROUND(H877,0)</f>
        <v>67</v>
      </c>
    </row>
    <row r="881" spans="1:14" s="54" customFormat="1" ht="19.8" x14ac:dyDescent="0.4">
      <c r="A881" s="53"/>
      <c r="B881" s="1016" t="s">
        <v>958</v>
      </c>
      <c r="C881" s="1016"/>
      <c r="D881" s="1016"/>
      <c r="E881" s="1016"/>
      <c r="F881" s="1016"/>
      <c r="G881" s="1016"/>
      <c r="H881" s="1016"/>
      <c r="I881" s="1016"/>
      <c r="J881" s="1016"/>
      <c r="K881" s="70"/>
      <c r="L881" s="348"/>
      <c r="M881" s="348"/>
      <c r="N881" s="99"/>
    </row>
    <row r="882" spans="1:14" s="54" customFormat="1" ht="19.8" x14ac:dyDescent="0.4">
      <c r="A882" s="53"/>
      <c r="B882" s="53"/>
      <c r="C882" s="56"/>
      <c r="D882" s="225"/>
      <c r="E882" s="225"/>
      <c r="F882" s="225"/>
      <c r="G882" s="225"/>
      <c r="H882" s="225"/>
      <c r="I882" s="225"/>
      <c r="J882" s="225"/>
      <c r="K882" s="70"/>
      <c r="L882" s="348"/>
      <c r="M882" s="348"/>
      <c r="N882" s="99"/>
    </row>
    <row r="883" spans="1:14" s="54" customFormat="1" ht="33.75" customHeight="1" x14ac:dyDescent="0.4">
      <c r="A883" s="53"/>
      <c r="B883" s="50" t="s">
        <v>574</v>
      </c>
      <c r="C883" s="1017" t="s">
        <v>581</v>
      </c>
      <c r="D883" s="1017"/>
      <c r="E883" s="1017"/>
      <c r="F883" s="296">
        <f>H934</f>
        <v>67</v>
      </c>
      <c r="G883" s="296" t="s">
        <v>971</v>
      </c>
      <c r="H883" s="225"/>
      <c r="I883" s="225"/>
      <c r="J883" s="225"/>
      <c r="K883" s="70"/>
      <c r="L883" s="348"/>
      <c r="M883" s="348"/>
      <c r="N883" s="99"/>
    </row>
    <row r="885" spans="1:14" x14ac:dyDescent="0.3">
      <c r="C885" s="1018" t="s">
        <v>932</v>
      </c>
      <c r="D885" s="1018"/>
      <c r="E885" s="297"/>
      <c r="F885" s="298">
        <f>F892+F895+F893</f>
        <v>30.009999999999998</v>
      </c>
      <c r="G885" s="227" t="s">
        <v>971</v>
      </c>
    </row>
    <row r="886" spans="1:14" ht="8.25" customHeight="1" x14ac:dyDescent="0.3"/>
    <row r="887" spans="1:14" x14ac:dyDescent="0.3">
      <c r="C887" s="318" t="s">
        <v>929</v>
      </c>
      <c r="D887" s="14" t="s">
        <v>928</v>
      </c>
      <c r="E887" s="14" t="s">
        <v>514</v>
      </c>
      <c r="F887" s="14" t="s">
        <v>515</v>
      </c>
      <c r="G887" s="14" t="s">
        <v>962</v>
      </c>
      <c r="H887" s="14" t="s">
        <v>926</v>
      </c>
      <c r="I887" s="14" t="s">
        <v>516</v>
      </c>
      <c r="J887" s="14" t="s">
        <v>961</v>
      </c>
    </row>
    <row r="888" spans="1:14" x14ac:dyDescent="0.3">
      <c r="C888" s="134" t="str">
        <f>C833</f>
        <v>Лікар з ультразвукової діагностики</v>
      </c>
      <c r="D888" s="73">
        <f>D833</f>
        <v>6660.23</v>
      </c>
      <c r="E888" s="78">
        <f>D888*12</f>
        <v>79922.759999999995</v>
      </c>
      <c r="F888" s="73">
        <f>F833</f>
        <v>6054.75</v>
      </c>
      <c r="G888" s="78">
        <f>G833</f>
        <v>3027.375</v>
      </c>
      <c r="H888" s="78">
        <f>E888+F888+G888</f>
        <v>89004.884999999995</v>
      </c>
      <c r="I888" s="73">
        <v>1656.6</v>
      </c>
      <c r="J888" s="78">
        <f>ROUND((H888/I888)/60,2)</f>
        <v>0.9</v>
      </c>
    </row>
    <row r="889" spans="1:14" x14ac:dyDescent="0.3">
      <c r="C889" s="134" t="str">
        <f>C834</f>
        <v xml:space="preserve">Сестра медична </v>
      </c>
      <c r="D889" s="73">
        <f>D834</f>
        <v>6506.5</v>
      </c>
      <c r="E889" s="78">
        <f>D889*12</f>
        <v>78078</v>
      </c>
      <c r="F889" s="73">
        <f>F834</f>
        <v>5005</v>
      </c>
      <c r="G889" s="73">
        <f>G834</f>
        <v>2502.5</v>
      </c>
      <c r="H889" s="78">
        <f>E889+F889+G889</f>
        <v>85585.5</v>
      </c>
      <c r="I889" s="73">
        <v>1932.7</v>
      </c>
      <c r="J889" s="78">
        <f>ROUND((H889/I889)/60,2)</f>
        <v>0.74</v>
      </c>
    </row>
    <row r="891" spans="1:14" ht="27.6" x14ac:dyDescent="0.3">
      <c r="C891" s="318" t="s">
        <v>929</v>
      </c>
      <c r="D891" s="14" t="s">
        <v>961</v>
      </c>
      <c r="E891" s="14" t="s">
        <v>930</v>
      </c>
      <c r="F891" s="14" t="s">
        <v>931</v>
      </c>
    </row>
    <row r="892" spans="1:14" x14ac:dyDescent="0.3">
      <c r="C892" s="320" t="str">
        <f>C888</f>
        <v>Лікар з ультразвукової діагностики</v>
      </c>
      <c r="D892" s="78">
        <f>J888</f>
        <v>0.9</v>
      </c>
      <c r="E892" s="73">
        <v>15</v>
      </c>
      <c r="F892" s="299">
        <f>ROUND(D892*E892,2)</f>
        <v>13.5</v>
      </c>
    </row>
    <row r="893" spans="1:14" x14ac:dyDescent="0.3">
      <c r="C893" s="320" t="str">
        <f>C889</f>
        <v xml:space="preserve">Сестра медична </v>
      </c>
      <c r="D893" s="78">
        <f>J889</f>
        <v>0.74</v>
      </c>
      <c r="E893" s="73">
        <v>15</v>
      </c>
      <c r="F893" s="299">
        <f>ROUND(D893*E893,2)</f>
        <v>11.1</v>
      </c>
    </row>
    <row r="894" spans="1:14" x14ac:dyDescent="0.3">
      <c r="D894" s="19"/>
    </row>
    <row r="895" spans="1:14" x14ac:dyDescent="0.3">
      <c r="C895" s="134" t="s">
        <v>933</v>
      </c>
      <c r="D895" s="78">
        <f>F892+F893</f>
        <v>24.6</v>
      </c>
      <c r="E895" s="300">
        <v>0.22</v>
      </c>
      <c r="F895" s="301">
        <f>ROUND(D895*E895,2)</f>
        <v>5.41</v>
      </c>
    </row>
    <row r="897" spans="3:7" x14ac:dyDescent="0.3">
      <c r="C897" s="321" t="s">
        <v>946</v>
      </c>
      <c r="D897" s="227"/>
      <c r="E897" s="227"/>
      <c r="F897" s="227">
        <f>G909</f>
        <v>12.45</v>
      </c>
      <c r="G897" s="227" t="s">
        <v>971</v>
      </c>
    </row>
    <row r="898" spans="3:7" ht="6.75" customHeight="1" x14ac:dyDescent="0.3"/>
    <row r="899" spans="3:7" x14ac:dyDescent="0.3">
      <c r="C899" s="27" t="str">
        <f t="shared" ref="C899:F908" si="32">C844</f>
        <v>Рукавиці не стерильні</v>
      </c>
      <c r="D899" s="303" t="str">
        <f t="shared" si="32"/>
        <v>шт</v>
      </c>
      <c r="E899" s="303">
        <f t="shared" si="32"/>
        <v>0.1</v>
      </c>
      <c r="F899" s="303">
        <f t="shared" si="32"/>
        <v>2.8</v>
      </c>
      <c r="G899" s="228">
        <f>ROUND(F899*E899,2)</f>
        <v>0.28000000000000003</v>
      </c>
    </row>
    <row r="900" spans="3:7" x14ac:dyDescent="0.3">
      <c r="C900" s="27" t="str">
        <f t="shared" si="32"/>
        <v xml:space="preserve">Септил 70% 100мл </v>
      </c>
      <c r="D900" s="303" t="str">
        <f t="shared" si="32"/>
        <v>шт</v>
      </c>
      <c r="E900" s="303">
        <f t="shared" si="32"/>
        <v>0.01</v>
      </c>
      <c r="F900" s="303">
        <f t="shared" si="32"/>
        <v>24.6</v>
      </c>
      <c r="G900" s="228">
        <f t="shared" ref="G900:G905" si="33">ROUND(F900*E900,2)</f>
        <v>0.25</v>
      </c>
    </row>
    <row r="901" spans="3:7" x14ac:dyDescent="0.3">
      <c r="C901" s="27" t="str">
        <f t="shared" si="32"/>
        <v>Маска на резинці, стерильна.</v>
      </c>
      <c r="D901" s="303" t="str">
        <f t="shared" si="32"/>
        <v>шт</v>
      </c>
      <c r="E901" s="303">
        <f t="shared" si="32"/>
        <v>0.1</v>
      </c>
      <c r="F901" s="303">
        <f t="shared" si="32"/>
        <v>2</v>
      </c>
      <c r="G901" s="228">
        <f t="shared" si="33"/>
        <v>0.2</v>
      </c>
    </row>
    <row r="902" spans="3:7" x14ac:dyDescent="0.3">
      <c r="C902" s="27" t="str">
        <f t="shared" si="32"/>
        <v>Мікрасепт</v>
      </c>
      <c r="D902" s="303" t="str">
        <f t="shared" si="32"/>
        <v>мл</v>
      </c>
      <c r="E902" s="303">
        <f t="shared" si="32"/>
        <v>1</v>
      </c>
      <c r="F902" s="303">
        <f t="shared" si="32"/>
        <v>0.3</v>
      </c>
      <c r="G902" s="28">
        <f>ROUND(E902*F902,2)</f>
        <v>0.3</v>
      </c>
    </row>
    <row r="903" spans="3:7" x14ac:dyDescent="0.3">
      <c r="C903" s="27" t="str">
        <f t="shared" si="32"/>
        <v>Папір офісний А4</v>
      </c>
      <c r="D903" s="303" t="str">
        <f t="shared" si="32"/>
        <v>шт</v>
      </c>
      <c r="E903" s="303">
        <f t="shared" si="32"/>
        <v>2</v>
      </c>
      <c r="F903" s="303">
        <f t="shared" si="32"/>
        <v>0.3</v>
      </c>
      <c r="G903" s="228">
        <f t="shared" si="33"/>
        <v>0.6</v>
      </c>
    </row>
    <row r="904" spans="3:7" x14ac:dyDescent="0.3">
      <c r="C904" s="27" t="str">
        <f t="shared" si="32"/>
        <v xml:space="preserve">Гель для УЗД , 1000 гр. </v>
      </c>
      <c r="D904" s="303" t="str">
        <f t="shared" si="32"/>
        <v>пляшка</v>
      </c>
      <c r="E904" s="303">
        <f t="shared" si="32"/>
        <v>0.1</v>
      </c>
      <c r="F904" s="303">
        <f t="shared" si="32"/>
        <v>48</v>
      </c>
      <c r="G904" s="228">
        <f t="shared" si="33"/>
        <v>4.8</v>
      </c>
    </row>
    <row r="905" spans="3:7" x14ac:dyDescent="0.3">
      <c r="C905" s="27" t="str">
        <f t="shared" si="32"/>
        <v>Паперові рушники "Fesko Professional"</v>
      </c>
      <c r="D905" s="303" t="str">
        <f t="shared" si="32"/>
        <v>рул</v>
      </c>
      <c r="E905" s="303">
        <f t="shared" si="32"/>
        <v>0.3</v>
      </c>
      <c r="F905" s="303">
        <f t="shared" si="32"/>
        <v>17</v>
      </c>
      <c r="G905" s="228">
        <f t="shared" si="33"/>
        <v>5.0999999999999996</v>
      </c>
    </row>
    <row r="906" spans="3:7" x14ac:dyDescent="0.3">
      <c r="C906" s="27" t="str">
        <f t="shared" si="32"/>
        <v>Марля медична</v>
      </c>
      <c r="D906" s="303" t="str">
        <f t="shared" si="32"/>
        <v>метр</v>
      </c>
      <c r="E906" s="303">
        <f t="shared" si="32"/>
        <v>0.1</v>
      </c>
      <c r="F906" s="303">
        <f t="shared" si="32"/>
        <v>6</v>
      </c>
      <c r="G906" s="28">
        <f>ROUND(E906*F906,2)</f>
        <v>0.6</v>
      </c>
    </row>
    <row r="907" spans="3:7" x14ac:dyDescent="0.3">
      <c r="C907" s="27" t="str">
        <f t="shared" si="32"/>
        <v>Вата</v>
      </c>
      <c r="D907" s="303" t="str">
        <f t="shared" si="32"/>
        <v>г</v>
      </c>
      <c r="E907" s="303">
        <f t="shared" si="32"/>
        <v>1</v>
      </c>
      <c r="F907" s="303">
        <f t="shared" si="32"/>
        <v>7.0000000000000007E-2</v>
      </c>
      <c r="G907" s="28">
        <f>ROUND(E907*F907,2)</f>
        <v>7.0000000000000007E-2</v>
      </c>
    </row>
    <row r="908" spans="3:7" x14ac:dyDescent="0.3">
      <c r="C908" s="27" t="str">
        <f t="shared" si="32"/>
        <v>Деззасоби</v>
      </c>
      <c r="D908" s="303" t="str">
        <f t="shared" si="32"/>
        <v>г</v>
      </c>
      <c r="E908" s="303">
        <f t="shared" si="32"/>
        <v>0.5</v>
      </c>
      <c r="F908" s="303">
        <f t="shared" si="32"/>
        <v>0.5</v>
      </c>
      <c r="G908" s="28">
        <f>ROUND(E908*F908,2)</f>
        <v>0.25</v>
      </c>
    </row>
    <row r="909" spans="3:7" x14ac:dyDescent="0.3">
      <c r="C909" s="1019" t="s">
        <v>945</v>
      </c>
      <c r="D909" s="1019"/>
      <c r="E909" s="1019"/>
      <c r="F909" s="1019"/>
      <c r="G909" s="332">
        <f>SUM(G899:G908)</f>
        <v>12.45</v>
      </c>
    </row>
    <row r="910" spans="3:7" ht="10.5" customHeight="1" x14ac:dyDescent="0.3"/>
    <row r="911" spans="3:7" x14ac:dyDescent="0.3">
      <c r="C911" s="321" t="s">
        <v>968</v>
      </c>
      <c r="D911" s="227"/>
      <c r="E911" s="227"/>
      <c r="F911" s="298">
        <f>H914</f>
        <v>20.55</v>
      </c>
      <c r="G911" s="227" t="s">
        <v>971</v>
      </c>
    </row>
    <row r="912" spans="3:7" x14ac:dyDescent="0.3">
      <c r="C912" s="322"/>
      <c r="D912" s="36"/>
      <c r="E912" s="36"/>
      <c r="F912" s="302"/>
      <c r="G912" s="36"/>
    </row>
    <row r="913" spans="3:9" ht="27.6" x14ac:dyDescent="0.3">
      <c r="C913" s="46" t="s">
        <v>513</v>
      </c>
      <c r="D913" s="14" t="s">
        <v>1108</v>
      </c>
      <c r="E913" s="14" t="s">
        <v>516</v>
      </c>
      <c r="F913" s="14" t="s">
        <v>970</v>
      </c>
      <c r="G913" s="14" t="s">
        <v>930</v>
      </c>
      <c r="H913" s="14" t="s">
        <v>961</v>
      </c>
    </row>
    <row r="914" spans="3:9" x14ac:dyDescent="0.3">
      <c r="C914" s="27" t="str">
        <f>C859</f>
        <v>Ультразвукова система AFFINITI 30</v>
      </c>
      <c r="D914" s="73">
        <f>D859</f>
        <v>136236.38</v>
      </c>
      <c r="E914" s="73">
        <f>I888</f>
        <v>1656.6</v>
      </c>
      <c r="F914" s="73">
        <f>ROUND((D914/E914)/60,2)</f>
        <v>1.37</v>
      </c>
      <c r="G914" s="73">
        <f>E892</f>
        <v>15</v>
      </c>
      <c r="H914" s="78">
        <f>ROUND(F914*G914,2)</f>
        <v>20.55</v>
      </c>
      <c r="I914" s="333"/>
    </row>
    <row r="916" spans="3:9" x14ac:dyDescent="0.3">
      <c r="C916" s="321" t="s">
        <v>948</v>
      </c>
      <c r="D916" s="227"/>
      <c r="E916" s="227"/>
      <c r="F916" s="298">
        <f>H929</f>
        <v>3.9</v>
      </c>
      <c r="G916" s="227" t="s">
        <v>971</v>
      </c>
    </row>
    <row r="917" spans="3:9" x14ac:dyDescent="0.3">
      <c r="C917" s="322"/>
      <c r="D917" s="36"/>
      <c r="E917" s="36"/>
      <c r="F917" s="302"/>
    </row>
    <row r="918" spans="3:9" ht="27.6" x14ac:dyDescent="0.3">
      <c r="C918" s="46" t="s">
        <v>948</v>
      </c>
      <c r="D918" s="14" t="s">
        <v>1110</v>
      </c>
      <c r="E918" s="14" t="s">
        <v>516</v>
      </c>
      <c r="F918" s="14" t="s">
        <v>954</v>
      </c>
      <c r="G918" s="14" t="s">
        <v>930</v>
      </c>
      <c r="H918" s="14" t="s">
        <v>1111</v>
      </c>
    </row>
    <row r="919" spans="3:9" x14ac:dyDescent="0.3">
      <c r="C919" s="1009" t="str">
        <f>C888</f>
        <v>Лікар з ультразвукової діагностики</v>
      </c>
      <c r="D919" s="1010"/>
      <c r="E919" s="1010"/>
      <c r="F919" s="1010"/>
      <c r="G919" s="1010"/>
      <c r="H919" s="1011"/>
    </row>
    <row r="920" spans="3:9" x14ac:dyDescent="0.3">
      <c r="C920" s="134" t="s">
        <v>951</v>
      </c>
      <c r="D920" s="221">
        <f>D865</f>
        <v>12188.608008565312</v>
      </c>
      <c r="E920" s="73">
        <f>I888</f>
        <v>1656.6</v>
      </c>
      <c r="F920" s="73">
        <f>ROUND((D920/E920)/60,2)</f>
        <v>0.12</v>
      </c>
      <c r="G920" s="73">
        <f>E892</f>
        <v>15</v>
      </c>
      <c r="H920" s="78">
        <f>ROUND(F920*G920,2)</f>
        <v>1.8</v>
      </c>
    </row>
    <row r="921" spans="3:9" x14ac:dyDescent="0.3">
      <c r="C921" s="134" t="s">
        <v>952</v>
      </c>
      <c r="D921" s="221">
        <f>D866</f>
        <v>53.149721627408987</v>
      </c>
      <c r="E921" s="73">
        <f>I888</f>
        <v>1656.6</v>
      </c>
      <c r="F921" s="73">
        <f>ROUND((D921/E921)/60,2)</f>
        <v>0</v>
      </c>
      <c r="G921" s="73">
        <f>E892</f>
        <v>15</v>
      </c>
      <c r="H921" s="78">
        <f>ROUND(F921*G921,2)</f>
        <v>0</v>
      </c>
    </row>
    <row r="922" spans="3:9" x14ac:dyDescent="0.3">
      <c r="C922" s="134" t="s">
        <v>953</v>
      </c>
      <c r="D922" s="221">
        <f>D867</f>
        <v>374.98368308351178</v>
      </c>
      <c r="E922" s="73">
        <f>I888</f>
        <v>1656.6</v>
      </c>
      <c r="F922" s="73">
        <f>ROUND((D922/E922)/60,2)</f>
        <v>0</v>
      </c>
      <c r="G922" s="73">
        <f>E892</f>
        <v>15</v>
      </c>
      <c r="H922" s="78">
        <f>ROUND(F922*G922,2)</f>
        <v>0</v>
      </c>
    </row>
    <row r="923" spans="3:9" x14ac:dyDescent="0.3">
      <c r="C923" s="134" t="s">
        <v>1109</v>
      </c>
      <c r="D923" s="221">
        <f>D868</f>
        <v>1686.0389293361886</v>
      </c>
      <c r="E923" s="73">
        <f>I888</f>
        <v>1656.6</v>
      </c>
      <c r="F923" s="73">
        <f>ROUND((D923/E923)/60,2)</f>
        <v>0.02</v>
      </c>
      <c r="G923" s="73">
        <f>E892</f>
        <v>15</v>
      </c>
      <c r="H923" s="78">
        <f>ROUND(F923*G923,2)</f>
        <v>0.3</v>
      </c>
    </row>
    <row r="924" spans="3:9" x14ac:dyDescent="0.3">
      <c r="C924" s="1009" t="str">
        <f>C889</f>
        <v xml:space="preserve">Сестра медична </v>
      </c>
      <c r="D924" s="1010"/>
      <c r="E924" s="1010"/>
      <c r="F924" s="1010"/>
      <c r="G924" s="1010"/>
      <c r="H924" s="1011"/>
    </row>
    <row r="925" spans="3:9" x14ac:dyDescent="0.3">
      <c r="C925" s="134" t="s">
        <v>951</v>
      </c>
      <c r="D925" s="221">
        <f>D920</f>
        <v>12188.608008565312</v>
      </c>
      <c r="E925" s="73">
        <f>I889</f>
        <v>1932.7</v>
      </c>
      <c r="F925" s="73">
        <f>ROUND((D925/E925)/60,2)</f>
        <v>0.11</v>
      </c>
      <c r="G925" s="73">
        <f>E893</f>
        <v>15</v>
      </c>
      <c r="H925" s="78">
        <f>ROUND(F925*G925,2)</f>
        <v>1.65</v>
      </c>
    </row>
    <row r="926" spans="3:9" x14ac:dyDescent="0.3">
      <c r="C926" s="134" t="s">
        <v>952</v>
      </c>
      <c r="D926" s="221">
        <f>D921</f>
        <v>53.149721627408987</v>
      </c>
      <c r="E926" s="73">
        <f>I889</f>
        <v>1932.7</v>
      </c>
      <c r="F926" s="73">
        <f>ROUND((D926/E926)/60,2)</f>
        <v>0</v>
      </c>
      <c r="G926" s="73">
        <f>E893</f>
        <v>15</v>
      </c>
      <c r="H926" s="78">
        <f>ROUND(F926*G926,2)</f>
        <v>0</v>
      </c>
    </row>
    <row r="927" spans="3:9" x14ac:dyDescent="0.3">
      <c r="C927" s="134" t="s">
        <v>953</v>
      </c>
      <c r="D927" s="221">
        <f>D922</f>
        <v>374.98368308351178</v>
      </c>
      <c r="E927" s="73">
        <f>I889</f>
        <v>1932.7</v>
      </c>
      <c r="F927" s="73">
        <f>ROUND((D927/E927)/60,2)</f>
        <v>0</v>
      </c>
      <c r="G927" s="73">
        <f>E893</f>
        <v>15</v>
      </c>
      <c r="H927" s="78">
        <f>ROUND(F927*G927,2)</f>
        <v>0</v>
      </c>
    </row>
    <row r="928" spans="3:9" x14ac:dyDescent="0.3">
      <c r="C928" s="134" t="s">
        <v>1109</v>
      </c>
      <c r="D928" s="221">
        <f>D923</f>
        <v>1686.0389293361886</v>
      </c>
      <c r="E928" s="73">
        <f>I889</f>
        <v>1932.7</v>
      </c>
      <c r="F928" s="73">
        <f>ROUND((D928/E928)/60,2)</f>
        <v>0.01</v>
      </c>
      <c r="G928" s="73">
        <f>E893</f>
        <v>15</v>
      </c>
      <c r="H928" s="78">
        <f>ROUND(F928*G928,2)</f>
        <v>0.15</v>
      </c>
    </row>
    <row r="929" spans="1:14" x14ac:dyDescent="0.3">
      <c r="C929" s="1012" t="s">
        <v>957</v>
      </c>
      <c r="D929" s="1013"/>
      <c r="E929" s="1013"/>
      <c r="F929" s="1013"/>
      <c r="G929" s="1014"/>
      <c r="H929" s="299">
        <f>SUM(H920:H928)</f>
        <v>3.9</v>
      </c>
    </row>
    <row r="930" spans="1:14" ht="14.25" customHeight="1" x14ac:dyDescent="0.3"/>
    <row r="932" spans="1:14" x14ac:dyDescent="0.3">
      <c r="C932" s="1015" t="s">
        <v>959</v>
      </c>
      <c r="D932" s="1015"/>
      <c r="E932" s="1015"/>
      <c r="F932" s="1015"/>
      <c r="G932" s="1015"/>
      <c r="H932" s="334">
        <f>F885+F897+F911+F916</f>
        <v>66.91</v>
      </c>
    </row>
    <row r="933" spans="1:14" x14ac:dyDescent="0.3">
      <c r="C933" s="323"/>
      <c r="D933" s="33"/>
      <c r="E933" s="33"/>
      <c r="F933" s="33"/>
      <c r="G933" s="33"/>
      <c r="H933" s="335"/>
    </row>
    <row r="934" spans="1:14" x14ac:dyDescent="0.3">
      <c r="C934" s="1015" t="s">
        <v>960</v>
      </c>
      <c r="D934" s="1015"/>
      <c r="E934" s="1015"/>
      <c r="F934" s="1015"/>
      <c r="G934" s="1015"/>
      <c r="H934" s="334">
        <f>ROUND(H932,0)</f>
        <v>67</v>
      </c>
    </row>
    <row r="936" spans="1:14" s="54" customFormat="1" ht="19.8" x14ac:dyDescent="0.4">
      <c r="A936" s="53"/>
      <c r="B936" s="1016" t="s">
        <v>958</v>
      </c>
      <c r="C936" s="1016"/>
      <c r="D936" s="1016"/>
      <c r="E936" s="1016"/>
      <c r="F936" s="1016"/>
      <c r="G936" s="1016"/>
      <c r="H936" s="1016"/>
      <c r="I936" s="1016"/>
      <c r="J936" s="1016"/>
      <c r="K936" s="70"/>
      <c r="L936" s="348"/>
      <c r="M936" s="348"/>
      <c r="N936" s="99"/>
    </row>
    <row r="937" spans="1:14" s="54" customFormat="1" ht="19.8" x14ac:dyDescent="0.4">
      <c r="A937" s="53"/>
      <c r="B937" s="53"/>
      <c r="C937" s="56"/>
      <c r="D937" s="225"/>
      <c r="E937" s="225"/>
      <c r="F937" s="225"/>
      <c r="G937" s="225"/>
      <c r="H937" s="225"/>
      <c r="I937" s="225"/>
      <c r="J937" s="225"/>
      <c r="K937" s="70"/>
      <c r="L937" s="348"/>
      <c r="M937" s="348"/>
      <c r="N937" s="99"/>
    </row>
    <row r="938" spans="1:14" s="54" customFormat="1" ht="35.25" customHeight="1" x14ac:dyDescent="0.4">
      <c r="A938" s="53"/>
      <c r="B938" s="50" t="s">
        <v>576</v>
      </c>
      <c r="C938" s="1017" t="s">
        <v>583</v>
      </c>
      <c r="D938" s="1017"/>
      <c r="E938" s="1017"/>
      <c r="F938" s="296">
        <f>H989</f>
        <v>67</v>
      </c>
      <c r="G938" s="296" t="s">
        <v>971</v>
      </c>
      <c r="H938" s="225"/>
      <c r="I938" s="225"/>
      <c r="J938" s="225"/>
      <c r="K938" s="70"/>
      <c r="L938" s="348"/>
      <c r="M938" s="348"/>
      <c r="N938" s="99"/>
    </row>
    <row r="940" spans="1:14" x14ac:dyDescent="0.3">
      <c r="C940" s="1018" t="s">
        <v>932</v>
      </c>
      <c r="D940" s="1018"/>
      <c r="E940" s="297"/>
      <c r="F940" s="298">
        <f>F947+F950+F948</f>
        <v>30.009999999999998</v>
      </c>
      <c r="G940" s="227" t="s">
        <v>971</v>
      </c>
    </row>
    <row r="942" spans="1:14" x14ac:dyDescent="0.3">
      <c r="C942" s="318" t="s">
        <v>929</v>
      </c>
      <c r="D942" s="14" t="s">
        <v>928</v>
      </c>
      <c r="E942" s="14" t="s">
        <v>514</v>
      </c>
      <c r="F942" s="14" t="s">
        <v>515</v>
      </c>
      <c r="G942" s="14" t="s">
        <v>962</v>
      </c>
      <c r="H942" s="14" t="s">
        <v>926</v>
      </c>
      <c r="I942" s="14" t="s">
        <v>516</v>
      </c>
      <c r="J942" s="14" t="s">
        <v>961</v>
      </c>
    </row>
    <row r="943" spans="1:14" x14ac:dyDescent="0.3">
      <c r="C943" s="134" t="str">
        <f>C888</f>
        <v>Лікар з ультразвукової діагностики</v>
      </c>
      <c r="D943" s="73">
        <f>D888</f>
        <v>6660.23</v>
      </c>
      <c r="E943" s="78">
        <f>D943*12</f>
        <v>79922.759999999995</v>
      </c>
      <c r="F943" s="73">
        <f>F888</f>
        <v>6054.75</v>
      </c>
      <c r="G943" s="78">
        <f>G888</f>
        <v>3027.375</v>
      </c>
      <c r="H943" s="78">
        <f>E943+F943+G943</f>
        <v>89004.884999999995</v>
      </c>
      <c r="I943" s="73">
        <v>1656.6</v>
      </c>
      <c r="J943" s="78">
        <f>ROUND((H943/I943)/60,2)</f>
        <v>0.9</v>
      </c>
    </row>
    <row r="944" spans="1:14" x14ac:dyDescent="0.3">
      <c r="C944" s="134" t="str">
        <f>C889</f>
        <v xml:space="preserve">Сестра медична </v>
      </c>
      <c r="D944" s="73">
        <f>D889</f>
        <v>6506.5</v>
      </c>
      <c r="E944" s="78">
        <f>D944*12</f>
        <v>78078</v>
      </c>
      <c r="F944" s="73">
        <f>F889</f>
        <v>5005</v>
      </c>
      <c r="G944" s="73">
        <f>G889</f>
        <v>2502.5</v>
      </c>
      <c r="H944" s="78">
        <f>E944+F944+G944</f>
        <v>85585.5</v>
      </c>
      <c r="I944" s="73">
        <v>1932.7</v>
      </c>
      <c r="J944" s="78">
        <f>ROUND((H944/I944)/60,2)</f>
        <v>0.74</v>
      </c>
    </row>
    <row r="946" spans="3:7" ht="27.6" x14ac:dyDescent="0.3">
      <c r="C946" s="318" t="s">
        <v>929</v>
      </c>
      <c r="D946" s="14" t="s">
        <v>961</v>
      </c>
      <c r="E946" s="14" t="s">
        <v>930</v>
      </c>
      <c r="F946" s="14" t="s">
        <v>931</v>
      </c>
    </row>
    <row r="947" spans="3:7" x14ac:dyDescent="0.3">
      <c r="C947" s="320" t="str">
        <f>C943</f>
        <v>Лікар з ультразвукової діагностики</v>
      </c>
      <c r="D947" s="78">
        <f>J943</f>
        <v>0.9</v>
      </c>
      <c r="E947" s="73">
        <v>15</v>
      </c>
      <c r="F947" s="299">
        <f>ROUND(D947*E947,2)</f>
        <v>13.5</v>
      </c>
    </row>
    <row r="948" spans="3:7" x14ac:dyDescent="0.3">
      <c r="C948" s="320" t="str">
        <f>C944</f>
        <v xml:space="preserve">Сестра медична </v>
      </c>
      <c r="D948" s="78">
        <f>J944</f>
        <v>0.74</v>
      </c>
      <c r="E948" s="73">
        <v>15</v>
      </c>
      <c r="F948" s="299">
        <f>ROUND(D948*E948,2)</f>
        <v>11.1</v>
      </c>
    </row>
    <row r="949" spans="3:7" x14ac:dyDescent="0.3">
      <c r="D949" s="19"/>
    </row>
    <row r="950" spans="3:7" x14ac:dyDescent="0.3">
      <c r="C950" s="134" t="s">
        <v>933</v>
      </c>
      <c r="D950" s="78">
        <f>F947+F948</f>
        <v>24.6</v>
      </c>
      <c r="E950" s="300">
        <v>0.22</v>
      </c>
      <c r="F950" s="301">
        <f>ROUND(D950*E950,2)</f>
        <v>5.41</v>
      </c>
    </row>
    <row r="952" spans="3:7" x14ac:dyDescent="0.3">
      <c r="C952" s="321" t="s">
        <v>946</v>
      </c>
      <c r="D952" s="227"/>
      <c r="E952" s="227"/>
      <c r="F952" s="227">
        <f>G964</f>
        <v>12.45</v>
      </c>
      <c r="G952" s="227" t="s">
        <v>971</v>
      </c>
    </row>
    <row r="954" spans="3:7" x14ac:dyDescent="0.3">
      <c r="C954" s="27" t="str">
        <f t="shared" ref="C954:F963" si="34">C899</f>
        <v>Рукавиці не стерильні</v>
      </c>
      <c r="D954" s="303" t="str">
        <f t="shared" si="34"/>
        <v>шт</v>
      </c>
      <c r="E954" s="303">
        <f t="shared" si="34"/>
        <v>0.1</v>
      </c>
      <c r="F954" s="303">
        <f t="shared" si="34"/>
        <v>2.8</v>
      </c>
      <c r="G954" s="228">
        <f>ROUND(F954*E954,2)</f>
        <v>0.28000000000000003</v>
      </c>
    </row>
    <row r="955" spans="3:7" x14ac:dyDescent="0.3">
      <c r="C955" s="27" t="str">
        <f t="shared" si="34"/>
        <v xml:space="preserve">Септил 70% 100мл </v>
      </c>
      <c r="D955" s="303" t="str">
        <f t="shared" si="34"/>
        <v>шт</v>
      </c>
      <c r="E955" s="303">
        <f t="shared" si="34"/>
        <v>0.01</v>
      </c>
      <c r="F955" s="303">
        <f t="shared" si="34"/>
        <v>24.6</v>
      </c>
      <c r="G955" s="228">
        <f t="shared" ref="G955:G960" si="35">ROUND(F955*E955,2)</f>
        <v>0.25</v>
      </c>
    </row>
    <row r="956" spans="3:7" x14ac:dyDescent="0.3">
      <c r="C956" s="27" t="str">
        <f t="shared" si="34"/>
        <v>Маска на резинці, стерильна.</v>
      </c>
      <c r="D956" s="303" t="str">
        <f t="shared" si="34"/>
        <v>шт</v>
      </c>
      <c r="E956" s="303">
        <f t="shared" si="34"/>
        <v>0.1</v>
      </c>
      <c r="F956" s="303">
        <f t="shared" si="34"/>
        <v>2</v>
      </c>
      <c r="G956" s="228">
        <f t="shared" si="35"/>
        <v>0.2</v>
      </c>
    </row>
    <row r="957" spans="3:7" x14ac:dyDescent="0.3">
      <c r="C957" s="27" t="str">
        <f t="shared" si="34"/>
        <v>Мікрасепт</v>
      </c>
      <c r="D957" s="303" t="str">
        <f t="shared" si="34"/>
        <v>мл</v>
      </c>
      <c r="E957" s="303">
        <f t="shared" si="34"/>
        <v>1</v>
      </c>
      <c r="F957" s="303">
        <f t="shared" si="34"/>
        <v>0.3</v>
      </c>
      <c r="G957" s="28">
        <f>ROUND(E957*F957,2)</f>
        <v>0.3</v>
      </c>
    </row>
    <row r="958" spans="3:7" x14ac:dyDescent="0.3">
      <c r="C958" s="27" t="str">
        <f t="shared" si="34"/>
        <v>Папір офісний А4</v>
      </c>
      <c r="D958" s="303" t="str">
        <f t="shared" si="34"/>
        <v>шт</v>
      </c>
      <c r="E958" s="303">
        <f t="shared" si="34"/>
        <v>2</v>
      </c>
      <c r="F958" s="303">
        <f t="shared" si="34"/>
        <v>0.3</v>
      </c>
      <c r="G958" s="228">
        <f t="shared" si="35"/>
        <v>0.6</v>
      </c>
    </row>
    <row r="959" spans="3:7" x14ac:dyDescent="0.3">
      <c r="C959" s="27" t="str">
        <f t="shared" si="34"/>
        <v xml:space="preserve">Гель для УЗД , 1000 гр. </v>
      </c>
      <c r="D959" s="303" t="str">
        <f t="shared" si="34"/>
        <v>пляшка</v>
      </c>
      <c r="E959" s="303">
        <f t="shared" si="34"/>
        <v>0.1</v>
      </c>
      <c r="F959" s="303">
        <f t="shared" si="34"/>
        <v>48</v>
      </c>
      <c r="G959" s="228">
        <f t="shared" si="35"/>
        <v>4.8</v>
      </c>
    </row>
    <row r="960" spans="3:7" x14ac:dyDescent="0.3">
      <c r="C960" s="27" t="str">
        <f t="shared" si="34"/>
        <v>Паперові рушники "Fesko Professional"</v>
      </c>
      <c r="D960" s="303" t="str">
        <f t="shared" si="34"/>
        <v>рул</v>
      </c>
      <c r="E960" s="303">
        <f t="shared" si="34"/>
        <v>0.3</v>
      </c>
      <c r="F960" s="303">
        <f t="shared" si="34"/>
        <v>17</v>
      </c>
      <c r="G960" s="228">
        <f t="shared" si="35"/>
        <v>5.0999999999999996</v>
      </c>
    </row>
    <row r="961" spans="3:9" x14ac:dyDescent="0.3">
      <c r="C961" s="27" t="str">
        <f t="shared" si="34"/>
        <v>Марля медична</v>
      </c>
      <c r="D961" s="303" t="str">
        <f t="shared" si="34"/>
        <v>метр</v>
      </c>
      <c r="E961" s="303">
        <f t="shared" si="34"/>
        <v>0.1</v>
      </c>
      <c r="F961" s="303">
        <f t="shared" si="34"/>
        <v>6</v>
      </c>
      <c r="G961" s="28">
        <f>ROUND(E961*F961,2)</f>
        <v>0.6</v>
      </c>
    </row>
    <row r="962" spans="3:9" x14ac:dyDescent="0.3">
      <c r="C962" s="27" t="str">
        <f t="shared" si="34"/>
        <v>Вата</v>
      </c>
      <c r="D962" s="303" t="str">
        <f t="shared" si="34"/>
        <v>г</v>
      </c>
      <c r="E962" s="303">
        <f t="shared" si="34"/>
        <v>1</v>
      </c>
      <c r="F962" s="303">
        <f t="shared" si="34"/>
        <v>7.0000000000000007E-2</v>
      </c>
      <c r="G962" s="28">
        <f>ROUND(E962*F962,2)</f>
        <v>7.0000000000000007E-2</v>
      </c>
    </row>
    <row r="963" spans="3:9" x14ac:dyDescent="0.3">
      <c r="C963" s="27" t="str">
        <f t="shared" si="34"/>
        <v>Деззасоби</v>
      </c>
      <c r="D963" s="303" t="str">
        <f t="shared" si="34"/>
        <v>г</v>
      </c>
      <c r="E963" s="303">
        <f t="shared" si="34"/>
        <v>0.5</v>
      </c>
      <c r="F963" s="303">
        <f t="shared" si="34"/>
        <v>0.5</v>
      </c>
      <c r="G963" s="28">
        <f>ROUND(E963*F963,2)</f>
        <v>0.25</v>
      </c>
    </row>
    <row r="964" spans="3:9" x14ac:dyDescent="0.3">
      <c r="C964" s="1019" t="s">
        <v>945</v>
      </c>
      <c r="D964" s="1019"/>
      <c r="E964" s="1019"/>
      <c r="F964" s="1019"/>
      <c r="G964" s="332">
        <f>SUM(G954:G963)</f>
        <v>12.45</v>
      </c>
    </row>
    <row r="965" spans="3:9" ht="8.25" customHeight="1" x14ac:dyDescent="0.3"/>
    <row r="966" spans="3:9" x14ac:dyDescent="0.3">
      <c r="C966" s="321" t="s">
        <v>968</v>
      </c>
      <c r="D966" s="227"/>
      <c r="E966" s="227"/>
      <c r="F966" s="298">
        <f>H969</f>
        <v>20.55</v>
      </c>
      <c r="G966" s="227" t="s">
        <v>971</v>
      </c>
    </row>
    <row r="967" spans="3:9" ht="7.5" customHeight="1" x14ac:dyDescent="0.3">
      <c r="C967" s="322"/>
      <c r="D967" s="36"/>
      <c r="E967" s="36"/>
      <c r="F967" s="302"/>
      <c r="G967" s="36"/>
    </row>
    <row r="968" spans="3:9" ht="27.6" x14ac:dyDescent="0.3">
      <c r="C968" s="46" t="s">
        <v>513</v>
      </c>
      <c r="D968" s="14" t="s">
        <v>1108</v>
      </c>
      <c r="E968" s="14" t="s">
        <v>516</v>
      </c>
      <c r="F968" s="14" t="s">
        <v>970</v>
      </c>
      <c r="G968" s="14" t="s">
        <v>930</v>
      </c>
      <c r="H968" s="14" t="s">
        <v>961</v>
      </c>
    </row>
    <row r="969" spans="3:9" x14ac:dyDescent="0.3">
      <c r="C969" s="27" t="str">
        <f>C914</f>
        <v>Ультразвукова система AFFINITI 30</v>
      </c>
      <c r="D969" s="73">
        <f>D914</f>
        <v>136236.38</v>
      </c>
      <c r="E969" s="73">
        <f>I943</f>
        <v>1656.6</v>
      </c>
      <c r="F969" s="73">
        <f>ROUND((D969/E969)/60,2)</f>
        <v>1.37</v>
      </c>
      <c r="G969" s="73">
        <f>E947</f>
        <v>15</v>
      </c>
      <c r="H969" s="78">
        <f>ROUND(F969*G969,2)</f>
        <v>20.55</v>
      </c>
      <c r="I969" s="333"/>
    </row>
    <row r="970" spans="3:9" ht="9.75" customHeight="1" x14ac:dyDescent="0.3"/>
    <row r="971" spans="3:9" x14ac:dyDescent="0.3">
      <c r="C971" s="321" t="s">
        <v>948</v>
      </c>
      <c r="D971" s="227"/>
      <c r="E971" s="227"/>
      <c r="F971" s="298">
        <f>H984</f>
        <v>3.9</v>
      </c>
      <c r="G971" s="227" t="s">
        <v>971</v>
      </c>
    </row>
    <row r="972" spans="3:9" ht="8.25" customHeight="1" x14ac:dyDescent="0.3">
      <c r="C972" s="322"/>
      <c r="D972" s="36"/>
      <c r="E972" s="36"/>
      <c r="F972" s="302"/>
    </row>
    <row r="973" spans="3:9" ht="27.6" x14ac:dyDescent="0.3">
      <c r="C973" s="46" t="s">
        <v>948</v>
      </c>
      <c r="D973" s="14" t="s">
        <v>1110</v>
      </c>
      <c r="E973" s="14" t="s">
        <v>516</v>
      </c>
      <c r="F973" s="14" t="s">
        <v>954</v>
      </c>
      <c r="G973" s="14" t="s">
        <v>930</v>
      </c>
      <c r="H973" s="14" t="s">
        <v>1111</v>
      </c>
    </row>
    <row r="974" spans="3:9" x14ac:dyDescent="0.3">
      <c r="C974" s="1009" t="str">
        <f>C943</f>
        <v>Лікар з ультразвукової діагностики</v>
      </c>
      <c r="D974" s="1010"/>
      <c r="E974" s="1010"/>
      <c r="F974" s="1010"/>
      <c r="G974" s="1010"/>
      <c r="H974" s="1011"/>
    </row>
    <row r="975" spans="3:9" x14ac:dyDescent="0.3">
      <c r="C975" s="134" t="s">
        <v>951</v>
      </c>
      <c r="D975" s="221">
        <f>D920</f>
        <v>12188.608008565312</v>
      </c>
      <c r="E975" s="73">
        <f>I943</f>
        <v>1656.6</v>
      </c>
      <c r="F975" s="73">
        <f>ROUND((D975/E975)/60,2)</f>
        <v>0.12</v>
      </c>
      <c r="G975" s="73">
        <f>E947</f>
        <v>15</v>
      </c>
      <c r="H975" s="78">
        <f>ROUND(F975*G975,2)</f>
        <v>1.8</v>
      </c>
    </row>
    <row r="976" spans="3:9" x14ac:dyDescent="0.3">
      <c r="C976" s="134" t="s">
        <v>952</v>
      </c>
      <c r="D976" s="221">
        <f>D921</f>
        <v>53.149721627408987</v>
      </c>
      <c r="E976" s="73">
        <f>I943</f>
        <v>1656.6</v>
      </c>
      <c r="F976" s="73">
        <f>ROUND((D976/E976)/60,2)</f>
        <v>0</v>
      </c>
      <c r="G976" s="73">
        <f>E947</f>
        <v>15</v>
      </c>
      <c r="H976" s="78">
        <f>ROUND(F976*G976,2)</f>
        <v>0</v>
      </c>
    </row>
    <row r="977" spans="1:14" x14ac:dyDescent="0.3">
      <c r="C977" s="134" t="s">
        <v>953</v>
      </c>
      <c r="D977" s="221">
        <f>D922</f>
        <v>374.98368308351178</v>
      </c>
      <c r="E977" s="73">
        <f>I943</f>
        <v>1656.6</v>
      </c>
      <c r="F977" s="73">
        <f>ROUND((D977/E977)/60,2)</f>
        <v>0</v>
      </c>
      <c r="G977" s="73">
        <f>E947</f>
        <v>15</v>
      </c>
      <c r="H977" s="78">
        <f>ROUND(F977*G977,2)</f>
        <v>0</v>
      </c>
    </row>
    <row r="978" spans="1:14" x14ac:dyDescent="0.3">
      <c r="C978" s="134" t="s">
        <v>1109</v>
      </c>
      <c r="D978" s="221">
        <f>D923</f>
        <v>1686.0389293361886</v>
      </c>
      <c r="E978" s="73">
        <f>I943</f>
        <v>1656.6</v>
      </c>
      <c r="F978" s="73">
        <f>ROUND((D978/E978)/60,2)</f>
        <v>0.02</v>
      </c>
      <c r="G978" s="73">
        <f>E947</f>
        <v>15</v>
      </c>
      <c r="H978" s="78">
        <f>ROUND(F978*G978,2)</f>
        <v>0.3</v>
      </c>
    </row>
    <row r="979" spans="1:14" x14ac:dyDescent="0.3">
      <c r="C979" s="1009" t="str">
        <f>C944</f>
        <v xml:space="preserve">Сестра медична </v>
      </c>
      <c r="D979" s="1010"/>
      <c r="E979" s="1010"/>
      <c r="F979" s="1010"/>
      <c r="G979" s="1010"/>
      <c r="H979" s="1011"/>
    </row>
    <row r="980" spans="1:14" x14ac:dyDescent="0.3">
      <c r="C980" s="134" t="s">
        <v>951</v>
      </c>
      <c r="D980" s="221">
        <f>D925</f>
        <v>12188.608008565312</v>
      </c>
      <c r="E980" s="73">
        <f>I944</f>
        <v>1932.7</v>
      </c>
      <c r="F980" s="73">
        <f>ROUND((D980/E980)/60,2)</f>
        <v>0.11</v>
      </c>
      <c r="G980" s="73">
        <f>E948</f>
        <v>15</v>
      </c>
      <c r="H980" s="78">
        <f>ROUND(F980*G980,2)</f>
        <v>1.65</v>
      </c>
    </row>
    <row r="981" spans="1:14" x14ac:dyDescent="0.3">
      <c r="C981" s="134" t="s">
        <v>952</v>
      </c>
      <c r="D981" s="221">
        <f>D926</f>
        <v>53.149721627408987</v>
      </c>
      <c r="E981" s="73">
        <f>I944</f>
        <v>1932.7</v>
      </c>
      <c r="F981" s="73">
        <f>ROUND((D981/E981)/60,2)</f>
        <v>0</v>
      </c>
      <c r="G981" s="73">
        <f>E948</f>
        <v>15</v>
      </c>
      <c r="H981" s="78">
        <f>ROUND(F981*G981,2)</f>
        <v>0</v>
      </c>
    </row>
    <row r="982" spans="1:14" x14ac:dyDescent="0.3">
      <c r="C982" s="134" t="s">
        <v>953</v>
      </c>
      <c r="D982" s="221">
        <f>D927</f>
        <v>374.98368308351178</v>
      </c>
      <c r="E982" s="73">
        <f>I944</f>
        <v>1932.7</v>
      </c>
      <c r="F982" s="73">
        <f>ROUND((D982/E982)/60,2)</f>
        <v>0</v>
      </c>
      <c r="G982" s="73">
        <f>E948</f>
        <v>15</v>
      </c>
      <c r="H982" s="78">
        <f>ROUND(F982*G982,2)</f>
        <v>0</v>
      </c>
    </row>
    <row r="983" spans="1:14" x14ac:dyDescent="0.3">
      <c r="C983" s="134" t="s">
        <v>1109</v>
      </c>
      <c r="D983" s="221">
        <f>D928</f>
        <v>1686.0389293361886</v>
      </c>
      <c r="E983" s="73">
        <f>I944</f>
        <v>1932.7</v>
      </c>
      <c r="F983" s="73">
        <f>ROUND((D983/E983)/60,2)</f>
        <v>0.01</v>
      </c>
      <c r="G983" s="73">
        <f>E948</f>
        <v>15</v>
      </c>
      <c r="H983" s="78">
        <f>ROUND(F983*G983,2)</f>
        <v>0.15</v>
      </c>
    </row>
    <row r="984" spans="1:14" x14ac:dyDescent="0.3">
      <c r="C984" s="1012" t="s">
        <v>957</v>
      </c>
      <c r="D984" s="1013"/>
      <c r="E984" s="1013"/>
      <c r="F984" s="1013"/>
      <c r="G984" s="1014"/>
      <c r="H984" s="299">
        <f>SUM(H975:H983)</f>
        <v>3.9</v>
      </c>
    </row>
    <row r="986" spans="1:14" ht="1.5" customHeight="1" x14ac:dyDescent="0.3"/>
    <row r="987" spans="1:14" x14ac:dyDescent="0.3">
      <c r="C987" s="1015" t="s">
        <v>959</v>
      </c>
      <c r="D987" s="1015"/>
      <c r="E987" s="1015"/>
      <c r="F987" s="1015"/>
      <c r="G987" s="1015"/>
      <c r="H987" s="334">
        <f>F940+F952+F966+F971</f>
        <v>66.91</v>
      </c>
    </row>
    <row r="988" spans="1:14" x14ac:dyDescent="0.3">
      <c r="C988" s="323"/>
      <c r="D988" s="33"/>
      <c r="E988" s="33"/>
      <c r="F988" s="33"/>
      <c r="G988" s="33"/>
      <c r="H988" s="335"/>
    </row>
    <row r="989" spans="1:14" x14ac:dyDescent="0.3">
      <c r="C989" s="1015" t="s">
        <v>960</v>
      </c>
      <c r="D989" s="1015"/>
      <c r="E989" s="1015"/>
      <c r="F989" s="1015"/>
      <c r="G989" s="1015"/>
      <c r="H989" s="334">
        <f>ROUND(H987,0)</f>
        <v>67</v>
      </c>
    </row>
    <row r="991" spans="1:14" s="54" customFormat="1" ht="19.8" x14ac:dyDescent="0.4">
      <c r="A991" s="53"/>
      <c r="B991" s="1016" t="s">
        <v>958</v>
      </c>
      <c r="C991" s="1016"/>
      <c r="D991" s="1016"/>
      <c r="E991" s="1016"/>
      <c r="F991" s="1016"/>
      <c r="G991" s="1016"/>
      <c r="H991" s="1016"/>
      <c r="I991" s="1016"/>
      <c r="J991" s="1016"/>
      <c r="K991" s="70"/>
      <c r="L991" s="348"/>
      <c r="M991" s="348"/>
      <c r="N991" s="99"/>
    </row>
    <row r="992" spans="1:14" s="54" customFormat="1" ht="19.8" x14ac:dyDescent="0.4">
      <c r="A992" s="53"/>
      <c r="B992" s="53"/>
      <c r="C992" s="56"/>
      <c r="D992" s="225"/>
      <c r="E992" s="225"/>
      <c r="F992" s="225"/>
      <c r="G992" s="225"/>
      <c r="H992" s="225"/>
      <c r="I992" s="225"/>
      <c r="J992" s="225"/>
      <c r="K992" s="70"/>
      <c r="L992" s="348"/>
      <c r="M992" s="348"/>
      <c r="N992" s="99"/>
    </row>
    <row r="993" spans="1:14" s="54" customFormat="1" ht="54" customHeight="1" x14ac:dyDescent="0.4">
      <c r="A993" s="53"/>
      <c r="B993" s="50" t="s">
        <v>578</v>
      </c>
      <c r="C993" s="1017" t="s">
        <v>585</v>
      </c>
      <c r="D993" s="1017"/>
      <c r="E993" s="1017"/>
      <c r="F993" s="296">
        <f>H1044</f>
        <v>67</v>
      </c>
      <c r="G993" s="296" t="s">
        <v>971</v>
      </c>
      <c r="H993" s="225"/>
      <c r="I993" s="225"/>
      <c r="J993" s="225"/>
      <c r="K993" s="70"/>
      <c r="L993" s="348"/>
      <c r="M993" s="348"/>
      <c r="N993" s="99"/>
    </row>
    <row r="995" spans="1:14" x14ac:dyDescent="0.3">
      <c r="C995" s="1018" t="s">
        <v>932</v>
      </c>
      <c r="D995" s="1018"/>
      <c r="E995" s="297"/>
      <c r="F995" s="298">
        <f>F1002+F1005+F1003</f>
        <v>30.009999999999998</v>
      </c>
      <c r="G995" s="227" t="s">
        <v>971</v>
      </c>
    </row>
    <row r="996" spans="1:14" ht="6.75" customHeight="1" x14ac:dyDescent="0.3"/>
    <row r="997" spans="1:14" x14ac:dyDescent="0.3">
      <c r="C997" s="318" t="s">
        <v>929</v>
      </c>
      <c r="D997" s="14" t="s">
        <v>928</v>
      </c>
      <c r="E997" s="14" t="s">
        <v>514</v>
      </c>
      <c r="F997" s="14" t="s">
        <v>515</v>
      </c>
      <c r="G997" s="14" t="s">
        <v>962</v>
      </c>
      <c r="H997" s="14" t="s">
        <v>926</v>
      </c>
      <c r="I997" s="14" t="s">
        <v>516</v>
      </c>
      <c r="J997" s="14" t="s">
        <v>961</v>
      </c>
    </row>
    <row r="998" spans="1:14" x14ac:dyDescent="0.3">
      <c r="C998" s="134" t="str">
        <f>C943</f>
        <v>Лікар з ультразвукової діагностики</v>
      </c>
      <c r="D998" s="73">
        <f>D943</f>
        <v>6660.23</v>
      </c>
      <c r="E998" s="78">
        <f>D998*12</f>
        <v>79922.759999999995</v>
      </c>
      <c r="F998" s="73">
        <f>F943</f>
        <v>6054.75</v>
      </c>
      <c r="G998" s="78">
        <f>G943</f>
        <v>3027.375</v>
      </c>
      <c r="H998" s="78">
        <f>E998+F998+G998</f>
        <v>89004.884999999995</v>
      </c>
      <c r="I998" s="73">
        <v>1656.6</v>
      </c>
      <c r="J998" s="78">
        <f>ROUND((H998/I998)/60,2)</f>
        <v>0.9</v>
      </c>
    </row>
    <row r="999" spans="1:14" x14ac:dyDescent="0.3">
      <c r="C999" s="134" t="str">
        <f>C944</f>
        <v xml:space="preserve">Сестра медична </v>
      </c>
      <c r="D999" s="73">
        <f>D944</f>
        <v>6506.5</v>
      </c>
      <c r="E999" s="78">
        <f>D999*12</f>
        <v>78078</v>
      </c>
      <c r="F999" s="73">
        <f>F944</f>
        <v>5005</v>
      </c>
      <c r="G999" s="73">
        <f>G944</f>
        <v>2502.5</v>
      </c>
      <c r="H999" s="78">
        <f>E999+F999+G999</f>
        <v>85585.5</v>
      </c>
      <c r="I999" s="73">
        <v>1932.7</v>
      </c>
      <c r="J999" s="78">
        <f>ROUND((H999/I999)/60,2)</f>
        <v>0.74</v>
      </c>
    </row>
    <row r="1000" spans="1:14" ht="6.75" customHeight="1" x14ac:dyDescent="0.3"/>
    <row r="1001" spans="1:14" ht="27.6" x14ac:dyDescent="0.3">
      <c r="C1001" s="318" t="s">
        <v>929</v>
      </c>
      <c r="D1001" s="14" t="s">
        <v>961</v>
      </c>
      <c r="E1001" s="14" t="s">
        <v>930</v>
      </c>
      <c r="F1001" s="14" t="s">
        <v>931</v>
      </c>
    </row>
    <row r="1002" spans="1:14" x14ac:dyDescent="0.3">
      <c r="C1002" s="320" t="str">
        <f>C998</f>
        <v>Лікар з ультразвукової діагностики</v>
      </c>
      <c r="D1002" s="78">
        <f>J998</f>
        <v>0.9</v>
      </c>
      <c r="E1002" s="73">
        <v>15</v>
      </c>
      <c r="F1002" s="299">
        <f>ROUND(D1002*E1002,2)</f>
        <v>13.5</v>
      </c>
    </row>
    <row r="1003" spans="1:14" x14ac:dyDescent="0.3">
      <c r="C1003" s="320" t="str">
        <f>C999</f>
        <v xml:space="preserve">Сестра медична </v>
      </c>
      <c r="D1003" s="78">
        <f>J999</f>
        <v>0.74</v>
      </c>
      <c r="E1003" s="73">
        <v>15</v>
      </c>
      <c r="F1003" s="299">
        <f>ROUND(D1003*E1003,2)</f>
        <v>11.1</v>
      </c>
    </row>
    <row r="1004" spans="1:14" x14ac:dyDescent="0.3">
      <c r="D1004" s="19"/>
    </row>
    <row r="1005" spans="1:14" x14ac:dyDescent="0.3">
      <c r="C1005" s="134" t="s">
        <v>933</v>
      </c>
      <c r="D1005" s="78">
        <f>F1002+F1003</f>
        <v>24.6</v>
      </c>
      <c r="E1005" s="300">
        <v>0.22</v>
      </c>
      <c r="F1005" s="301">
        <f>ROUND(D1005*E1005,2)</f>
        <v>5.41</v>
      </c>
    </row>
    <row r="1007" spans="1:14" x14ac:dyDescent="0.3">
      <c r="C1007" s="321" t="s">
        <v>946</v>
      </c>
      <c r="D1007" s="227"/>
      <c r="E1007" s="227"/>
      <c r="F1007" s="227">
        <f>G1019</f>
        <v>12.45</v>
      </c>
      <c r="G1007" s="227" t="s">
        <v>971</v>
      </c>
    </row>
    <row r="1008" spans="1:14" ht="7.5" customHeight="1" x14ac:dyDescent="0.3"/>
    <row r="1009" spans="3:9" x14ac:dyDescent="0.3">
      <c r="C1009" s="27" t="str">
        <f t="shared" ref="C1009:F1018" si="36">C954</f>
        <v>Рукавиці не стерильні</v>
      </c>
      <c r="D1009" s="303" t="str">
        <f t="shared" si="36"/>
        <v>шт</v>
      </c>
      <c r="E1009" s="303">
        <f t="shared" si="36"/>
        <v>0.1</v>
      </c>
      <c r="F1009" s="303">
        <f t="shared" si="36"/>
        <v>2.8</v>
      </c>
      <c r="G1009" s="228">
        <f>ROUND(F1009*E1009,2)</f>
        <v>0.28000000000000003</v>
      </c>
    </row>
    <row r="1010" spans="3:9" x14ac:dyDescent="0.3">
      <c r="C1010" s="27" t="str">
        <f t="shared" si="36"/>
        <v xml:space="preserve">Септил 70% 100мл </v>
      </c>
      <c r="D1010" s="303" t="str">
        <f t="shared" si="36"/>
        <v>шт</v>
      </c>
      <c r="E1010" s="303">
        <f t="shared" si="36"/>
        <v>0.01</v>
      </c>
      <c r="F1010" s="303">
        <f t="shared" si="36"/>
        <v>24.6</v>
      </c>
      <c r="G1010" s="228">
        <f t="shared" ref="G1010:G1015" si="37">ROUND(F1010*E1010,2)</f>
        <v>0.25</v>
      </c>
    </row>
    <row r="1011" spans="3:9" x14ac:dyDescent="0.3">
      <c r="C1011" s="27" t="str">
        <f t="shared" si="36"/>
        <v>Маска на резинці, стерильна.</v>
      </c>
      <c r="D1011" s="303" t="str">
        <f t="shared" si="36"/>
        <v>шт</v>
      </c>
      <c r="E1011" s="303">
        <f t="shared" si="36"/>
        <v>0.1</v>
      </c>
      <c r="F1011" s="303">
        <f t="shared" si="36"/>
        <v>2</v>
      </c>
      <c r="G1011" s="228">
        <f t="shared" si="37"/>
        <v>0.2</v>
      </c>
    </row>
    <row r="1012" spans="3:9" x14ac:dyDescent="0.3">
      <c r="C1012" s="27" t="str">
        <f t="shared" si="36"/>
        <v>Мікрасепт</v>
      </c>
      <c r="D1012" s="303" t="str">
        <f t="shared" si="36"/>
        <v>мл</v>
      </c>
      <c r="E1012" s="303">
        <f t="shared" si="36"/>
        <v>1</v>
      </c>
      <c r="F1012" s="303">
        <f t="shared" si="36"/>
        <v>0.3</v>
      </c>
      <c r="G1012" s="28">
        <f>ROUND(E1012*F1012,2)</f>
        <v>0.3</v>
      </c>
    </row>
    <row r="1013" spans="3:9" x14ac:dyDescent="0.3">
      <c r="C1013" s="27" t="str">
        <f t="shared" si="36"/>
        <v>Папір офісний А4</v>
      </c>
      <c r="D1013" s="303" t="str">
        <f t="shared" si="36"/>
        <v>шт</v>
      </c>
      <c r="E1013" s="303">
        <f t="shared" si="36"/>
        <v>2</v>
      </c>
      <c r="F1013" s="303">
        <f t="shared" si="36"/>
        <v>0.3</v>
      </c>
      <c r="G1013" s="228">
        <f t="shared" si="37"/>
        <v>0.6</v>
      </c>
    </row>
    <row r="1014" spans="3:9" x14ac:dyDescent="0.3">
      <c r="C1014" s="27" t="str">
        <f t="shared" si="36"/>
        <v xml:space="preserve">Гель для УЗД , 1000 гр. </v>
      </c>
      <c r="D1014" s="303" t="str">
        <f t="shared" si="36"/>
        <v>пляшка</v>
      </c>
      <c r="E1014" s="303">
        <f t="shared" si="36"/>
        <v>0.1</v>
      </c>
      <c r="F1014" s="303">
        <f t="shared" si="36"/>
        <v>48</v>
      </c>
      <c r="G1014" s="228">
        <f t="shared" si="37"/>
        <v>4.8</v>
      </c>
    </row>
    <row r="1015" spans="3:9" x14ac:dyDescent="0.3">
      <c r="C1015" s="27" t="str">
        <f t="shared" si="36"/>
        <v>Паперові рушники "Fesko Professional"</v>
      </c>
      <c r="D1015" s="303" t="str">
        <f t="shared" si="36"/>
        <v>рул</v>
      </c>
      <c r="E1015" s="303">
        <f t="shared" si="36"/>
        <v>0.3</v>
      </c>
      <c r="F1015" s="303">
        <f t="shared" si="36"/>
        <v>17</v>
      </c>
      <c r="G1015" s="228">
        <f t="shared" si="37"/>
        <v>5.0999999999999996</v>
      </c>
    </row>
    <row r="1016" spans="3:9" x14ac:dyDescent="0.3">
      <c r="C1016" s="27" t="str">
        <f t="shared" si="36"/>
        <v>Марля медична</v>
      </c>
      <c r="D1016" s="303" t="str">
        <f t="shared" si="36"/>
        <v>метр</v>
      </c>
      <c r="E1016" s="303">
        <f t="shared" si="36"/>
        <v>0.1</v>
      </c>
      <c r="F1016" s="303">
        <f t="shared" si="36"/>
        <v>6</v>
      </c>
      <c r="G1016" s="28">
        <f>ROUND(E1016*F1016,2)</f>
        <v>0.6</v>
      </c>
    </row>
    <row r="1017" spans="3:9" x14ac:dyDescent="0.3">
      <c r="C1017" s="27" t="str">
        <f t="shared" si="36"/>
        <v>Вата</v>
      </c>
      <c r="D1017" s="303" t="str">
        <f t="shared" si="36"/>
        <v>г</v>
      </c>
      <c r="E1017" s="303">
        <f t="shared" si="36"/>
        <v>1</v>
      </c>
      <c r="F1017" s="303">
        <f t="shared" si="36"/>
        <v>7.0000000000000007E-2</v>
      </c>
      <c r="G1017" s="28">
        <f>ROUND(E1017*F1017,2)</f>
        <v>7.0000000000000007E-2</v>
      </c>
    </row>
    <row r="1018" spans="3:9" x14ac:dyDescent="0.3">
      <c r="C1018" s="27" t="str">
        <f t="shared" si="36"/>
        <v>Деззасоби</v>
      </c>
      <c r="D1018" s="303" t="str">
        <f t="shared" si="36"/>
        <v>г</v>
      </c>
      <c r="E1018" s="303">
        <f t="shared" si="36"/>
        <v>0.5</v>
      </c>
      <c r="F1018" s="303">
        <f t="shared" si="36"/>
        <v>0.5</v>
      </c>
      <c r="G1018" s="28">
        <f>ROUND(E1018*F1018,2)</f>
        <v>0.25</v>
      </c>
    </row>
    <row r="1019" spans="3:9" x14ac:dyDescent="0.3">
      <c r="C1019" s="1019" t="s">
        <v>945</v>
      </c>
      <c r="D1019" s="1019"/>
      <c r="E1019" s="1019"/>
      <c r="F1019" s="1019"/>
      <c r="G1019" s="332">
        <f>SUM(G1009:G1018)</f>
        <v>12.45</v>
      </c>
    </row>
    <row r="1020" spans="3:9" ht="8.25" customHeight="1" x14ac:dyDescent="0.3"/>
    <row r="1021" spans="3:9" x14ac:dyDescent="0.3">
      <c r="C1021" s="321" t="s">
        <v>968</v>
      </c>
      <c r="D1021" s="227"/>
      <c r="E1021" s="227"/>
      <c r="F1021" s="298">
        <f>H1024</f>
        <v>20.55</v>
      </c>
      <c r="G1021" s="227" t="s">
        <v>971</v>
      </c>
    </row>
    <row r="1022" spans="3:9" ht="10.5" customHeight="1" x14ac:dyDescent="0.3">
      <c r="C1022" s="322"/>
      <c r="D1022" s="36"/>
      <c r="E1022" s="36"/>
      <c r="F1022" s="302"/>
      <c r="G1022" s="36"/>
    </row>
    <row r="1023" spans="3:9" ht="27.6" x14ac:dyDescent="0.3">
      <c r="C1023" s="46" t="s">
        <v>513</v>
      </c>
      <c r="D1023" s="14" t="s">
        <v>1108</v>
      </c>
      <c r="E1023" s="14" t="s">
        <v>516</v>
      </c>
      <c r="F1023" s="14" t="s">
        <v>970</v>
      </c>
      <c r="G1023" s="14" t="s">
        <v>930</v>
      </c>
      <c r="H1023" s="14" t="s">
        <v>961</v>
      </c>
    </row>
    <row r="1024" spans="3:9" x14ac:dyDescent="0.3">
      <c r="C1024" s="27" t="str">
        <f>C969</f>
        <v>Ультразвукова система AFFINITI 30</v>
      </c>
      <c r="D1024" s="73">
        <f>D969</f>
        <v>136236.38</v>
      </c>
      <c r="E1024" s="73">
        <f>I998</f>
        <v>1656.6</v>
      </c>
      <c r="F1024" s="73">
        <f>ROUND((D1024/E1024)/60,2)</f>
        <v>1.37</v>
      </c>
      <c r="G1024" s="73">
        <f>E1002</f>
        <v>15</v>
      </c>
      <c r="H1024" s="78">
        <f>ROUND(F1024*G1024,2)</f>
        <v>20.55</v>
      </c>
      <c r="I1024" s="333"/>
    </row>
    <row r="1026" spans="3:8" x14ac:dyDescent="0.3">
      <c r="C1026" s="321" t="s">
        <v>948</v>
      </c>
      <c r="D1026" s="227"/>
      <c r="E1026" s="227"/>
      <c r="F1026" s="298">
        <f>H1039</f>
        <v>3.9</v>
      </c>
      <c r="G1026" s="227" t="s">
        <v>971</v>
      </c>
    </row>
    <row r="1027" spans="3:8" ht="8.25" customHeight="1" x14ac:dyDescent="0.3">
      <c r="C1027" s="322"/>
      <c r="D1027" s="36"/>
      <c r="E1027" s="36"/>
      <c r="F1027" s="302"/>
    </row>
    <row r="1028" spans="3:8" ht="27.6" x14ac:dyDescent="0.3">
      <c r="C1028" s="46" t="s">
        <v>948</v>
      </c>
      <c r="D1028" s="14" t="s">
        <v>1110</v>
      </c>
      <c r="E1028" s="14" t="s">
        <v>516</v>
      </c>
      <c r="F1028" s="14" t="s">
        <v>954</v>
      </c>
      <c r="G1028" s="14" t="s">
        <v>930</v>
      </c>
      <c r="H1028" s="14" t="s">
        <v>1111</v>
      </c>
    </row>
    <row r="1029" spans="3:8" x14ac:dyDescent="0.3">
      <c r="C1029" s="1009" t="str">
        <f>C998</f>
        <v>Лікар з ультразвукової діагностики</v>
      </c>
      <c r="D1029" s="1010"/>
      <c r="E1029" s="1010"/>
      <c r="F1029" s="1010"/>
      <c r="G1029" s="1010"/>
      <c r="H1029" s="1011"/>
    </row>
    <row r="1030" spans="3:8" x14ac:dyDescent="0.3">
      <c r="C1030" s="134" t="s">
        <v>951</v>
      </c>
      <c r="D1030" s="221">
        <f>D975</f>
        <v>12188.608008565312</v>
      </c>
      <c r="E1030" s="73">
        <f>I998</f>
        <v>1656.6</v>
      </c>
      <c r="F1030" s="73">
        <f>ROUND((D1030/E1030)/60,2)</f>
        <v>0.12</v>
      </c>
      <c r="G1030" s="73">
        <f>E1002</f>
        <v>15</v>
      </c>
      <c r="H1030" s="78">
        <f>ROUND(F1030*G1030,2)</f>
        <v>1.8</v>
      </c>
    </row>
    <row r="1031" spans="3:8" x14ac:dyDescent="0.3">
      <c r="C1031" s="134" t="s">
        <v>952</v>
      </c>
      <c r="D1031" s="221">
        <f>D976</f>
        <v>53.149721627408987</v>
      </c>
      <c r="E1031" s="73">
        <f>I998</f>
        <v>1656.6</v>
      </c>
      <c r="F1031" s="73">
        <f>ROUND((D1031/E1031)/60,2)</f>
        <v>0</v>
      </c>
      <c r="G1031" s="73">
        <f>E1002</f>
        <v>15</v>
      </c>
      <c r="H1031" s="78">
        <f>ROUND(F1031*G1031,2)</f>
        <v>0</v>
      </c>
    </row>
    <row r="1032" spans="3:8" x14ac:dyDescent="0.3">
      <c r="C1032" s="134" t="s">
        <v>953</v>
      </c>
      <c r="D1032" s="221">
        <f>D977</f>
        <v>374.98368308351178</v>
      </c>
      <c r="E1032" s="73">
        <f>I998</f>
        <v>1656.6</v>
      </c>
      <c r="F1032" s="73">
        <f>ROUND((D1032/E1032)/60,2)</f>
        <v>0</v>
      </c>
      <c r="G1032" s="73">
        <f>E1002</f>
        <v>15</v>
      </c>
      <c r="H1032" s="78">
        <f>ROUND(F1032*G1032,2)</f>
        <v>0</v>
      </c>
    </row>
    <row r="1033" spans="3:8" x14ac:dyDescent="0.3">
      <c r="C1033" s="134" t="s">
        <v>1109</v>
      </c>
      <c r="D1033" s="221">
        <f>D978</f>
        <v>1686.0389293361886</v>
      </c>
      <c r="E1033" s="73">
        <f>I998</f>
        <v>1656.6</v>
      </c>
      <c r="F1033" s="73">
        <f>ROUND((D1033/E1033)/60,2)</f>
        <v>0.02</v>
      </c>
      <c r="G1033" s="73">
        <f>E1002</f>
        <v>15</v>
      </c>
      <c r="H1033" s="78">
        <f>ROUND(F1033*G1033,2)</f>
        <v>0.3</v>
      </c>
    </row>
    <row r="1034" spans="3:8" x14ac:dyDescent="0.3">
      <c r="C1034" s="1009" t="str">
        <f>C999</f>
        <v xml:space="preserve">Сестра медична </v>
      </c>
      <c r="D1034" s="1010"/>
      <c r="E1034" s="1010"/>
      <c r="F1034" s="1010"/>
      <c r="G1034" s="1010"/>
      <c r="H1034" s="1011"/>
    </row>
    <row r="1035" spans="3:8" x14ac:dyDescent="0.3">
      <c r="C1035" s="134" t="s">
        <v>951</v>
      </c>
      <c r="D1035" s="221">
        <f>D980</f>
        <v>12188.608008565312</v>
      </c>
      <c r="E1035" s="73">
        <f>I999</f>
        <v>1932.7</v>
      </c>
      <c r="F1035" s="73">
        <f>ROUND((D1035/E1035)/60,2)</f>
        <v>0.11</v>
      </c>
      <c r="G1035" s="73">
        <f>E1003</f>
        <v>15</v>
      </c>
      <c r="H1035" s="78">
        <f>ROUND(F1035*G1035,2)</f>
        <v>1.65</v>
      </c>
    </row>
    <row r="1036" spans="3:8" x14ac:dyDescent="0.3">
      <c r="C1036" s="134" t="s">
        <v>952</v>
      </c>
      <c r="D1036" s="221">
        <f>D981</f>
        <v>53.149721627408987</v>
      </c>
      <c r="E1036" s="73">
        <f>I999</f>
        <v>1932.7</v>
      </c>
      <c r="F1036" s="73">
        <f>ROUND((D1036/E1036)/60,2)</f>
        <v>0</v>
      </c>
      <c r="G1036" s="73">
        <f>E1003</f>
        <v>15</v>
      </c>
      <c r="H1036" s="78">
        <f>ROUND(F1036*G1036,2)</f>
        <v>0</v>
      </c>
    </row>
    <row r="1037" spans="3:8" x14ac:dyDescent="0.3">
      <c r="C1037" s="134" t="s">
        <v>953</v>
      </c>
      <c r="D1037" s="221">
        <f>D982</f>
        <v>374.98368308351178</v>
      </c>
      <c r="E1037" s="73">
        <f>I999</f>
        <v>1932.7</v>
      </c>
      <c r="F1037" s="73">
        <f>ROUND((D1037/E1037)/60,2)</f>
        <v>0</v>
      </c>
      <c r="G1037" s="73">
        <f>E1003</f>
        <v>15</v>
      </c>
      <c r="H1037" s="78">
        <f>ROUND(F1037*G1037,2)</f>
        <v>0</v>
      </c>
    </row>
    <row r="1038" spans="3:8" x14ac:dyDescent="0.3">
      <c r="C1038" s="134" t="s">
        <v>1109</v>
      </c>
      <c r="D1038" s="221">
        <f>D983</f>
        <v>1686.0389293361886</v>
      </c>
      <c r="E1038" s="73">
        <f>I999</f>
        <v>1932.7</v>
      </c>
      <c r="F1038" s="73">
        <f>ROUND((D1038/E1038)/60,2)</f>
        <v>0.01</v>
      </c>
      <c r="G1038" s="73">
        <f>E1003</f>
        <v>15</v>
      </c>
      <c r="H1038" s="78">
        <f>ROUND(F1038*G1038,2)</f>
        <v>0.15</v>
      </c>
    </row>
    <row r="1039" spans="3:8" x14ac:dyDescent="0.3">
      <c r="C1039" s="1012" t="s">
        <v>957</v>
      </c>
      <c r="D1039" s="1013"/>
      <c r="E1039" s="1013"/>
      <c r="F1039" s="1013"/>
      <c r="G1039" s="1014"/>
      <c r="H1039" s="299">
        <f>SUM(H1030:H1038)</f>
        <v>3.9</v>
      </c>
    </row>
    <row r="1040" spans="3:8" ht="14.25" customHeight="1" x14ac:dyDescent="0.3"/>
    <row r="1042" spans="1:14" x14ac:dyDescent="0.3">
      <c r="C1042" s="1015" t="s">
        <v>959</v>
      </c>
      <c r="D1042" s="1015"/>
      <c r="E1042" s="1015"/>
      <c r="F1042" s="1015"/>
      <c r="G1042" s="1015"/>
      <c r="H1042" s="334">
        <f>F995+F1007+F1021+F1026</f>
        <v>66.91</v>
      </c>
    </row>
    <row r="1043" spans="1:14" x14ac:dyDescent="0.3">
      <c r="C1043" s="323"/>
      <c r="D1043" s="33"/>
      <c r="E1043" s="33"/>
      <c r="F1043" s="33"/>
      <c r="G1043" s="33"/>
      <c r="H1043" s="335"/>
    </row>
    <row r="1044" spans="1:14" x14ac:dyDescent="0.3">
      <c r="C1044" s="1015" t="s">
        <v>960</v>
      </c>
      <c r="D1044" s="1015"/>
      <c r="E1044" s="1015"/>
      <c r="F1044" s="1015"/>
      <c r="G1044" s="1015"/>
      <c r="H1044" s="334">
        <f>ROUND(H1042,0)</f>
        <v>67</v>
      </c>
    </row>
    <row r="1046" spans="1:14" s="54" customFormat="1" ht="19.8" x14ac:dyDescent="0.4">
      <c r="A1046" s="53"/>
      <c r="B1046" s="1016" t="s">
        <v>958</v>
      </c>
      <c r="C1046" s="1016"/>
      <c r="D1046" s="1016"/>
      <c r="E1046" s="1016"/>
      <c r="F1046" s="1016"/>
      <c r="G1046" s="1016"/>
      <c r="H1046" s="1016"/>
      <c r="I1046" s="1016"/>
      <c r="J1046" s="1016"/>
      <c r="K1046" s="70"/>
      <c r="L1046" s="348"/>
      <c r="M1046" s="348"/>
      <c r="N1046" s="99"/>
    </row>
    <row r="1047" spans="1:14" s="54" customFormat="1" ht="19.8" x14ac:dyDescent="0.4">
      <c r="A1047" s="53"/>
      <c r="B1047" s="53"/>
      <c r="C1047" s="56"/>
      <c r="D1047" s="225"/>
      <c r="E1047" s="225"/>
      <c r="F1047" s="225"/>
      <c r="G1047" s="225"/>
      <c r="H1047" s="225"/>
      <c r="I1047" s="225"/>
      <c r="J1047" s="225"/>
      <c r="K1047" s="70"/>
      <c r="L1047" s="348"/>
      <c r="M1047" s="348"/>
      <c r="N1047" s="99"/>
    </row>
    <row r="1048" spans="1:14" s="54" customFormat="1" ht="36" customHeight="1" x14ac:dyDescent="0.4">
      <c r="A1048" s="53"/>
      <c r="B1048" s="50" t="s">
        <v>580</v>
      </c>
      <c r="C1048" s="1017" t="s">
        <v>587</v>
      </c>
      <c r="D1048" s="1017"/>
      <c r="E1048" s="1017"/>
      <c r="F1048" s="296">
        <f>H1099</f>
        <v>67</v>
      </c>
      <c r="G1048" s="296" t="s">
        <v>971</v>
      </c>
      <c r="H1048" s="225"/>
      <c r="I1048" s="225"/>
      <c r="J1048" s="225"/>
      <c r="K1048" s="70"/>
      <c r="L1048" s="348"/>
      <c r="M1048" s="348"/>
      <c r="N1048" s="99"/>
    </row>
    <row r="1050" spans="1:14" x14ac:dyDescent="0.3">
      <c r="C1050" s="1018" t="s">
        <v>932</v>
      </c>
      <c r="D1050" s="1018"/>
      <c r="E1050" s="297"/>
      <c r="F1050" s="298">
        <f>F1057+F1060+F1058</f>
        <v>30.009999999999998</v>
      </c>
      <c r="G1050" s="227" t="s">
        <v>971</v>
      </c>
    </row>
    <row r="1052" spans="1:14" x14ac:dyDescent="0.3">
      <c r="C1052" s="318" t="s">
        <v>929</v>
      </c>
      <c r="D1052" s="14" t="s">
        <v>928</v>
      </c>
      <c r="E1052" s="14" t="s">
        <v>514</v>
      </c>
      <c r="F1052" s="14" t="s">
        <v>515</v>
      </c>
      <c r="G1052" s="14" t="s">
        <v>962</v>
      </c>
      <c r="H1052" s="14" t="s">
        <v>926</v>
      </c>
      <c r="I1052" s="14" t="s">
        <v>516</v>
      </c>
      <c r="J1052" s="14" t="s">
        <v>961</v>
      </c>
    </row>
    <row r="1053" spans="1:14" x14ac:dyDescent="0.3">
      <c r="C1053" s="134" t="str">
        <f>C998</f>
        <v>Лікар з ультразвукової діагностики</v>
      </c>
      <c r="D1053" s="73">
        <f>D998</f>
        <v>6660.23</v>
      </c>
      <c r="E1053" s="78">
        <f>D1053*12</f>
        <v>79922.759999999995</v>
      </c>
      <c r="F1053" s="73">
        <f>F998</f>
        <v>6054.75</v>
      </c>
      <c r="G1053" s="78">
        <f>G998</f>
        <v>3027.375</v>
      </c>
      <c r="H1053" s="78">
        <f>E1053+F1053+G1053</f>
        <v>89004.884999999995</v>
      </c>
      <c r="I1053" s="73">
        <v>1656.6</v>
      </c>
      <c r="J1053" s="78">
        <f>ROUND((H1053/I1053)/60,2)</f>
        <v>0.9</v>
      </c>
    </row>
    <row r="1054" spans="1:14" x14ac:dyDescent="0.3">
      <c r="C1054" s="134" t="str">
        <f>C999</f>
        <v xml:space="preserve">Сестра медична </v>
      </c>
      <c r="D1054" s="73">
        <f>D999</f>
        <v>6506.5</v>
      </c>
      <c r="E1054" s="78">
        <f>D1054*12</f>
        <v>78078</v>
      </c>
      <c r="F1054" s="73">
        <f>F999</f>
        <v>5005</v>
      </c>
      <c r="G1054" s="73">
        <f>G999</f>
        <v>2502.5</v>
      </c>
      <c r="H1054" s="78">
        <f>E1054+F1054+G1054</f>
        <v>85585.5</v>
      </c>
      <c r="I1054" s="73">
        <v>1932.7</v>
      </c>
      <c r="J1054" s="78">
        <f>ROUND((H1054/I1054)/60,2)</f>
        <v>0.74</v>
      </c>
    </row>
    <row r="1056" spans="1:14" ht="27.6" x14ac:dyDescent="0.3">
      <c r="C1056" s="318" t="s">
        <v>929</v>
      </c>
      <c r="D1056" s="14" t="s">
        <v>961</v>
      </c>
      <c r="E1056" s="14" t="s">
        <v>930</v>
      </c>
      <c r="F1056" s="14" t="s">
        <v>931</v>
      </c>
    </row>
    <row r="1057" spans="3:7" x14ac:dyDescent="0.3">
      <c r="C1057" s="320" t="str">
        <f>C1053</f>
        <v>Лікар з ультразвукової діагностики</v>
      </c>
      <c r="D1057" s="78">
        <f>J1053</f>
        <v>0.9</v>
      </c>
      <c r="E1057" s="73">
        <v>15</v>
      </c>
      <c r="F1057" s="299">
        <f>ROUND(D1057*E1057,2)</f>
        <v>13.5</v>
      </c>
    </row>
    <row r="1058" spans="3:7" x14ac:dyDescent="0.3">
      <c r="C1058" s="320" t="str">
        <f>C1054</f>
        <v xml:space="preserve">Сестра медична </v>
      </c>
      <c r="D1058" s="78">
        <f>J1054</f>
        <v>0.74</v>
      </c>
      <c r="E1058" s="73">
        <v>15</v>
      </c>
      <c r="F1058" s="299">
        <f>ROUND(D1058*E1058,2)</f>
        <v>11.1</v>
      </c>
    </row>
    <row r="1059" spans="3:7" x14ac:dyDescent="0.3">
      <c r="D1059" s="19"/>
    </row>
    <row r="1060" spans="3:7" x14ac:dyDescent="0.3">
      <c r="C1060" s="134" t="s">
        <v>933</v>
      </c>
      <c r="D1060" s="78">
        <f>F1057+F1058</f>
        <v>24.6</v>
      </c>
      <c r="E1060" s="300">
        <v>0.22</v>
      </c>
      <c r="F1060" s="301">
        <f>ROUND(D1060*E1060,2)</f>
        <v>5.41</v>
      </c>
    </row>
    <row r="1062" spans="3:7" x14ac:dyDescent="0.3">
      <c r="C1062" s="321" t="s">
        <v>946</v>
      </c>
      <c r="D1062" s="227"/>
      <c r="E1062" s="227"/>
      <c r="F1062" s="227">
        <f>G1074</f>
        <v>12.45</v>
      </c>
      <c r="G1062" s="227" t="s">
        <v>971</v>
      </c>
    </row>
    <row r="1064" spans="3:7" x14ac:dyDescent="0.3">
      <c r="C1064" s="27" t="str">
        <f t="shared" ref="C1064:F1073" si="38">C1009</f>
        <v>Рукавиці не стерильні</v>
      </c>
      <c r="D1064" s="303" t="str">
        <f t="shared" si="38"/>
        <v>шт</v>
      </c>
      <c r="E1064" s="303">
        <f t="shared" si="38"/>
        <v>0.1</v>
      </c>
      <c r="F1064" s="303">
        <f t="shared" si="38"/>
        <v>2.8</v>
      </c>
      <c r="G1064" s="228">
        <f>ROUND(F1064*E1064,2)</f>
        <v>0.28000000000000003</v>
      </c>
    </row>
    <row r="1065" spans="3:7" x14ac:dyDescent="0.3">
      <c r="C1065" s="27" t="str">
        <f t="shared" si="38"/>
        <v xml:space="preserve">Септил 70% 100мл </v>
      </c>
      <c r="D1065" s="303" t="str">
        <f t="shared" si="38"/>
        <v>шт</v>
      </c>
      <c r="E1065" s="303">
        <f t="shared" si="38"/>
        <v>0.01</v>
      </c>
      <c r="F1065" s="303">
        <f t="shared" si="38"/>
        <v>24.6</v>
      </c>
      <c r="G1065" s="228">
        <f t="shared" ref="G1065:G1070" si="39">ROUND(F1065*E1065,2)</f>
        <v>0.25</v>
      </c>
    </row>
    <row r="1066" spans="3:7" x14ac:dyDescent="0.3">
      <c r="C1066" s="27" t="str">
        <f t="shared" si="38"/>
        <v>Маска на резинці, стерильна.</v>
      </c>
      <c r="D1066" s="303" t="str">
        <f t="shared" si="38"/>
        <v>шт</v>
      </c>
      <c r="E1066" s="303">
        <f t="shared" si="38"/>
        <v>0.1</v>
      </c>
      <c r="F1066" s="303">
        <f t="shared" si="38"/>
        <v>2</v>
      </c>
      <c r="G1066" s="228">
        <f t="shared" si="39"/>
        <v>0.2</v>
      </c>
    </row>
    <row r="1067" spans="3:7" x14ac:dyDescent="0.3">
      <c r="C1067" s="27" t="str">
        <f t="shared" si="38"/>
        <v>Мікрасепт</v>
      </c>
      <c r="D1067" s="303" t="str">
        <f t="shared" si="38"/>
        <v>мл</v>
      </c>
      <c r="E1067" s="303">
        <f t="shared" si="38"/>
        <v>1</v>
      </c>
      <c r="F1067" s="303">
        <f t="shared" si="38"/>
        <v>0.3</v>
      </c>
      <c r="G1067" s="28">
        <f>ROUND(E1067*F1067,2)</f>
        <v>0.3</v>
      </c>
    </row>
    <row r="1068" spans="3:7" x14ac:dyDescent="0.3">
      <c r="C1068" s="27" t="str">
        <f t="shared" si="38"/>
        <v>Папір офісний А4</v>
      </c>
      <c r="D1068" s="303" t="str">
        <f t="shared" si="38"/>
        <v>шт</v>
      </c>
      <c r="E1068" s="303">
        <f t="shared" si="38"/>
        <v>2</v>
      </c>
      <c r="F1068" s="303">
        <f t="shared" si="38"/>
        <v>0.3</v>
      </c>
      <c r="G1068" s="228">
        <f t="shared" si="39"/>
        <v>0.6</v>
      </c>
    </row>
    <row r="1069" spans="3:7" x14ac:dyDescent="0.3">
      <c r="C1069" s="27" t="str">
        <f t="shared" si="38"/>
        <v xml:space="preserve">Гель для УЗД , 1000 гр. </v>
      </c>
      <c r="D1069" s="303" t="str">
        <f t="shared" si="38"/>
        <v>пляшка</v>
      </c>
      <c r="E1069" s="303">
        <f t="shared" si="38"/>
        <v>0.1</v>
      </c>
      <c r="F1069" s="303">
        <f t="shared" si="38"/>
        <v>48</v>
      </c>
      <c r="G1069" s="228">
        <f t="shared" si="39"/>
        <v>4.8</v>
      </c>
    </row>
    <row r="1070" spans="3:7" x14ac:dyDescent="0.3">
      <c r="C1070" s="27" t="str">
        <f t="shared" si="38"/>
        <v>Паперові рушники "Fesko Professional"</v>
      </c>
      <c r="D1070" s="303" t="str">
        <f t="shared" si="38"/>
        <v>рул</v>
      </c>
      <c r="E1070" s="303">
        <f t="shared" si="38"/>
        <v>0.3</v>
      </c>
      <c r="F1070" s="303">
        <f t="shared" si="38"/>
        <v>17</v>
      </c>
      <c r="G1070" s="228">
        <f t="shared" si="39"/>
        <v>5.0999999999999996</v>
      </c>
    </row>
    <row r="1071" spans="3:7" x14ac:dyDescent="0.3">
      <c r="C1071" s="27" t="str">
        <f t="shared" si="38"/>
        <v>Марля медична</v>
      </c>
      <c r="D1071" s="303" t="str">
        <f t="shared" si="38"/>
        <v>метр</v>
      </c>
      <c r="E1071" s="303">
        <f t="shared" si="38"/>
        <v>0.1</v>
      </c>
      <c r="F1071" s="303">
        <f t="shared" si="38"/>
        <v>6</v>
      </c>
      <c r="G1071" s="28">
        <f>ROUND(E1071*F1071,2)</f>
        <v>0.6</v>
      </c>
    </row>
    <row r="1072" spans="3:7" x14ac:dyDescent="0.3">
      <c r="C1072" s="27" t="str">
        <f t="shared" si="38"/>
        <v>Вата</v>
      </c>
      <c r="D1072" s="303" t="str">
        <f t="shared" si="38"/>
        <v>г</v>
      </c>
      <c r="E1072" s="303">
        <f t="shared" si="38"/>
        <v>1</v>
      </c>
      <c r="F1072" s="303">
        <f t="shared" si="38"/>
        <v>7.0000000000000007E-2</v>
      </c>
      <c r="G1072" s="28">
        <f>ROUND(E1072*F1072,2)</f>
        <v>7.0000000000000007E-2</v>
      </c>
    </row>
    <row r="1073" spans="3:9" x14ac:dyDescent="0.3">
      <c r="C1073" s="27" t="str">
        <f t="shared" si="38"/>
        <v>Деззасоби</v>
      </c>
      <c r="D1073" s="303" t="str">
        <f t="shared" si="38"/>
        <v>г</v>
      </c>
      <c r="E1073" s="303">
        <f t="shared" si="38"/>
        <v>0.5</v>
      </c>
      <c r="F1073" s="303">
        <f t="shared" si="38"/>
        <v>0.5</v>
      </c>
      <c r="G1073" s="28">
        <f>ROUND(E1073*F1073,2)</f>
        <v>0.25</v>
      </c>
    </row>
    <row r="1074" spans="3:9" x14ac:dyDescent="0.3">
      <c r="C1074" s="1019" t="s">
        <v>945</v>
      </c>
      <c r="D1074" s="1019"/>
      <c r="E1074" s="1019"/>
      <c r="F1074" s="1019"/>
      <c r="G1074" s="332">
        <f>SUM(G1064:G1073)</f>
        <v>12.45</v>
      </c>
    </row>
    <row r="1076" spans="3:9" x14ac:dyDescent="0.3">
      <c r="C1076" s="321" t="s">
        <v>968</v>
      </c>
      <c r="D1076" s="227"/>
      <c r="E1076" s="227"/>
      <c r="F1076" s="298">
        <f>H1079</f>
        <v>20.55</v>
      </c>
      <c r="G1076" s="227" t="s">
        <v>971</v>
      </c>
    </row>
    <row r="1077" spans="3:9" ht="5.25" customHeight="1" x14ac:dyDescent="0.3">
      <c r="C1077" s="322"/>
      <c r="D1077" s="36"/>
      <c r="E1077" s="36"/>
      <c r="F1077" s="302"/>
      <c r="G1077" s="36"/>
    </row>
    <row r="1078" spans="3:9" ht="27.6" x14ac:dyDescent="0.3">
      <c r="C1078" s="46" t="s">
        <v>513</v>
      </c>
      <c r="D1078" s="14" t="s">
        <v>1108</v>
      </c>
      <c r="E1078" s="14" t="s">
        <v>516</v>
      </c>
      <c r="F1078" s="14" t="s">
        <v>970</v>
      </c>
      <c r="G1078" s="14" t="s">
        <v>930</v>
      </c>
      <c r="H1078" s="14" t="s">
        <v>961</v>
      </c>
    </row>
    <row r="1079" spans="3:9" x14ac:dyDescent="0.3">
      <c r="C1079" s="27" t="str">
        <f>C1024</f>
        <v>Ультразвукова система AFFINITI 30</v>
      </c>
      <c r="D1079" s="73">
        <f>D1024</f>
        <v>136236.38</v>
      </c>
      <c r="E1079" s="73">
        <f>I1053</f>
        <v>1656.6</v>
      </c>
      <c r="F1079" s="73">
        <f>ROUND((D1079/E1079)/60,2)</f>
        <v>1.37</v>
      </c>
      <c r="G1079" s="73">
        <f>E1057</f>
        <v>15</v>
      </c>
      <c r="H1079" s="78">
        <f>ROUND(F1079*G1079,2)</f>
        <v>20.55</v>
      </c>
      <c r="I1079" s="333"/>
    </row>
    <row r="1080" spans="3:9" ht="9.75" customHeight="1" x14ac:dyDescent="0.3"/>
    <row r="1081" spans="3:9" x14ac:dyDescent="0.3">
      <c r="C1081" s="321" t="s">
        <v>948</v>
      </c>
      <c r="D1081" s="227"/>
      <c r="E1081" s="227"/>
      <c r="F1081" s="298">
        <f>H1094</f>
        <v>3.9</v>
      </c>
      <c r="G1081" s="227" t="s">
        <v>971</v>
      </c>
    </row>
    <row r="1082" spans="3:9" ht="9" customHeight="1" x14ac:dyDescent="0.3">
      <c r="C1082" s="322"/>
      <c r="D1082" s="36"/>
      <c r="E1082" s="36"/>
      <c r="F1082" s="302"/>
    </row>
    <row r="1083" spans="3:9" ht="27.6" x14ac:dyDescent="0.3">
      <c r="C1083" s="46" t="s">
        <v>948</v>
      </c>
      <c r="D1083" s="14" t="s">
        <v>1110</v>
      </c>
      <c r="E1083" s="14" t="s">
        <v>516</v>
      </c>
      <c r="F1083" s="14" t="s">
        <v>954</v>
      </c>
      <c r="G1083" s="14" t="s">
        <v>930</v>
      </c>
      <c r="H1083" s="14" t="s">
        <v>1111</v>
      </c>
    </row>
    <row r="1084" spans="3:9" x14ac:dyDescent="0.3">
      <c r="C1084" s="1009" t="str">
        <f>C1053</f>
        <v>Лікар з ультразвукової діагностики</v>
      </c>
      <c r="D1084" s="1010"/>
      <c r="E1084" s="1010"/>
      <c r="F1084" s="1010"/>
      <c r="G1084" s="1010"/>
      <c r="H1084" s="1011"/>
    </row>
    <row r="1085" spans="3:9" x14ac:dyDescent="0.3">
      <c r="C1085" s="134" t="s">
        <v>951</v>
      </c>
      <c r="D1085" s="221">
        <f>D1030</f>
        <v>12188.608008565312</v>
      </c>
      <c r="E1085" s="73">
        <f>I1053</f>
        <v>1656.6</v>
      </c>
      <c r="F1085" s="73">
        <f>ROUND((D1085/E1085)/60,2)</f>
        <v>0.12</v>
      </c>
      <c r="G1085" s="73">
        <f>E1057</f>
        <v>15</v>
      </c>
      <c r="H1085" s="78">
        <f>ROUND(F1085*G1085,2)</f>
        <v>1.8</v>
      </c>
    </row>
    <row r="1086" spans="3:9" x14ac:dyDescent="0.3">
      <c r="C1086" s="134" t="s">
        <v>952</v>
      </c>
      <c r="D1086" s="221">
        <f>D1031</f>
        <v>53.149721627408987</v>
      </c>
      <c r="E1086" s="73">
        <f>I1053</f>
        <v>1656.6</v>
      </c>
      <c r="F1086" s="73">
        <f>ROUND((D1086/E1086)/60,2)</f>
        <v>0</v>
      </c>
      <c r="G1086" s="73">
        <f>E1057</f>
        <v>15</v>
      </c>
      <c r="H1086" s="78">
        <f>ROUND(F1086*G1086,2)</f>
        <v>0</v>
      </c>
    </row>
    <row r="1087" spans="3:9" x14ac:dyDescent="0.3">
      <c r="C1087" s="134" t="s">
        <v>953</v>
      </c>
      <c r="D1087" s="221">
        <f>D1032</f>
        <v>374.98368308351178</v>
      </c>
      <c r="E1087" s="73">
        <f>I1053</f>
        <v>1656.6</v>
      </c>
      <c r="F1087" s="73">
        <f>ROUND((D1087/E1087)/60,2)</f>
        <v>0</v>
      </c>
      <c r="G1087" s="73">
        <f>E1057</f>
        <v>15</v>
      </c>
      <c r="H1087" s="78">
        <f>ROUND(F1087*G1087,2)</f>
        <v>0</v>
      </c>
    </row>
    <row r="1088" spans="3:9" x14ac:dyDescent="0.3">
      <c r="C1088" s="134" t="s">
        <v>1109</v>
      </c>
      <c r="D1088" s="221">
        <f>D1033</f>
        <v>1686.0389293361886</v>
      </c>
      <c r="E1088" s="73">
        <f>I1053</f>
        <v>1656.6</v>
      </c>
      <c r="F1088" s="73">
        <f>ROUND((D1088/E1088)/60,2)</f>
        <v>0.02</v>
      </c>
      <c r="G1088" s="73">
        <f>E1057</f>
        <v>15</v>
      </c>
      <c r="H1088" s="78">
        <f>ROUND(F1088*G1088,2)</f>
        <v>0.3</v>
      </c>
    </row>
    <row r="1089" spans="1:14" x14ac:dyDescent="0.3">
      <c r="C1089" s="1009" t="str">
        <f>C1054</f>
        <v xml:space="preserve">Сестра медична </v>
      </c>
      <c r="D1089" s="1010"/>
      <c r="E1089" s="1010"/>
      <c r="F1089" s="1010"/>
      <c r="G1089" s="1010"/>
      <c r="H1089" s="1011"/>
    </row>
    <row r="1090" spans="1:14" x14ac:dyDescent="0.3">
      <c r="C1090" s="134" t="s">
        <v>951</v>
      </c>
      <c r="D1090" s="221">
        <f>D1035</f>
        <v>12188.608008565312</v>
      </c>
      <c r="E1090" s="73">
        <f>I1054</f>
        <v>1932.7</v>
      </c>
      <c r="F1090" s="73">
        <f>ROUND((D1090/E1090)/60,2)</f>
        <v>0.11</v>
      </c>
      <c r="G1090" s="73">
        <f>E1058</f>
        <v>15</v>
      </c>
      <c r="H1090" s="78">
        <f>ROUND(F1090*G1090,2)</f>
        <v>1.65</v>
      </c>
    </row>
    <row r="1091" spans="1:14" x14ac:dyDescent="0.3">
      <c r="C1091" s="134" t="s">
        <v>952</v>
      </c>
      <c r="D1091" s="221">
        <f>D1036</f>
        <v>53.149721627408987</v>
      </c>
      <c r="E1091" s="73">
        <f>I1054</f>
        <v>1932.7</v>
      </c>
      <c r="F1091" s="73">
        <f>ROUND((D1091/E1091)/60,2)</f>
        <v>0</v>
      </c>
      <c r="G1091" s="73">
        <f>E1058</f>
        <v>15</v>
      </c>
      <c r="H1091" s="78">
        <f>ROUND(F1091*G1091,2)</f>
        <v>0</v>
      </c>
    </row>
    <row r="1092" spans="1:14" x14ac:dyDescent="0.3">
      <c r="C1092" s="134" t="s">
        <v>953</v>
      </c>
      <c r="D1092" s="221">
        <f>D1037</f>
        <v>374.98368308351178</v>
      </c>
      <c r="E1092" s="73">
        <f>I1054</f>
        <v>1932.7</v>
      </c>
      <c r="F1092" s="73">
        <f>ROUND((D1092/E1092)/60,2)</f>
        <v>0</v>
      </c>
      <c r="G1092" s="73">
        <f>E1058</f>
        <v>15</v>
      </c>
      <c r="H1092" s="78">
        <f>ROUND(F1092*G1092,2)</f>
        <v>0</v>
      </c>
    </row>
    <row r="1093" spans="1:14" x14ac:dyDescent="0.3">
      <c r="C1093" s="134" t="s">
        <v>1109</v>
      </c>
      <c r="D1093" s="221">
        <f>D1038</f>
        <v>1686.0389293361886</v>
      </c>
      <c r="E1093" s="73">
        <f>I1054</f>
        <v>1932.7</v>
      </c>
      <c r="F1093" s="73">
        <f>ROUND((D1093/E1093)/60,2)</f>
        <v>0.01</v>
      </c>
      <c r="G1093" s="73">
        <f>E1058</f>
        <v>15</v>
      </c>
      <c r="H1093" s="78">
        <f>ROUND(F1093*G1093,2)</f>
        <v>0.15</v>
      </c>
    </row>
    <row r="1094" spans="1:14" x14ac:dyDescent="0.3">
      <c r="C1094" s="1012" t="s">
        <v>957</v>
      </c>
      <c r="D1094" s="1013"/>
      <c r="E1094" s="1013"/>
      <c r="F1094" s="1013"/>
      <c r="G1094" s="1014"/>
      <c r="H1094" s="299">
        <f>SUM(H1085:H1093)</f>
        <v>3.9</v>
      </c>
    </row>
    <row r="1095" spans="1:14" ht="8.25" customHeight="1" x14ac:dyDescent="0.3"/>
    <row r="1096" spans="1:14" ht="0.75" customHeight="1" x14ac:dyDescent="0.3"/>
    <row r="1097" spans="1:14" x14ac:dyDescent="0.3">
      <c r="C1097" s="1015" t="s">
        <v>959</v>
      </c>
      <c r="D1097" s="1015"/>
      <c r="E1097" s="1015"/>
      <c r="F1097" s="1015"/>
      <c r="G1097" s="1015"/>
      <c r="H1097" s="334">
        <f>F1050+F1062+F1076+F1081</f>
        <v>66.91</v>
      </c>
    </row>
    <row r="1098" spans="1:14" x14ac:dyDescent="0.3">
      <c r="C1098" s="323"/>
      <c r="D1098" s="33"/>
      <c r="E1098" s="33"/>
      <c r="F1098" s="33"/>
      <c r="G1098" s="33"/>
      <c r="H1098" s="335"/>
    </row>
    <row r="1099" spans="1:14" x14ac:dyDescent="0.3">
      <c r="C1099" s="1015" t="s">
        <v>960</v>
      </c>
      <c r="D1099" s="1015"/>
      <c r="E1099" s="1015"/>
      <c r="F1099" s="1015"/>
      <c r="G1099" s="1015"/>
      <c r="H1099" s="334">
        <f>ROUND(H1097,0)</f>
        <v>67</v>
      </c>
    </row>
    <row r="1101" spans="1:14" s="54" customFormat="1" ht="19.8" x14ac:dyDescent="0.4">
      <c r="A1101" s="53"/>
      <c r="B1101" s="1016" t="s">
        <v>958</v>
      </c>
      <c r="C1101" s="1016"/>
      <c r="D1101" s="1016"/>
      <c r="E1101" s="1016"/>
      <c r="F1101" s="1016"/>
      <c r="G1101" s="1016"/>
      <c r="H1101" s="1016"/>
      <c r="I1101" s="1016"/>
      <c r="J1101" s="1016"/>
      <c r="K1101" s="70"/>
      <c r="L1101" s="348"/>
      <c r="M1101" s="348"/>
      <c r="N1101" s="99"/>
    </row>
    <row r="1102" spans="1:14" s="54" customFormat="1" ht="19.8" x14ac:dyDescent="0.4">
      <c r="A1102" s="53"/>
      <c r="B1102" s="53"/>
      <c r="C1102" s="56"/>
      <c r="D1102" s="225"/>
      <c r="E1102" s="225"/>
      <c r="F1102" s="225"/>
      <c r="G1102" s="225"/>
      <c r="H1102" s="225"/>
      <c r="I1102" s="225"/>
      <c r="J1102" s="225"/>
      <c r="K1102" s="70"/>
      <c r="L1102" s="348"/>
      <c r="M1102" s="348"/>
      <c r="N1102" s="99"/>
    </row>
    <row r="1103" spans="1:14" s="54" customFormat="1" ht="19.8" x14ac:dyDescent="0.4">
      <c r="A1103" s="53"/>
      <c r="B1103" s="50" t="s">
        <v>582</v>
      </c>
      <c r="C1103" s="1017" t="s">
        <v>589</v>
      </c>
      <c r="D1103" s="1017"/>
      <c r="E1103" s="1017"/>
      <c r="F1103" s="296">
        <f>H1154</f>
        <v>85</v>
      </c>
      <c r="G1103" s="296" t="s">
        <v>971</v>
      </c>
      <c r="H1103" s="225"/>
      <c r="I1103" s="225"/>
      <c r="J1103" s="225"/>
      <c r="K1103" s="70"/>
      <c r="L1103" s="348"/>
      <c r="M1103" s="348"/>
      <c r="N1103" s="99"/>
    </row>
    <row r="1105" spans="3:10" x14ac:dyDescent="0.3">
      <c r="C1105" s="1018" t="s">
        <v>932</v>
      </c>
      <c r="D1105" s="1018"/>
      <c r="E1105" s="297"/>
      <c r="F1105" s="298">
        <f>F1112+F1115+F1113</f>
        <v>40.019999999999996</v>
      </c>
      <c r="G1105" s="227" t="s">
        <v>971</v>
      </c>
    </row>
    <row r="1107" spans="3:10" x14ac:dyDescent="0.3">
      <c r="C1107" s="318" t="s">
        <v>929</v>
      </c>
      <c r="D1107" s="14" t="s">
        <v>928</v>
      </c>
      <c r="E1107" s="14" t="s">
        <v>514</v>
      </c>
      <c r="F1107" s="14" t="s">
        <v>515</v>
      </c>
      <c r="G1107" s="14" t="s">
        <v>962</v>
      </c>
      <c r="H1107" s="14" t="s">
        <v>926</v>
      </c>
      <c r="I1107" s="14" t="s">
        <v>516</v>
      </c>
      <c r="J1107" s="14" t="s">
        <v>961</v>
      </c>
    </row>
    <row r="1108" spans="3:10" x14ac:dyDescent="0.3">
      <c r="C1108" s="134" t="str">
        <f>C1053</f>
        <v>Лікар з ультразвукової діагностики</v>
      </c>
      <c r="D1108" s="73">
        <f>D1053</f>
        <v>6660.23</v>
      </c>
      <c r="E1108" s="78">
        <f>D1108*12</f>
        <v>79922.759999999995</v>
      </c>
      <c r="F1108" s="73">
        <f>F1053</f>
        <v>6054.75</v>
      </c>
      <c r="G1108" s="78">
        <f>G1053</f>
        <v>3027.375</v>
      </c>
      <c r="H1108" s="78">
        <f>E1108+F1108+G1108</f>
        <v>89004.884999999995</v>
      </c>
      <c r="I1108" s="73">
        <v>1656.6</v>
      </c>
      <c r="J1108" s="78">
        <f>ROUND((H1108/I1108)/60,2)</f>
        <v>0.9</v>
      </c>
    </row>
    <row r="1109" spans="3:10" x14ac:dyDescent="0.3">
      <c r="C1109" s="134" t="str">
        <f>C1054</f>
        <v xml:space="preserve">Сестра медична </v>
      </c>
      <c r="D1109" s="73">
        <f>D1054</f>
        <v>6506.5</v>
      </c>
      <c r="E1109" s="78">
        <f>D1109*12</f>
        <v>78078</v>
      </c>
      <c r="F1109" s="73">
        <f>F1054</f>
        <v>5005</v>
      </c>
      <c r="G1109" s="73">
        <f>G1054</f>
        <v>2502.5</v>
      </c>
      <c r="H1109" s="78">
        <f>E1109+F1109+G1109</f>
        <v>85585.5</v>
      </c>
      <c r="I1109" s="73">
        <v>1932.7</v>
      </c>
      <c r="J1109" s="78">
        <f>ROUND((H1109/I1109)/60,2)</f>
        <v>0.74</v>
      </c>
    </row>
    <row r="1111" spans="3:10" ht="27.6" x14ac:dyDescent="0.3">
      <c r="C1111" s="318" t="s">
        <v>929</v>
      </c>
      <c r="D1111" s="14" t="s">
        <v>961</v>
      </c>
      <c r="E1111" s="14" t="s">
        <v>930</v>
      </c>
      <c r="F1111" s="14" t="s">
        <v>931</v>
      </c>
    </row>
    <row r="1112" spans="3:10" x14ac:dyDescent="0.3">
      <c r="C1112" s="320" t="str">
        <f>C1108</f>
        <v>Лікар з ультразвукової діагностики</v>
      </c>
      <c r="D1112" s="78">
        <f>J1108</f>
        <v>0.9</v>
      </c>
      <c r="E1112" s="73">
        <v>20</v>
      </c>
      <c r="F1112" s="299">
        <f>ROUND(D1112*E1112,2)</f>
        <v>18</v>
      </c>
    </row>
    <row r="1113" spans="3:10" x14ac:dyDescent="0.3">
      <c r="C1113" s="320" t="str">
        <f>C1109</f>
        <v xml:space="preserve">Сестра медична </v>
      </c>
      <c r="D1113" s="78">
        <f>J1109</f>
        <v>0.74</v>
      </c>
      <c r="E1113" s="73">
        <v>20</v>
      </c>
      <c r="F1113" s="299">
        <f>ROUND(D1113*E1113,2)</f>
        <v>14.8</v>
      </c>
    </row>
    <row r="1114" spans="3:10" x14ac:dyDescent="0.3">
      <c r="D1114" s="19"/>
    </row>
    <row r="1115" spans="3:10" x14ac:dyDescent="0.3">
      <c r="C1115" s="134" t="s">
        <v>933</v>
      </c>
      <c r="D1115" s="78">
        <f>F1112+F1113</f>
        <v>32.799999999999997</v>
      </c>
      <c r="E1115" s="300">
        <v>0.22</v>
      </c>
      <c r="F1115" s="301">
        <f>ROUND(D1115*E1115,2)</f>
        <v>7.22</v>
      </c>
    </row>
    <row r="1117" spans="3:10" x14ac:dyDescent="0.3">
      <c r="C1117" s="321" t="s">
        <v>946</v>
      </c>
      <c r="D1117" s="227"/>
      <c r="E1117" s="227"/>
      <c r="F1117" s="227">
        <f>G1129</f>
        <v>12.45</v>
      </c>
      <c r="G1117" s="227" t="s">
        <v>971</v>
      </c>
    </row>
    <row r="1119" spans="3:10" x14ac:dyDescent="0.3">
      <c r="C1119" s="27" t="str">
        <f t="shared" ref="C1119:F1128" si="40">C1064</f>
        <v>Рукавиці не стерильні</v>
      </c>
      <c r="D1119" s="303" t="str">
        <f t="shared" si="40"/>
        <v>шт</v>
      </c>
      <c r="E1119" s="303">
        <f t="shared" si="40"/>
        <v>0.1</v>
      </c>
      <c r="F1119" s="303">
        <f t="shared" si="40"/>
        <v>2.8</v>
      </c>
      <c r="G1119" s="228">
        <f>ROUND(F1119*E1119,2)</f>
        <v>0.28000000000000003</v>
      </c>
    </row>
    <row r="1120" spans="3:10" x14ac:dyDescent="0.3">
      <c r="C1120" s="27" t="str">
        <f t="shared" si="40"/>
        <v xml:space="preserve">Септил 70% 100мл </v>
      </c>
      <c r="D1120" s="303" t="str">
        <f t="shared" si="40"/>
        <v>шт</v>
      </c>
      <c r="E1120" s="303">
        <f t="shared" si="40"/>
        <v>0.01</v>
      </c>
      <c r="F1120" s="303">
        <f t="shared" si="40"/>
        <v>24.6</v>
      </c>
      <c r="G1120" s="228">
        <f t="shared" ref="G1120:G1125" si="41">ROUND(F1120*E1120,2)</f>
        <v>0.25</v>
      </c>
    </row>
    <row r="1121" spans="3:9" x14ac:dyDescent="0.3">
      <c r="C1121" s="27" t="str">
        <f t="shared" si="40"/>
        <v>Маска на резинці, стерильна.</v>
      </c>
      <c r="D1121" s="303" t="str">
        <f t="shared" si="40"/>
        <v>шт</v>
      </c>
      <c r="E1121" s="303">
        <f t="shared" si="40"/>
        <v>0.1</v>
      </c>
      <c r="F1121" s="303">
        <f t="shared" si="40"/>
        <v>2</v>
      </c>
      <c r="G1121" s="228">
        <f t="shared" si="41"/>
        <v>0.2</v>
      </c>
    </row>
    <row r="1122" spans="3:9" x14ac:dyDescent="0.3">
      <c r="C1122" s="27" t="str">
        <f t="shared" si="40"/>
        <v>Мікрасепт</v>
      </c>
      <c r="D1122" s="303" t="str">
        <f t="shared" si="40"/>
        <v>мл</v>
      </c>
      <c r="E1122" s="303">
        <f t="shared" si="40"/>
        <v>1</v>
      </c>
      <c r="F1122" s="303">
        <f t="shared" si="40"/>
        <v>0.3</v>
      </c>
      <c r="G1122" s="28">
        <f>ROUND(E1122*F1122,2)</f>
        <v>0.3</v>
      </c>
    </row>
    <row r="1123" spans="3:9" x14ac:dyDescent="0.3">
      <c r="C1123" s="27" t="str">
        <f t="shared" si="40"/>
        <v>Папір офісний А4</v>
      </c>
      <c r="D1123" s="303" t="str">
        <f t="shared" si="40"/>
        <v>шт</v>
      </c>
      <c r="E1123" s="303">
        <f t="shared" si="40"/>
        <v>2</v>
      </c>
      <c r="F1123" s="303">
        <f t="shared" si="40"/>
        <v>0.3</v>
      </c>
      <c r="G1123" s="228">
        <f t="shared" si="41"/>
        <v>0.6</v>
      </c>
    </row>
    <row r="1124" spans="3:9" x14ac:dyDescent="0.3">
      <c r="C1124" s="27" t="str">
        <f t="shared" si="40"/>
        <v xml:space="preserve">Гель для УЗД , 1000 гр. </v>
      </c>
      <c r="D1124" s="303" t="str">
        <f t="shared" si="40"/>
        <v>пляшка</v>
      </c>
      <c r="E1124" s="303">
        <f t="shared" si="40"/>
        <v>0.1</v>
      </c>
      <c r="F1124" s="303">
        <f t="shared" si="40"/>
        <v>48</v>
      </c>
      <c r="G1124" s="228">
        <f t="shared" si="41"/>
        <v>4.8</v>
      </c>
    </row>
    <row r="1125" spans="3:9" x14ac:dyDescent="0.3">
      <c r="C1125" s="27" t="str">
        <f t="shared" si="40"/>
        <v>Паперові рушники "Fesko Professional"</v>
      </c>
      <c r="D1125" s="303" t="str">
        <f t="shared" si="40"/>
        <v>рул</v>
      </c>
      <c r="E1125" s="303">
        <f t="shared" si="40"/>
        <v>0.3</v>
      </c>
      <c r="F1125" s="303">
        <f t="shared" si="40"/>
        <v>17</v>
      </c>
      <c r="G1125" s="228">
        <f t="shared" si="41"/>
        <v>5.0999999999999996</v>
      </c>
    </row>
    <row r="1126" spans="3:9" x14ac:dyDescent="0.3">
      <c r="C1126" s="27" t="str">
        <f t="shared" si="40"/>
        <v>Марля медична</v>
      </c>
      <c r="D1126" s="303" t="str">
        <f t="shared" si="40"/>
        <v>метр</v>
      </c>
      <c r="E1126" s="303">
        <f t="shared" si="40"/>
        <v>0.1</v>
      </c>
      <c r="F1126" s="303">
        <f t="shared" si="40"/>
        <v>6</v>
      </c>
      <c r="G1126" s="28">
        <f>ROUND(E1126*F1126,2)</f>
        <v>0.6</v>
      </c>
    </row>
    <row r="1127" spans="3:9" x14ac:dyDescent="0.3">
      <c r="C1127" s="27" t="str">
        <f t="shared" si="40"/>
        <v>Вата</v>
      </c>
      <c r="D1127" s="303" t="str">
        <f t="shared" si="40"/>
        <v>г</v>
      </c>
      <c r="E1127" s="303">
        <f t="shared" si="40"/>
        <v>1</v>
      </c>
      <c r="F1127" s="303">
        <f t="shared" si="40"/>
        <v>7.0000000000000007E-2</v>
      </c>
      <c r="G1127" s="28">
        <f>ROUND(E1127*F1127,2)</f>
        <v>7.0000000000000007E-2</v>
      </c>
    </row>
    <row r="1128" spans="3:9" x14ac:dyDescent="0.3">
      <c r="C1128" s="27" t="str">
        <f t="shared" si="40"/>
        <v>Деззасоби</v>
      </c>
      <c r="D1128" s="303" t="str">
        <f t="shared" si="40"/>
        <v>г</v>
      </c>
      <c r="E1128" s="303">
        <f t="shared" si="40"/>
        <v>0.5</v>
      </c>
      <c r="F1128" s="303">
        <f t="shared" si="40"/>
        <v>0.5</v>
      </c>
      <c r="G1128" s="28">
        <f>ROUND(E1128*F1128,2)</f>
        <v>0.25</v>
      </c>
    </row>
    <row r="1129" spans="3:9" x14ac:dyDescent="0.3">
      <c r="C1129" s="1019" t="s">
        <v>945</v>
      </c>
      <c r="D1129" s="1019"/>
      <c r="E1129" s="1019"/>
      <c r="F1129" s="1019"/>
      <c r="G1129" s="332">
        <f>SUM(G1119:G1128)</f>
        <v>12.45</v>
      </c>
    </row>
    <row r="1131" spans="3:9" x14ac:dyDescent="0.3">
      <c r="C1131" s="321" t="s">
        <v>968</v>
      </c>
      <c r="D1131" s="227"/>
      <c r="E1131" s="227"/>
      <c r="F1131" s="298">
        <f>H1134</f>
        <v>27.4</v>
      </c>
      <c r="G1131" s="227" t="s">
        <v>971</v>
      </c>
    </row>
    <row r="1132" spans="3:9" x14ac:dyDescent="0.3">
      <c r="C1132" s="322"/>
      <c r="D1132" s="36"/>
      <c r="E1132" s="36"/>
      <c r="F1132" s="302"/>
      <c r="G1132" s="36"/>
    </row>
    <row r="1133" spans="3:9" ht="27.6" x14ac:dyDescent="0.3">
      <c r="C1133" s="46" t="s">
        <v>513</v>
      </c>
      <c r="D1133" s="14" t="s">
        <v>1108</v>
      </c>
      <c r="E1133" s="14" t="s">
        <v>516</v>
      </c>
      <c r="F1133" s="14" t="s">
        <v>970</v>
      </c>
      <c r="G1133" s="14" t="s">
        <v>930</v>
      </c>
      <c r="H1133" s="14" t="s">
        <v>961</v>
      </c>
    </row>
    <row r="1134" spans="3:9" x14ac:dyDescent="0.3">
      <c r="C1134" s="27" t="str">
        <f>C1079</f>
        <v>Ультразвукова система AFFINITI 30</v>
      </c>
      <c r="D1134" s="73">
        <f>D1079</f>
        <v>136236.38</v>
      </c>
      <c r="E1134" s="73">
        <f>I1108</f>
        <v>1656.6</v>
      </c>
      <c r="F1134" s="73">
        <f>ROUND((D1134/E1134)/60,2)</f>
        <v>1.37</v>
      </c>
      <c r="G1134" s="73">
        <f>E1112</f>
        <v>20</v>
      </c>
      <c r="H1134" s="78">
        <f>ROUND(F1134*G1134,2)</f>
        <v>27.4</v>
      </c>
      <c r="I1134" s="333"/>
    </row>
    <row r="1135" spans="3:9" ht="10.5" customHeight="1" x14ac:dyDescent="0.3"/>
    <row r="1136" spans="3:9" x14ac:dyDescent="0.3">
      <c r="C1136" s="321" t="s">
        <v>948</v>
      </c>
      <c r="D1136" s="227"/>
      <c r="E1136" s="227"/>
      <c r="F1136" s="298">
        <f>H1149</f>
        <v>5.2</v>
      </c>
      <c r="G1136" s="227" t="s">
        <v>971</v>
      </c>
    </row>
    <row r="1137" spans="3:8" x14ac:dyDescent="0.3">
      <c r="C1137" s="322"/>
      <c r="D1137" s="36"/>
      <c r="E1137" s="36"/>
      <c r="F1137" s="302"/>
    </row>
    <row r="1138" spans="3:8" ht="27.6" x14ac:dyDescent="0.3">
      <c r="C1138" s="46" t="s">
        <v>948</v>
      </c>
      <c r="D1138" s="14" t="s">
        <v>1110</v>
      </c>
      <c r="E1138" s="14" t="s">
        <v>516</v>
      </c>
      <c r="F1138" s="14" t="s">
        <v>954</v>
      </c>
      <c r="G1138" s="14" t="s">
        <v>930</v>
      </c>
      <c r="H1138" s="14" t="s">
        <v>1111</v>
      </c>
    </row>
    <row r="1139" spans="3:8" x14ac:dyDescent="0.3">
      <c r="C1139" s="1009" t="str">
        <f>C1108</f>
        <v>Лікар з ультразвукової діагностики</v>
      </c>
      <c r="D1139" s="1010"/>
      <c r="E1139" s="1010"/>
      <c r="F1139" s="1010"/>
      <c r="G1139" s="1010"/>
      <c r="H1139" s="1011"/>
    </row>
    <row r="1140" spans="3:8" x14ac:dyDescent="0.3">
      <c r="C1140" s="134" t="s">
        <v>951</v>
      </c>
      <c r="D1140" s="221">
        <f>D1085</f>
        <v>12188.608008565312</v>
      </c>
      <c r="E1140" s="73">
        <f>I1108</f>
        <v>1656.6</v>
      </c>
      <c r="F1140" s="73">
        <f>ROUND((D1140/E1140)/60,2)</f>
        <v>0.12</v>
      </c>
      <c r="G1140" s="73">
        <f>E1112</f>
        <v>20</v>
      </c>
      <c r="H1140" s="78">
        <f>ROUND(F1140*G1140,2)</f>
        <v>2.4</v>
      </c>
    </row>
    <row r="1141" spans="3:8" x14ac:dyDescent="0.3">
      <c r="C1141" s="134" t="s">
        <v>952</v>
      </c>
      <c r="D1141" s="221">
        <f>D1086</f>
        <v>53.149721627408987</v>
      </c>
      <c r="E1141" s="73">
        <f>I1108</f>
        <v>1656.6</v>
      </c>
      <c r="F1141" s="73">
        <f>ROUND((D1141/E1141)/60,2)</f>
        <v>0</v>
      </c>
      <c r="G1141" s="73">
        <f>E1112</f>
        <v>20</v>
      </c>
      <c r="H1141" s="78">
        <f>ROUND(F1141*G1141,2)</f>
        <v>0</v>
      </c>
    </row>
    <row r="1142" spans="3:8" x14ac:dyDescent="0.3">
      <c r="C1142" s="134" t="s">
        <v>953</v>
      </c>
      <c r="D1142" s="221">
        <f>D1087</f>
        <v>374.98368308351178</v>
      </c>
      <c r="E1142" s="73">
        <f>I1108</f>
        <v>1656.6</v>
      </c>
      <c r="F1142" s="73">
        <f>ROUND((D1142/E1142)/60,2)</f>
        <v>0</v>
      </c>
      <c r="G1142" s="73">
        <f>E1112</f>
        <v>20</v>
      </c>
      <c r="H1142" s="78">
        <f>ROUND(F1142*G1142,2)</f>
        <v>0</v>
      </c>
    </row>
    <row r="1143" spans="3:8" x14ac:dyDescent="0.3">
      <c r="C1143" s="134" t="s">
        <v>1109</v>
      </c>
      <c r="D1143" s="221">
        <f>D1088</f>
        <v>1686.0389293361886</v>
      </c>
      <c r="E1143" s="73">
        <f>I1108</f>
        <v>1656.6</v>
      </c>
      <c r="F1143" s="73">
        <f>ROUND((D1143/E1143)/60,2)</f>
        <v>0.02</v>
      </c>
      <c r="G1143" s="73">
        <f>E1112</f>
        <v>20</v>
      </c>
      <c r="H1143" s="78">
        <f>ROUND(F1143*G1143,2)</f>
        <v>0.4</v>
      </c>
    </row>
    <row r="1144" spans="3:8" x14ac:dyDescent="0.3">
      <c r="C1144" s="1009" t="str">
        <f>C1109</f>
        <v xml:space="preserve">Сестра медична </v>
      </c>
      <c r="D1144" s="1010"/>
      <c r="E1144" s="1010"/>
      <c r="F1144" s="1010"/>
      <c r="G1144" s="1010"/>
      <c r="H1144" s="1011"/>
    </row>
    <row r="1145" spans="3:8" x14ac:dyDescent="0.3">
      <c r="C1145" s="134" t="s">
        <v>951</v>
      </c>
      <c r="D1145" s="221">
        <f>D1140</f>
        <v>12188.608008565312</v>
      </c>
      <c r="E1145" s="73">
        <f>I1109</f>
        <v>1932.7</v>
      </c>
      <c r="F1145" s="73">
        <f>ROUND((D1145/E1145)/60,2)</f>
        <v>0.11</v>
      </c>
      <c r="G1145" s="73">
        <f>E1113</f>
        <v>20</v>
      </c>
      <c r="H1145" s="78">
        <f>ROUND(F1145*G1145,2)</f>
        <v>2.2000000000000002</v>
      </c>
    </row>
    <row r="1146" spans="3:8" x14ac:dyDescent="0.3">
      <c r="C1146" s="134" t="s">
        <v>952</v>
      </c>
      <c r="D1146" s="221">
        <f>D1141</f>
        <v>53.149721627408987</v>
      </c>
      <c r="E1146" s="73">
        <f>I1109</f>
        <v>1932.7</v>
      </c>
      <c r="F1146" s="73">
        <f>ROUND((D1146/E1146)/60,2)</f>
        <v>0</v>
      </c>
      <c r="G1146" s="73">
        <f>E1113</f>
        <v>20</v>
      </c>
      <c r="H1146" s="78">
        <f>ROUND(F1146*G1146,2)</f>
        <v>0</v>
      </c>
    </row>
    <row r="1147" spans="3:8" x14ac:dyDescent="0.3">
      <c r="C1147" s="134" t="s">
        <v>953</v>
      </c>
      <c r="D1147" s="221">
        <f>D1142</f>
        <v>374.98368308351178</v>
      </c>
      <c r="E1147" s="73">
        <f>I1109</f>
        <v>1932.7</v>
      </c>
      <c r="F1147" s="73">
        <f>ROUND((D1147/E1147)/60,2)</f>
        <v>0</v>
      </c>
      <c r="G1147" s="73">
        <f>E1113</f>
        <v>20</v>
      </c>
      <c r="H1147" s="78">
        <f>ROUND(F1147*G1147,2)</f>
        <v>0</v>
      </c>
    </row>
    <row r="1148" spans="3:8" x14ac:dyDescent="0.3">
      <c r="C1148" s="134" t="s">
        <v>1109</v>
      </c>
      <c r="D1148" s="221">
        <f>D1143</f>
        <v>1686.0389293361886</v>
      </c>
      <c r="E1148" s="73">
        <f>I1109</f>
        <v>1932.7</v>
      </c>
      <c r="F1148" s="73">
        <f>ROUND((D1148/E1148)/60,2)</f>
        <v>0.01</v>
      </c>
      <c r="G1148" s="73">
        <f>E1113</f>
        <v>20</v>
      </c>
      <c r="H1148" s="78">
        <f>ROUND(F1148*G1148,2)</f>
        <v>0.2</v>
      </c>
    </row>
    <row r="1149" spans="3:8" x14ac:dyDescent="0.3">
      <c r="C1149" s="1012" t="s">
        <v>957</v>
      </c>
      <c r="D1149" s="1013"/>
      <c r="E1149" s="1013"/>
      <c r="F1149" s="1013"/>
      <c r="G1149" s="1014"/>
      <c r="H1149" s="299">
        <f>SUM(H1140:H1148)</f>
        <v>5.2</v>
      </c>
    </row>
    <row r="1150" spans="3:8" ht="14.25" customHeight="1" x14ac:dyDescent="0.3"/>
    <row r="1152" spans="3:8" x14ac:dyDescent="0.3">
      <c r="C1152" s="1015" t="s">
        <v>959</v>
      </c>
      <c r="D1152" s="1015"/>
      <c r="E1152" s="1015"/>
      <c r="F1152" s="1015"/>
      <c r="G1152" s="1015"/>
      <c r="H1152" s="334">
        <f>F1105+F1117+F1131+F1136</f>
        <v>85.070000000000007</v>
      </c>
    </row>
    <row r="1153" spans="1:14" x14ac:dyDescent="0.3">
      <c r="C1153" s="323"/>
      <c r="D1153" s="33"/>
      <c r="E1153" s="33"/>
      <c r="F1153" s="33"/>
      <c r="G1153" s="33"/>
      <c r="H1153" s="335"/>
    </row>
    <row r="1154" spans="1:14" x14ac:dyDescent="0.3">
      <c r="C1154" s="1015" t="s">
        <v>960</v>
      </c>
      <c r="D1154" s="1015"/>
      <c r="E1154" s="1015"/>
      <c r="F1154" s="1015"/>
      <c r="G1154" s="1015"/>
      <c r="H1154" s="334">
        <f>ROUND(H1152,0)</f>
        <v>85</v>
      </c>
    </row>
    <row r="1156" spans="1:14" s="54" customFormat="1" ht="19.8" x14ac:dyDescent="0.4">
      <c r="A1156" s="53"/>
      <c r="B1156" s="1016" t="s">
        <v>958</v>
      </c>
      <c r="C1156" s="1016"/>
      <c r="D1156" s="1016"/>
      <c r="E1156" s="1016"/>
      <c r="F1156" s="1016"/>
      <c r="G1156" s="1016"/>
      <c r="H1156" s="1016"/>
      <c r="I1156" s="1016"/>
      <c r="J1156" s="1016"/>
      <c r="K1156" s="70"/>
      <c r="L1156" s="348"/>
      <c r="M1156" s="348"/>
      <c r="N1156" s="99"/>
    </row>
    <row r="1157" spans="1:14" s="54" customFormat="1" ht="19.8" x14ac:dyDescent="0.4">
      <c r="A1157" s="53"/>
      <c r="B1157" s="53"/>
      <c r="C1157" s="56"/>
      <c r="D1157" s="225"/>
      <c r="E1157" s="225"/>
      <c r="F1157" s="225"/>
      <c r="G1157" s="225"/>
      <c r="H1157" s="225"/>
      <c r="I1157" s="225"/>
      <c r="J1157" s="225"/>
      <c r="K1157" s="70"/>
      <c r="L1157" s="348"/>
      <c r="M1157" s="348"/>
      <c r="N1157" s="99"/>
    </row>
    <row r="1158" spans="1:14" s="54" customFormat="1" ht="36" customHeight="1" x14ac:dyDescent="0.4">
      <c r="A1158" s="53"/>
      <c r="B1158" s="50" t="s">
        <v>584</v>
      </c>
      <c r="C1158" s="1032" t="s">
        <v>591</v>
      </c>
      <c r="D1158" s="1032"/>
      <c r="E1158" s="1032"/>
      <c r="F1158" s="296">
        <f>H1209</f>
        <v>85</v>
      </c>
      <c r="G1158" s="296" t="s">
        <v>971</v>
      </c>
      <c r="H1158" s="225"/>
      <c r="I1158" s="225"/>
      <c r="J1158" s="225"/>
      <c r="K1158" s="70"/>
      <c r="L1158" s="348"/>
      <c r="M1158" s="348"/>
      <c r="N1158" s="99"/>
    </row>
    <row r="1160" spans="1:14" x14ac:dyDescent="0.3">
      <c r="C1160" s="1018" t="s">
        <v>932</v>
      </c>
      <c r="D1160" s="1018"/>
      <c r="E1160" s="297"/>
      <c r="F1160" s="298">
        <f>F1167+F1170+F1168</f>
        <v>40.019999999999996</v>
      </c>
      <c r="G1160" s="227" t="s">
        <v>971</v>
      </c>
    </row>
    <row r="1161" spans="1:14" ht="6.75" customHeight="1" x14ac:dyDescent="0.3"/>
    <row r="1162" spans="1:14" x14ac:dyDescent="0.3">
      <c r="C1162" s="318" t="s">
        <v>929</v>
      </c>
      <c r="D1162" s="14" t="s">
        <v>928</v>
      </c>
      <c r="E1162" s="14" t="s">
        <v>514</v>
      </c>
      <c r="F1162" s="14" t="s">
        <v>515</v>
      </c>
      <c r="G1162" s="14" t="s">
        <v>962</v>
      </c>
      <c r="H1162" s="14" t="s">
        <v>926</v>
      </c>
      <c r="I1162" s="14" t="s">
        <v>516</v>
      </c>
      <c r="J1162" s="14" t="s">
        <v>961</v>
      </c>
    </row>
    <row r="1163" spans="1:14" x14ac:dyDescent="0.3">
      <c r="C1163" s="134" t="str">
        <f>C1108</f>
        <v>Лікар з ультразвукової діагностики</v>
      </c>
      <c r="D1163" s="73">
        <f>D1108</f>
        <v>6660.23</v>
      </c>
      <c r="E1163" s="78">
        <f>D1163*12</f>
        <v>79922.759999999995</v>
      </c>
      <c r="F1163" s="73">
        <f>F1108</f>
        <v>6054.75</v>
      </c>
      <c r="G1163" s="78">
        <f>G1108</f>
        <v>3027.375</v>
      </c>
      <c r="H1163" s="78">
        <f>E1163+F1163+G1163</f>
        <v>89004.884999999995</v>
      </c>
      <c r="I1163" s="73">
        <v>1656.6</v>
      </c>
      <c r="J1163" s="78">
        <f>ROUND((H1163/I1163)/60,2)</f>
        <v>0.9</v>
      </c>
    </row>
    <row r="1164" spans="1:14" x14ac:dyDescent="0.3">
      <c r="C1164" s="134" t="str">
        <f>C1109</f>
        <v xml:space="preserve">Сестра медична </v>
      </c>
      <c r="D1164" s="73">
        <f>D1109</f>
        <v>6506.5</v>
      </c>
      <c r="E1164" s="78">
        <f>D1164*12</f>
        <v>78078</v>
      </c>
      <c r="F1164" s="73">
        <f>F1109</f>
        <v>5005</v>
      </c>
      <c r="G1164" s="73">
        <f>G1109</f>
        <v>2502.5</v>
      </c>
      <c r="H1164" s="78">
        <f>E1164+F1164+G1164</f>
        <v>85585.5</v>
      </c>
      <c r="I1164" s="73">
        <v>1932.7</v>
      </c>
      <c r="J1164" s="78">
        <f>ROUND((H1164/I1164)/60,2)</f>
        <v>0.74</v>
      </c>
    </row>
    <row r="1166" spans="1:14" ht="27.6" x14ac:dyDescent="0.3">
      <c r="C1166" s="318" t="s">
        <v>929</v>
      </c>
      <c r="D1166" s="14" t="s">
        <v>961</v>
      </c>
      <c r="E1166" s="14" t="s">
        <v>930</v>
      </c>
      <c r="F1166" s="14" t="s">
        <v>931</v>
      </c>
    </row>
    <row r="1167" spans="1:14" x14ac:dyDescent="0.3">
      <c r="C1167" s="320" t="str">
        <f>C1163</f>
        <v>Лікар з ультразвукової діагностики</v>
      </c>
      <c r="D1167" s="78">
        <f>J1163</f>
        <v>0.9</v>
      </c>
      <c r="E1167" s="73">
        <v>20</v>
      </c>
      <c r="F1167" s="299">
        <f>ROUND(D1167*E1167,2)</f>
        <v>18</v>
      </c>
    </row>
    <row r="1168" spans="1:14" x14ac:dyDescent="0.3">
      <c r="C1168" s="320" t="str">
        <f>C1164</f>
        <v xml:space="preserve">Сестра медична </v>
      </c>
      <c r="D1168" s="78">
        <f>J1164</f>
        <v>0.74</v>
      </c>
      <c r="E1168" s="73">
        <v>20</v>
      </c>
      <c r="F1168" s="299">
        <f>ROUND(D1168*E1168,2)</f>
        <v>14.8</v>
      </c>
    </row>
    <row r="1169" spans="3:7" x14ac:dyDescent="0.3">
      <c r="D1169" s="19"/>
    </row>
    <row r="1170" spans="3:7" x14ac:dyDescent="0.3">
      <c r="C1170" s="134" t="s">
        <v>933</v>
      </c>
      <c r="D1170" s="78">
        <f>F1167+F1168</f>
        <v>32.799999999999997</v>
      </c>
      <c r="E1170" s="300">
        <v>0.22</v>
      </c>
      <c r="F1170" s="301">
        <f>ROUND(D1170*E1170,2)</f>
        <v>7.22</v>
      </c>
    </row>
    <row r="1172" spans="3:7" x14ac:dyDescent="0.3">
      <c r="C1172" s="321" t="s">
        <v>946</v>
      </c>
      <c r="D1172" s="227"/>
      <c r="E1172" s="227"/>
      <c r="F1172" s="227">
        <f>G1184</f>
        <v>12.45</v>
      </c>
      <c r="G1172" s="227" t="s">
        <v>971</v>
      </c>
    </row>
    <row r="1173" spans="3:7" ht="9" customHeight="1" x14ac:dyDescent="0.3"/>
    <row r="1174" spans="3:7" x14ac:dyDescent="0.3">
      <c r="C1174" s="27" t="str">
        <f t="shared" ref="C1174:F1183" si="42">C1119</f>
        <v>Рукавиці не стерильні</v>
      </c>
      <c r="D1174" s="303" t="str">
        <f t="shared" si="42"/>
        <v>шт</v>
      </c>
      <c r="E1174" s="303">
        <f t="shared" si="42"/>
        <v>0.1</v>
      </c>
      <c r="F1174" s="303">
        <f t="shared" si="42"/>
        <v>2.8</v>
      </c>
      <c r="G1174" s="228">
        <f>ROUND(F1174*E1174,2)</f>
        <v>0.28000000000000003</v>
      </c>
    </row>
    <row r="1175" spans="3:7" x14ac:dyDescent="0.3">
      <c r="C1175" s="27" t="str">
        <f t="shared" si="42"/>
        <v xml:space="preserve">Септил 70% 100мл </v>
      </c>
      <c r="D1175" s="303" t="str">
        <f t="shared" si="42"/>
        <v>шт</v>
      </c>
      <c r="E1175" s="303">
        <f t="shared" si="42"/>
        <v>0.01</v>
      </c>
      <c r="F1175" s="303">
        <f t="shared" si="42"/>
        <v>24.6</v>
      </c>
      <c r="G1175" s="228">
        <f t="shared" ref="G1175:G1180" si="43">ROUND(F1175*E1175,2)</f>
        <v>0.25</v>
      </c>
    </row>
    <row r="1176" spans="3:7" x14ac:dyDescent="0.3">
      <c r="C1176" s="27" t="str">
        <f t="shared" si="42"/>
        <v>Маска на резинці, стерильна.</v>
      </c>
      <c r="D1176" s="303" t="str">
        <f t="shared" si="42"/>
        <v>шт</v>
      </c>
      <c r="E1176" s="303">
        <f t="shared" si="42"/>
        <v>0.1</v>
      </c>
      <c r="F1176" s="303">
        <f t="shared" si="42"/>
        <v>2</v>
      </c>
      <c r="G1176" s="228">
        <f t="shared" si="43"/>
        <v>0.2</v>
      </c>
    </row>
    <row r="1177" spans="3:7" x14ac:dyDescent="0.3">
      <c r="C1177" s="27" t="str">
        <f t="shared" si="42"/>
        <v>Мікрасепт</v>
      </c>
      <c r="D1177" s="303" t="str">
        <f t="shared" si="42"/>
        <v>мл</v>
      </c>
      <c r="E1177" s="303">
        <f t="shared" si="42"/>
        <v>1</v>
      </c>
      <c r="F1177" s="303">
        <f t="shared" si="42"/>
        <v>0.3</v>
      </c>
      <c r="G1177" s="28">
        <f>ROUND(E1177*F1177,2)</f>
        <v>0.3</v>
      </c>
    </row>
    <row r="1178" spans="3:7" x14ac:dyDescent="0.3">
      <c r="C1178" s="27" t="str">
        <f t="shared" si="42"/>
        <v>Папір офісний А4</v>
      </c>
      <c r="D1178" s="303" t="str">
        <f t="shared" si="42"/>
        <v>шт</v>
      </c>
      <c r="E1178" s="303">
        <f t="shared" si="42"/>
        <v>2</v>
      </c>
      <c r="F1178" s="303">
        <f t="shared" si="42"/>
        <v>0.3</v>
      </c>
      <c r="G1178" s="228">
        <f t="shared" si="43"/>
        <v>0.6</v>
      </c>
    </row>
    <row r="1179" spans="3:7" x14ac:dyDescent="0.3">
      <c r="C1179" s="27" t="str">
        <f t="shared" si="42"/>
        <v xml:space="preserve">Гель для УЗД , 1000 гр. </v>
      </c>
      <c r="D1179" s="303" t="str">
        <f t="shared" si="42"/>
        <v>пляшка</v>
      </c>
      <c r="E1179" s="303">
        <f t="shared" si="42"/>
        <v>0.1</v>
      </c>
      <c r="F1179" s="303">
        <f t="shared" si="42"/>
        <v>48</v>
      </c>
      <c r="G1179" s="228">
        <f t="shared" si="43"/>
        <v>4.8</v>
      </c>
    </row>
    <row r="1180" spans="3:7" x14ac:dyDescent="0.3">
      <c r="C1180" s="27" t="str">
        <f t="shared" si="42"/>
        <v>Паперові рушники "Fesko Professional"</v>
      </c>
      <c r="D1180" s="303" t="str">
        <f t="shared" si="42"/>
        <v>рул</v>
      </c>
      <c r="E1180" s="303">
        <f t="shared" si="42"/>
        <v>0.3</v>
      </c>
      <c r="F1180" s="303">
        <f t="shared" si="42"/>
        <v>17</v>
      </c>
      <c r="G1180" s="228">
        <f t="shared" si="43"/>
        <v>5.0999999999999996</v>
      </c>
    </row>
    <row r="1181" spans="3:7" x14ac:dyDescent="0.3">
      <c r="C1181" s="27" t="str">
        <f t="shared" si="42"/>
        <v>Марля медична</v>
      </c>
      <c r="D1181" s="303" t="str">
        <f t="shared" si="42"/>
        <v>метр</v>
      </c>
      <c r="E1181" s="303">
        <f t="shared" si="42"/>
        <v>0.1</v>
      </c>
      <c r="F1181" s="303">
        <f t="shared" si="42"/>
        <v>6</v>
      </c>
      <c r="G1181" s="28">
        <f>ROUND(E1181*F1181,2)</f>
        <v>0.6</v>
      </c>
    </row>
    <row r="1182" spans="3:7" x14ac:dyDescent="0.3">
      <c r="C1182" s="27" t="str">
        <f t="shared" si="42"/>
        <v>Вата</v>
      </c>
      <c r="D1182" s="303" t="str">
        <f t="shared" si="42"/>
        <v>г</v>
      </c>
      <c r="E1182" s="303">
        <f t="shared" si="42"/>
        <v>1</v>
      </c>
      <c r="F1182" s="303">
        <f t="shared" si="42"/>
        <v>7.0000000000000007E-2</v>
      </c>
      <c r="G1182" s="28">
        <f>ROUND(E1182*F1182,2)</f>
        <v>7.0000000000000007E-2</v>
      </c>
    </row>
    <row r="1183" spans="3:7" x14ac:dyDescent="0.3">
      <c r="C1183" s="27" t="str">
        <f t="shared" si="42"/>
        <v>Деззасоби</v>
      </c>
      <c r="D1183" s="303" t="str">
        <f t="shared" si="42"/>
        <v>г</v>
      </c>
      <c r="E1183" s="303">
        <f t="shared" si="42"/>
        <v>0.5</v>
      </c>
      <c r="F1183" s="303">
        <f t="shared" si="42"/>
        <v>0.5</v>
      </c>
      <c r="G1183" s="28">
        <f>ROUND(E1183*F1183,2)</f>
        <v>0.25</v>
      </c>
    </row>
    <row r="1184" spans="3:7" x14ac:dyDescent="0.3">
      <c r="C1184" s="1019" t="s">
        <v>945</v>
      </c>
      <c r="D1184" s="1019"/>
      <c r="E1184" s="1019"/>
      <c r="F1184" s="1019"/>
      <c r="G1184" s="332">
        <f>SUM(G1174:G1183)</f>
        <v>12.45</v>
      </c>
    </row>
    <row r="1186" spans="3:9" x14ac:dyDescent="0.3">
      <c r="C1186" s="321" t="s">
        <v>968</v>
      </c>
      <c r="D1186" s="227"/>
      <c r="E1186" s="227"/>
      <c r="F1186" s="298">
        <f>H1189</f>
        <v>27.4</v>
      </c>
      <c r="G1186" s="227" t="s">
        <v>971</v>
      </c>
    </row>
    <row r="1187" spans="3:9" ht="9" customHeight="1" x14ac:dyDescent="0.3">
      <c r="C1187" s="322"/>
      <c r="D1187" s="36"/>
      <c r="E1187" s="36"/>
      <c r="F1187" s="302"/>
      <c r="G1187" s="36"/>
    </row>
    <row r="1188" spans="3:9" ht="27.6" x14ac:dyDescent="0.3">
      <c r="C1188" s="46" t="s">
        <v>513</v>
      </c>
      <c r="D1188" s="14" t="s">
        <v>1108</v>
      </c>
      <c r="E1188" s="14" t="s">
        <v>516</v>
      </c>
      <c r="F1188" s="14" t="s">
        <v>970</v>
      </c>
      <c r="G1188" s="14" t="s">
        <v>930</v>
      </c>
      <c r="H1188" s="14" t="s">
        <v>961</v>
      </c>
    </row>
    <row r="1189" spans="3:9" x14ac:dyDescent="0.3">
      <c r="C1189" s="27" t="str">
        <f>C1134</f>
        <v>Ультразвукова система AFFINITI 30</v>
      </c>
      <c r="D1189" s="73">
        <f>D1134</f>
        <v>136236.38</v>
      </c>
      <c r="E1189" s="73">
        <f>I1163</f>
        <v>1656.6</v>
      </c>
      <c r="F1189" s="73">
        <f>ROUND((D1189/E1189)/60,2)</f>
        <v>1.37</v>
      </c>
      <c r="G1189" s="73">
        <f>E1167</f>
        <v>20</v>
      </c>
      <c r="H1189" s="78">
        <f>ROUND(F1189*G1189,2)</f>
        <v>27.4</v>
      </c>
      <c r="I1189" s="333"/>
    </row>
    <row r="1191" spans="3:9" x14ac:dyDescent="0.3">
      <c r="C1191" s="321" t="s">
        <v>948</v>
      </c>
      <c r="D1191" s="227"/>
      <c r="E1191" s="227"/>
      <c r="F1191" s="298">
        <f>H1204</f>
        <v>5.2</v>
      </c>
      <c r="G1191" s="227" t="s">
        <v>971</v>
      </c>
    </row>
    <row r="1192" spans="3:9" ht="8.25" customHeight="1" x14ac:dyDescent="0.3">
      <c r="C1192" s="322"/>
      <c r="D1192" s="36"/>
      <c r="E1192" s="36"/>
      <c r="F1192" s="302"/>
    </row>
    <row r="1193" spans="3:9" ht="27.6" x14ac:dyDescent="0.3">
      <c r="C1193" s="46" t="s">
        <v>948</v>
      </c>
      <c r="D1193" s="14" t="s">
        <v>1110</v>
      </c>
      <c r="E1193" s="14" t="s">
        <v>516</v>
      </c>
      <c r="F1193" s="14" t="s">
        <v>954</v>
      </c>
      <c r="G1193" s="14" t="s">
        <v>930</v>
      </c>
      <c r="H1193" s="14" t="s">
        <v>1111</v>
      </c>
    </row>
    <row r="1194" spans="3:9" x14ac:dyDescent="0.3">
      <c r="C1194" s="1009" t="str">
        <f>C1163</f>
        <v>Лікар з ультразвукової діагностики</v>
      </c>
      <c r="D1194" s="1010"/>
      <c r="E1194" s="1010"/>
      <c r="F1194" s="1010"/>
      <c r="G1194" s="1010"/>
      <c r="H1194" s="1011"/>
    </row>
    <row r="1195" spans="3:9" x14ac:dyDescent="0.3">
      <c r="C1195" s="134" t="s">
        <v>951</v>
      </c>
      <c r="D1195" s="221">
        <f>D1140</f>
        <v>12188.608008565312</v>
      </c>
      <c r="E1195" s="73">
        <f>I1163</f>
        <v>1656.6</v>
      </c>
      <c r="F1195" s="73">
        <f>ROUND((D1195/E1195)/60,2)</f>
        <v>0.12</v>
      </c>
      <c r="G1195" s="73">
        <f>E1167</f>
        <v>20</v>
      </c>
      <c r="H1195" s="78">
        <f>ROUND(F1195*G1195,2)</f>
        <v>2.4</v>
      </c>
    </row>
    <row r="1196" spans="3:9" x14ac:dyDescent="0.3">
      <c r="C1196" s="134" t="s">
        <v>952</v>
      </c>
      <c r="D1196" s="221">
        <f>D1141</f>
        <v>53.149721627408987</v>
      </c>
      <c r="E1196" s="73">
        <f>I1163</f>
        <v>1656.6</v>
      </c>
      <c r="F1196" s="73">
        <f>ROUND((D1196/E1196)/60,2)</f>
        <v>0</v>
      </c>
      <c r="G1196" s="73">
        <f>E1167</f>
        <v>20</v>
      </c>
      <c r="H1196" s="78">
        <f>ROUND(F1196*G1196,2)</f>
        <v>0</v>
      </c>
    </row>
    <row r="1197" spans="3:9" x14ac:dyDescent="0.3">
      <c r="C1197" s="134" t="s">
        <v>953</v>
      </c>
      <c r="D1197" s="221">
        <f>D1142</f>
        <v>374.98368308351178</v>
      </c>
      <c r="E1197" s="73">
        <f>I1163</f>
        <v>1656.6</v>
      </c>
      <c r="F1197" s="73">
        <f>ROUND((D1197/E1197)/60,2)</f>
        <v>0</v>
      </c>
      <c r="G1197" s="73">
        <f>E1167</f>
        <v>20</v>
      </c>
      <c r="H1197" s="78">
        <f>ROUND(F1197*G1197,2)</f>
        <v>0</v>
      </c>
    </row>
    <row r="1198" spans="3:9" x14ac:dyDescent="0.3">
      <c r="C1198" s="134" t="s">
        <v>1109</v>
      </c>
      <c r="D1198" s="221">
        <f>D1143</f>
        <v>1686.0389293361886</v>
      </c>
      <c r="E1198" s="73">
        <f>I1163</f>
        <v>1656.6</v>
      </c>
      <c r="F1198" s="73">
        <f>ROUND((D1198/E1198)/60,2)</f>
        <v>0.02</v>
      </c>
      <c r="G1198" s="73">
        <f>E1167</f>
        <v>20</v>
      </c>
      <c r="H1198" s="78">
        <f>ROUND(F1198*G1198,2)</f>
        <v>0.4</v>
      </c>
    </row>
    <row r="1199" spans="3:9" x14ac:dyDescent="0.3">
      <c r="C1199" s="1009" t="str">
        <f>C1164</f>
        <v xml:space="preserve">Сестра медична </v>
      </c>
      <c r="D1199" s="1010"/>
      <c r="E1199" s="1010"/>
      <c r="F1199" s="1010"/>
      <c r="G1199" s="1010"/>
      <c r="H1199" s="1011"/>
    </row>
    <row r="1200" spans="3:9" x14ac:dyDescent="0.3">
      <c r="C1200" s="134" t="s">
        <v>951</v>
      </c>
      <c r="D1200" s="221">
        <f>D1195</f>
        <v>12188.608008565312</v>
      </c>
      <c r="E1200" s="73">
        <f>I1164</f>
        <v>1932.7</v>
      </c>
      <c r="F1200" s="73">
        <f>ROUND((D1200/E1200)/60,2)</f>
        <v>0.11</v>
      </c>
      <c r="G1200" s="73">
        <f>E1168</f>
        <v>20</v>
      </c>
      <c r="H1200" s="78">
        <f>ROUND(F1200*G1200,2)</f>
        <v>2.2000000000000002</v>
      </c>
    </row>
    <row r="1201" spans="1:14" x14ac:dyDescent="0.3">
      <c r="C1201" s="134" t="s">
        <v>952</v>
      </c>
      <c r="D1201" s="221">
        <f>D1196</f>
        <v>53.149721627408987</v>
      </c>
      <c r="E1201" s="73">
        <f>I1164</f>
        <v>1932.7</v>
      </c>
      <c r="F1201" s="73">
        <f>ROUND((D1201/E1201)/60,2)</f>
        <v>0</v>
      </c>
      <c r="G1201" s="73">
        <f>E1168</f>
        <v>20</v>
      </c>
      <c r="H1201" s="78">
        <f>ROUND(F1201*G1201,2)</f>
        <v>0</v>
      </c>
    </row>
    <row r="1202" spans="1:14" x14ac:dyDescent="0.3">
      <c r="C1202" s="134" t="s">
        <v>953</v>
      </c>
      <c r="D1202" s="221">
        <f>D1197</f>
        <v>374.98368308351178</v>
      </c>
      <c r="E1202" s="73">
        <f>I1164</f>
        <v>1932.7</v>
      </c>
      <c r="F1202" s="73">
        <f>ROUND((D1202/E1202)/60,2)</f>
        <v>0</v>
      </c>
      <c r="G1202" s="73">
        <f>E1168</f>
        <v>20</v>
      </c>
      <c r="H1202" s="78">
        <f>ROUND(F1202*G1202,2)</f>
        <v>0</v>
      </c>
    </row>
    <row r="1203" spans="1:14" x14ac:dyDescent="0.3">
      <c r="C1203" s="134" t="s">
        <v>1109</v>
      </c>
      <c r="D1203" s="221">
        <f>D1198</f>
        <v>1686.0389293361886</v>
      </c>
      <c r="E1203" s="73">
        <f>I1164</f>
        <v>1932.7</v>
      </c>
      <c r="F1203" s="73">
        <f>ROUND((D1203/E1203)/60,2)</f>
        <v>0.01</v>
      </c>
      <c r="G1203" s="73">
        <f>E1168</f>
        <v>20</v>
      </c>
      <c r="H1203" s="78">
        <f>ROUND(F1203*G1203,2)</f>
        <v>0.2</v>
      </c>
    </row>
    <row r="1204" spans="1:14" x14ac:dyDescent="0.3">
      <c r="C1204" s="1012" t="s">
        <v>957</v>
      </c>
      <c r="D1204" s="1013"/>
      <c r="E1204" s="1013"/>
      <c r="F1204" s="1013"/>
      <c r="G1204" s="1014"/>
      <c r="H1204" s="299">
        <f>SUM(H1195:H1203)</f>
        <v>5.2</v>
      </c>
    </row>
    <row r="1206" spans="1:14" ht="0.75" customHeight="1" x14ac:dyDescent="0.3"/>
    <row r="1207" spans="1:14" x14ac:dyDescent="0.3">
      <c r="C1207" s="1015" t="s">
        <v>959</v>
      </c>
      <c r="D1207" s="1015"/>
      <c r="E1207" s="1015"/>
      <c r="F1207" s="1015"/>
      <c r="G1207" s="1015"/>
      <c r="H1207" s="334">
        <f>F1160+F1172+F1186+F1191</f>
        <v>85.070000000000007</v>
      </c>
    </row>
    <row r="1208" spans="1:14" x14ac:dyDescent="0.3">
      <c r="C1208" s="323"/>
      <c r="D1208" s="33"/>
      <c r="E1208" s="33"/>
      <c r="F1208" s="33"/>
      <c r="G1208" s="33"/>
      <c r="H1208" s="335"/>
    </row>
    <row r="1209" spans="1:14" x14ac:dyDescent="0.3">
      <c r="C1209" s="1015" t="s">
        <v>960</v>
      </c>
      <c r="D1209" s="1015"/>
      <c r="E1209" s="1015"/>
      <c r="F1209" s="1015"/>
      <c r="G1209" s="1015"/>
      <c r="H1209" s="334">
        <f>ROUND(H1207,0)</f>
        <v>85</v>
      </c>
    </row>
    <row r="1211" spans="1:14" s="54" customFormat="1" ht="19.8" x14ac:dyDescent="0.4">
      <c r="A1211" s="53"/>
      <c r="B1211" s="1016" t="s">
        <v>958</v>
      </c>
      <c r="C1211" s="1016"/>
      <c r="D1211" s="1016"/>
      <c r="E1211" s="1016"/>
      <c r="F1211" s="1016"/>
      <c r="G1211" s="1016"/>
      <c r="H1211" s="1016"/>
      <c r="I1211" s="1016"/>
      <c r="J1211" s="1016"/>
      <c r="K1211" s="70"/>
      <c r="L1211" s="348"/>
      <c r="M1211" s="348"/>
      <c r="N1211" s="99"/>
    </row>
    <row r="1212" spans="1:14" s="54" customFormat="1" ht="19.8" x14ac:dyDescent="0.4">
      <c r="A1212" s="53"/>
      <c r="B1212" s="53"/>
      <c r="C1212" s="56"/>
      <c r="D1212" s="225"/>
      <c r="E1212" s="225"/>
      <c r="F1212" s="225"/>
      <c r="G1212" s="225"/>
      <c r="H1212" s="225"/>
      <c r="I1212" s="225"/>
      <c r="J1212" s="225"/>
      <c r="K1212" s="70"/>
      <c r="L1212" s="348"/>
      <c r="M1212" s="348"/>
      <c r="N1212" s="99"/>
    </row>
    <row r="1213" spans="1:14" s="54" customFormat="1" ht="19.8" x14ac:dyDescent="0.4">
      <c r="A1213" s="53"/>
      <c r="B1213" s="50" t="s">
        <v>586</v>
      </c>
      <c r="C1213" s="1017" t="s">
        <v>593</v>
      </c>
      <c r="D1213" s="1017"/>
      <c r="E1213" s="1017"/>
      <c r="F1213" s="296">
        <f>H1264</f>
        <v>67</v>
      </c>
      <c r="G1213" s="296" t="s">
        <v>971</v>
      </c>
      <c r="H1213" s="225"/>
      <c r="I1213" s="225"/>
      <c r="J1213" s="225"/>
      <c r="K1213" s="70"/>
      <c r="L1213" s="348"/>
      <c r="M1213" s="348"/>
      <c r="N1213" s="99"/>
    </row>
    <row r="1215" spans="1:14" x14ac:dyDescent="0.3">
      <c r="C1215" s="1018" t="s">
        <v>932</v>
      </c>
      <c r="D1215" s="1018"/>
      <c r="E1215" s="297"/>
      <c r="F1215" s="298">
        <f>F1222+F1225+F1223</f>
        <v>30.009999999999998</v>
      </c>
      <c r="G1215" s="227" t="s">
        <v>971</v>
      </c>
    </row>
    <row r="1217" spans="3:10" x14ac:dyDescent="0.3">
      <c r="C1217" s="318" t="s">
        <v>929</v>
      </c>
      <c r="D1217" s="14" t="s">
        <v>928</v>
      </c>
      <c r="E1217" s="14" t="s">
        <v>514</v>
      </c>
      <c r="F1217" s="14" t="s">
        <v>515</v>
      </c>
      <c r="G1217" s="14" t="s">
        <v>962</v>
      </c>
      <c r="H1217" s="14" t="s">
        <v>926</v>
      </c>
      <c r="I1217" s="14" t="s">
        <v>516</v>
      </c>
      <c r="J1217" s="14" t="s">
        <v>961</v>
      </c>
    </row>
    <row r="1218" spans="3:10" x14ac:dyDescent="0.3">
      <c r="C1218" s="134" t="str">
        <f>C1163</f>
        <v>Лікар з ультразвукової діагностики</v>
      </c>
      <c r="D1218" s="73">
        <f>D1163</f>
        <v>6660.23</v>
      </c>
      <c r="E1218" s="78">
        <f>D1218*12</f>
        <v>79922.759999999995</v>
      </c>
      <c r="F1218" s="73">
        <f>F1163</f>
        <v>6054.75</v>
      </c>
      <c r="G1218" s="78">
        <f>G1163</f>
        <v>3027.375</v>
      </c>
      <c r="H1218" s="78">
        <f>E1218+F1218+G1218</f>
        <v>89004.884999999995</v>
      </c>
      <c r="I1218" s="73">
        <v>1656.6</v>
      </c>
      <c r="J1218" s="78">
        <f>ROUND((H1218/I1218)/60,2)</f>
        <v>0.9</v>
      </c>
    </row>
    <row r="1219" spans="3:10" x14ac:dyDescent="0.3">
      <c r="C1219" s="134" t="str">
        <f>C1164</f>
        <v xml:space="preserve">Сестра медична </v>
      </c>
      <c r="D1219" s="73">
        <f>D1164</f>
        <v>6506.5</v>
      </c>
      <c r="E1219" s="78">
        <f>D1219*12</f>
        <v>78078</v>
      </c>
      <c r="F1219" s="73">
        <f>F1164</f>
        <v>5005</v>
      </c>
      <c r="G1219" s="73">
        <f>G1164</f>
        <v>2502.5</v>
      </c>
      <c r="H1219" s="78">
        <f>E1219+F1219+G1219</f>
        <v>85585.5</v>
      </c>
      <c r="I1219" s="73">
        <v>1932.7</v>
      </c>
      <c r="J1219" s="78">
        <f>ROUND((H1219/I1219)/60,2)</f>
        <v>0.74</v>
      </c>
    </row>
    <row r="1221" spans="3:10" ht="27.6" x14ac:dyDescent="0.3">
      <c r="C1221" s="318" t="s">
        <v>929</v>
      </c>
      <c r="D1221" s="14" t="s">
        <v>961</v>
      </c>
      <c r="E1221" s="14" t="s">
        <v>930</v>
      </c>
      <c r="F1221" s="14" t="s">
        <v>931</v>
      </c>
    </row>
    <row r="1222" spans="3:10" x14ac:dyDescent="0.3">
      <c r="C1222" s="320" t="str">
        <f>C1218</f>
        <v>Лікар з ультразвукової діагностики</v>
      </c>
      <c r="D1222" s="78">
        <f>J1218</f>
        <v>0.9</v>
      </c>
      <c r="E1222" s="73">
        <v>15</v>
      </c>
      <c r="F1222" s="299">
        <f>ROUND(D1222*E1222,2)</f>
        <v>13.5</v>
      </c>
    </row>
    <row r="1223" spans="3:10" x14ac:dyDescent="0.3">
      <c r="C1223" s="320" t="str">
        <f>C1219</f>
        <v xml:space="preserve">Сестра медична </v>
      </c>
      <c r="D1223" s="78">
        <f>J1219</f>
        <v>0.74</v>
      </c>
      <c r="E1223" s="73">
        <v>15</v>
      </c>
      <c r="F1223" s="299">
        <f>ROUND(D1223*E1223,2)</f>
        <v>11.1</v>
      </c>
    </row>
    <row r="1224" spans="3:10" x14ac:dyDescent="0.3">
      <c r="D1224" s="19"/>
    </row>
    <row r="1225" spans="3:10" x14ac:dyDescent="0.3">
      <c r="C1225" s="134" t="s">
        <v>933</v>
      </c>
      <c r="D1225" s="78">
        <f>F1222+F1223</f>
        <v>24.6</v>
      </c>
      <c r="E1225" s="300">
        <v>0.22</v>
      </c>
      <c r="F1225" s="301">
        <f>ROUND(D1225*E1225,2)</f>
        <v>5.41</v>
      </c>
    </row>
    <row r="1227" spans="3:10" x14ac:dyDescent="0.3">
      <c r="C1227" s="321" t="s">
        <v>946</v>
      </c>
      <c r="D1227" s="227"/>
      <c r="E1227" s="227"/>
      <c r="F1227" s="227">
        <f>G1239</f>
        <v>12.45</v>
      </c>
      <c r="G1227" s="227" t="s">
        <v>971</v>
      </c>
    </row>
    <row r="1229" spans="3:10" x14ac:dyDescent="0.3">
      <c r="C1229" s="27" t="str">
        <f t="shared" ref="C1229:F1238" si="44">C1174</f>
        <v>Рукавиці не стерильні</v>
      </c>
      <c r="D1229" s="303" t="str">
        <f t="shared" si="44"/>
        <v>шт</v>
      </c>
      <c r="E1229" s="303">
        <f t="shared" si="44"/>
        <v>0.1</v>
      </c>
      <c r="F1229" s="303">
        <f t="shared" si="44"/>
        <v>2.8</v>
      </c>
      <c r="G1229" s="228">
        <f>ROUND(F1229*E1229,2)</f>
        <v>0.28000000000000003</v>
      </c>
    </row>
    <row r="1230" spans="3:10" x14ac:dyDescent="0.3">
      <c r="C1230" s="27" t="str">
        <f t="shared" si="44"/>
        <v xml:space="preserve">Септил 70% 100мл </v>
      </c>
      <c r="D1230" s="303" t="str">
        <f t="shared" si="44"/>
        <v>шт</v>
      </c>
      <c r="E1230" s="303">
        <f t="shared" si="44"/>
        <v>0.01</v>
      </c>
      <c r="F1230" s="303">
        <f t="shared" si="44"/>
        <v>24.6</v>
      </c>
      <c r="G1230" s="228">
        <f t="shared" ref="G1230:G1235" si="45">ROUND(F1230*E1230,2)</f>
        <v>0.25</v>
      </c>
    </row>
    <row r="1231" spans="3:10" x14ac:dyDescent="0.3">
      <c r="C1231" s="27" t="str">
        <f t="shared" si="44"/>
        <v>Маска на резинці, стерильна.</v>
      </c>
      <c r="D1231" s="303" t="str">
        <f t="shared" si="44"/>
        <v>шт</v>
      </c>
      <c r="E1231" s="303">
        <f t="shared" si="44"/>
        <v>0.1</v>
      </c>
      <c r="F1231" s="303">
        <f t="shared" si="44"/>
        <v>2</v>
      </c>
      <c r="G1231" s="228">
        <f t="shared" si="45"/>
        <v>0.2</v>
      </c>
    </row>
    <row r="1232" spans="3:10" x14ac:dyDescent="0.3">
      <c r="C1232" s="27" t="str">
        <f t="shared" si="44"/>
        <v>Мікрасепт</v>
      </c>
      <c r="D1232" s="303" t="str">
        <f t="shared" si="44"/>
        <v>мл</v>
      </c>
      <c r="E1232" s="303">
        <f t="shared" si="44"/>
        <v>1</v>
      </c>
      <c r="F1232" s="303">
        <f t="shared" si="44"/>
        <v>0.3</v>
      </c>
      <c r="G1232" s="28">
        <f>ROUND(E1232*F1232,2)</f>
        <v>0.3</v>
      </c>
    </row>
    <row r="1233" spans="3:9" x14ac:dyDescent="0.3">
      <c r="C1233" s="27" t="str">
        <f t="shared" si="44"/>
        <v>Папір офісний А4</v>
      </c>
      <c r="D1233" s="303" t="str">
        <f t="shared" si="44"/>
        <v>шт</v>
      </c>
      <c r="E1233" s="303">
        <f t="shared" si="44"/>
        <v>2</v>
      </c>
      <c r="F1233" s="303">
        <f t="shared" si="44"/>
        <v>0.3</v>
      </c>
      <c r="G1233" s="228">
        <f t="shared" si="45"/>
        <v>0.6</v>
      </c>
    </row>
    <row r="1234" spans="3:9" x14ac:dyDescent="0.3">
      <c r="C1234" s="27" t="str">
        <f t="shared" si="44"/>
        <v xml:space="preserve">Гель для УЗД , 1000 гр. </v>
      </c>
      <c r="D1234" s="303" t="str">
        <f t="shared" si="44"/>
        <v>пляшка</v>
      </c>
      <c r="E1234" s="303">
        <f t="shared" si="44"/>
        <v>0.1</v>
      </c>
      <c r="F1234" s="303">
        <f t="shared" si="44"/>
        <v>48</v>
      </c>
      <c r="G1234" s="228">
        <f t="shared" si="45"/>
        <v>4.8</v>
      </c>
    </row>
    <row r="1235" spans="3:9" x14ac:dyDescent="0.3">
      <c r="C1235" s="27" t="str">
        <f t="shared" si="44"/>
        <v>Паперові рушники "Fesko Professional"</v>
      </c>
      <c r="D1235" s="303" t="str">
        <f t="shared" si="44"/>
        <v>рул</v>
      </c>
      <c r="E1235" s="303">
        <f t="shared" si="44"/>
        <v>0.3</v>
      </c>
      <c r="F1235" s="303">
        <f t="shared" si="44"/>
        <v>17</v>
      </c>
      <c r="G1235" s="228">
        <f t="shared" si="45"/>
        <v>5.0999999999999996</v>
      </c>
    </row>
    <row r="1236" spans="3:9" x14ac:dyDescent="0.3">
      <c r="C1236" s="27" t="str">
        <f t="shared" si="44"/>
        <v>Марля медична</v>
      </c>
      <c r="D1236" s="303" t="str">
        <f t="shared" si="44"/>
        <v>метр</v>
      </c>
      <c r="E1236" s="303">
        <f t="shared" si="44"/>
        <v>0.1</v>
      </c>
      <c r="F1236" s="303">
        <f t="shared" si="44"/>
        <v>6</v>
      </c>
      <c r="G1236" s="28">
        <f>ROUND(E1236*F1236,2)</f>
        <v>0.6</v>
      </c>
    </row>
    <row r="1237" spans="3:9" x14ac:dyDescent="0.3">
      <c r="C1237" s="27" t="str">
        <f t="shared" si="44"/>
        <v>Вата</v>
      </c>
      <c r="D1237" s="303" t="str">
        <f t="shared" si="44"/>
        <v>г</v>
      </c>
      <c r="E1237" s="303">
        <f t="shared" si="44"/>
        <v>1</v>
      </c>
      <c r="F1237" s="303">
        <f t="shared" si="44"/>
        <v>7.0000000000000007E-2</v>
      </c>
      <c r="G1237" s="28">
        <f>ROUND(E1237*F1237,2)</f>
        <v>7.0000000000000007E-2</v>
      </c>
    </row>
    <row r="1238" spans="3:9" x14ac:dyDescent="0.3">
      <c r="C1238" s="27" t="str">
        <f t="shared" si="44"/>
        <v>Деззасоби</v>
      </c>
      <c r="D1238" s="303" t="str">
        <f t="shared" si="44"/>
        <v>г</v>
      </c>
      <c r="E1238" s="303">
        <f t="shared" si="44"/>
        <v>0.5</v>
      </c>
      <c r="F1238" s="303">
        <f t="shared" si="44"/>
        <v>0.5</v>
      </c>
      <c r="G1238" s="28">
        <f>ROUND(E1238*F1238,2)</f>
        <v>0.25</v>
      </c>
    </row>
    <row r="1239" spans="3:9" x14ac:dyDescent="0.3">
      <c r="C1239" s="1019" t="s">
        <v>945</v>
      </c>
      <c r="D1239" s="1019"/>
      <c r="E1239" s="1019"/>
      <c r="F1239" s="1019"/>
      <c r="G1239" s="332">
        <f>SUM(G1229:G1238)</f>
        <v>12.45</v>
      </c>
    </row>
    <row r="1241" spans="3:9" x14ac:dyDescent="0.3">
      <c r="C1241" s="321" t="s">
        <v>968</v>
      </c>
      <c r="D1241" s="227"/>
      <c r="E1241" s="227"/>
      <c r="F1241" s="298">
        <f>H1244</f>
        <v>20.55</v>
      </c>
      <c r="G1241" s="227" t="s">
        <v>971</v>
      </c>
    </row>
    <row r="1242" spans="3:9" x14ac:dyDescent="0.3">
      <c r="C1242" s="322"/>
      <c r="D1242" s="36"/>
      <c r="E1242" s="36"/>
      <c r="F1242" s="302"/>
      <c r="G1242" s="36"/>
    </row>
    <row r="1243" spans="3:9" ht="27.6" x14ac:dyDescent="0.3">
      <c r="C1243" s="46" t="s">
        <v>513</v>
      </c>
      <c r="D1243" s="14" t="s">
        <v>1108</v>
      </c>
      <c r="E1243" s="14" t="s">
        <v>516</v>
      </c>
      <c r="F1243" s="14" t="s">
        <v>970</v>
      </c>
      <c r="G1243" s="14" t="s">
        <v>930</v>
      </c>
      <c r="H1243" s="14" t="s">
        <v>961</v>
      </c>
    </row>
    <row r="1244" spans="3:9" x14ac:dyDescent="0.3">
      <c r="C1244" s="27" t="str">
        <f>C1189</f>
        <v>Ультразвукова система AFFINITI 30</v>
      </c>
      <c r="D1244" s="73">
        <f>D1189</f>
        <v>136236.38</v>
      </c>
      <c r="E1244" s="73">
        <f>I1218</f>
        <v>1656.6</v>
      </c>
      <c r="F1244" s="73">
        <f>ROUND((D1244/E1244)/60,2)</f>
        <v>1.37</v>
      </c>
      <c r="G1244" s="73">
        <f>E1222</f>
        <v>15</v>
      </c>
      <c r="H1244" s="78">
        <f>ROUND(F1244*G1244,2)</f>
        <v>20.55</v>
      </c>
      <c r="I1244" s="333"/>
    </row>
    <row r="1245" spans="3:9" ht="8.25" customHeight="1" x14ac:dyDescent="0.3"/>
    <row r="1246" spans="3:9" x14ac:dyDescent="0.3">
      <c r="C1246" s="321" t="s">
        <v>948</v>
      </c>
      <c r="D1246" s="227"/>
      <c r="E1246" s="227"/>
      <c r="F1246" s="298">
        <f>H1259</f>
        <v>3.9</v>
      </c>
      <c r="G1246" s="227" t="s">
        <v>971</v>
      </c>
    </row>
    <row r="1247" spans="3:9" ht="8.25" customHeight="1" x14ac:dyDescent="0.3">
      <c r="C1247" s="322"/>
      <c r="D1247" s="36"/>
      <c r="E1247" s="36"/>
      <c r="F1247" s="302"/>
    </row>
    <row r="1248" spans="3:9" ht="27.6" x14ac:dyDescent="0.3">
      <c r="C1248" s="46" t="s">
        <v>948</v>
      </c>
      <c r="D1248" s="14" t="s">
        <v>1110</v>
      </c>
      <c r="E1248" s="14" t="s">
        <v>516</v>
      </c>
      <c r="F1248" s="14" t="s">
        <v>954</v>
      </c>
      <c r="G1248" s="14" t="s">
        <v>930</v>
      </c>
      <c r="H1248" s="14" t="s">
        <v>1111</v>
      </c>
    </row>
    <row r="1249" spans="3:8" x14ac:dyDescent="0.3">
      <c r="C1249" s="1009" t="str">
        <f>C1218</f>
        <v>Лікар з ультразвукової діагностики</v>
      </c>
      <c r="D1249" s="1010"/>
      <c r="E1249" s="1010"/>
      <c r="F1249" s="1010"/>
      <c r="G1249" s="1010"/>
      <c r="H1249" s="1011"/>
    </row>
    <row r="1250" spans="3:8" x14ac:dyDescent="0.3">
      <c r="C1250" s="134" t="s">
        <v>951</v>
      </c>
      <c r="D1250" s="221">
        <f>D1195</f>
        <v>12188.608008565312</v>
      </c>
      <c r="E1250" s="73">
        <f>I1218</f>
        <v>1656.6</v>
      </c>
      <c r="F1250" s="73">
        <f>ROUND((D1250/E1250)/60,2)</f>
        <v>0.12</v>
      </c>
      <c r="G1250" s="73">
        <f>E1222</f>
        <v>15</v>
      </c>
      <c r="H1250" s="78">
        <f>ROUND(F1250*G1250,2)</f>
        <v>1.8</v>
      </c>
    </row>
    <row r="1251" spans="3:8" x14ac:dyDescent="0.3">
      <c r="C1251" s="134" t="s">
        <v>952</v>
      </c>
      <c r="D1251" s="221">
        <f>D1196</f>
        <v>53.149721627408987</v>
      </c>
      <c r="E1251" s="73">
        <f>I1218</f>
        <v>1656.6</v>
      </c>
      <c r="F1251" s="73">
        <f>ROUND((D1251/E1251)/60,2)</f>
        <v>0</v>
      </c>
      <c r="G1251" s="73">
        <f>E1222</f>
        <v>15</v>
      </c>
      <c r="H1251" s="78">
        <f>ROUND(F1251*G1251,2)</f>
        <v>0</v>
      </c>
    </row>
    <row r="1252" spans="3:8" x14ac:dyDescent="0.3">
      <c r="C1252" s="134" t="s">
        <v>953</v>
      </c>
      <c r="D1252" s="221">
        <f>D1197</f>
        <v>374.98368308351178</v>
      </c>
      <c r="E1252" s="73">
        <f>I1218</f>
        <v>1656.6</v>
      </c>
      <c r="F1252" s="73">
        <f>ROUND((D1252/E1252)/60,2)</f>
        <v>0</v>
      </c>
      <c r="G1252" s="73">
        <f>E1222</f>
        <v>15</v>
      </c>
      <c r="H1252" s="78">
        <f>ROUND(F1252*G1252,2)</f>
        <v>0</v>
      </c>
    </row>
    <row r="1253" spans="3:8" x14ac:dyDescent="0.3">
      <c r="C1253" s="134" t="s">
        <v>1109</v>
      </c>
      <c r="D1253" s="221">
        <f>D1198</f>
        <v>1686.0389293361886</v>
      </c>
      <c r="E1253" s="73">
        <f>I1218</f>
        <v>1656.6</v>
      </c>
      <c r="F1253" s="73">
        <f>ROUND((D1253/E1253)/60,2)</f>
        <v>0.02</v>
      </c>
      <c r="G1253" s="73">
        <f>E1222</f>
        <v>15</v>
      </c>
      <c r="H1253" s="78">
        <f>ROUND(F1253*G1253,2)</f>
        <v>0.3</v>
      </c>
    </row>
    <row r="1254" spans="3:8" x14ac:dyDescent="0.3">
      <c r="C1254" s="1009" t="str">
        <f>C1219</f>
        <v xml:space="preserve">Сестра медична </v>
      </c>
      <c r="D1254" s="1010"/>
      <c r="E1254" s="1010"/>
      <c r="F1254" s="1010"/>
      <c r="G1254" s="1010"/>
      <c r="H1254" s="1011"/>
    </row>
    <row r="1255" spans="3:8" x14ac:dyDescent="0.3">
      <c r="C1255" s="134" t="s">
        <v>951</v>
      </c>
      <c r="D1255" s="221">
        <f>D1250</f>
        <v>12188.608008565312</v>
      </c>
      <c r="E1255" s="73">
        <f>I1219</f>
        <v>1932.7</v>
      </c>
      <c r="F1255" s="73">
        <f>ROUND((D1255/E1255)/60,2)</f>
        <v>0.11</v>
      </c>
      <c r="G1255" s="73">
        <f>E1223</f>
        <v>15</v>
      </c>
      <c r="H1255" s="78">
        <f>ROUND(F1255*G1255,2)</f>
        <v>1.65</v>
      </c>
    </row>
    <row r="1256" spans="3:8" x14ac:dyDescent="0.3">
      <c r="C1256" s="134" t="s">
        <v>952</v>
      </c>
      <c r="D1256" s="221">
        <f>D1251</f>
        <v>53.149721627408987</v>
      </c>
      <c r="E1256" s="73">
        <f>I1219</f>
        <v>1932.7</v>
      </c>
      <c r="F1256" s="73">
        <f>ROUND((D1256/E1256)/60,2)</f>
        <v>0</v>
      </c>
      <c r="G1256" s="73">
        <f>E1223</f>
        <v>15</v>
      </c>
      <c r="H1256" s="78">
        <f>ROUND(F1256*G1256,2)</f>
        <v>0</v>
      </c>
    </row>
    <row r="1257" spans="3:8" x14ac:dyDescent="0.3">
      <c r="C1257" s="134" t="s">
        <v>953</v>
      </c>
      <c r="D1257" s="221">
        <f>D1252</f>
        <v>374.98368308351178</v>
      </c>
      <c r="E1257" s="73">
        <f>I1219</f>
        <v>1932.7</v>
      </c>
      <c r="F1257" s="73">
        <f>ROUND((D1257/E1257)/60,2)</f>
        <v>0</v>
      </c>
      <c r="G1257" s="73">
        <f>E1223</f>
        <v>15</v>
      </c>
      <c r="H1257" s="78">
        <f>ROUND(F1257*G1257,2)</f>
        <v>0</v>
      </c>
    </row>
    <row r="1258" spans="3:8" x14ac:dyDescent="0.3">
      <c r="C1258" s="134" t="s">
        <v>1109</v>
      </c>
      <c r="D1258" s="221">
        <f>D1253</f>
        <v>1686.0389293361886</v>
      </c>
      <c r="E1258" s="73">
        <f>I1219</f>
        <v>1932.7</v>
      </c>
      <c r="F1258" s="73">
        <f>ROUND((D1258/E1258)/60,2)</f>
        <v>0.01</v>
      </c>
      <c r="G1258" s="73">
        <f>E1223</f>
        <v>15</v>
      </c>
      <c r="H1258" s="78">
        <f>ROUND(F1258*G1258,2)</f>
        <v>0.15</v>
      </c>
    </row>
    <row r="1259" spans="3:8" x14ac:dyDescent="0.3">
      <c r="C1259" s="1012" t="s">
        <v>957</v>
      </c>
      <c r="D1259" s="1013"/>
      <c r="E1259" s="1013"/>
      <c r="F1259" s="1013"/>
      <c r="G1259" s="1014"/>
      <c r="H1259" s="299">
        <f>SUM(H1250:H1258)</f>
        <v>3.9</v>
      </c>
    </row>
    <row r="1261" spans="3:8" ht="2.25" customHeight="1" x14ac:dyDescent="0.3"/>
    <row r="1262" spans="3:8" x14ac:dyDescent="0.3">
      <c r="C1262" s="1015" t="s">
        <v>959</v>
      </c>
      <c r="D1262" s="1015"/>
      <c r="E1262" s="1015"/>
      <c r="F1262" s="1015"/>
      <c r="G1262" s="1015"/>
      <c r="H1262" s="334">
        <f>F1215+F1227+F1241+F1246</f>
        <v>66.91</v>
      </c>
    </row>
    <row r="1263" spans="3:8" x14ac:dyDescent="0.3">
      <c r="C1263" s="323"/>
      <c r="D1263" s="33"/>
      <c r="E1263" s="33"/>
      <c r="F1263" s="33"/>
      <c r="G1263" s="33"/>
      <c r="H1263" s="335"/>
    </row>
    <row r="1264" spans="3:8" x14ac:dyDescent="0.3">
      <c r="C1264" s="1015" t="s">
        <v>960</v>
      </c>
      <c r="D1264" s="1015"/>
      <c r="E1264" s="1015"/>
      <c r="F1264" s="1015"/>
      <c r="G1264" s="1015"/>
      <c r="H1264" s="334">
        <f>ROUND(H1262,0)</f>
        <v>67</v>
      </c>
    </row>
    <row r="1266" spans="1:14" s="54" customFormat="1" ht="19.8" x14ac:dyDescent="0.4">
      <c r="A1266" s="53"/>
      <c r="B1266" s="1016" t="s">
        <v>958</v>
      </c>
      <c r="C1266" s="1016"/>
      <c r="D1266" s="1016"/>
      <c r="E1266" s="1016"/>
      <c r="F1266" s="1016"/>
      <c r="G1266" s="1016"/>
      <c r="H1266" s="1016"/>
      <c r="I1266" s="1016"/>
      <c r="J1266" s="1016"/>
      <c r="K1266" s="70"/>
      <c r="L1266" s="348"/>
      <c r="M1266" s="348"/>
      <c r="N1266" s="99"/>
    </row>
    <row r="1267" spans="1:14" s="54" customFormat="1" ht="19.8" x14ac:dyDescent="0.4">
      <c r="A1267" s="53"/>
      <c r="B1267" s="53"/>
      <c r="C1267" s="56"/>
      <c r="D1267" s="225"/>
      <c r="E1267" s="225"/>
      <c r="F1267" s="225"/>
      <c r="G1267" s="225"/>
      <c r="H1267" s="225"/>
      <c r="I1267" s="225"/>
      <c r="J1267" s="225"/>
      <c r="K1267" s="70"/>
      <c r="L1267" s="348"/>
      <c r="M1267" s="348"/>
      <c r="N1267" s="99"/>
    </row>
    <row r="1268" spans="1:14" s="54" customFormat="1" ht="36.75" customHeight="1" x14ac:dyDescent="0.4">
      <c r="A1268" s="53"/>
      <c r="B1268" s="50" t="s">
        <v>588</v>
      </c>
      <c r="C1268" s="1017" t="s">
        <v>595</v>
      </c>
      <c r="D1268" s="1017"/>
      <c r="E1268" s="1017"/>
      <c r="F1268" s="296">
        <f>H1319</f>
        <v>67</v>
      </c>
      <c r="G1268" s="296" t="s">
        <v>971</v>
      </c>
      <c r="H1268" s="225"/>
      <c r="I1268" s="225"/>
      <c r="J1268" s="225"/>
      <c r="K1268" s="70"/>
      <c r="L1268" s="348"/>
      <c r="M1268" s="348"/>
      <c r="N1268" s="99"/>
    </row>
    <row r="1270" spans="1:14" x14ac:dyDescent="0.3">
      <c r="C1270" s="1018" t="s">
        <v>932</v>
      </c>
      <c r="D1270" s="1018"/>
      <c r="E1270" s="297"/>
      <c r="F1270" s="298">
        <f>F1277+F1280+F1278</f>
        <v>30.009999999999998</v>
      </c>
      <c r="G1270" s="227" t="s">
        <v>971</v>
      </c>
    </row>
    <row r="1272" spans="1:14" x14ac:dyDescent="0.3">
      <c r="C1272" s="318" t="s">
        <v>929</v>
      </c>
      <c r="D1272" s="14" t="s">
        <v>928</v>
      </c>
      <c r="E1272" s="14" t="s">
        <v>514</v>
      </c>
      <c r="F1272" s="14" t="s">
        <v>515</v>
      </c>
      <c r="G1272" s="14" t="s">
        <v>962</v>
      </c>
      <c r="H1272" s="14" t="s">
        <v>926</v>
      </c>
      <c r="I1272" s="14" t="s">
        <v>516</v>
      </c>
      <c r="J1272" s="14" t="s">
        <v>961</v>
      </c>
    </row>
    <row r="1273" spans="1:14" x14ac:dyDescent="0.3">
      <c r="C1273" s="134" t="str">
        <f>C1218</f>
        <v>Лікар з ультразвукової діагностики</v>
      </c>
      <c r="D1273" s="73">
        <f>D1218</f>
        <v>6660.23</v>
      </c>
      <c r="E1273" s="78">
        <f>D1273*12</f>
        <v>79922.759999999995</v>
      </c>
      <c r="F1273" s="73">
        <f>F1218</f>
        <v>6054.75</v>
      </c>
      <c r="G1273" s="78">
        <f>G1218</f>
        <v>3027.375</v>
      </c>
      <c r="H1273" s="78">
        <f>E1273+F1273+G1273</f>
        <v>89004.884999999995</v>
      </c>
      <c r="I1273" s="73">
        <v>1656.6</v>
      </c>
      <c r="J1273" s="78">
        <f>ROUND((H1273/I1273)/60,2)</f>
        <v>0.9</v>
      </c>
    </row>
    <row r="1274" spans="1:14" x14ac:dyDescent="0.3">
      <c r="C1274" s="134" t="str">
        <f>C1219</f>
        <v xml:space="preserve">Сестра медична </v>
      </c>
      <c r="D1274" s="73">
        <f>D1219</f>
        <v>6506.5</v>
      </c>
      <c r="E1274" s="78">
        <f>D1274*12</f>
        <v>78078</v>
      </c>
      <c r="F1274" s="73">
        <f>F1219</f>
        <v>5005</v>
      </c>
      <c r="G1274" s="73">
        <f>G1219</f>
        <v>2502.5</v>
      </c>
      <c r="H1274" s="78">
        <f>E1274+F1274+G1274</f>
        <v>85585.5</v>
      </c>
      <c r="I1274" s="73">
        <v>1932.7</v>
      </c>
      <c r="J1274" s="78">
        <f>ROUND((H1274/I1274)/60,2)</f>
        <v>0.74</v>
      </c>
    </row>
    <row r="1276" spans="1:14" ht="27.6" x14ac:dyDescent="0.3">
      <c r="C1276" s="318" t="s">
        <v>929</v>
      </c>
      <c r="D1276" s="14" t="s">
        <v>961</v>
      </c>
      <c r="E1276" s="14" t="s">
        <v>930</v>
      </c>
      <c r="F1276" s="14" t="s">
        <v>931</v>
      </c>
    </row>
    <row r="1277" spans="1:14" x14ac:dyDescent="0.3">
      <c r="C1277" s="320" t="str">
        <f>C1273</f>
        <v>Лікар з ультразвукової діагностики</v>
      </c>
      <c r="D1277" s="78">
        <f>J1273</f>
        <v>0.9</v>
      </c>
      <c r="E1277" s="73">
        <v>15</v>
      </c>
      <c r="F1277" s="299">
        <f>ROUND(D1277*E1277,2)</f>
        <v>13.5</v>
      </c>
    </row>
    <row r="1278" spans="1:14" x14ac:dyDescent="0.3">
      <c r="C1278" s="320" t="str">
        <f>C1274</f>
        <v xml:space="preserve">Сестра медична </v>
      </c>
      <c r="D1278" s="78">
        <f>J1274</f>
        <v>0.74</v>
      </c>
      <c r="E1278" s="73">
        <v>15</v>
      </c>
      <c r="F1278" s="299">
        <f>ROUND(D1278*E1278,2)</f>
        <v>11.1</v>
      </c>
    </row>
    <row r="1279" spans="1:14" x14ac:dyDescent="0.3">
      <c r="D1279" s="19"/>
    </row>
    <row r="1280" spans="1:14" x14ac:dyDescent="0.3">
      <c r="C1280" s="134" t="s">
        <v>933</v>
      </c>
      <c r="D1280" s="78">
        <f>F1277+F1278</f>
        <v>24.6</v>
      </c>
      <c r="E1280" s="300">
        <v>0.22</v>
      </c>
      <c r="F1280" s="301">
        <f>ROUND(D1280*E1280,2)</f>
        <v>5.41</v>
      </c>
    </row>
    <row r="1282" spans="3:7" x14ac:dyDescent="0.3">
      <c r="C1282" s="321" t="s">
        <v>946</v>
      </c>
      <c r="D1282" s="227"/>
      <c r="E1282" s="227"/>
      <c r="F1282" s="227">
        <f>G1294</f>
        <v>12.45</v>
      </c>
      <c r="G1282" s="227" t="s">
        <v>971</v>
      </c>
    </row>
    <row r="1283" spans="3:7" ht="8.25" customHeight="1" x14ac:dyDescent="0.3"/>
    <row r="1284" spans="3:7" x14ac:dyDescent="0.3">
      <c r="C1284" s="27" t="str">
        <f t="shared" ref="C1284:F1293" si="46">C1229</f>
        <v>Рукавиці не стерильні</v>
      </c>
      <c r="D1284" s="303" t="str">
        <f t="shared" si="46"/>
        <v>шт</v>
      </c>
      <c r="E1284" s="303">
        <f t="shared" si="46"/>
        <v>0.1</v>
      </c>
      <c r="F1284" s="303">
        <f t="shared" si="46"/>
        <v>2.8</v>
      </c>
      <c r="G1284" s="228">
        <f>ROUND(F1284*E1284,2)</f>
        <v>0.28000000000000003</v>
      </c>
    </row>
    <row r="1285" spans="3:7" x14ac:dyDescent="0.3">
      <c r="C1285" s="27" t="str">
        <f t="shared" si="46"/>
        <v xml:space="preserve">Септил 70% 100мл </v>
      </c>
      <c r="D1285" s="303" t="str">
        <f t="shared" si="46"/>
        <v>шт</v>
      </c>
      <c r="E1285" s="303">
        <f t="shared" si="46"/>
        <v>0.01</v>
      </c>
      <c r="F1285" s="303">
        <f t="shared" si="46"/>
        <v>24.6</v>
      </c>
      <c r="G1285" s="228">
        <f t="shared" ref="G1285:G1290" si="47">ROUND(F1285*E1285,2)</f>
        <v>0.25</v>
      </c>
    </row>
    <row r="1286" spans="3:7" x14ac:dyDescent="0.3">
      <c r="C1286" s="27" t="str">
        <f t="shared" si="46"/>
        <v>Маска на резинці, стерильна.</v>
      </c>
      <c r="D1286" s="303" t="str">
        <f t="shared" si="46"/>
        <v>шт</v>
      </c>
      <c r="E1286" s="303">
        <f t="shared" si="46"/>
        <v>0.1</v>
      </c>
      <c r="F1286" s="303">
        <f t="shared" si="46"/>
        <v>2</v>
      </c>
      <c r="G1286" s="228">
        <f t="shared" si="47"/>
        <v>0.2</v>
      </c>
    </row>
    <row r="1287" spans="3:7" x14ac:dyDescent="0.3">
      <c r="C1287" s="27" t="str">
        <f t="shared" si="46"/>
        <v>Мікрасепт</v>
      </c>
      <c r="D1287" s="303" t="str">
        <f t="shared" si="46"/>
        <v>мл</v>
      </c>
      <c r="E1287" s="303">
        <f t="shared" si="46"/>
        <v>1</v>
      </c>
      <c r="F1287" s="303">
        <f t="shared" si="46"/>
        <v>0.3</v>
      </c>
      <c r="G1287" s="28">
        <f>ROUND(E1287*F1287,2)</f>
        <v>0.3</v>
      </c>
    </row>
    <row r="1288" spans="3:7" x14ac:dyDescent="0.3">
      <c r="C1288" s="27" t="str">
        <f t="shared" si="46"/>
        <v>Папір офісний А4</v>
      </c>
      <c r="D1288" s="303" t="str">
        <f t="shared" si="46"/>
        <v>шт</v>
      </c>
      <c r="E1288" s="303">
        <f t="shared" si="46"/>
        <v>2</v>
      </c>
      <c r="F1288" s="303">
        <f t="shared" si="46"/>
        <v>0.3</v>
      </c>
      <c r="G1288" s="228">
        <f t="shared" si="47"/>
        <v>0.6</v>
      </c>
    </row>
    <row r="1289" spans="3:7" x14ac:dyDescent="0.3">
      <c r="C1289" s="27" t="str">
        <f t="shared" si="46"/>
        <v xml:space="preserve">Гель для УЗД , 1000 гр. </v>
      </c>
      <c r="D1289" s="303" t="str">
        <f t="shared" si="46"/>
        <v>пляшка</v>
      </c>
      <c r="E1289" s="303">
        <f t="shared" si="46"/>
        <v>0.1</v>
      </c>
      <c r="F1289" s="303">
        <f t="shared" si="46"/>
        <v>48</v>
      </c>
      <c r="G1289" s="228">
        <f t="shared" si="47"/>
        <v>4.8</v>
      </c>
    </row>
    <row r="1290" spans="3:7" x14ac:dyDescent="0.3">
      <c r="C1290" s="27" t="str">
        <f t="shared" si="46"/>
        <v>Паперові рушники "Fesko Professional"</v>
      </c>
      <c r="D1290" s="303" t="str">
        <f t="shared" si="46"/>
        <v>рул</v>
      </c>
      <c r="E1290" s="303">
        <f t="shared" si="46"/>
        <v>0.3</v>
      </c>
      <c r="F1290" s="303">
        <f t="shared" si="46"/>
        <v>17</v>
      </c>
      <c r="G1290" s="228">
        <f t="shared" si="47"/>
        <v>5.0999999999999996</v>
      </c>
    </row>
    <row r="1291" spans="3:7" x14ac:dyDescent="0.3">
      <c r="C1291" s="27" t="str">
        <f t="shared" si="46"/>
        <v>Марля медична</v>
      </c>
      <c r="D1291" s="303" t="str">
        <f t="shared" si="46"/>
        <v>метр</v>
      </c>
      <c r="E1291" s="303">
        <f t="shared" si="46"/>
        <v>0.1</v>
      </c>
      <c r="F1291" s="303">
        <f t="shared" si="46"/>
        <v>6</v>
      </c>
      <c r="G1291" s="28">
        <f>ROUND(E1291*F1291,2)</f>
        <v>0.6</v>
      </c>
    </row>
    <row r="1292" spans="3:7" x14ac:dyDescent="0.3">
      <c r="C1292" s="27" t="str">
        <f t="shared" si="46"/>
        <v>Вата</v>
      </c>
      <c r="D1292" s="303" t="str">
        <f t="shared" si="46"/>
        <v>г</v>
      </c>
      <c r="E1292" s="303">
        <f t="shared" si="46"/>
        <v>1</v>
      </c>
      <c r="F1292" s="303">
        <f t="shared" si="46"/>
        <v>7.0000000000000007E-2</v>
      </c>
      <c r="G1292" s="28">
        <f>ROUND(E1292*F1292,2)</f>
        <v>7.0000000000000007E-2</v>
      </c>
    </row>
    <row r="1293" spans="3:7" x14ac:dyDescent="0.3">
      <c r="C1293" s="27" t="str">
        <f t="shared" si="46"/>
        <v>Деззасоби</v>
      </c>
      <c r="D1293" s="303" t="str">
        <f t="shared" si="46"/>
        <v>г</v>
      </c>
      <c r="E1293" s="303">
        <f t="shared" si="46"/>
        <v>0.5</v>
      </c>
      <c r="F1293" s="303">
        <f t="shared" si="46"/>
        <v>0.5</v>
      </c>
      <c r="G1293" s="28">
        <f>ROUND(E1293*F1293,2)</f>
        <v>0.25</v>
      </c>
    </row>
    <row r="1294" spans="3:7" x14ac:dyDescent="0.3">
      <c r="C1294" s="1019" t="s">
        <v>945</v>
      </c>
      <c r="D1294" s="1019"/>
      <c r="E1294" s="1019"/>
      <c r="F1294" s="1019"/>
      <c r="G1294" s="332">
        <f>SUM(G1284:G1293)</f>
        <v>12.45</v>
      </c>
    </row>
    <row r="1296" spans="3:7" x14ac:dyDescent="0.3">
      <c r="C1296" s="321" t="s">
        <v>968</v>
      </c>
      <c r="D1296" s="227"/>
      <c r="E1296" s="227"/>
      <c r="F1296" s="298">
        <f>H1299</f>
        <v>20.55</v>
      </c>
      <c r="G1296" s="227" t="s">
        <v>971</v>
      </c>
    </row>
    <row r="1297" spans="3:9" ht="6" customHeight="1" x14ac:dyDescent="0.3">
      <c r="C1297" s="322"/>
      <c r="D1297" s="36"/>
      <c r="E1297" s="36"/>
      <c r="F1297" s="302"/>
      <c r="G1297" s="36"/>
    </row>
    <row r="1298" spans="3:9" ht="27.6" x14ac:dyDescent="0.3">
      <c r="C1298" s="46" t="s">
        <v>513</v>
      </c>
      <c r="D1298" s="14" t="s">
        <v>1108</v>
      </c>
      <c r="E1298" s="14" t="s">
        <v>516</v>
      </c>
      <c r="F1298" s="14" t="s">
        <v>970</v>
      </c>
      <c r="G1298" s="14" t="s">
        <v>930</v>
      </c>
      <c r="H1298" s="14" t="s">
        <v>961</v>
      </c>
    </row>
    <row r="1299" spans="3:9" x14ac:dyDescent="0.3">
      <c r="C1299" s="27" t="str">
        <f>C1244</f>
        <v>Ультразвукова система AFFINITI 30</v>
      </c>
      <c r="D1299" s="73">
        <f>D1244</f>
        <v>136236.38</v>
      </c>
      <c r="E1299" s="73">
        <f>I1273</f>
        <v>1656.6</v>
      </c>
      <c r="F1299" s="73">
        <f>ROUND((D1299/E1299)/60,2)</f>
        <v>1.37</v>
      </c>
      <c r="G1299" s="73">
        <f>E1277</f>
        <v>15</v>
      </c>
      <c r="H1299" s="78">
        <f>ROUND(F1299*G1299,2)</f>
        <v>20.55</v>
      </c>
      <c r="I1299" s="333"/>
    </row>
    <row r="1301" spans="3:9" x14ac:dyDescent="0.3">
      <c r="C1301" s="321" t="s">
        <v>948</v>
      </c>
      <c r="D1301" s="227"/>
      <c r="E1301" s="227"/>
      <c r="F1301" s="298">
        <f>H1314</f>
        <v>3.9</v>
      </c>
      <c r="G1301" s="227" t="s">
        <v>971</v>
      </c>
    </row>
    <row r="1302" spans="3:9" ht="7.5" customHeight="1" x14ac:dyDescent="0.3">
      <c r="C1302" s="322"/>
      <c r="D1302" s="36"/>
      <c r="E1302" s="36"/>
      <c r="F1302" s="302"/>
    </row>
    <row r="1303" spans="3:9" ht="27.6" x14ac:dyDescent="0.3">
      <c r="C1303" s="46" t="s">
        <v>948</v>
      </c>
      <c r="D1303" s="14" t="s">
        <v>1110</v>
      </c>
      <c r="E1303" s="14" t="s">
        <v>516</v>
      </c>
      <c r="F1303" s="14" t="s">
        <v>954</v>
      </c>
      <c r="G1303" s="14" t="s">
        <v>930</v>
      </c>
      <c r="H1303" s="14" t="s">
        <v>1111</v>
      </c>
    </row>
    <row r="1304" spans="3:9" x14ac:dyDescent="0.3">
      <c r="C1304" s="1009" t="str">
        <f>C1273</f>
        <v>Лікар з ультразвукової діагностики</v>
      </c>
      <c r="D1304" s="1010"/>
      <c r="E1304" s="1010"/>
      <c r="F1304" s="1010"/>
      <c r="G1304" s="1010"/>
      <c r="H1304" s="1011"/>
    </row>
    <row r="1305" spans="3:9" x14ac:dyDescent="0.3">
      <c r="C1305" s="134" t="s">
        <v>951</v>
      </c>
      <c r="D1305" s="221">
        <f>D1250</f>
        <v>12188.608008565312</v>
      </c>
      <c r="E1305" s="73">
        <f>I1273</f>
        <v>1656.6</v>
      </c>
      <c r="F1305" s="73">
        <f>ROUND((D1305/E1305)/60,2)</f>
        <v>0.12</v>
      </c>
      <c r="G1305" s="73">
        <f>E1277</f>
        <v>15</v>
      </c>
      <c r="H1305" s="78">
        <f>ROUND(F1305*G1305,2)</f>
        <v>1.8</v>
      </c>
    </row>
    <row r="1306" spans="3:9" x14ac:dyDescent="0.3">
      <c r="C1306" s="134" t="s">
        <v>952</v>
      </c>
      <c r="D1306" s="221">
        <f>D1251</f>
        <v>53.149721627408987</v>
      </c>
      <c r="E1306" s="73">
        <f>I1273</f>
        <v>1656.6</v>
      </c>
      <c r="F1306" s="73">
        <f>ROUND((D1306/E1306)/60,2)</f>
        <v>0</v>
      </c>
      <c r="G1306" s="73">
        <f>E1277</f>
        <v>15</v>
      </c>
      <c r="H1306" s="78">
        <f>ROUND(F1306*G1306,2)</f>
        <v>0</v>
      </c>
    </row>
    <row r="1307" spans="3:9" x14ac:dyDescent="0.3">
      <c r="C1307" s="134" t="s">
        <v>953</v>
      </c>
      <c r="D1307" s="221">
        <f>D1252</f>
        <v>374.98368308351178</v>
      </c>
      <c r="E1307" s="73">
        <f>I1273</f>
        <v>1656.6</v>
      </c>
      <c r="F1307" s="73">
        <f>ROUND((D1307/E1307)/60,2)</f>
        <v>0</v>
      </c>
      <c r="G1307" s="73">
        <f>E1277</f>
        <v>15</v>
      </c>
      <c r="H1307" s="78">
        <f>ROUND(F1307*G1307,2)</f>
        <v>0</v>
      </c>
    </row>
    <row r="1308" spans="3:9" x14ac:dyDescent="0.3">
      <c r="C1308" s="134" t="s">
        <v>1109</v>
      </c>
      <c r="D1308" s="221">
        <f>D1253</f>
        <v>1686.0389293361886</v>
      </c>
      <c r="E1308" s="73">
        <f>I1273</f>
        <v>1656.6</v>
      </c>
      <c r="F1308" s="73">
        <f>ROUND((D1308/E1308)/60,2)</f>
        <v>0.02</v>
      </c>
      <c r="G1308" s="73">
        <f>E1277</f>
        <v>15</v>
      </c>
      <c r="H1308" s="78">
        <f>ROUND(F1308*G1308,2)</f>
        <v>0.3</v>
      </c>
    </row>
    <row r="1309" spans="3:9" x14ac:dyDescent="0.3">
      <c r="C1309" s="1009" t="str">
        <f>C1274</f>
        <v xml:space="preserve">Сестра медична </v>
      </c>
      <c r="D1309" s="1010"/>
      <c r="E1309" s="1010"/>
      <c r="F1309" s="1010"/>
      <c r="G1309" s="1010"/>
      <c r="H1309" s="1011"/>
    </row>
    <row r="1310" spans="3:9" x14ac:dyDescent="0.3">
      <c r="C1310" s="134" t="s">
        <v>951</v>
      </c>
      <c r="D1310" s="221">
        <f>D1305</f>
        <v>12188.608008565312</v>
      </c>
      <c r="E1310" s="73">
        <f>I1274</f>
        <v>1932.7</v>
      </c>
      <c r="F1310" s="73">
        <f>ROUND((D1310/E1310)/60,2)</f>
        <v>0.11</v>
      </c>
      <c r="G1310" s="73">
        <f>E1278</f>
        <v>15</v>
      </c>
      <c r="H1310" s="78">
        <f>ROUND(F1310*G1310,2)</f>
        <v>1.65</v>
      </c>
    </row>
    <row r="1311" spans="3:9" x14ac:dyDescent="0.3">
      <c r="C1311" s="134" t="s">
        <v>952</v>
      </c>
      <c r="D1311" s="221">
        <f>D1306</f>
        <v>53.149721627408987</v>
      </c>
      <c r="E1311" s="73">
        <f>I1274</f>
        <v>1932.7</v>
      </c>
      <c r="F1311" s="73">
        <f>ROUND((D1311/E1311)/60,2)</f>
        <v>0</v>
      </c>
      <c r="G1311" s="73">
        <f>E1278</f>
        <v>15</v>
      </c>
      <c r="H1311" s="78">
        <f>ROUND(F1311*G1311,2)</f>
        <v>0</v>
      </c>
    </row>
    <row r="1312" spans="3:9" x14ac:dyDescent="0.3">
      <c r="C1312" s="134" t="s">
        <v>953</v>
      </c>
      <c r="D1312" s="221">
        <f>D1307</f>
        <v>374.98368308351178</v>
      </c>
      <c r="E1312" s="73">
        <f>I1274</f>
        <v>1932.7</v>
      </c>
      <c r="F1312" s="73">
        <f>ROUND((D1312/E1312)/60,2)</f>
        <v>0</v>
      </c>
      <c r="G1312" s="73">
        <f>E1278</f>
        <v>15</v>
      </c>
      <c r="H1312" s="78">
        <f>ROUND(F1312*G1312,2)</f>
        <v>0</v>
      </c>
    </row>
    <row r="1313" spans="1:14" x14ac:dyDescent="0.3">
      <c r="C1313" s="134" t="s">
        <v>1109</v>
      </c>
      <c r="D1313" s="221">
        <f>D1308</f>
        <v>1686.0389293361886</v>
      </c>
      <c r="E1313" s="73">
        <f>I1274</f>
        <v>1932.7</v>
      </c>
      <c r="F1313" s="73">
        <f>ROUND((D1313/E1313)/60,2)</f>
        <v>0.01</v>
      </c>
      <c r="G1313" s="73">
        <f>E1278</f>
        <v>15</v>
      </c>
      <c r="H1313" s="78">
        <f>ROUND(F1313*G1313,2)</f>
        <v>0.15</v>
      </c>
    </row>
    <row r="1314" spans="1:14" x14ac:dyDescent="0.3">
      <c r="C1314" s="1012" t="s">
        <v>957</v>
      </c>
      <c r="D1314" s="1013"/>
      <c r="E1314" s="1013"/>
      <c r="F1314" s="1013"/>
      <c r="G1314" s="1014"/>
      <c r="H1314" s="299">
        <f>SUM(H1305:H1313)</f>
        <v>3.9</v>
      </c>
    </row>
    <row r="1317" spans="1:14" x14ac:dyDescent="0.3">
      <c r="C1317" s="1015" t="s">
        <v>959</v>
      </c>
      <c r="D1317" s="1015"/>
      <c r="E1317" s="1015"/>
      <c r="F1317" s="1015"/>
      <c r="G1317" s="1015"/>
      <c r="H1317" s="334">
        <f>F1270+F1282+F1296+F1301</f>
        <v>66.91</v>
      </c>
    </row>
    <row r="1318" spans="1:14" x14ac:dyDescent="0.3">
      <c r="C1318" s="323"/>
      <c r="D1318" s="33"/>
      <c r="E1318" s="33"/>
      <c r="F1318" s="33"/>
      <c r="G1318" s="33"/>
      <c r="H1318" s="335"/>
    </row>
    <row r="1319" spans="1:14" x14ac:dyDescent="0.3">
      <c r="C1319" s="1015" t="s">
        <v>960</v>
      </c>
      <c r="D1319" s="1015"/>
      <c r="E1319" s="1015"/>
      <c r="F1319" s="1015"/>
      <c r="G1319" s="1015"/>
      <c r="H1319" s="334">
        <f>ROUND(H1317,0)</f>
        <v>67</v>
      </c>
    </row>
    <row r="1321" spans="1:14" s="54" customFormat="1" ht="19.8" x14ac:dyDescent="0.4">
      <c r="A1321" s="53"/>
      <c r="B1321" s="1016" t="s">
        <v>958</v>
      </c>
      <c r="C1321" s="1016"/>
      <c r="D1321" s="1016"/>
      <c r="E1321" s="1016"/>
      <c r="F1321" s="1016"/>
      <c r="G1321" s="1016"/>
      <c r="H1321" s="1016"/>
      <c r="I1321" s="1016"/>
      <c r="J1321" s="1016"/>
      <c r="K1321" s="70"/>
      <c r="L1321" s="348"/>
      <c r="M1321" s="348"/>
      <c r="N1321" s="99"/>
    </row>
    <row r="1322" spans="1:14" s="54" customFormat="1" ht="19.8" x14ac:dyDescent="0.4">
      <c r="A1322" s="53"/>
      <c r="B1322" s="53"/>
      <c r="C1322" s="56"/>
      <c r="D1322" s="225"/>
      <c r="E1322" s="225"/>
      <c r="F1322" s="225"/>
      <c r="G1322" s="225"/>
      <c r="H1322" s="225"/>
      <c r="I1322" s="225"/>
      <c r="J1322" s="225"/>
      <c r="K1322" s="70"/>
      <c r="L1322" s="348"/>
      <c r="M1322" s="348"/>
      <c r="N1322" s="99"/>
    </row>
    <row r="1323" spans="1:14" s="54" customFormat="1" ht="36" customHeight="1" x14ac:dyDescent="0.4">
      <c r="A1323" s="53"/>
      <c r="B1323" s="50" t="s">
        <v>590</v>
      </c>
      <c r="C1323" s="1017" t="s">
        <v>649</v>
      </c>
      <c r="D1323" s="1017"/>
      <c r="E1323" s="1017"/>
      <c r="F1323" s="296">
        <f>H1374</f>
        <v>121</v>
      </c>
      <c r="G1323" s="296" t="s">
        <v>971</v>
      </c>
      <c r="H1323" s="225"/>
      <c r="I1323" s="225"/>
      <c r="J1323" s="225"/>
      <c r="K1323" s="70"/>
      <c r="L1323" s="348"/>
      <c r="M1323" s="348"/>
      <c r="N1323" s="99"/>
    </row>
    <row r="1324" spans="1:14" ht="8.25" customHeight="1" x14ac:dyDescent="0.3"/>
    <row r="1325" spans="1:14" x14ac:dyDescent="0.3">
      <c r="C1325" s="1055" t="s">
        <v>932</v>
      </c>
      <c r="D1325" s="1055"/>
      <c r="F1325" s="302">
        <f>F1332+F1335+F1333</f>
        <v>60.019999999999996</v>
      </c>
      <c r="G1325" s="36" t="s">
        <v>971</v>
      </c>
    </row>
    <row r="1326" spans="1:14" ht="6.75" customHeight="1" x14ac:dyDescent="0.3"/>
    <row r="1327" spans="1:14" x14ac:dyDescent="0.3">
      <c r="C1327" s="318" t="s">
        <v>929</v>
      </c>
      <c r="D1327" s="14" t="s">
        <v>928</v>
      </c>
      <c r="E1327" s="14" t="s">
        <v>514</v>
      </c>
      <c r="F1327" s="14" t="s">
        <v>515</v>
      </c>
      <c r="G1327" s="14" t="s">
        <v>962</v>
      </c>
      <c r="H1327" s="14" t="s">
        <v>926</v>
      </c>
      <c r="I1327" s="14" t="s">
        <v>516</v>
      </c>
      <c r="J1327" s="14" t="s">
        <v>961</v>
      </c>
    </row>
    <row r="1328" spans="1:14" x14ac:dyDescent="0.3">
      <c r="C1328" s="134" t="str">
        <f>C1273</f>
        <v>Лікар з ультразвукової діагностики</v>
      </c>
      <c r="D1328" s="73">
        <f>D1273</f>
        <v>6660.23</v>
      </c>
      <c r="E1328" s="78">
        <f>D1328*12</f>
        <v>79922.759999999995</v>
      </c>
      <c r="F1328" s="73">
        <f>F1273</f>
        <v>6054.75</v>
      </c>
      <c r="G1328" s="73">
        <f>G1273</f>
        <v>3027.375</v>
      </c>
      <c r="H1328" s="78">
        <f>E1328+F1328+G1328</f>
        <v>89004.884999999995</v>
      </c>
      <c r="I1328" s="73">
        <v>1656.6</v>
      </c>
      <c r="J1328" s="78">
        <f>ROUND((H1328/I1328)/60,2)</f>
        <v>0.9</v>
      </c>
    </row>
    <row r="1329" spans="3:10" x14ac:dyDescent="0.3">
      <c r="C1329" s="134" t="str">
        <f>C1274</f>
        <v xml:space="preserve">Сестра медична </v>
      </c>
      <c r="D1329" s="73">
        <f>D1274</f>
        <v>6506.5</v>
      </c>
      <c r="E1329" s="78">
        <f>D1329*12</f>
        <v>78078</v>
      </c>
      <c r="F1329" s="73">
        <f>F1274</f>
        <v>5005</v>
      </c>
      <c r="G1329" s="73">
        <f>G1274</f>
        <v>2502.5</v>
      </c>
      <c r="H1329" s="78">
        <f>E1329+F1329+G1329</f>
        <v>85585.5</v>
      </c>
      <c r="I1329" s="73">
        <v>1932.7</v>
      </c>
      <c r="J1329" s="78">
        <f>ROUND((H1329/I1329)/60,2)</f>
        <v>0.74</v>
      </c>
    </row>
    <row r="1331" spans="3:10" ht="27.6" x14ac:dyDescent="0.3">
      <c r="C1331" s="318" t="s">
        <v>929</v>
      </c>
      <c r="D1331" s="14" t="s">
        <v>961</v>
      </c>
      <c r="E1331" s="14" t="s">
        <v>930</v>
      </c>
      <c r="F1331" s="14" t="s">
        <v>931</v>
      </c>
    </row>
    <row r="1332" spans="3:10" x14ac:dyDescent="0.3">
      <c r="C1332" s="320" t="str">
        <f>C1328</f>
        <v>Лікар з ультразвукової діагностики</v>
      </c>
      <c r="D1332" s="78">
        <f>J1328</f>
        <v>0.9</v>
      </c>
      <c r="E1332" s="73">
        <v>30</v>
      </c>
      <c r="F1332" s="299">
        <f>ROUND(D1332*E1332,2)</f>
        <v>27</v>
      </c>
    </row>
    <row r="1333" spans="3:10" x14ac:dyDescent="0.3">
      <c r="C1333" s="320" t="str">
        <f>C1329</f>
        <v xml:space="preserve">Сестра медична </v>
      </c>
      <c r="D1333" s="78">
        <f>J1329</f>
        <v>0.74</v>
      </c>
      <c r="E1333" s="73">
        <v>30</v>
      </c>
      <c r="F1333" s="299">
        <f>ROUND(D1333*E1333,2)</f>
        <v>22.2</v>
      </c>
    </row>
    <row r="1334" spans="3:10" x14ac:dyDescent="0.3">
      <c r="D1334" s="19"/>
    </row>
    <row r="1335" spans="3:10" x14ac:dyDescent="0.3">
      <c r="C1335" s="134" t="s">
        <v>933</v>
      </c>
      <c r="D1335" s="78">
        <f>F1332+F1333</f>
        <v>49.2</v>
      </c>
      <c r="E1335" s="300">
        <v>0.22</v>
      </c>
      <c r="F1335" s="301">
        <f>ROUND(D1335*E1335,2)</f>
        <v>10.82</v>
      </c>
    </row>
    <row r="1336" spans="3:10" ht="5.25" customHeight="1" x14ac:dyDescent="0.3"/>
    <row r="1337" spans="3:10" x14ac:dyDescent="0.3">
      <c r="C1337" s="321" t="s">
        <v>946</v>
      </c>
      <c r="D1337" s="227"/>
      <c r="E1337" s="227"/>
      <c r="F1337" s="227">
        <f>G1349</f>
        <v>12.45</v>
      </c>
      <c r="G1337" s="227" t="s">
        <v>971</v>
      </c>
    </row>
    <row r="1338" spans="3:10" ht="8.25" customHeight="1" x14ac:dyDescent="0.3"/>
    <row r="1339" spans="3:10" x14ac:dyDescent="0.3">
      <c r="C1339" s="27" t="str">
        <f t="shared" ref="C1339:F1348" si="48">C1284</f>
        <v>Рукавиці не стерильні</v>
      </c>
      <c r="D1339" s="303" t="str">
        <f t="shared" si="48"/>
        <v>шт</v>
      </c>
      <c r="E1339" s="303">
        <f t="shared" si="48"/>
        <v>0.1</v>
      </c>
      <c r="F1339" s="303">
        <f t="shared" si="48"/>
        <v>2.8</v>
      </c>
      <c r="G1339" s="228">
        <f>ROUND(F1339*E1339,2)</f>
        <v>0.28000000000000003</v>
      </c>
    </row>
    <row r="1340" spans="3:10" x14ac:dyDescent="0.3">
      <c r="C1340" s="27" t="str">
        <f t="shared" si="48"/>
        <v xml:space="preserve">Септил 70% 100мл </v>
      </c>
      <c r="D1340" s="303" t="str">
        <f t="shared" si="48"/>
        <v>шт</v>
      </c>
      <c r="E1340" s="303">
        <f t="shared" si="48"/>
        <v>0.01</v>
      </c>
      <c r="F1340" s="303">
        <f t="shared" si="48"/>
        <v>24.6</v>
      </c>
      <c r="G1340" s="228">
        <f t="shared" ref="G1340:G1345" si="49">ROUND(F1340*E1340,2)</f>
        <v>0.25</v>
      </c>
    </row>
    <row r="1341" spans="3:10" x14ac:dyDescent="0.3">
      <c r="C1341" s="27" t="str">
        <f t="shared" si="48"/>
        <v>Маска на резинці, стерильна.</v>
      </c>
      <c r="D1341" s="303" t="str">
        <f t="shared" si="48"/>
        <v>шт</v>
      </c>
      <c r="E1341" s="303">
        <f t="shared" si="48"/>
        <v>0.1</v>
      </c>
      <c r="F1341" s="303">
        <f t="shared" si="48"/>
        <v>2</v>
      </c>
      <c r="G1341" s="228">
        <f t="shared" si="49"/>
        <v>0.2</v>
      </c>
    </row>
    <row r="1342" spans="3:10" x14ac:dyDescent="0.3">
      <c r="C1342" s="27" t="str">
        <f t="shared" si="48"/>
        <v>Мікрасепт</v>
      </c>
      <c r="D1342" s="303" t="str">
        <f t="shared" si="48"/>
        <v>мл</v>
      </c>
      <c r="E1342" s="303">
        <f t="shared" si="48"/>
        <v>1</v>
      </c>
      <c r="F1342" s="303">
        <f t="shared" si="48"/>
        <v>0.3</v>
      </c>
      <c r="G1342" s="28">
        <f>ROUND(E1342*F1342,2)</f>
        <v>0.3</v>
      </c>
    </row>
    <row r="1343" spans="3:10" x14ac:dyDescent="0.3">
      <c r="C1343" s="27" t="str">
        <f t="shared" si="48"/>
        <v>Папір офісний А4</v>
      </c>
      <c r="D1343" s="303" t="str">
        <f t="shared" si="48"/>
        <v>шт</v>
      </c>
      <c r="E1343" s="303">
        <f t="shared" si="48"/>
        <v>2</v>
      </c>
      <c r="F1343" s="303">
        <f t="shared" si="48"/>
        <v>0.3</v>
      </c>
      <c r="G1343" s="228">
        <f t="shared" si="49"/>
        <v>0.6</v>
      </c>
    </row>
    <row r="1344" spans="3:10" x14ac:dyDescent="0.3">
      <c r="C1344" s="27" t="str">
        <f t="shared" si="48"/>
        <v xml:space="preserve">Гель для УЗД , 1000 гр. </v>
      </c>
      <c r="D1344" s="303" t="str">
        <f t="shared" si="48"/>
        <v>пляшка</v>
      </c>
      <c r="E1344" s="303">
        <f t="shared" si="48"/>
        <v>0.1</v>
      </c>
      <c r="F1344" s="303">
        <f t="shared" si="48"/>
        <v>48</v>
      </c>
      <c r="G1344" s="228">
        <f t="shared" si="49"/>
        <v>4.8</v>
      </c>
    </row>
    <row r="1345" spans="3:9" x14ac:dyDescent="0.3">
      <c r="C1345" s="27" t="str">
        <f t="shared" si="48"/>
        <v>Паперові рушники "Fesko Professional"</v>
      </c>
      <c r="D1345" s="303" t="str">
        <f t="shared" si="48"/>
        <v>рул</v>
      </c>
      <c r="E1345" s="303">
        <f t="shared" si="48"/>
        <v>0.3</v>
      </c>
      <c r="F1345" s="303">
        <f t="shared" si="48"/>
        <v>17</v>
      </c>
      <c r="G1345" s="228">
        <f t="shared" si="49"/>
        <v>5.0999999999999996</v>
      </c>
    </row>
    <row r="1346" spans="3:9" x14ac:dyDescent="0.3">
      <c r="C1346" s="27" t="str">
        <f t="shared" si="48"/>
        <v>Марля медична</v>
      </c>
      <c r="D1346" s="303" t="str">
        <f t="shared" si="48"/>
        <v>метр</v>
      </c>
      <c r="E1346" s="303">
        <f t="shared" si="48"/>
        <v>0.1</v>
      </c>
      <c r="F1346" s="303">
        <f t="shared" si="48"/>
        <v>6</v>
      </c>
      <c r="G1346" s="28">
        <f>ROUND(E1346*F1346,2)</f>
        <v>0.6</v>
      </c>
    </row>
    <row r="1347" spans="3:9" x14ac:dyDescent="0.3">
      <c r="C1347" s="27" t="str">
        <f t="shared" si="48"/>
        <v>Вата</v>
      </c>
      <c r="D1347" s="303" t="str">
        <f t="shared" si="48"/>
        <v>г</v>
      </c>
      <c r="E1347" s="303">
        <f t="shared" si="48"/>
        <v>1</v>
      </c>
      <c r="F1347" s="303">
        <f t="shared" si="48"/>
        <v>7.0000000000000007E-2</v>
      </c>
      <c r="G1347" s="28">
        <f>ROUND(E1347*F1347,2)</f>
        <v>7.0000000000000007E-2</v>
      </c>
    </row>
    <row r="1348" spans="3:9" x14ac:dyDescent="0.3">
      <c r="C1348" s="27" t="str">
        <f t="shared" si="48"/>
        <v>Деззасоби</v>
      </c>
      <c r="D1348" s="303" t="str">
        <f t="shared" si="48"/>
        <v>г</v>
      </c>
      <c r="E1348" s="303">
        <f t="shared" si="48"/>
        <v>0.5</v>
      </c>
      <c r="F1348" s="303">
        <f t="shared" si="48"/>
        <v>0.5</v>
      </c>
      <c r="G1348" s="28">
        <f>ROUND(E1348*F1348,2)</f>
        <v>0.25</v>
      </c>
    </row>
    <row r="1349" spans="3:9" x14ac:dyDescent="0.3">
      <c r="C1349" s="1019" t="s">
        <v>945</v>
      </c>
      <c r="D1349" s="1019"/>
      <c r="E1349" s="1019"/>
      <c r="F1349" s="1019"/>
      <c r="G1349" s="332">
        <f>SUM(G1339:G1348)</f>
        <v>12.45</v>
      </c>
    </row>
    <row r="1351" spans="3:9" x14ac:dyDescent="0.3">
      <c r="C1351" s="321" t="s">
        <v>968</v>
      </c>
      <c r="D1351" s="227"/>
      <c r="E1351" s="227"/>
      <c r="F1351" s="298">
        <f>H1354</f>
        <v>41.1</v>
      </c>
      <c r="G1351" s="227" t="s">
        <v>971</v>
      </c>
    </row>
    <row r="1352" spans="3:9" x14ac:dyDescent="0.3">
      <c r="C1352" s="322"/>
      <c r="D1352" s="36"/>
      <c r="E1352" s="36"/>
      <c r="F1352" s="302"/>
      <c r="G1352" s="36"/>
    </row>
    <row r="1353" spans="3:9" ht="27.6" x14ac:dyDescent="0.3">
      <c r="C1353" s="46" t="s">
        <v>513</v>
      </c>
      <c r="D1353" s="14" t="s">
        <v>1108</v>
      </c>
      <c r="E1353" s="14" t="s">
        <v>516</v>
      </c>
      <c r="F1353" s="14" t="s">
        <v>970</v>
      </c>
      <c r="G1353" s="14" t="s">
        <v>930</v>
      </c>
      <c r="H1353" s="14" t="s">
        <v>961</v>
      </c>
    </row>
    <row r="1354" spans="3:9" x14ac:dyDescent="0.3">
      <c r="C1354" s="27" t="str">
        <f>C1299</f>
        <v>Ультразвукова система AFFINITI 30</v>
      </c>
      <c r="D1354" s="73">
        <f>D1299</f>
        <v>136236.38</v>
      </c>
      <c r="E1354" s="73">
        <f>I1328</f>
        <v>1656.6</v>
      </c>
      <c r="F1354" s="73">
        <f>ROUND((D1354/E1354)/60,2)</f>
        <v>1.37</v>
      </c>
      <c r="G1354" s="73">
        <f>E1332</f>
        <v>30</v>
      </c>
      <c r="H1354" s="78">
        <f>ROUND(F1354*G1354,2)</f>
        <v>41.1</v>
      </c>
      <c r="I1354" s="333"/>
    </row>
    <row r="1356" spans="3:9" x14ac:dyDescent="0.3">
      <c r="C1356" s="321" t="s">
        <v>948</v>
      </c>
      <c r="D1356" s="227"/>
      <c r="E1356" s="227"/>
      <c r="F1356" s="298">
        <f>H1369</f>
        <v>7.8</v>
      </c>
      <c r="G1356" s="227" t="s">
        <v>971</v>
      </c>
    </row>
    <row r="1357" spans="3:9" ht="6" customHeight="1" x14ac:dyDescent="0.3">
      <c r="C1357" s="322"/>
      <c r="D1357" s="36"/>
      <c r="E1357" s="36"/>
      <c r="F1357" s="302"/>
    </row>
    <row r="1358" spans="3:9" ht="27.6" x14ac:dyDescent="0.3">
      <c r="C1358" s="46" t="s">
        <v>948</v>
      </c>
      <c r="D1358" s="14" t="s">
        <v>1110</v>
      </c>
      <c r="E1358" s="14" t="s">
        <v>516</v>
      </c>
      <c r="F1358" s="14" t="s">
        <v>954</v>
      </c>
      <c r="G1358" s="14" t="s">
        <v>930</v>
      </c>
      <c r="H1358" s="14" t="s">
        <v>1111</v>
      </c>
    </row>
    <row r="1359" spans="3:9" x14ac:dyDescent="0.3">
      <c r="C1359" s="1009" t="str">
        <f>C1328</f>
        <v>Лікар з ультразвукової діагностики</v>
      </c>
      <c r="D1359" s="1010"/>
      <c r="E1359" s="1010"/>
      <c r="F1359" s="1010"/>
      <c r="G1359" s="1010"/>
      <c r="H1359" s="1011"/>
    </row>
    <row r="1360" spans="3:9" x14ac:dyDescent="0.3">
      <c r="C1360" s="134" t="s">
        <v>951</v>
      </c>
      <c r="D1360" s="221">
        <f>D1305</f>
        <v>12188.608008565312</v>
      </c>
      <c r="E1360" s="73">
        <f>I1328</f>
        <v>1656.6</v>
      </c>
      <c r="F1360" s="73">
        <f>ROUND((D1360/E1360)/60,2)</f>
        <v>0.12</v>
      </c>
      <c r="G1360" s="73">
        <f>E1332</f>
        <v>30</v>
      </c>
      <c r="H1360" s="78">
        <f>ROUND(F1360*G1360,2)</f>
        <v>3.6</v>
      </c>
    </row>
    <row r="1361" spans="1:14" x14ac:dyDescent="0.3">
      <c r="C1361" s="134" t="s">
        <v>952</v>
      </c>
      <c r="D1361" s="221">
        <f>D1306</f>
        <v>53.149721627408987</v>
      </c>
      <c r="E1361" s="73">
        <f>I1328</f>
        <v>1656.6</v>
      </c>
      <c r="F1361" s="73">
        <f>ROUND((D1361/E1361)/60,2)</f>
        <v>0</v>
      </c>
      <c r="G1361" s="73">
        <f>E1332</f>
        <v>30</v>
      </c>
      <c r="H1361" s="78">
        <f>ROUND(F1361*G1361,2)</f>
        <v>0</v>
      </c>
    </row>
    <row r="1362" spans="1:14" x14ac:dyDescent="0.3">
      <c r="C1362" s="134" t="s">
        <v>953</v>
      </c>
      <c r="D1362" s="221">
        <f>D1307</f>
        <v>374.98368308351178</v>
      </c>
      <c r="E1362" s="73">
        <f>I1328</f>
        <v>1656.6</v>
      </c>
      <c r="F1362" s="73">
        <f>ROUND((D1362/E1362)/60,2)</f>
        <v>0</v>
      </c>
      <c r="G1362" s="73">
        <f>E1332</f>
        <v>30</v>
      </c>
      <c r="H1362" s="78">
        <f>ROUND(F1362*G1362,2)</f>
        <v>0</v>
      </c>
    </row>
    <row r="1363" spans="1:14" x14ac:dyDescent="0.3">
      <c r="C1363" s="134" t="s">
        <v>1109</v>
      </c>
      <c r="D1363" s="221">
        <f>D1308</f>
        <v>1686.0389293361886</v>
      </c>
      <c r="E1363" s="73">
        <f>I1328</f>
        <v>1656.6</v>
      </c>
      <c r="F1363" s="73">
        <f>ROUND((D1363/E1363)/60,2)</f>
        <v>0.02</v>
      </c>
      <c r="G1363" s="73">
        <f>E1332</f>
        <v>30</v>
      </c>
      <c r="H1363" s="78">
        <f>ROUND(F1363*G1363,2)</f>
        <v>0.6</v>
      </c>
    </row>
    <row r="1364" spans="1:14" x14ac:dyDescent="0.3">
      <c r="C1364" s="1009" t="str">
        <f>C1329</f>
        <v xml:space="preserve">Сестра медична </v>
      </c>
      <c r="D1364" s="1010"/>
      <c r="E1364" s="1010"/>
      <c r="F1364" s="1010"/>
      <c r="G1364" s="1010"/>
      <c r="H1364" s="1011"/>
    </row>
    <row r="1365" spans="1:14" x14ac:dyDescent="0.3">
      <c r="C1365" s="134" t="s">
        <v>951</v>
      </c>
      <c r="D1365" s="221">
        <f>D1360</f>
        <v>12188.608008565312</v>
      </c>
      <c r="E1365" s="73">
        <f>I1329</f>
        <v>1932.7</v>
      </c>
      <c r="F1365" s="73">
        <f>ROUND((D1365/E1365)/60,2)</f>
        <v>0.11</v>
      </c>
      <c r="G1365" s="73">
        <f>E1333</f>
        <v>30</v>
      </c>
      <c r="H1365" s="78">
        <f>ROUND(F1365*G1365,2)</f>
        <v>3.3</v>
      </c>
    </row>
    <row r="1366" spans="1:14" x14ac:dyDescent="0.3">
      <c r="C1366" s="134" t="s">
        <v>952</v>
      </c>
      <c r="D1366" s="221">
        <f>D1361</f>
        <v>53.149721627408987</v>
      </c>
      <c r="E1366" s="73">
        <f>I1329</f>
        <v>1932.7</v>
      </c>
      <c r="F1366" s="73">
        <f>ROUND((D1366/E1366)/60,2)</f>
        <v>0</v>
      </c>
      <c r="G1366" s="73">
        <f>E1333</f>
        <v>30</v>
      </c>
      <c r="H1366" s="78">
        <f>ROUND(F1366*G1366,2)</f>
        <v>0</v>
      </c>
    </row>
    <row r="1367" spans="1:14" x14ac:dyDescent="0.3">
      <c r="C1367" s="134" t="s">
        <v>953</v>
      </c>
      <c r="D1367" s="221">
        <f>D1362</f>
        <v>374.98368308351178</v>
      </c>
      <c r="E1367" s="73">
        <f>I1329</f>
        <v>1932.7</v>
      </c>
      <c r="F1367" s="73">
        <f>ROUND((D1367/E1367)/60,2)</f>
        <v>0</v>
      </c>
      <c r="G1367" s="73">
        <f>E1333</f>
        <v>30</v>
      </c>
      <c r="H1367" s="78">
        <f>ROUND(F1367*G1367,2)</f>
        <v>0</v>
      </c>
    </row>
    <row r="1368" spans="1:14" x14ac:dyDescent="0.3">
      <c r="C1368" s="134" t="s">
        <v>1109</v>
      </c>
      <c r="D1368" s="221">
        <f>D1363</f>
        <v>1686.0389293361886</v>
      </c>
      <c r="E1368" s="73">
        <f>I1329</f>
        <v>1932.7</v>
      </c>
      <c r="F1368" s="73">
        <f>ROUND((D1368/E1368)/60,2)</f>
        <v>0.01</v>
      </c>
      <c r="G1368" s="73">
        <f>E1333</f>
        <v>30</v>
      </c>
      <c r="H1368" s="78">
        <f>ROUND(F1368*G1368,2)</f>
        <v>0.3</v>
      </c>
    </row>
    <row r="1369" spans="1:14" x14ac:dyDescent="0.3">
      <c r="C1369" s="1012" t="s">
        <v>957</v>
      </c>
      <c r="D1369" s="1013"/>
      <c r="E1369" s="1013"/>
      <c r="F1369" s="1013"/>
      <c r="G1369" s="1014"/>
      <c r="H1369" s="299">
        <f>SUM(H1360:H1368)</f>
        <v>7.8</v>
      </c>
    </row>
    <row r="1372" spans="1:14" x14ac:dyDescent="0.3">
      <c r="C1372" s="1015" t="s">
        <v>959</v>
      </c>
      <c r="D1372" s="1015"/>
      <c r="E1372" s="1015"/>
      <c r="F1372" s="1015"/>
      <c r="G1372" s="1015"/>
      <c r="H1372" s="334">
        <f>F1325+F1337+F1351+F1356</f>
        <v>121.36999999999999</v>
      </c>
    </row>
    <row r="1373" spans="1:14" x14ac:dyDescent="0.3">
      <c r="C1373" s="323"/>
      <c r="D1373" s="33"/>
      <c r="E1373" s="33"/>
      <c r="F1373" s="33"/>
      <c r="G1373" s="33"/>
      <c r="H1373" s="335"/>
    </row>
    <row r="1374" spans="1:14" x14ac:dyDescent="0.3">
      <c r="C1374" s="1015" t="s">
        <v>960</v>
      </c>
      <c r="D1374" s="1015"/>
      <c r="E1374" s="1015"/>
      <c r="F1374" s="1015"/>
      <c r="G1374" s="1015"/>
      <c r="H1374" s="334">
        <f>ROUND(H1372,0)</f>
        <v>121</v>
      </c>
    </row>
    <row r="1376" spans="1:14" s="54" customFormat="1" ht="19.8" x14ac:dyDescent="0.4">
      <c r="A1376" s="53"/>
      <c r="B1376" s="1016" t="s">
        <v>958</v>
      </c>
      <c r="C1376" s="1016"/>
      <c r="D1376" s="1016"/>
      <c r="E1376" s="1016"/>
      <c r="F1376" s="1016"/>
      <c r="G1376" s="1016"/>
      <c r="H1376" s="1016"/>
      <c r="I1376" s="1016"/>
      <c r="J1376" s="1016"/>
      <c r="K1376" s="70"/>
      <c r="L1376" s="348"/>
      <c r="M1376" s="348"/>
      <c r="N1376" s="99"/>
    </row>
    <row r="1377" spans="1:14" s="54" customFormat="1" ht="19.8" x14ac:dyDescent="0.4">
      <c r="A1377" s="53"/>
      <c r="B1377" s="53"/>
      <c r="C1377" s="56"/>
      <c r="D1377" s="225"/>
      <c r="E1377" s="225"/>
      <c r="F1377" s="225"/>
      <c r="G1377" s="225"/>
      <c r="H1377" s="225"/>
      <c r="I1377" s="225"/>
      <c r="J1377" s="225"/>
      <c r="K1377" s="70"/>
      <c r="L1377" s="348"/>
      <c r="M1377" s="348"/>
      <c r="N1377" s="99"/>
    </row>
    <row r="1378" spans="1:14" s="54" customFormat="1" ht="36" customHeight="1" x14ac:dyDescent="0.4">
      <c r="A1378" s="53"/>
      <c r="B1378" s="50" t="s">
        <v>592</v>
      </c>
      <c r="C1378" s="1017" t="s">
        <v>651</v>
      </c>
      <c r="D1378" s="1017"/>
      <c r="E1378" s="1017"/>
      <c r="F1378" s="296">
        <f>H1429</f>
        <v>158</v>
      </c>
      <c r="G1378" s="296" t="s">
        <v>971</v>
      </c>
      <c r="H1378" s="225"/>
      <c r="I1378" s="225"/>
      <c r="J1378" s="225"/>
      <c r="K1378" s="70"/>
      <c r="L1378" s="348"/>
      <c r="M1378" s="348"/>
      <c r="N1378" s="99"/>
    </row>
    <row r="1380" spans="1:14" x14ac:dyDescent="0.3">
      <c r="C1380" s="1018" t="s">
        <v>932</v>
      </c>
      <c r="D1380" s="1018"/>
      <c r="E1380" s="297"/>
      <c r="F1380" s="298">
        <f>F1387+F1390+F1388</f>
        <v>80.03</v>
      </c>
      <c r="G1380" s="227" t="s">
        <v>971</v>
      </c>
    </row>
    <row r="1382" spans="1:14" x14ac:dyDescent="0.3">
      <c r="C1382" s="318" t="s">
        <v>929</v>
      </c>
      <c r="D1382" s="14" t="s">
        <v>928</v>
      </c>
      <c r="E1382" s="14" t="s">
        <v>514</v>
      </c>
      <c r="F1382" s="14" t="s">
        <v>515</v>
      </c>
      <c r="G1382" s="14" t="s">
        <v>962</v>
      </c>
      <c r="H1382" s="14" t="s">
        <v>926</v>
      </c>
      <c r="I1382" s="14" t="s">
        <v>516</v>
      </c>
      <c r="J1382" s="14" t="s">
        <v>961</v>
      </c>
    </row>
    <row r="1383" spans="1:14" x14ac:dyDescent="0.3">
      <c r="C1383" s="134" t="str">
        <f>C1328</f>
        <v>Лікар з ультразвукової діагностики</v>
      </c>
      <c r="D1383" s="73">
        <f>D1328</f>
        <v>6660.23</v>
      </c>
      <c r="E1383" s="78">
        <f>D1383*12</f>
        <v>79922.759999999995</v>
      </c>
      <c r="F1383" s="73">
        <f>F1328</f>
        <v>6054.75</v>
      </c>
      <c r="G1383" s="78">
        <f>G1328</f>
        <v>3027.375</v>
      </c>
      <c r="H1383" s="78">
        <f>E1383+F1383+G1383</f>
        <v>89004.884999999995</v>
      </c>
      <c r="I1383" s="73">
        <v>1656.6</v>
      </c>
      <c r="J1383" s="78">
        <f>ROUND((H1383/I1383)/60,2)</f>
        <v>0.9</v>
      </c>
    </row>
    <row r="1384" spans="1:14" x14ac:dyDescent="0.3">
      <c r="C1384" s="134" t="str">
        <f>C1329</f>
        <v xml:space="preserve">Сестра медична </v>
      </c>
      <c r="D1384" s="73">
        <f>D1329</f>
        <v>6506.5</v>
      </c>
      <c r="E1384" s="78">
        <f>D1384*12</f>
        <v>78078</v>
      </c>
      <c r="F1384" s="73">
        <f>F1329</f>
        <v>5005</v>
      </c>
      <c r="G1384" s="78">
        <f>G1329</f>
        <v>2502.5</v>
      </c>
      <c r="H1384" s="78">
        <f>E1384+F1384+G1384</f>
        <v>85585.5</v>
      </c>
      <c r="I1384" s="73">
        <v>1932.7</v>
      </c>
      <c r="J1384" s="78">
        <f>ROUND((H1384/I1384)/60,2)</f>
        <v>0.74</v>
      </c>
    </row>
    <row r="1386" spans="1:14" ht="27.6" x14ac:dyDescent="0.3">
      <c r="C1386" s="318" t="s">
        <v>929</v>
      </c>
      <c r="D1386" s="14" t="s">
        <v>961</v>
      </c>
      <c r="E1386" s="14" t="s">
        <v>930</v>
      </c>
      <c r="F1386" s="14" t="s">
        <v>931</v>
      </c>
    </row>
    <row r="1387" spans="1:14" x14ac:dyDescent="0.3">
      <c r="C1387" s="320" t="str">
        <f>C1383</f>
        <v>Лікар з ультразвукової діагностики</v>
      </c>
      <c r="D1387" s="78">
        <f>J1383</f>
        <v>0.9</v>
      </c>
      <c r="E1387" s="73">
        <v>40</v>
      </c>
      <c r="F1387" s="299">
        <f>ROUND(D1387*E1387,2)</f>
        <v>36</v>
      </c>
    </row>
    <row r="1388" spans="1:14" x14ac:dyDescent="0.3">
      <c r="C1388" s="320" t="str">
        <f>C1384</f>
        <v xml:space="preserve">Сестра медична </v>
      </c>
      <c r="D1388" s="78">
        <f>J1384</f>
        <v>0.74</v>
      </c>
      <c r="E1388" s="73">
        <v>40</v>
      </c>
      <c r="F1388" s="299">
        <f>ROUND(D1388*E1388,2)</f>
        <v>29.6</v>
      </c>
    </row>
    <row r="1389" spans="1:14" x14ac:dyDescent="0.3">
      <c r="D1389" s="19"/>
    </row>
    <row r="1390" spans="1:14" x14ac:dyDescent="0.3">
      <c r="C1390" s="134" t="s">
        <v>933</v>
      </c>
      <c r="D1390" s="78">
        <f>F1387+F1388</f>
        <v>65.599999999999994</v>
      </c>
      <c r="E1390" s="300">
        <v>0.22</v>
      </c>
      <c r="F1390" s="301">
        <f>ROUND(D1390*E1390,2)</f>
        <v>14.43</v>
      </c>
    </row>
    <row r="1392" spans="1:14" x14ac:dyDescent="0.3">
      <c r="C1392" s="321" t="s">
        <v>946</v>
      </c>
      <c r="D1392" s="227"/>
      <c r="E1392" s="227"/>
      <c r="F1392" s="227">
        <f>G1404</f>
        <v>12.45</v>
      </c>
      <c r="G1392" s="227" t="s">
        <v>971</v>
      </c>
    </row>
    <row r="1393" spans="3:8" ht="6.75" customHeight="1" x14ac:dyDescent="0.3"/>
    <row r="1394" spans="3:8" x14ac:dyDescent="0.3">
      <c r="C1394" s="27" t="str">
        <f t="shared" ref="C1394:F1403" si="50">C1339</f>
        <v>Рукавиці не стерильні</v>
      </c>
      <c r="D1394" s="303" t="str">
        <f t="shared" si="50"/>
        <v>шт</v>
      </c>
      <c r="E1394" s="303">
        <f t="shared" si="50"/>
        <v>0.1</v>
      </c>
      <c r="F1394" s="303">
        <f t="shared" si="50"/>
        <v>2.8</v>
      </c>
      <c r="G1394" s="228">
        <f>ROUND(F1394*E1394,2)</f>
        <v>0.28000000000000003</v>
      </c>
    </row>
    <row r="1395" spans="3:8" x14ac:dyDescent="0.3">
      <c r="C1395" s="27" t="str">
        <f t="shared" si="50"/>
        <v xml:space="preserve">Септил 70% 100мл </v>
      </c>
      <c r="D1395" s="303" t="str">
        <f t="shared" si="50"/>
        <v>шт</v>
      </c>
      <c r="E1395" s="303">
        <f t="shared" si="50"/>
        <v>0.01</v>
      </c>
      <c r="F1395" s="303">
        <f t="shared" si="50"/>
        <v>24.6</v>
      </c>
      <c r="G1395" s="228">
        <f t="shared" ref="G1395:G1400" si="51">ROUND(F1395*E1395,2)</f>
        <v>0.25</v>
      </c>
    </row>
    <row r="1396" spans="3:8" x14ac:dyDescent="0.3">
      <c r="C1396" s="27" t="str">
        <f t="shared" si="50"/>
        <v>Маска на резинці, стерильна.</v>
      </c>
      <c r="D1396" s="303" t="str">
        <f t="shared" si="50"/>
        <v>шт</v>
      </c>
      <c r="E1396" s="303">
        <f t="shared" si="50"/>
        <v>0.1</v>
      </c>
      <c r="F1396" s="303">
        <f t="shared" si="50"/>
        <v>2</v>
      </c>
      <c r="G1396" s="228">
        <f t="shared" si="51"/>
        <v>0.2</v>
      </c>
    </row>
    <row r="1397" spans="3:8" x14ac:dyDescent="0.3">
      <c r="C1397" s="27" t="str">
        <f t="shared" si="50"/>
        <v>Мікрасепт</v>
      </c>
      <c r="D1397" s="303" t="str">
        <f t="shared" si="50"/>
        <v>мл</v>
      </c>
      <c r="E1397" s="303">
        <f t="shared" si="50"/>
        <v>1</v>
      </c>
      <c r="F1397" s="303">
        <f t="shared" si="50"/>
        <v>0.3</v>
      </c>
      <c r="G1397" s="28">
        <f>ROUND(E1397*F1397,2)</f>
        <v>0.3</v>
      </c>
    </row>
    <row r="1398" spans="3:8" x14ac:dyDescent="0.3">
      <c r="C1398" s="27" t="str">
        <f t="shared" si="50"/>
        <v>Папір офісний А4</v>
      </c>
      <c r="D1398" s="303" t="str">
        <f t="shared" si="50"/>
        <v>шт</v>
      </c>
      <c r="E1398" s="303">
        <f t="shared" si="50"/>
        <v>2</v>
      </c>
      <c r="F1398" s="303">
        <f t="shared" si="50"/>
        <v>0.3</v>
      </c>
      <c r="G1398" s="228">
        <f t="shared" si="51"/>
        <v>0.6</v>
      </c>
    </row>
    <row r="1399" spans="3:8" x14ac:dyDescent="0.3">
      <c r="C1399" s="27" t="str">
        <f t="shared" si="50"/>
        <v xml:space="preserve">Гель для УЗД , 1000 гр. </v>
      </c>
      <c r="D1399" s="303" t="str">
        <f t="shared" si="50"/>
        <v>пляшка</v>
      </c>
      <c r="E1399" s="303">
        <f t="shared" si="50"/>
        <v>0.1</v>
      </c>
      <c r="F1399" s="303">
        <f t="shared" si="50"/>
        <v>48</v>
      </c>
      <c r="G1399" s="228">
        <f t="shared" si="51"/>
        <v>4.8</v>
      </c>
    </row>
    <row r="1400" spans="3:8" x14ac:dyDescent="0.3">
      <c r="C1400" s="27" t="str">
        <f t="shared" si="50"/>
        <v>Паперові рушники "Fesko Professional"</v>
      </c>
      <c r="D1400" s="303" t="str">
        <f t="shared" si="50"/>
        <v>рул</v>
      </c>
      <c r="E1400" s="303">
        <f t="shared" si="50"/>
        <v>0.3</v>
      </c>
      <c r="F1400" s="303">
        <f t="shared" si="50"/>
        <v>17</v>
      </c>
      <c r="G1400" s="228">
        <f t="shared" si="51"/>
        <v>5.0999999999999996</v>
      </c>
    </row>
    <row r="1401" spans="3:8" x14ac:dyDescent="0.3">
      <c r="C1401" s="27" t="str">
        <f t="shared" si="50"/>
        <v>Марля медична</v>
      </c>
      <c r="D1401" s="303" t="str">
        <f t="shared" si="50"/>
        <v>метр</v>
      </c>
      <c r="E1401" s="303">
        <f t="shared" si="50"/>
        <v>0.1</v>
      </c>
      <c r="F1401" s="303">
        <f t="shared" si="50"/>
        <v>6</v>
      </c>
      <c r="G1401" s="28">
        <f>ROUND(E1401*F1401,2)</f>
        <v>0.6</v>
      </c>
    </row>
    <row r="1402" spans="3:8" x14ac:dyDescent="0.3">
      <c r="C1402" s="27" t="str">
        <f t="shared" si="50"/>
        <v>Вата</v>
      </c>
      <c r="D1402" s="303" t="str">
        <f t="shared" si="50"/>
        <v>г</v>
      </c>
      <c r="E1402" s="303">
        <f t="shared" si="50"/>
        <v>1</v>
      </c>
      <c r="F1402" s="303">
        <f t="shared" si="50"/>
        <v>7.0000000000000007E-2</v>
      </c>
      <c r="G1402" s="28">
        <f>ROUND(E1402*F1402,2)</f>
        <v>7.0000000000000007E-2</v>
      </c>
    </row>
    <row r="1403" spans="3:8" x14ac:dyDescent="0.3">
      <c r="C1403" s="27" t="str">
        <f t="shared" si="50"/>
        <v>Деззасоби</v>
      </c>
      <c r="D1403" s="303" t="str">
        <f t="shared" si="50"/>
        <v>г</v>
      </c>
      <c r="E1403" s="303">
        <f t="shared" si="50"/>
        <v>0.5</v>
      </c>
      <c r="F1403" s="303">
        <f t="shared" si="50"/>
        <v>0.5</v>
      </c>
      <c r="G1403" s="28">
        <f>ROUND(E1403*F1403,2)</f>
        <v>0.25</v>
      </c>
    </row>
    <row r="1404" spans="3:8" x14ac:dyDescent="0.3">
      <c r="C1404" s="1019" t="s">
        <v>945</v>
      </c>
      <c r="D1404" s="1019"/>
      <c r="E1404" s="1019"/>
      <c r="F1404" s="1019"/>
      <c r="G1404" s="332">
        <f>SUM(G1394:G1403)</f>
        <v>12.45</v>
      </c>
    </row>
    <row r="1406" spans="3:8" x14ac:dyDescent="0.3">
      <c r="C1406" s="321" t="s">
        <v>968</v>
      </c>
      <c r="D1406" s="227"/>
      <c r="E1406" s="227"/>
      <c r="F1406" s="298">
        <f>H1409</f>
        <v>54.8</v>
      </c>
      <c r="G1406" s="227" t="s">
        <v>971</v>
      </c>
    </row>
    <row r="1407" spans="3:8" ht="9" customHeight="1" x14ac:dyDescent="0.3">
      <c r="C1407" s="322"/>
      <c r="D1407" s="36"/>
      <c r="E1407" s="36"/>
      <c r="F1407" s="302"/>
      <c r="G1407" s="36"/>
    </row>
    <row r="1408" spans="3:8" ht="27.6" x14ac:dyDescent="0.3">
      <c r="C1408" s="46" t="s">
        <v>513</v>
      </c>
      <c r="D1408" s="14" t="s">
        <v>1108</v>
      </c>
      <c r="E1408" s="14" t="s">
        <v>516</v>
      </c>
      <c r="F1408" s="14" t="s">
        <v>970</v>
      </c>
      <c r="G1408" s="14" t="s">
        <v>930</v>
      </c>
      <c r="H1408" s="14" t="s">
        <v>961</v>
      </c>
    </row>
    <row r="1409" spans="3:9" x14ac:dyDescent="0.3">
      <c r="C1409" s="27" t="str">
        <f>C1354</f>
        <v>Ультразвукова система AFFINITI 30</v>
      </c>
      <c r="D1409" s="73">
        <f>D1354</f>
        <v>136236.38</v>
      </c>
      <c r="E1409" s="73">
        <f>I1383</f>
        <v>1656.6</v>
      </c>
      <c r="F1409" s="73">
        <f>ROUND((D1409/E1409)/60,2)</f>
        <v>1.37</v>
      </c>
      <c r="G1409" s="73">
        <f>E1387</f>
        <v>40</v>
      </c>
      <c r="H1409" s="78">
        <f>ROUND(F1409*G1409,2)</f>
        <v>54.8</v>
      </c>
      <c r="I1409" s="333"/>
    </row>
    <row r="1411" spans="3:9" x14ac:dyDescent="0.3">
      <c r="C1411" s="321" t="s">
        <v>948</v>
      </c>
      <c r="D1411" s="227"/>
      <c r="E1411" s="227"/>
      <c r="F1411" s="298">
        <f>H1424</f>
        <v>10.4</v>
      </c>
      <c r="G1411" s="227" t="s">
        <v>971</v>
      </c>
    </row>
    <row r="1412" spans="3:9" ht="6.75" customHeight="1" x14ac:dyDescent="0.3">
      <c r="C1412" s="322"/>
      <c r="D1412" s="36"/>
      <c r="E1412" s="36"/>
      <c r="F1412" s="302"/>
    </row>
    <row r="1413" spans="3:9" ht="27.6" x14ac:dyDescent="0.3">
      <c r="C1413" s="46" t="s">
        <v>948</v>
      </c>
      <c r="D1413" s="14" t="s">
        <v>1110</v>
      </c>
      <c r="E1413" s="14" t="s">
        <v>516</v>
      </c>
      <c r="F1413" s="14" t="s">
        <v>954</v>
      </c>
      <c r="G1413" s="14" t="s">
        <v>930</v>
      </c>
      <c r="H1413" s="14" t="s">
        <v>1111</v>
      </c>
    </row>
    <row r="1414" spans="3:9" x14ac:dyDescent="0.3">
      <c r="C1414" s="1009" t="str">
        <f>C1383</f>
        <v>Лікар з ультразвукової діагностики</v>
      </c>
      <c r="D1414" s="1010"/>
      <c r="E1414" s="1010"/>
      <c r="F1414" s="1010"/>
      <c r="G1414" s="1010"/>
      <c r="H1414" s="1011"/>
    </row>
    <row r="1415" spans="3:9" x14ac:dyDescent="0.3">
      <c r="C1415" s="134" t="s">
        <v>951</v>
      </c>
      <c r="D1415" s="221">
        <f>D1360</f>
        <v>12188.608008565312</v>
      </c>
      <c r="E1415" s="73">
        <f>I1383</f>
        <v>1656.6</v>
      </c>
      <c r="F1415" s="73">
        <f>ROUND((D1415/E1415)/60,2)</f>
        <v>0.12</v>
      </c>
      <c r="G1415" s="73">
        <f>E1387</f>
        <v>40</v>
      </c>
      <c r="H1415" s="78">
        <f>ROUND(F1415*G1415,2)</f>
        <v>4.8</v>
      </c>
    </row>
    <row r="1416" spans="3:9" x14ac:dyDescent="0.3">
      <c r="C1416" s="134" t="s">
        <v>952</v>
      </c>
      <c r="D1416" s="221">
        <f>D1361</f>
        <v>53.149721627408987</v>
      </c>
      <c r="E1416" s="73">
        <f>I1383</f>
        <v>1656.6</v>
      </c>
      <c r="F1416" s="73">
        <f>ROUND((D1416/E1416)/60,2)</f>
        <v>0</v>
      </c>
      <c r="G1416" s="73">
        <f>E1387</f>
        <v>40</v>
      </c>
      <c r="H1416" s="78">
        <f>ROUND(F1416*G1416,2)</f>
        <v>0</v>
      </c>
    </row>
    <row r="1417" spans="3:9" x14ac:dyDescent="0.3">
      <c r="C1417" s="134" t="s">
        <v>953</v>
      </c>
      <c r="D1417" s="221">
        <f>D1362</f>
        <v>374.98368308351178</v>
      </c>
      <c r="E1417" s="73">
        <f>I1383</f>
        <v>1656.6</v>
      </c>
      <c r="F1417" s="73">
        <f>ROUND((D1417/E1417)/60,2)</f>
        <v>0</v>
      </c>
      <c r="G1417" s="73">
        <f>E1387</f>
        <v>40</v>
      </c>
      <c r="H1417" s="78">
        <f>ROUND(F1417*G1417,2)</f>
        <v>0</v>
      </c>
    </row>
    <row r="1418" spans="3:9" x14ac:dyDescent="0.3">
      <c r="C1418" s="134" t="s">
        <v>1109</v>
      </c>
      <c r="D1418" s="221">
        <f>D1363</f>
        <v>1686.0389293361886</v>
      </c>
      <c r="E1418" s="73">
        <f>I1383</f>
        <v>1656.6</v>
      </c>
      <c r="F1418" s="73">
        <f>ROUND((D1418/E1418)/60,2)</f>
        <v>0.02</v>
      </c>
      <c r="G1418" s="73">
        <f>E1387</f>
        <v>40</v>
      </c>
      <c r="H1418" s="78">
        <f>ROUND(F1418*G1418,2)</f>
        <v>0.8</v>
      </c>
    </row>
    <row r="1419" spans="3:9" x14ac:dyDescent="0.3">
      <c r="C1419" s="1009" t="str">
        <f>C1384</f>
        <v xml:space="preserve">Сестра медична </v>
      </c>
      <c r="D1419" s="1010"/>
      <c r="E1419" s="1010"/>
      <c r="F1419" s="1010"/>
      <c r="G1419" s="1010"/>
      <c r="H1419" s="1011"/>
    </row>
    <row r="1420" spans="3:9" x14ac:dyDescent="0.3">
      <c r="C1420" s="134" t="s">
        <v>951</v>
      </c>
      <c r="D1420" s="221">
        <f>D1415</f>
        <v>12188.608008565312</v>
      </c>
      <c r="E1420" s="73">
        <f>I1384</f>
        <v>1932.7</v>
      </c>
      <c r="F1420" s="73">
        <f>ROUND((D1420/E1420)/60,2)</f>
        <v>0.11</v>
      </c>
      <c r="G1420" s="73">
        <f>E1388</f>
        <v>40</v>
      </c>
      <c r="H1420" s="78">
        <f>ROUND(F1420*G1420,2)</f>
        <v>4.4000000000000004</v>
      </c>
    </row>
    <row r="1421" spans="3:9" x14ac:dyDescent="0.3">
      <c r="C1421" s="134" t="s">
        <v>952</v>
      </c>
      <c r="D1421" s="221">
        <f>D1416</f>
        <v>53.149721627408987</v>
      </c>
      <c r="E1421" s="73">
        <f>I1384</f>
        <v>1932.7</v>
      </c>
      <c r="F1421" s="73">
        <f>ROUND((D1421/E1421)/60,2)</f>
        <v>0</v>
      </c>
      <c r="G1421" s="73">
        <f>E1388</f>
        <v>40</v>
      </c>
      <c r="H1421" s="78">
        <f>ROUND(F1421*G1421,2)</f>
        <v>0</v>
      </c>
    </row>
    <row r="1422" spans="3:9" x14ac:dyDescent="0.3">
      <c r="C1422" s="134" t="s">
        <v>953</v>
      </c>
      <c r="D1422" s="221">
        <f>D1417</f>
        <v>374.98368308351178</v>
      </c>
      <c r="E1422" s="73">
        <f>I1384</f>
        <v>1932.7</v>
      </c>
      <c r="F1422" s="73">
        <f>ROUND((D1422/E1422)/60,2)</f>
        <v>0</v>
      </c>
      <c r="G1422" s="73">
        <f>E1388</f>
        <v>40</v>
      </c>
      <c r="H1422" s="78">
        <f>ROUND(F1422*G1422,2)</f>
        <v>0</v>
      </c>
    </row>
    <row r="1423" spans="3:9" x14ac:dyDescent="0.3">
      <c r="C1423" s="134" t="s">
        <v>1109</v>
      </c>
      <c r="D1423" s="221">
        <f>D1418</f>
        <v>1686.0389293361886</v>
      </c>
      <c r="E1423" s="73">
        <f>I1384</f>
        <v>1932.7</v>
      </c>
      <c r="F1423" s="73">
        <f>ROUND((D1423/E1423)/60,2)</f>
        <v>0.01</v>
      </c>
      <c r="G1423" s="73">
        <f>E1388</f>
        <v>40</v>
      </c>
      <c r="H1423" s="78">
        <f>ROUND(F1423*G1423,2)</f>
        <v>0.4</v>
      </c>
    </row>
    <row r="1424" spans="3:9" x14ac:dyDescent="0.3">
      <c r="C1424" s="1012" t="s">
        <v>957</v>
      </c>
      <c r="D1424" s="1013"/>
      <c r="E1424" s="1013"/>
      <c r="F1424" s="1013"/>
      <c r="G1424" s="1014"/>
      <c r="H1424" s="299">
        <f>SUM(H1415:H1423)</f>
        <v>10.4</v>
      </c>
    </row>
    <row r="1427" spans="1:14" x14ac:dyDescent="0.3">
      <c r="C1427" s="1015" t="s">
        <v>959</v>
      </c>
      <c r="D1427" s="1015"/>
      <c r="E1427" s="1015"/>
      <c r="F1427" s="1015"/>
      <c r="G1427" s="1015"/>
      <c r="H1427" s="334">
        <f>F1380+F1392+F1406+F1411</f>
        <v>157.68</v>
      </c>
    </row>
    <row r="1428" spans="1:14" x14ac:dyDescent="0.3">
      <c r="C1428" s="323"/>
      <c r="D1428" s="33"/>
      <c r="E1428" s="33"/>
      <c r="F1428" s="33"/>
      <c r="G1428" s="33"/>
      <c r="H1428" s="335"/>
    </row>
    <row r="1429" spans="1:14" x14ac:dyDescent="0.3">
      <c r="C1429" s="1015" t="s">
        <v>960</v>
      </c>
      <c r="D1429" s="1015"/>
      <c r="E1429" s="1015"/>
      <c r="F1429" s="1015"/>
      <c r="G1429" s="1015"/>
      <c r="H1429" s="334">
        <f>ROUND(H1427,0)</f>
        <v>158</v>
      </c>
    </row>
    <row r="1431" spans="1:14" s="54" customFormat="1" ht="19.8" x14ac:dyDescent="0.4">
      <c r="A1431" s="53"/>
      <c r="B1431" s="1016" t="s">
        <v>958</v>
      </c>
      <c r="C1431" s="1016"/>
      <c r="D1431" s="1016"/>
      <c r="E1431" s="1016"/>
      <c r="F1431" s="1016"/>
      <c r="G1431" s="1016"/>
      <c r="H1431" s="1016"/>
      <c r="I1431" s="1016"/>
      <c r="J1431" s="1016"/>
      <c r="K1431" s="70"/>
      <c r="L1431" s="348"/>
      <c r="M1431" s="348"/>
      <c r="N1431" s="99"/>
    </row>
    <row r="1432" spans="1:14" s="54" customFormat="1" ht="19.8" x14ac:dyDescent="0.4">
      <c r="A1432" s="53"/>
      <c r="B1432" s="53"/>
      <c r="C1432" s="56"/>
      <c r="D1432" s="225"/>
      <c r="E1432" s="225"/>
      <c r="F1432" s="225"/>
      <c r="G1432" s="225"/>
      <c r="H1432" s="225"/>
      <c r="I1432" s="225"/>
      <c r="J1432" s="225"/>
      <c r="K1432" s="70"/>
      <c r="L1432" s="348"/>
      <c r="M1432" s="348"/>
      <c r="N1432" s="99"/>
    </row>
    <row r="1433" spans="1:14" s="54" customFormat="1" ht="37.5" customHeight="1" x14ac:dyDescent="0.4">
      <c r="A1433" s="53"/>
      <c r="B1433" s="50" t="s">
        <v>594</v>
      </c>
      <c r="C1433" s="1017" t="s">
        <v>653</v>
      </c>
      <c r="D1433" s="1017"/>
      <c r="E1433" s="1017"/>
      <c r="F1433" s="296">
        <f>H1484</f>
        <v>158</v>
      </c>
      <c r="G1433" s="296" t="s">
        <v>971</v>
      </c>
      <c r="H1433" s="225"/>
      <c r="I1433" s="225"/>
      <c r="J1433" s="225"/>
      <c r="K1433" s="70"/>
      <c r="L1433" s="348"/>
      <c r="M1433" s="348"/>
      <c r="N1433" s="99"/>
    </row>
    <row r="1435" spans="1:14" x14ac:dyDescent="0.3">
      <c r="C1435" s="1018" t="s">
        <v>932</v>
      </c>
      <c r="D1435" s="1018"/>
      <c r="E1435" s="297"/>
      <c r="F1435" s="298">
        <f>F1442+F1445+F1443</f>
        <v>80.03</v>
      </c>
      <c r="G1435" s="227" t="s">
        <v>971</v>
      </c>
    </row>
    <row r="1436" spans="1:14" ht="10.5" customHeight="1" x14ac:dyDescent="0.3"/>
    <row r="1437" spans="1:14" x14ac:dyDescent="0.3">
      <c r="C1437" s="318" t="s">
        <v>929</v>
      </c>
      <c r="D1437" s="14" t="s">
        <v>928</v>
      </c>
      <c r="E1437" s="14" t="s">
        <v>514</v>
      </c>
      <c r="F1437" s="14" t="s">
        <v>515</v>
      </c>
      <c r="G1437" s="14" t="s">
        <v>962</v>
      </c>
      <c r="H1437" s="14" t="s">
        <v>926</v>
      </c>
      <c r="I1437" s="14" t="s">
        <v>516</v>
      </c>
      <c r="J1437" s="14" t="s">
        <v>961</v>
      </c>
    </row>
    <row r="1438" spans="1:14" x14ac:dyDescent="0.3">
      <c r="C1438" s="134" t="str">
        <f>C1383</f>
        <v>Лікар з ультразвукової діагностики</v>
      </c>
      <c r="D1438" s="73">
        <f>D1383</f>
        <v>6660.23</v>
      </c>
      <c r="E1438" s="78">
        <f>D1438*12</f>
        <v>79922.759999999995</v>
      </c>
      <c r="F1438" s="73">
        <f>F1383</f>
        <v>6054.75</v>
      </c>
      <c r="G1438" s="73">
        <f>G1383</f>
        <v>3027.375</v>
      </c>
      <c r="H1438" s="78">
        <f>E1438+F1438+G1438</f>
        <v>89004.884999999995</v>
      </c>
      <c r="I1438" s="73">
        <v>1656.6</v>
      </c>
      <c r="J1438" s="78">
        <f>ROUND((H1438/I1438)/60,2)</f>
        <v>0.9</v>
      </c>
    </row>
    <row r="1439" spans="1:14" x14ac:dyDescent="0.3">
      <c r="C1439" s="134" t="str">
        <f>C1384</f>
        <v xml:space="preserve">Сестра медична </v>
      </c>
      <c r="D1439" s="73">
        <f>D1384</f>
        <v>6506.5</v>
      </c>
      <c r="E1439" s="78">
        <f>D1439*12</f>
        <v>78078</v>
      </c>
      <c r="F1439" s="73">
        <f>F1384</f>
        <v>5005</v>
      </c>
      <c r="G1439" s="73">
        <f>G1384</f>
        <v>2502.5</v>
      </c>
      <c r="H1439" s="78">
        <f>E1439+F1439+G1439</f>
        <v>85585.5</v>
      </c>
      <c r="I1439" s="73">
        <v>1932.7</v>
      </c>
      <c r="J1439" s="78">
        <f>ROUND((H1439/I1439)/60,2)</f>
        <v>0.74</v>
      </c>
    </row>
    <row r="1441" spans="3:7" ht="27.6" x14ac:dyDescent="0.3">
      <c r="C1441" s="318" t="s">
        <v>929</v>
      </c>
      <c r="D1441" s="14" t="s">
        <v>961</v>
      </c>
      <c r="E1441" s="14" t="s">
        <v>930</v>
      </c>
      <c r="F1441" s="14" t="s">
        <v>931</v>
      </c>
    </row>
    <row r="1442" spans="3:7" x14ac:dyDescent="0.3">
      <c r="C1442" s="320" t="str">
        <f>C1438</f>
        <v>Лікар з ультразвукової діагностики</v>
      </c>
      <c r="D1442" s="78">
        <f>J1438</f>
        <v>0.9</v>
      </c>
      <c r="E1442" s="73">
        <v>40</v>
      </c>
      <c r="F1442" s="299">
        <f>ROUND(D1442*E1442,2)</f>
        <v>36</v>
      </c>
    </row>
    <row r="1443" spans="3:7" x14ac:dyDescent="0.3">
      <c r="C1443" s="320" t="str">
        <f>C1439</f>
        <v xml:space="preserve">Сестра медична </v>
      </c>
      <c r="D1443" s="78">
        <f>J1439</f>
        <v>0.74</v>
      </c>
      <c r="E1443" s="73">
        <v>40</v>
      </c>
      <c r="F1443" s="299">
        <f>ROUND(D1443*E1443,2)</f>
        <v>29.6</v>
      </c>
    </row>
    <row r="1444" spans="3:7" x14ac:dyDescent="0.3">
      <c r="D1444" s="19"/>
    </row>
    <row r="1445" spans="3:7" x14ac:dyDescent="0.3">
      <c r="C1445" s="134" t="s">
        <v>933</v>
      </c>
      <c r="D1445" s="78">
        <f>F1442+F1443</f>
        <v>65.599999999999994</v>
      </c>
      <c r="E1445" s="300">
        <v>0.22</v>
      </c>
      <c r="F1445" s="301">
        <f>ROUND(D1445*E1445,2)</f>
        <v>14.43</v>
      </c>
    </row>
    <row r="1447" spans="3:7" x14ac:dyDescent="0.3">
      <c r="C1447" s="321" t="s">
        <v>946</v>
      </c>
      <c r="D1447" s="227"/>
      <c r="E1447" s="227"/>
      <c r="F1447" s="227">
        <f>G1459</f>
        <v>12.45</v>
      </c>
      <c r="G1447" s="227" t="s">
        <v>971</v>
      </c>
    </row>
    <row r="1448" spans="3:7" ht="9" customHeight="1" x14ac:dyDescent="0.3"/>
    <row r="1449" spans="3:7" x14ac:dyDescent="0.3">
      <c r="C1449" s="27" t="str">
        <f t="shared" ref="C1449:F1458" si="52">C1394</f>
        <v>Рукавиці не стерильні</v>
      </c>
      <c r="D1449" s="303" t="str">
        <f t="shared" si="52"/>
        <v>шт</v>
      </c>
      <c r="E1449" s="303">
        <f t="shared" si="52"/>
        <v>0.1</v>
      </c>
      <c r="F1449" s="303">
        <f t="shared" si="52"/>
        <v>2.8</v>
      </c>
      <c r="G1449" s="228">
        <f>ROUND(F1449*E1449,2)</f>
        <v>0.28000000000000003</v>
      </c>
    </row>
    <row r="1450" spans="3:7" x14ac:dyDescent="0.3">
      <c r="C1450" s="27" t="str">
        <f t="shared" si="52"/>
        <v xml:space="preserve">Септил 70% 100мл </v>
      </c>
      <c r="D1450" s="303" t="str">
        <f t="shared" si="52"/>
        <v>шт</v>
      </c>
      <c r="E1450" s="303">
        <f t="shared" si="52"/>
        <v>0.01</v>
      </c>
      <c r="F1450" s="303">
        <f t="shared" si="52"/>
        <v>24.6</v>
      </c>
      <c r="G1450" s="228">
        <f t="shared" ref="G1450:G1455" si="53">ROUND(F1450*E1450,2)</f>
        <v>0.25</v>
      </c>
    </row>
    <row r="1451" spans="3:7" x14ac:dyDescent="0.3">
      <c r="C1451" s="27" t="str">
        <f t="shared" si="52"/>
        <v>Маска на резинці, стерильна.</v>
      </c>
      <c r="D1451" s="303" t="str">
        <f t="shared" si="52"/>
        <v>шт</v>
      </c>
      <c r="E1451" s="303">
        <f t="shared" si="52"/>
        <v>0.1</v>
      </c>
      <c r="F1451" s="303">
        <f t="shared" si="52"/>
        <v>2</v>
      </c>
      <c r="G1451" s="228">
        <f t="shared" si="53"/>
        <v>0.2</v>
      </c>
    </row>
    <row r="1452" spans="3:7" x14ac:dyDescent="0.3">
      <c r="C1452" s="27" t="str">
        <f t="shared" si="52"/>
        <v>Мікрасепт</v>
      </c>
      <c r="D1452" s="303" t="str">
        <f t="shared" si="52"/>
        <v>мл</v>
      </c>
      <c r="E1452" s="303">
        <f t="shared" si="52"/>
        <v>1</v>
      </c>
      <c r="F1452" s="303">
        <f t="shared" si="52"/>
        <v>0.3</v>
      </c>
      <c r="G1452" s="28">
        <f>ROUND(E1452*F1452,2)</f>
        <v>0.3</v>
      </c>
    </row>
    <row r="1453" spans="3:7" x14ac:dyDescent="0.3">
      <c r="C1453" s="27" t="str">
        <f t="shared" si="52"/>
        <v>Папір офісний А4</v>
      </c>
      <c r="D1453" s="303" t="str">
        <f t="shared" si="52"/>
        <v>шт</v>
      </c>
      <c r="E1453" s="303">
        <f t="shared" si="52"/>
        <v>2</v>
      </c>
      <c r="F1453" s="303">
        <f t="shared" si="52"/>
        <v>0.3</v>
      </c>
      <c r="G1453" s="228">
        <f t="shared" si="53"/>
        <v>0.6</v>
      </c>
    </row>
    <row r="1454" spans="3:7" x14ac:dyDescent="0.3">
      <c r="C1454" s="27" t="str">
        <f t="shared" si="52"/>
        <v xml:space="preserve">Гель для УЗД , 1000 гр. </v>
      </c>
      <c r="D1454" s="303" t="str">
        <f t="shared" si="52"/>
        <v>пляшка</v>
      </c>
      <c r="E1454" s="303">
        <f t="shared" si="52"/>
        <v>0.1</v>
      </c>
      <c r="F1454" s="303">
        <f t="shared" si="52"/>
        <v>48</v>
      </c>
      <c r="G1454" s="228">
        <f t="shared" si="53"/>
        <v>4.8</v>
      </c>
    </row>
    <row r="1455" spans="3:7" x14ac:dyDescent="0.3">
      <c r="C1455" s="27" t="str">
        <f t="shared" si="52"/>
        <v>Паперові рушники "Fesko Professional"</v>
      </c>
      <c r="D1455" s="303" t="str">
        <f t="shared" si="52"/>
        <v>рул</v>
      </c>
      <c r="E1455" s="303">
        <f t="shared" si="52"/>
        <v>0.3</v>
      </c>
      <c r="F1455" s="303">
        <f t="shared" si="52"/>
        <v>17</v>
      </c>
      <c r="G1455" s="228">
        <f t="shared" si="53"/>
        <v>5.0999999999999996</v>
      </c>
    </row>
    <row r="1456" spans="3:7" x14ac:dyDescent="0.3">
      <c r="C1456" s="27" t="str">
        <f t="shared" si="52"/>
        <v>Марля медична</v>
      </c>
      <c r="D1456" s="303" t="str">
        <f t="shared" si="52"/>
        <v>метр</v>
      </c>
      <c r="E1456" s="303">
        <f t="shared" si="52"/>
        <v>0.1</v>
      </c>
      <c r="F1456" s="303">
        <f t="shared" si="52"/>
        <v>6</v>
      </c>
      <c r="G1456" s="28">
        <f>ROUND(E1456*F1456,2)</f>
        <v>0.6</v>
      </c>
    </row>
    <row r="1457" spans="3:9" x14ac:dyDescent="0.3">
      <c r="C1457" s="27" t="str">
        <f t="shared" si="52"/>
        <v>Вата</v>
      </c>
      <c r="D1457" s="303" t="str">
        <f t="shared" si="52"/>
        <v>г</v>
      </c>
      <c r="E1457" s="303">
        <f t="shared" si="52"/>
        <v>1</v>
      </c>
      <c r="F1457" s="303">
        <f t="shared" si="52"/>
        <v>7.0000000000000007E-2</v>
      </c>
      <c r="G1457" s="28">
        <f>ROUND(E1457*F1457,2)</f>
        <v>7.0000000000000007E-2</v>
      </c>
    </row>
    <row r="1458" spans="3:9" x14ac:dyDescent="0.3">
      <c r="C1458" s="27" t="str">
        <f t="shared" si="52"/>
        <v>Деззасоби</v>
      </c>
      <c r="D1458" s="303" t="str">
        <f t="shared" si="52"/>
        <v>г</v>
      </c>
      <c r="E1458" s="303">
        <f t="shared" si="52"/>
        <v>0.5</v>
      </c>
      <c r="F1458" s="303">
        <f t="shared" si="52"/>
        <v>0.5</v>
      </c>
      <c r="G1458" s="28">
        <f>ROUND(E1458*F1458,2)</f>
        <v>0.25</v>
      </c>
    </row>
    <row r="1459" spans="3:9" x14ac:dyDescent="0.3">
      <c r="C1459" s="1019" t="s">
        <v>945</v>
      </c>
      <c r="D1459" s="1019"/>
      <c r="E1459" s="1019"/>
      <c r="F1459" s="1019"/>
      <c r="G1459" s="332">
        <f>SUM(G1449:G1458)</f>
        <v>12.45</v>
      </c>
    </row>
    <row r="1461" spans="3:9" x14ac:dyDescent="0.3">
      <c r="C1461" s="321" t="s">
        <v>968</v>
      </c>
      <c r="D1461" s="227"/>
      <c r="E1461" s="227"/>
      <c r="F1461" s="298">
        <f>H1464</f>
        <v>54.8</v>
      </c>
      <c r="G1461" s="227" t="s">
        <v>971</v>
      </c>
    </row>
    <row r="1462" spans="3:9" ht="6" customHeight="1" x14ac:dyDescent="0.3">
      <c r="C1462" s="322"/>
      <c r="D1462" s="36"/>
      <c r="E1462" s="36"/>
      <c r="F1462" s="302"/>
      <c r="G1462" s="36"/>
    </row>
    <row r="1463" spans="3:9" ht="27.6" x14ac:dyDescent="0.3">
      <c r="C1463" s="46" t="s">
        <v>513</v>
      </c>
      <c r="D1463" s="14" t="s">
        <v>1108</v>
      </c>
      <c r="E1463" s="14" t="s">
        <v>516</v>
      </c>
      <c r="F1463" s="14" t="s">
        <v>970</v>
      </c>
      <c r="G1463" s="14" t="s">
        <v>930</v>
      </c>
      <c r="H1463" s="14" t="s">
        <v>961</v>
      </c>
    </row>
    <row r="1464" spans="3:9" x14ac:dyDescent="0.3">
      <c r="C1464" s="27" t="str">
        <f>C1409</f>
        <v>Ультразвукова система AFFINITI 30</v>
      </c>
      <c r="D1464" s="73">
        <f>D1409</f>
        <v>136236.38</v>
      </c>
      <c r="E1464" s="73">
        <f>I1438</f>
        <v>1656.6</v>
      </c>
      <c r="F1464" s="73">
        <f>ROUND((D1464/E1464)/60,2)</f>
        <v>1.37</v>
      </c>
      <c r="G1464" s="73">
        <f>E1442</f>
        <v>40</v>
      </c>
      <c r="H1464" s="78">
        <f>ROUND(F1464*G1464,2)</f>
        <v>54.8</v>
      </c>
      <c r="I1464" s="333"/>
    </row>
    <row r="1466" spans="3:9" x14ac:dyDescent="0.3">
      <c r="C1466" s="321" t="s">
        <v>948</v>
      </c>
      <c r="D1466" s="227"/>
      <c r="E1466" s="227"/>
      <c r="F1466" s="298">
        <f>H1479</f>
        <v>10.4</v>
      </c>
      <c r="G1466" s="227" t="s">
        <v>971</v>
      </c>
    </row>
    <row r="1467" spans="3:9" x14ac:dyDescent="0.3">
      <c r="C1467" s="322"/>
      <c r="D1467" s="36"/>
      <c r="E1467" s="36"/>
      <c r="F1467" s="302"/>
    </row>
    <row r="1468" spans="3:9" ht="27.6" x14ac:dyDescent="0.3">
      <c r="C1468" s="46" t="s">
        <v>948</v>
      </c>
      <c r="D1468" s="14" t="s">
        <v>1110</v>
      </c>
      <c r="E1468" s="14" t="s">
        <v>516</v>
      </c>
      <c r="F1468" s="14" t="s">
        <v>954</v>
      </c>
      <c r="G1468" s="14" t="s">
        <v>930</v>
      </c>
      <c r="H1468" s="14" t="s">
        <v>1111</v>
      </c>
    </row>
    <row r="1469" spans="3:9" x14ac:dyDescent="0.3">
      <c r="C1469" s="1009" t="str">
        <f>C1438</f>
        <v>Лікар з ультразвукової діагностики</v>
      </c>
      <c r="D1469" s="1010"/>
      <c r="E1469" s="1010"/>
      <c r="F1469" s="1010"/>
      <c r="G1469" s="1010"/>
      <c r="H1469" s="1011"/>
    </row>
    <row r="1470" spans="3:9" x14ac:dyDescent="0.3">
      <c r="C1470" s="134" t="s">
        <v>951</v>
      </c>
      <c r="D1470" s="221">
        <f>D1415</f>
        <v>12188.608008565312</v>
      </c>
      <c r="E1470" s="73">
        <f>I1438</f>
        <v>1656.6</v>
      </c>
      <c r="F1470" s="73">
        <f>ROUND((D1470/E1470)/60,2)</f>
        <v>0.12</v>
      </c>
      <c r="G1470" s="73">
        <f>E1442</f>
        <v>40</v>
      </c>
      <c r="H1470" s="78">
        <f>ROUND(F1470*G1470,2)</f>
        <v>4.8</v>
      </c>
    </row>
    <row r="1471" spans="3:9" x14ac:dyDescent="0.3">
      <c r="C1471" s="134" t="s">
        <v>952</v>
      </c>
      <c r="D1471" s="221">
        <f>D1416</f>
        <v>53.149721627408987</v>
      </c>
      <c r="E1471" s="73">
        <f>I1438</f>
        <v>1656.6</v>
      </c>
      <c r="F1471" s="73">
        <f>ROUND((D1471/E1471)/60,2)</f>
        <v>0</v>
      </c>
      <c r="G1471" s="73">
        <f>E1442</f>
        <v>40</v>
      </c>
      <c r="H1471" s="78">
        <f>ROUND(F1471*G1471,2)</f>
        <v>0</v>
      </c>
    </row>
    <row r="1472" spans="3:9" x14ac:dyDescent="0.3">
      <c r="C1472" s="134" t="s">
        <v>953</v>
      </c>
      <c r="D1472" s="221">
        <f>D1417</f>
        <v>374.98368308351178</v>
      </c>
      <c r="E1472" s="73">
        <f>I1438</f>
        <v>1656.6</v>
      </c>
      <c r="F1472" s="73">
        <f>ROUND((D1472/E1472)/60,2)</f>
        <v>0</v>
      </c>
      <c r="G1472" s="73">
        <f>E1442</f>
        <v>40</v>
      </c>
      <c r="H1472" s="78">
        <f>ROUND(F1472*G1472,2)</f>
        <v>0</v>
      </c>
    </row>
    <row r="1473" spans="1:14" x14ac:dyDescent="0.3">
      <c r="C1473" s="134" t="s">
        <v>1109</v>
      </c>
      <c r="D1473" s="221">
        <f>D1418</f>
        <v>1686.0389293361886</v>
      </c>
      <c r="E1473" s="73">
        <f>I1438</f>
        <v>1656.6</v>
      </c>
      <c r="F1473" s="73">
        <f>ROUND((D1473/E1473)/60,2)</f>
        <v>0.02</v>
      </c>
      <c r="G1473" s="73">
        <f>E1442</f>
        <v>40</v>
      </c>
      <c r="H1473" s="78">
        <f>ROUND(F1473*G1473,2)</f>
        <v>0.8</v>
      </c>
    </row>
    <row r="1474" spans="1:14" x14ac:dyDescent="0.3">
      <c r="C1474" s="1009" t="str">
        <f>C1439</f>
        <v xml:space="preserve">Сестра медична </v>
      </c>
      <c r="D1474" s="1010"/>
      <c r="E1474" s="1010"/>
      <c r="F1474" s="1010"/>
      <c r="G1474" s="1010"/>
      <c r="H1474" s="1011"/>
    </row>
    <row r="1475" spans="1:14" x14ac:dyDescent="0.3">
      <c r="C1475" s="134" t="s">
        <v>951</v>
      </c>
      <c r="D1475" s="221">
        <f>D1470</f>
        <v>12188.608008565312</v>
      </c>
      <c r="E1475" s="73">
        <f>I1439</f>
        <v>1932.7</v>
      </c>
      <c r="F1475" s="73">
        <f>ROUND((D1475/E1475)/60,2)</f>
        <v>0.11</v>
      </c>
      <c r="G1475" s="73">
        <f>E1443</f>
        <v>40</v>
      </c>
      <c r="H1475" s="78">
        <f>ROUND(F1475*G1475,2)</f>
        <v>4.4000000000000004</v>
      </c>
    </row>
    <row r="1476" spans="1:14" x14ac:dyDescent="0.3">
      <c r="C1476" s="134" t="s">
        <v>952</v>
      </c>
      <c r="D1476" s="221">
        <f>D1471</f>
        <v>53.149721627408987</v>
      </c>
      <c r="E1476" s="73">
        <f>I1439</f>
        <v>1932.7</v>
      </c>
      <c r="F1476" s="73">
        <f>ROUND((D1476/E1476)/60,2)</f>
        <v>0</v>
      </c>
      <c r="G1476" s="73">
        <f>E1443</f>
        <v>40</v>
      </c>
      <c r="H1476" s="78">
        <f>ROUND(F1476*G1476,2)</f>
        <v>0</v>
      </c>
    </row>
    <row r="1477" spans="1:14" x14ac:dyDescent="0.3">
      <c r="C1477" s="134" t="s">
        <v>953</v>
      </c>
      <c r="D1477" s="221">
        <f>D1472</f>
        <v>374.98368308351178</v>
      </c>
      <c r="E1477" s="73">
        <f>I1439</f>
        <v>1932.7</v>
      </c>
      <c r="F1477" s="73">
        <f>ROUND((D1477/E1477)/60,2)</f>
        <v>0</v>
      </c>
      <c r="G1477" s="73">
        <f>E1443</f>
        <v>40</v>
      </c>
      <c r="H1477" s="78">
        <f>ROUND(F1477*G1477,2)</f>
        <v>0</v>
      </c>
    </row>
    <row r="1478" spans="1:14" x14ac:dyDescent="0.3">
      <c r="C1478" s="134" t="s">
        <v>1109</v>
      </c>
      <c r="D1478" s="221">
        <f>D1473</f>
        <v>1686.0389293361886</v>
      </c>
      <c r="E1478" s="73">
        <f>I1439</f>
        <v>1932.7</v>
      </c>
      <c r="F1478" s="73">
        <f>ROUND((D1478/E1478)/60,2)</f>
        <v>0.01</v>
      </c>
      <c r="G1478" s="73">
        <f>E1443</f>
        <v>40</v>
      </c>
      <c r="H1478" s="78">
        <f>ROUND(F1478*G1478,2)</f>
        <v>0.4</v>
      </c>
    </row>
    <row r="1479" spans="1:14" x14ac:dyDescent="0.3">
      <c r="C1479" s="1012" t="s">
        <v>957</v>
      </c>
      <c r="D1479" s="1013"/>
      <c r="E1479" s="1013"/>
      <c r="F1479" s="1013"/>
      <c r="G1479" s="1014"/>
      <c r="H1479" s="299">
        <f>SUM(H1470:H1478)</f>
        <v>10.4</v>
      </c>
    </row>
    <row r="1480" spans="1:14" ht="9" customHeight="1" x14ac:dyDescent="0.3"/>
    <row r="1481" spans="1:14" ht="0.75" customHeight="1" x14ac:dyDescent="0.3"/>
    <row r="1482" spans="1:14" x14ac:dyDescent="0.3">
      <c r="C1482" s="1015" t="s">
        <v>959</v>
      </c>
      <c r="D1482" s="1015"/>
      <c r="E1482" s="1015"/>
      <c r="F1482" s="1015"/>
      <c r="G1482" s="1015"/>
      <c r="H1482" s="334">
        <f>F1435+F1447+F1461+F1466</f>
        <v>157.68</v>
      </c>
    </row>
    <row r="1483" spans="1:14" x14ac:dyDescent="0.3">
      <c r="C1483" s="323"/>
      <c r="D1483" s="33"/>
      <c r="E1483" s="33"/>
      <c r="F1483" s="33"/>
      <c r="G1483" s="33"/>
      <c r="H1483" s="335"/>
    </row>
    <row r="1484" spans="1:14" x14ac:dyDescent="0.3">
      <c r="C1484" s="1015" t="s">
        <v>960</v>
      </c>
      <c r="D1484" s="1015"/>
      <c r="E1484" s="1015"/>
      <c r="F1484" s="1015"/>
      <c r="G1484" s="1015"/>
      <c r="H1484" s="334">
        <f>ROUND(H1482,0)</f>
        <v>158</v>
      </c>
    </row>
    <row r="1486" spans="1:14" s="54" customFormat="1" ht="19.8" x14ac:dyDescent="0.4">
      <c r="A1486" s="53"/>
      <c r="B1486" s="1016" t="s">
        <v>958</v>
      </c>
      <c r="C1486" s="1016"/>
      <c r="D1486" s="1016"/>
      <c r="E1486" s="1016"/>
      <c r="F1486" s="1016"/>
      <c r="G1486" s="1016"/>
      <c r="H1486" s="1016"/>
      <c r="I1486" s="1016"/>
      <c r="J1486" s="1016"/>
      <c r="K1486" s="70"/>
      <c r="L1486" s="348"/>
      <c r="M1486" s="348"/>
      <c r="N1486" s="99"/>
    </row>
    <row r="1487" spans="1:14" s="54" customFormat="1" ht="19.8" x14ac:dyDescent="0.4">
      <c r="A1487" s="53"/>
      <c r="B1487" s="53"/>
      <c r="C1487" s="56"/>
      <c r="D1487" s="225"/>
      <c r="E1487" s="225"/>
      <c r="F1487" s="225"/>
      <c r="G1487" s="225"/>
      <c r="H1487" s="225"/>
      <c r="I1487" s="225"/>
      <c r="J1487" s="225"/>
      <c r="K1487" s="70"/>
      <c r="L1487" s="348"/>
      <c r="M1487" s="348"/>
      <c r="N1487" s="99"/>
    </row>
    <row r="1488" spans="1:14" s="54" customFormat="1" ht="54" customHeight="1" x14ac:dyDescent="0.4">
      <c r="A1488" s="53"/>
      <c r="B1488" s="50" t="s">
        <v>596</v>
      </c>
      <c r="C1488" s="1017" t="s">
        <v>655</v>
      </c>
      <c r="D1488" s="1017"/>
      <c r="E1488" s="1017"/>
      <c r="F1488" s="296">
        <f>H1539</f>
        <v>158</v>
      </c>
      <c r="G1488" s="296" t="s">
        <v>971</v>
      </c>
      <c r="H1488" s="225"/>
      <c r="I1488" s="225"/>
      <c r="J1488" s="225"/>
      <c r="K1488" s="70"/>
      <c r="L1488" s="348"/>
      <c r="M1488" s="348"/>
      <c r="N1488" s="99"/>
    </row>
    <row r="1490" spans="3:10" x14ac:dyDescent="0.3">
      <c r="C1490" s="1018" t="s">
        <v>932</v>
      </c>
      <c r="D1490" s="1018"/>
      <c r="E1490" s="297"/>
      <c r="F1490" s="298">
        <f>F1497+F1500+F1498</f>
        <v>80.03</v>
      </c>
      <c r="G1490" s="227" t="s">
        <v>971</v>
      </c>
    </row>
    <row r="1491" spans="3:10" ht="7.5" customHeight="1" x14ac:dyDescent="0.3"/>
    <row r="1492" spans="3:10" x14ac:dyDescent="0.3">
      <c r="C1492" s="318" t="s">
        <v>929</v>
      </c>
      <c r="D1492" s="14" t="s">
        <v>928</v>
      </c>
      <c r="E1492" s="14" t="s">
        <v>514</v>
      </c>
      <c r="F1492" s="14" t="s">
        <v>515</v>
      </c>
      <c r="G1492" s="14" t="s">
        <v>962</v>
      </c>
      <c r="H1492" s="14" t="s">
        <v>926</v>
      </c>
      <c r="I1492" s="14" t="s">
        <v>516</v>
      </c>
      <c r="J1492" s="14" t="s">
        <v>961</v>
      </c>
    </row>
    <row r="1493" spans="3:10" x14ac:dyDescent="0.3">
      <c r="C1493" s="134" t="str">
        <f>C1438</f>
        <v>Лікар з ультразвукової діагностики</v>
      </c>
      <c r="D1493" s="73">
        <f>D1438</f>
        <v>6660.23</v>
      </c>
      <c r="E1493" s="78">
        <f>D1493*12</f>
        <v>79922.759999999995</v>
      </c>
      <c r="F1493" s="73">
        <f>F1438</f>
        <v>6054.75</v>
      </c>
      <c r="G1493" s="73">
        <f>G1438</f>
        <v>3027.375</v>
      </c>
      <c r="H1493" s="78">
        <f>E1493+F1493+G1493</f>
        <v>89004.884999999995</v>
      </c>
      <c r="I1493" s="73">
        <v>1656.6</v>
      </c>
      <c r="J1493" s="78">
        <f>ROUND((H1493/I1493)/60,2)</f>
        <v>0.9</v>
      </c>
    </row>
    <row r="1494" spans="3:10" x14ac:dyDescent="0.3">
      <c r="C1494" s="134" t="str">
        <f>C1439</f>
        <v xml:space="preserve">Сестра медична </v>
      </c>
      <c r="D1494" s="73">
        <f>D1439</f>
        <v>6506.5</v>
      </c>
      <c r="E1494" s="78">
        <f>D1494*12</f>
        <v>78078</v>
      </c>
      <c r="F1494" s="73">
        <f>F1439</f>
        <v>5005</v>
      </c>
      <c r="G1494" s="73">
        <f>G1439</f>
        <v>2502.5</v>
      </c>
      <c r="H1494" s="78">
        <f>E1494+F1494+G1494</f>
        <v>85585.5</v>
      </c>
      <c r="I1494" s="73">
        <v>1932.7</v>
      </c>
      <c r="J1494" s="78">
        <f>ROUND((H1494/I1494)/60,2)</f>
        <v>0.74</v>
      </c>
    </row>
    <row r="1495" spans="3:10" ht="5.25" customHeight="1" x14ac:dyDescent="0.3"/>
    <row r="1496" spans="3:10" ht="27.6" x14ac:dyDescent="0.3">
      <c r="C1496" s="318" t="s">
        <v>929</v>
      </c>
      <c r="D1496" s="14" t="s">
        <v>961</v>
      </c>
      <c r="E1496" s="14" t="s">
        <v>930</v>
      </c>
      <c r="F1496" s="14" t="s">
        <v>931</v>
      </c>
    </row>
    <row r="1497" spans="3:10" x14ac:dyDescent="0.3">
      <c r="C1497" s="320" t="str">
        <f>C1493</f>
        <v>Лікар з ультразвукової діагностики</v>
      </c>
      <c r="D1497" s="78">
        <f>J1493</f>
        <v>0.9</v>
      </c>
      <c r="E1497" s="73">
        <v>40</v>
      </c>
      <c r="F1497" s="299">
        <f>ROUND(D1497*E1497,2)</f>
        <v>36</v>
      </c>
    </row>
    <row r="1498" spans="3:10" x14ac:dyDescent="0.3">
      <c r="C1498" s="320" t="str">
        <f>C1494</f>
        <v xml:space="preserve">Сестра медична </v>
      </c>
      <c r="D1498" s="78">
        <f>J1494</f>
        <v>0.74</v>
      </c>
      <c r="E1498" s="73">
        <v>40</v>
      </c>
      <c r="F1498" s="299">
        <f>ROUND(D1498*E1498,2)</f>
        <v>29.6</v>
      </c>
    </row>
    <row r="1499" spans="3:10" ht="6" customHeight="1" x14ac:dyDescent="0.3">
      <c r="D1499" s="19"/>
    </row>
    <row r="1500" spans="3:10" x14ac:dyDescent="0.3">
      <c r="C1500" s="134" t="s">
        <v>933</v>
      </c>
      <c r="D1500" s="78">
        <f>F1497+F1498</f>
        <v>65.599999999999994</v>
      </c>
      <c r="E1500" s="300">
        <v>0.22</v>
      </c>
      <c r="F1500" s="301">
        <f>ROUND(D1500*E1500,2)</f>
        <v>14.43</v>
      </c>
    </row>
    <row r="1502" spans="3:10" x14ac:dyDescent="0.3">
      <c r="C1502" s="321" t="s">
        <v>946</v>
      </c>
      <c r="D1502" s="227"/>
      <c r="E1502" s="227"/>
      <c r="F1502" s="227">
        <f>G1514</f>
        <v>12.45</v>
      </c>
      <c r="G1502" s="227" t="s">
        <v>971</v>
      </c>
    </row>
    <row r="1503" spans="3:10" ht="6" customHeight="1" x14ac:dyDescent="0.3"/>
    <row r="1504" spans="3:10" x14ac:dyDescent="0.3">
      <c r="C1504" s="27" t="str">
        <f t="shared" ref="C1504:F1513" si="54">C1449</f>
        <v>Рукавиці не стерильні</v>
      </c>
      <c r="D1504" s="303" t="str">
        <f t="shared" si="54"/>
        <v>шт</v>
      </c>
      <c r="E1504" s="303">
        <f t="shared" si="54"/>
        <v>0.1</v>
      </c>
      <c r="F1504" s="303">
        <f t="shared" si="54"/>
        <v>2.8</v>
      </c>
      <c r="G1504" s="228">
        <f>ROUND(F1504*E1504,2)</f>
        <v>0.28000000000000003</v>
      </c>
    </row>
    <row r="1505" spans="3:9" x14ac:dyDescent="0.3">
      <c r="C1505" s="27" t="str">
        <f t="shared" si="54"/>
        <v xml:space="preserve">Септил 70% 100мл </v>
      </c>
      <c r="D1505" s="303" t="str">
        <f t="shared" si="54"/>
        <v>шт</v>
      </c>
      <c r="E1505" s="303">
        <f t="shared" si="54"/>
        <v>0.01</v>
      </c>
      <c r="F1505" s="303">
        <f t="shared" si="54"/>
        <v>24.6</v>
      </c>
      <c r="G1505" s="228">
        <f t="shared" ref="G1505:G1510" si="55">ROUND(F1505*E1505,2)</f>
        <v>0.25</v>
      </c>
    </row>
    <row r="1506" spans="3:9" x14ac:dyDescent="0.3">
      <c r="C1506" s="27" t="str">
        <f t="shared" si="54"/>
        <v>Маска на резинці, стерильна.</v>
      </c>
      <c r="D1506" s="303" t="str">
        <f t="shared" si="54"/>
        <v>шт</v>
      </c>
      <c r="E1506" s="303">
        <f t="shared" si="54"/>
        <v>0.1</v>
      </c>
      <c r="F1506" s="303">
        <f t="shared" si="54"/>
        <v>2</v>
      </c>
      <c r="G1506" s="228">
        <f t="shared" si="55"/>
        <v>0.2</v>
      </c>
    </row>
    <row r="1507" spans="3:9" x14ac:dyDescent="0.3">
      <c r="C1507" s="27" t="str">
        <f t="shared" si="54"/>
        <v>Мікрасепт</v>
      </c>
      <c r="D1507" s="303" t="str">
        <f t="shared" si="54"/>
        <v>мл</v>
      </c>
      <c r="E1507" s="303">
        <f t="shared" si="54"/>
        <v>1</v>
      </c>
      <c r="F1507" s="303">
        <f t="shared" si="54"/>
        <v>0.3</v>
      </c>
      <c r="G1507" s="28">
        <f>ROUND(E1507*F1507,2)</f>
        <v>0.3</v>
      </c>
    </row>
    <row r="1508" spans="3:9" x14ac:dyDescent="0.3">
      <c r="C1508" s="27" t="str">
        <f t="shared" si="54"/>
        <v>Папір офісний А4</v>
      </c>
      <c r="D1508" s="303" t="str">
        <f t="shared" si="54"/>
        <v>шт</v>
      </c>
      <c r="E1508" s="303">
        <f t="shared" si="54"/>
        <v>2</v>
      </c>
      <c r="F1508" s="303">
        <f t="shared" si="54"/>
        <v>0.3</v>
      </c>
      <c r="G1508" s="228">
        <f t="shared" si="55"/>
        <v>0.6</v>
      </c>
    </row>
    <row r="1509" spans="3:9" x14ac:dyDescent="0.3">
      <c r="C1509" s="27" t="str">
        <f t="shared" si="54"/>
        <v xml:space="preserve">Гель для УЗД , 1000 гр. </v>
      </c>
      <c r="D1509" s="303" t="str">
        <f t="shared" si="54"/>
        <v>пляшка</v>
      </c>
      <c r="E1509" s="303">
        <f t="shared" si="54"/>
        <v>0.1</v>
      </c>
      <c r="F1509" s="303">
        <f t="shared" si="54"/>
        <v>48</v>
      </c>
      <c r="G1509" s="228">
        <f t="shared" si="55"/>
        <v>4.8</v>
      </c>
    </row>
    <row r="1510" spans="3:9" x14ac:dyDescent="0.3">
      <c r="C1510" s="27" t="str">
        <f t="shared" si="54"/>
        <v>Паперові рушники "Fesko Professional"</v>
      </c>
      <c r="D1510" s="303" t="str">
        <f t="shared" si="54"/>
        <v>рул</v>
      </c>
      <c r="E1510" s="303">
        <f t="shared" si="54"/>
        <v>0.3</v>
      </c>
      <c r="F1510" s="303">
        <f t="shared" si="54"/>
        <v>17</v>
      </c>
      <c r="G1510" s="228">
        <f t="shared" si="55"/>
        <v>5.0999999999999996</v>
      </c>
    </row>
    <row r="1511" spans="3:9" x14ac:dyDescent="0.3">
      <c r="C1511" s="27" t="str">
        <f t="shared" si="54"/>
        <v>Марля медична</v>
      </c>
      <c r="D1511" s="303" t="str">
        <f t="shared" si="54"/>
        <v>метр</v>
      </c>
      <c r="E1511" s="303">
        <f t="shared" si="54"/>
        <v>0.1</v>
      </c>
      <c r="F1511" s="303">
        <f t="shared" si="54"/>
        <v>6</v>
      </c>
      <c r="G1511" s="28">
        <f>ROUND(E1511*F1511,2)</f>
        <v>0.6</v>
      </c>
    </row>
    <row r="1512" spans="3:9" x14ac:dyDescent="0.3">
      <c r="C1512" s="27" t="str">
        <f t="shared" si="54"/>
        <v>Вата</v>
      </c>
      <c r="D1512" s="303" t="str">
        <f t="shared" si="54"/>
        <v>г</v>
      </c>
      <c r="E1512" s="303">
        <f t="shared" si="54"/>
        <v>1</v>
      </c>
      <c r="F1512" s="303">
        <f t="shared" si="54"/>
        <v>7.0000000000000007E-2</v>
      </c>
      <c r="G1512" s="28">
        <f>ROUND(E1512*F1512,2)</f>
        <v>7.0000000000000007E-2</v>
      </c>
    </row>
    <row r="1513" spans="3:9" x14ac:dyDescent="0.3">
      <c r="C1513" s="27" t="str">
        <f t="shared" si="54"/>
        <v>Деззасоби</v>
      </c>
      <c r="D1513" s="303" t="str">
        <f t="shared" si="54"/>
        <v>г</v>
      </c>
      <c r="E1513" s="303">
        <f t="shared" si="54"/>
        <v>0.5</v>
      </c>
      <c r="F1513" s="303">
        <f t="shared" si="54"/>
        <v>0.5</v>
      </c>
      <c r="G1513" s="28">
        <f>ROUND(E1513*F1513,2)</f>
        <v>0.25</v>
      </c>
    </row>
    <row r="1514" spans="3:9" x14ac:dyDescent="0.3">
      <c r="C1514" s="1019" t="s">
        <v>945</v>
      </c>
      <c r="D1514" s="1019"/>
      <c r="E1514" s="1019"/>
      <c r="F1514" s="1019"/>
      <c r="G1514" s="332">
        <f>SUM(G1504:G1513)</f>
        <v>12.45</v>
      </c>
    </row>
    <row r="1516" spans="3:9" x14ac:dyDescent="0.3">
      <c r="C1516" s="321" t="s">
        <v>968</v>
      </c>
      <c r="D1516" s="227"/>
      <c r="E1516" s="227"/>
      <c r="F1516" s="298">
        <f>H1519</f>
        <v>54.8</v>
      </c>
      <c r="G1516" s="227" t="s">
        <v>971</v>
      </c>
    </row>
    <row r="1517" spans="3:9" ht="7.5" customHeight="1" x14ac:dyDescent="0.3">
      <c r="C1517" s="322"/>
      <c r="D1517" s="36"/>
      <c r="E1517" s="36"/>
      <c r="F1517" s="302"/>
      <c r="G1517" s="36"/>
    </row>
    <row r="1518" spans="3:9" ht="27.6" x14ac:dyDescent="0.3">
      <c r="C1518" s="46" t="s">
        <v>513</v>
      </c>
      <c r="D1518" s="14" t="s">
        <v>1108</v>
      </c>
      <c r="E1518" s="14" t="s">
        <v>516</v>
      </c>
      <c r="F1518" s="14" t="s">
        <v>970</v>
      </c>
      <c r="G1518" s="14" t="s">
        <v>930</v>
      </c>
      <c r="H1518" s="14" t="s">
        <v>961</v>
      </c>
    </row>
    <row r="1519" spans="3:9" x14ac:dyDescent="0.3">
      <c r="C1519" s="27" t="str">
        <f>C1464</f>
        <v>Ультразвукова система AFFINITI 30</v>
      </c>
      <c r="D1519" s="73">
        <f>D1464</f>
        <v>136236.38</v>
      </c>
      <c r="E1519" s="73">
        <f>I1493</f>
        <v>1656.6</v>
      </c>
      <c r="F1519" s="73">
        <f>ROUND((D1519/E1519)/60,2)</f>
        <v>1.37</v>
      </c>
      <c r="G1519" s="73">
        <f>E1497</f>
        <v>40</v>
      </c>
      <c r="H1519" s="78">
        <f>ROUND(F1519*G1519,2)</f>
        <v>54.8</v>
      </c>
      <c r="I1519" s="333"/>
    </row>
    <row r="1521" spans="3:8" x14ac:dyDescent="0.3">
      <c r="C1521" s="321" t="s">
        <v>948</v>
      </c>
      <c r="D1521" s="227"/>
      <c r="E1521" s="227"/>
      <c r="F1521" s="298">
        <f>H1534</f>
        <v>10.4</v>
      </c>
      <c r="G1521" s="227" t="s">
        <v>971</v>
      </c>
    </row>
    <row r="1522" spans="3:8" x14ac:dyDescent="0.3">
      <c r="C1522" s="322"/>
      <c r="D1522" s="36"/>
      <c r="E1522" s="36"/>
      <c r="F1522" s="302"/>
    </row>
    <row r="1523" spans="3:8" ht="27.6" x14ac:dyDescent="0.3">
      <c r="C1523" s="46" t="s">
        <v>948</v>
      </c>
      <c r="D1523" s="14" t="s">
        <v>1110</v>
      </c>
      <c r="E1523" s="14" t="s">
        <v>516</v>
      </c>
      <c r="F1523" s="14" t="s">
        <v>954</v>
      </c>
      <c r="G1523" s="14" t="s">
        <v>930</v>
      </c>
      <c r="H1523" s="14" t="s">
        <v>1111</v>
      </c>
    </row>
    <row r="1524" spans="3:8" x14ac:dyDescent="0.3">
      <c r="C1524" s="1009" t="str">
        <f>C1493</f>
        <v>Лікар з ультразвукової діагностики</v>
      </c>
      <c r="D1524" s="1010"/>
      <c r="E1524" s="1010"/>
      <c r="F1524" s="1010"/>
      <c r="G1524" s="1010"/>
      <c r="H1524" s="1011"/>
    </row>
    <row r="1525" spans="3:8" x14ac:dyDescent="0.3">
      <c r="C1525" s="134" t="s">
        <v>951</v>
      </c>
      <c r="D1525" s="221">
        <f>D1470</f>
        <v>12188.608008565312</v>
      </c>
      <c r="E1525" s="73">
        <f>I1493</f>
        <v>1656.6</v>
      </c>
      <c r="F1525" s="73">
        <f>ROUND((D1525/E1525)/60,2)</f>
        <v>0.12</v>
      </c>
      <c r="G1525" s="73">
        <f>E1497</f>
        <v>40</v>
      </c>
      <c r="H1525" s="78">
        <f>ROUND(F1525*G1525,2)</f>
        <v>4.8</v>
      </c>
    </row>
    <row r="1526" spans="3:8" x14ac:dyDescent="0.3">
      <c r="C1526" s="134" t="s">
        <v>952</v>
      </c>
      <c r="D1526" s="221">
        <f>D1471</f>
        <v>53.149721627408987</v>
      </c>
      <c r="E1526" s="73">
        <f>I1493</f>
        <v>1656.6</v>
      </c>
      <c r="F1526" s="73">
        <f>ROUND((D1526/E1526)/60,2)</f>
        <v>0</v>
      </c>
      <c r="G1526" s="73">
        <f>E1497</f>
        <v>40</v>
      </c>
      <c r="H1526" s="78">
        <f>ROUND(F1526*G1526,2)</f>
        <v>0</v>
      </c>
    </row>
    <row r="1527" spans="3:8" x14ac:dyDescent="0.3">
      <c r="C1527" s="134" t="s">
        <v>953</v>
      </c>
      <c r="D1527" s="221">
        <f>D1472</f>
        <v>374.98368308351178</v>
      </c>
      <c r="E1527" s="73">
        <f>I1493</f>
        <v>1656.6</v>
      </c>
      <c r="F1527" s="73">
        <f>ROUND((D1527/E1527)/60,2)</f>
        <v>0</v>
      </c>
      <c r="G1527" s="73">
        <f>E1497</f>
        <v>40</v>
      </c>
      <c r="H1527" s="78">
        <f>ROUND(F1527*G1527,2)</f>
        <v>0</v>
      </c>
    </row>
    <row r="1528" spans="3:8" x14ac:dyDescent="0.3">
      <c r="C1528" s="134" t="s">
        <v>1109</v>
      </c>
      <c r="D1528" s="221">
        <f>D1473</f>
        <v>1686.0389293361886</v>
      </c>
      <c r="E1528" s="73">
        <f>I1493</f>
        <v>1656.6</v>
      </c>
      <c r="F1528" s="73">
        <f>ROUND((D1528/E1528)/60,2)</f>
        <v>0.02</v>
      </c>
      <c r="G1528" s="73">
        <f>E1497</f>
        <v>40</v>
      </c>
      <c r="H1528" s="78">
        <f>ROUND(F1528*G1528,2)</f>
        <v>0.8</v>
      </c>
    </row>
    <row r="1529" spans="3:8" x14ac:dyDescent="0.3">
      <c r="C1529" s="1009" t="str">
        <f>C1494</f>
        <v xml:space="preserve">Сестра медична </v>
      </c>
      <c r="D1529" s="1010"/>
      <c r="E1529" s="1010"/>
      <c r="F1529" s="1010"/>
      <c r="G1529" s="1010"/>
      <c r="H1529" s="1011"/>
    </row>
    <row r="1530" spans="3:8" x14ac:dyDescent="0.3">
      <c r="C1530" s="134" t="s">
        <v>951</v>
      </c>
      <c r="D1530" s="221">
        <f>D1525</f>
        <v>12188.608008565312</v>
      </c>
      <c r="E1530" s="73">
        <f>I1494</f>
        <v>1932.7</v>
      </c>
      <c r="F1530" s="73">
        <f>ROUND((D1530/E1530)/60,2)</f>
        <v>0.11</v>
      </c>
      <c r="G1530" s="73">
        <f>E1498</f>
        <v>40</v>
      </c>
      <c r="H1530" s="78">
        <f>ROUND(F1530*G1530,2)</f>
        <v>4.4000000000000004</v>
      </c>
    </row>
    <row r="1531" spans="3:8" x14ac:dyDescent="0.3">
      <c r="C1531" s="134" t="s">
        <v>952</v>
      </c>
      <c r="D1531" s="221">
        <f>D1526</f>
        <v>53.149721627408987</v>
      </c>
      <c r="E1531" s="73">
        <f>I1494</f>
        <v>1932.7</v>
      </c>
      <c r="F1531" s="73">
        <f>ROUND((D1531/E1531)/60,2)</f>
        <v>0</v>
      </c>
      <c r="G1531" s="73">
        <f>E1498</f>
        <v>40</v>
      </c>
      <c r="H1531" s="78">
        <f>ROUND(F1531*G1531,2)</f>
        <v>0</v>
      </c>
    </row>
    <row r="1532" spans="3:8" x14ac:dyDescent="0.3">
      <c r="C1532" s="134" t="s">
        <v>953</v>
      </c>
      <c r="D1532" s="221">
        <f>D1527</f>
        <v>374.98368308351178</v>
      </c>
      <c r="E1532" s="73">
        <f>I1494</f>
        <v>1932.7</v>
      </c>
      <c r="F1532" s="73">
        <f>ROUND((D1532/E1532)/60,2)</f>
        <v>0</v>
      </c>
      <c r="G1532" s="73">
        <f>E1498</f>
        <v>40</v>
      </c>
      <c r="H1532" s="78">
        <f>ROUND(F1532*G1532,2)</f>
        <v>0</v>
      </c>
    </row>
    <row r="1533" spans="3:8" x14ac:dyDescent="0.3">
      <c r="C1533" s="134" t="s">
        <v>1109</v>
      </c>
      <c r="D1533" s="221">
        <f>D1528</f>
        <v>1686.0389293361886</v>
      </c>
      <c r="E1533" s="73">
        <f>I1494</f>
        <v>1932.7</v>
      </c>
      <c r="F1533" s="73">
        <f>ROUND((D1533/E1533)/60,2)</f>
        <v>0.01</v>
      </c>
      <c r="G1533" s="73">
        <f>E1498</f>
        <v>40</v>
      </c>
      <c r="H1533" s="78">
        <f>ROUND(F1533*G1533,2)</f>
        <v>0.4</v>
      </c>
    </row>
    <row r="1534" spans="3:8" x14ac:dyDescent="0.3">
      <c r="C1534" s="1012" t="s">
        <v>957</v>
      </c>
      <c r="D1534" s="1013"/>
      <c r="E1534" s="1013"/>
      <c r="F1534" s="1013"/>
      <c r="G1534" s="1014"/>
      <c r="H1534" s="299">
        <f>SUM(H1525:H1533)</f>
        <v>10.4</v>
      </c>
    </row>
    <row r="1537" spans="1:14" x14ac:dyDescent="0.3">
      <c r="C1537" s="1015" t="s">
        <v>959</v>
      </c>
      <c r="D1537" s="1015"/>
      <c r="E1537" s="1015"/>
      <c r="F1537" s="1015"/>
      <c r="G1537" s="1015"/>
      <c r="H1537" s="334">
        <f>F1490+F1502+F1516+F1521</f>
        <v>157.68</v>
      </c>
    </row>
    <row r="1538" spans="1:14" x14ac:dyDescent="0.3">
      <c r="C1538" s="323"/>
      <c r="D1538" s="33"/>
      <c r="E1538" s="33"/>
      <c r="F1538" s="33"/>
      <c r="G1538" s="33"/>
      <c r="H1538" s="335"/>
    </row>
    <row r="1539" spans="1:14" x14ac:dyDescent="0.3">
      <c r="C1539" s="1015" t="s">
        <v>960</v>
      </c>
      <c r="D1539" s="1015"/>
      <c r="E1539" s="1015"/>
      <c r="F1539" s="1015"/>
      <c r="G1539" s="1015"/>
      <c r="H1539" s="334">
        <f>ROUND(H1537,0)</f>
        <v>158</v>
      </c>
    </row>
    <row r="1541" spans="1:14" s="54" customFormat="1" ht="19.8" x14ac:dyDescent="0.4">
      <c r="A1541" s="53"/>
      <c r="B1541" s="1016" t="s">
        <v>958</v>
      </c>
      <c r="C1541" s="1016"/>
      <c r="D1541" s="1016"/>
      <c r="E1541" s="1016"/>
      <c r="F1541" s="1016"/>
      <c r="G1541" s="1016"/>
      <c r="H1541" s="1016"/>
      <c r="I1541" s="1016"/>
      <c r="J1541" s="1016"/>
      <c r="K1541" s="70"/>
      <c r="L1541" s="348"/>
      <c r="M1541" s="348"/>
      <c r="N1541" s="99"/>
    </row>
    <row r="1542" spans="1:14" s="54" customFormat="1" ht="19.8" x14ac:dyDescent="0.4">
      <c r="A1542" s="53"/>
      <c r="B1542" s="53"/>
      <c r="C1542" s="56"/>
      <c r="D1542" s="225"/>
      <c r="E1542" s="225"/>
      <c r="F1542" s="225"/>
      <c r="G1542" s="225"/>
      <c r="H1542" s="225"/>
      <c r="I1542" s="225"/>
      <c r="J1542" s="225"/>
      <c r="K1542" s="70"/>
      <c r="L1542" s="348"/>
      <c r="M1542" s="348"/>
      <c r="N1542" s="99"/>
    </row>
    <row r="1543" spans="1:14" s="54" customFormat="1" ht="36.75" customHeight="1" x14ac:dyDescent="0.4">
      <c r="A1543" s="53"/>
      <c r="B1543" s="50" t="s">
        <v>598</v>
      </c>
      <c r="C1543" s="1017" t="s">
        <v>657</v>
      </c>
      <c r="D1543" s="1017"/>
      <c r="E1543" s="1017"/>
      <c r="F1543" s="296">
        <f>H1594</f>
        <v>85</v>
      </c>
      <c r="G1543" s="296" t="s">
        <v>971</v>
      </c>
      <c r="H1543" s="225"/>
      <c r="I1543" s="225"/>
      <c r="J1543" s="225"/>
      <c r="K1543" s="70"/>
      <c r="L1543" s="348"/>
      <c r="M1543" s="348"/>
      <c r="N1543" s="99"/>
    </row>
    <row r="1545" spans="1:14" x14ac:dyDescent="0.3">
      <c r="C1545" s="1018" t="s">
        <v>932</v>
      </c>
      <c r="D1545" s="1018"/>
      <c r="E1545" s="297"/>
      <c r="F1545" s="298">
        <f>F1552+F1555+F1553</f>
        <v>40.019999999999996</v>
      </c>
      <c r="G1545" s="227" t="s">
        <v>971</v>
      </c>
    </row>
    <row r="1547" spans="1:14" x14ac:dyDescent="0.3">
      <c r="C1547" s="318" t="s">
        <v>929</v>
      </c>
      <c r="D1547" s="14" t="s">
        <v>928</v>
      </c>
      <c r="E1547" s="14" t="s">
        <v>514</v>
      </c>
      <c r="F1547" s="14" t="s">
        <v>515</v>
      </c>
      <c r="G1547" s="14" t="s">
        <v>962</v>
      </c>
      <c r="H1547" s="14" t="s">
        <v>926</v>
      </c>
      <c r="I1547" s="14" t="s">
        <v>516</v>
      </c>
      <c r="J1547" s="14" t="s">
        <v>961</v>
      </c>
    </row>
    <row r="1548" spans="1:14" x14ac:dyDescent="0.3">
      <c r="C1548" s="134" t="str">
        <f>C1493</f>
        <v>Лікар з ультразвукової діагностики</v>
      </c>
      <c r="D1548" s="73">
        <f>D1493</f>
        <v>6660.23</v>
      </c>
      <c r="E1548" s="78">
        <f>D1548*12</f>
        <v>79922.759999999995</v>
      </c>
      <c r="F1548" s="73">
        <f>F1493</f>
        <v>6054.75</v>
      </c>
      <c r="G1548" s="78">
        <f>G1493</f>
        <v>3027.375</v>
      </c>
      <c r="H1548" s="78">
        <f>E1548+F1548+G1548</f>
        <v>89004.884999999995</v>
      </c>
      <c r="I1548" s="73">
        <v>1656.6</v>
      </c>
      <c r="J1548" s="78">
        <f>ROUND((H1548/I1548)/60,2)</f>
        <v>0.9</v>
      </c>
    </row>
    <row r="1549" spans="1:14" x14ac:dyDescent="0.3">
      <c r="C1549" s="134" t="str">
        <f>C1494</f>
        <v xml:space="preserve">Сестра медична </v>
      </c>
      <c r="D1549" s="73">
        <f>D1494</f>
        <v>6506.5</v>
      </c>
      <c r="E1549" s="78">
        <f>D1549*12</f>
        <v>78078</v>
      </c>
      <c r="F1549" s="73">
        <f>F1494</f>
        <v>5005</v>
      </c>
      <c r="G1549" s="78">
        <f>G1494</f>
        <v>2502.5</v>
      </c>
      <c r="H1549" s="78">
        <f>E1549+F1549+G1549</f>
        <v>85585.5</v>
      </c>
      <c r="I1549" s="73">
        <v>1932.7</v>
      </c>
      <c r="J1549" s="78">
        <f>ROUND((H1549/I1549)/60,2)</f>
        <v>0.74</v>
      </c>
    </row>
    <row r="1550" spans="1:14" ht="9" customHeight="1" x14ac:dyDescent="0.3"/>
    <row r="1551" spans="1:14" ht="27.6" x14ac:dyDescent="0.3">
      <c r="C1551" s="318" t="s">
        <v>929</v>
      </c>
      <c r="D1551" s="14" t="s">
        <v>961</v>
      </c>
      <c r="E1551" s="14" t="s">
        <v>930</v>
      </c>
      <c r="F1551" s="14" t="s">
        <v>931</v>
      </c>
    </row>
    <row r="1552" spans="1:14" x14ac:dyDescent="0.3">
      <c r="C1552" s="320" t="str">
        <f>C1548</f>
        <v>Лікар з ультразвукової діагностики</v>
      </c>
      <c r="D1552" s="78">
        <f>J1548</f>
        <v>0.9</v>
      </c>
      <c r="E1552" s="73">
        <v>20</v>
      </c>
      <c r="F1552" s="299">
        <f>ROUND(D1552*E1552,2)</f>
        <v>18</v>
      </c>
    </row>
    <row r="1553" spans="3:7" x14ac:dyDescent="0.3">
      <c r="C1553" s="320" t="str">
        <f>C1549</f>
        <v xml:space="preserve">Сестра медична </v>
      </c>
      <c r="D1553" s="78">
        <f>J1549</f>
        <v>0.74</v>
      </c>
      <c r="E1553" s="73">
        <v>20</v>
      </c>
      <c r="F1553" s="299">
        <f>ROUND(D1553*E1553,2)</f>
        <v>14.8</v>
      </c>
    </row>
    <row r="1554" spans="3:7" x14ac:dyDescent="0.3">
      <c r="D1554" s="19"/>
    </row>
    <row r="1555" spans="3:7" x14ac:dyDescent="0.3">
      <c r="C1555" s="134" t="s">
        <v>933</v>
      </c>
      <c r="D1555" s="78">
        <f>F1552+F1553</f>
        <v>32.799999999999997</v>
      </c>
      <c r="E1555" s="300">
        <v>0.22</v>
      </c>
      <c r="F1555" s="301">
        <f>ROUND(D1555*E1555,2)</f>
        <v>7.22</v>
      </c>
    </row>
    <row r="1557" spans="3:7" x14ac:dyDescent="0.3">
      <c r="C1557" s="321" t="s">
        <v>946</v>
      </c>
      <c r="D1557" s="227"/>
      <c r="E1557" s="227"/>
      <c r="F1557" s="227">
        <f>G1569</f>
        <v>12.45</v>
      </c>
      <c r="G1557" s="227" t="s">
        <v>971</v>
      </c>
    </row>
    <row r="1558" spans="3:7" ht="7.5" customHeight="1" x14ac:dyDescent="0.3"/>
    <row r="1559" spans="3:7" x14ac:dyDescent="0.3">
      <c r="C1559" s="27" t="str">
        <f t="shared" ref="C1559:F1568" si="56">C1504</f>
        <v>Рукавиці не стерильні</v>
      </c>
      <c r="D1559" s="303" t="str">
        <f t="shared" si="56"/>
        <v>шт</v>
      </c>
      <c r="E1559" s="303">
        <f t="shared" si="56"/>
        <v>0.1</v>
      </c>
      <c r="F1559" s="303">
        <f t="shared" si="56"/>
        <v>2.8</v>
      </c>
      <c r="G1559" s="228">
        <f>ROUND(F1559*E1559,2)</f>
        <v>0.28000000000000003</v>
      </c>
    </row>
    <row r="1560" spans="3:7" x14ac:dyDescent="0.3">
      <c r="C1560" s="27" t="str">
        <f t="shared" si="56"/>
        <v xml:space="preserve">Септил 70% 100мл </v>
      </c>
      <c r="D1560" s="303" t="str">
        <f t="shared" si="56"/>
        <v>шт</v>
      </c>
      <c r="E1560" s="303">
        <f t="shared" si="56"/>
        <v>0.01</v>
      </c>
      <c r="F1560" s="303">
        <f t="shared" si="56"/>
        <v>24.6</v>
      </c>
      <c r="G1560" s="228">
        <f t="shared" ref="G1560:G1565" si="57">ROUND(F1560*E1560,2)</f>
        <v>0.25</v>
      </c>
    </row>
    <row r="1561" spans="3:7" x14ac:dyDescent="0.3">
      <c r="C1561" s="27" t="str">
        <f t="shared" si="56"/>
        <v>Маска на резинці, стерильна.</v>
      </c>
      <c r="D1561" s="303" t="str">
        <f t="shared" si="56"/>
        <v>шт</v>
      </c>
      <c r="E1561" s="303">
        <f t="shared" si="56"/>
        <v>0.1</v>
      </c>
      <c r="F1561" s="303">
        <f t="shared" si="56"/>
        <v>2</v>
      </c>
      <c r="G1561" s="228">
        <f t="shared" si="57"/>
        <v>0.2</v>
      </c>
    </row>
    <row r="1562" spans="3:7" x14ac:dyDescent="0.3">
      <c r="C1562" s="27" t="str">
        <f t="shared" si="56"/>
        <v>Мікрасепт</v>
      </c>
      <c r="D1562" s="303" t="str">
        <f t="shared" si="56"/>
        <v>мл</v>
      </c>
      <c r="E1562" s="303">
        <f t="shared" si="56"/>
        <v>1</v>
      </c>
      <c r="F1562" s="303">
        <f t="shared" si="56"/>
        <v>0.3</v>
      </c>
      <c r="G1562" s="28">
        <f>ROUND(E1562*F1562,2)</f>
        <v>0.3</v>
      </c>
    </row>
    <row r="1563" spans="3:7" x14ac:dyDescent="0.3">
      <c r="C1563" s="27" t="str">
        <f t="shared" si="56"/>
        <v>Папір офісний А4</v>
      </c>
      <c r="D1563" s="303" t="str">
        <f t="shared" si="56"/>
        <v>шт</v>
      </c>
      <c r="E1563" s="303">
        <f t="shared" si="56"/>
        <v>2</v>
      </c>
      <c r="F1563" s="303">
        <f t="shared" si="56"/>
        <v>0.3</v>
      </c>
      <c r="G1563" s="228">
        <f t="shared" si="57"/>
        <v>0.6</v>
      </c>
    </row>
    <row r="1564" spans="3:7" x14ac:dyDescent="0.3">
      <c r="C1564" s="27" t="str">
        <f t="shared" si="56"/>
        <v xml:space="preserve">Гель для УЗД , 1000 гр. </v>
      </c>
      <c r="D1564" s="303" t="str">
        <f t="shared" si="56"/>
        <v>пляшка</v>
      </c>
      <c r="E1564" s="303">
        <f t="shared" si="56"/>
        <v>0.1</v>
      </c>
      <c r="F1564" s="303">
        <f t="shared" si="56"/>
        <v>48</v>
      </c>
      <c r="G1564" s="228">
        <f t="shared" si="57"/>
        <v>4.8</v>
      </c>
    </row>
    <row r="1565" spans="3:7" x14ac:dyDescent="0.3">
      <c r="C1565" s="27" t="str">
        <f t="shared" si="56"/>
        <v>Паперові рушники "Fesko Professional"</v>
      </c>
      <c r="D1565" s="303" t="str">
        <f t="shared" si="56"/>
        <v>рул</v>
      </c>
      <c r="E1565" s="303">
        <f t="shared" si="56"/>
        <v>0.3</v>
      </c>
      <c r="F1565" s="303">
        <f t="shared" si="56"/>
        <v>17</v>
      </c>
      <c r="G1565" s="228">
        <f t="shared" si="57"/>
        <v>5.0999999999999996</v>
      </c>
    </row>
    <row r="1566" spans="3:7" x14ac:dyDescent="0.3">
      <c r="C1566" s="27" t="str">
        <f t="shared" si="56"/>
        <v>Марля медична</v>
      </c>
      <c r="D1566" s="303" t="str">
        <f t="shared" si="56"/>
        <v>метр</v>
      </c>
      <c r="E1566" s="303">
        <f t="shared" si="56"/>
        <v>0.1</v>
      </c>
      <c r="F1566" s="303">
        <f t="shared" si="56"/>
        <v>6</v>
      </c>
      <c r="G1566" s="28">
        <f>ROUND(E1566*F1566,2)</f>
        <v>0.6</v>
      </c>
    </row>
    <row r="1567" spans="3:7" x14ac:dyDescent="0.3">
      <c r="C1567" s="27" t="str">
        <f t="shared" si="56"/>
        <v>Вата</v>
      </c>
      <c r="D1567" s="303" t="str">
        <f t="shared" si="56"/>
        <v>г</v>
      </c>
      <c r="E1567" s="303">
        <f t="shared" si="56"/>
        <v>1</v>
      </c>
      <c r="F1567" s="303">
        <f t="shared" si="56"/>
        <v>7.0000000000000007E-2</v>
      </c>
      <c r="G1567" s="28">
        <f>ROUND(E1567*F1567,2)</f>
        <v>7.0000000000000007E-2</v>
      </c>
    </row>
    <row r="1568" spans="3:7" x14ac:dyDescent="0.3">
      <c r="C1568" s="27" t="str">
        <f t="shared" si="56"/>
        <v>Деззасоби</v>
      </c>
      <c r="D1568" s="303" t="str">
        <f t="shared" si="56"/>
        <v>г</v>
      </c>
      <c r="E1568" s="303">
        <f t="shared" si="56"/>
        <v>0.5</v>
      </c>
      <c r="F1568" s="303">
        <f t="shared" si="56"/>
        <v>0.5</v>
      </c>
      <c r="G1568" s="28">
        <f>ROUND(E1568*F1568,2)</f>
        <v>0.25</v>
      </c>
    </row>
    <row r="1569" spans="3:9" x14ac:dyDescent="0.3">
      <c r="C1569" s="1019" t="s">
        <v>945</v>
      </c>
      <c r="D1569" s="1019"/>
      <c r="E1569" s="1019"/>
      <c r="F1569" s="1019"/>
      <c r="G1569" s="332">
        <f>SUM(G1559:G1568)</f>
        <v>12.45</v>
      </c>
    </row>
    <row r="1571" spans="3:9" x14ac:dyDescent="0.3">
      <c r="C1571" s="321" t="s">
        <v>968</v>
      </c>
      <c r="D1571" s="227"/>
      <c r="E1571" s="227"/>
      <c r="F1571" s="298">
        <f>H1574</f>
        <v>27.4</v>
      </c>
      <c r="G1571" s="227" t="s">
        <v>971</v>
      </c>
    </row>
    <row r="1572" spans="3:9" ht="6" customHeight="1" x14ac:dyDescent="0.3">
      <c r="C1572" s="322"/>
      <c r="D1572" s="36"/>
      <c r="E1572" s="36"/>
      <c r="F1572" s="302"/>
      <c r="G1572" s="36"/>
    </row>
    <row r="1573" spans="3:9" ht="27.6" x14ac:dyDescent="0.3">
      <c r="C1573" s="46" t="s">
        <v>513</v>
      </c>
      <c r="D1573" s="14" t="s">
        <v>1108</v>
      </c>
      <c r="E1573" s="14" t="s">
        <v>516</v>
      </c>
      <c r="F1573" s="14" t="s">
        <v>970</v>
      </c>
      <c r="G1573" s="14" t="s">
        <v>930</v>
      </c>
      <c r="H1573" s="14" t="s">
        <v>961</v>
      </c>
    </row>
    <row r="1574" spans="3:9" x14ac:dyDescent="0.3">
      <c r="C1574" s="27" t="str">
        <f>C1519</f>
        <v>Ультразвукова система AFFINITI 30</v>
      </c>
      <c r="D1574" s="73">
        <f>D1519</f>
        <v>136236.38</v>
      </c>
      <c r="E1574" s="73">
        <f>I1548</f>
        <v>1656.6</v>
      </c>
      <c r="F1574" s="73">
        <f>ROUND((D1574/E1574)/60,2)</f>
        <v>1.37</v>
      </c>
      <c r="G1574" s="73">
        <f>E1552</f>
        <v>20</v>
      </c>
      <c r="H1574" s="78">
        <f>ROUND(F1574*G1574,2)</f>
        <v>27.4</v>
      </c>
      <c r="I1574" s="333"/>
    </row>
    <row r="1576" spans="3:9" x14ac:dyDescent="0.3">
      <c r="C1576" s="321" t="s">
        <v>948</v>
      </c>
      <c r="D1576" s="227"/>
      <c r="E1576" s="227"/>
      <c r="F1576" s="298">
        <f>H1589</f>
        <v>5.2</v>
      </c>
      <c r="G1576" s="227" t="s">
        <v>971</v>
      </c>
    </row>
    <row r="1577" spans="3:9" ht="9" customHeight="1" x14ac:dyDescent="0.3">
      <c r="C1577" s="322"/>
      <c r="D1577" s="36"/>
      <c r="E1577" s="36"/>
      <c r="F1577" s="302"/>
    </row>
    <row r="1578" spans="3:9" ht="27.6" x14ac:dyDescent="0.3">
      <c r="C1578" s="46" t="s">
        <v>948</v>
      </c>
      <c r="D1578" s="14" t="s">
        <v>1110</v>
      </c>
      <c r="E1578" s="14" t="s">
        <v>516</v>
      </c>
      <c r="F1578" s="14" t="s">
        <v>954</v>
      </c>
      <c r="G1578" s="14" t="s">
        <v>930</v>
      </c>
      <c r="H1578" s="14" t="s">
        <v>1111</v>
      </c>
    </row>
    <row r="1579" spans="3:9" x14ac:dyDescent="0.3">
      <c r="C1579" s="1009" t="str">
        <f>C1548</f>
        <v>Лікар з ультразвукової діагностики</v>
      </c>
      <c r="D1579" s="1010"/>
      <c r="E1579" s="1010"/>
      <c r="F1579" s="1010"/>
      <c r="G1579" s="1010"/>
      <c r="H1579" s="1011"/>
    </row>
    <row r="1580" spans="3:9" x14ac:dyDescent="0.3">
      <c r="C1580" s="134" t="s">
        <v>951</v>
      </c>
      <c r="D1580" s="221">
        <f>D1525</f>
        <v>12188.608008565312</v>
      </c>
      <c r="E1580" s="73">
        <f>I1548</f>
        <v>1656.6</v>
      </c>
      <c r="F1580" s="73">
        <f>ROUND((D1580/E1580)/60,2)</f>
        <v>0.12</v>
      </c>
      <c r="G1580" s="73">
        <f>E1552</f>
        <v>20</v>
      </c>
      <c r="H1580" s="78">
        <f>ROUND(F1580*G1580,2)</f>
        <v>2.4</v>
      </c>
    </row>
    <row r="1581" spans="3:9" x14ac:dyDescent="0.3">
      <c r="C1581" s="134" t="s">
        <v>952</v>
      </c>
      <c r="D1581" s="221">
        <f>D1526</f>
        <v>53.149721627408987</v>
      </c>
      <c r="E1581" s="73">
        <f>I1548</f>
        <v>1656.6</v>
      </c>
      <c r="F1581" s="73">
        <f>ROUND((D1581/E1581)/60,2)</f>
        <v>0</v>
      </c>
      <c r="G1581" s="73">
        <f>E1552</f>
        <v>20</v>
      </c>
      <c r="H1581" s="78">
        <f>ROUND(F1581*G1581,2)</f>
        <v>0</v>
      </c>
    </row>
    <row r="1582" spans="3:9" x14ac:dyDescent="0.3">
      <c r="C1582" s="134" t="s">
        <v>953</v>
      </c>
      <c r="D1582" s="221">
        <f>D1527</f>
        <v>374.98368308351178</v>
      </c>
      <c r="E1582" s="73">
        <f>I1548</f>
        <v>1656.6</v>
      </c>
      <c r="F1582" s="73">
        <f>ROUND((D1582/E1582)/60,2)</f>
        <v>0</v>
      </c>
      <c r="G1582" s="73">
        <f>E1552</f>
        <v>20</v>
      </c>
      <c r="H1582" s="78">
        <f>ROUND(F1582*G1582,2)</f>
        <v>0</v>
      </c>
    </row>
    <row r="1583" spans="3:9" x14ac:dyDescent="0.3">
      <c r="C1583" s="134" t="s">
        <v>1109</v>
      </c>
      <c r="D1583" s="221">
        <f>D1528</f>
        <v>1686.0389293361886</v>
      </c>
      <c r="E1583" s="73">
        <f>I1548</f>
        <v>1656.6</v>
      </c>
      <c r="F1583" s="73">
        <f>ROUND((D1583/E1583)/60,2)</f>
        <v>0.02</v>
      </c>
      <c r="G1583" s="73">
        <f>E1552</f>
        <v>20</v>
      </c>
      <c r="H1583" s="78">
        <f>ROUND(F1583*G1583,2)</f>
        <v>0.4</v>
      </c>
    </row>
    <row r="1584" spans="3:9" x14ac:dyDescent="0.3">
      <c r="C1584" s="1009" t="str">
        <f>C1549</f>
        <v xml:space="preserve">Сестра медична </v>
      </c>
      <c r="D1584" s="1010"/>
      <c r="E1584" s="1010"/>
      <c r="F1584" s="1010"/>
      <c r="G1584" s="1010"/>
      <c r="H1584" s="1011"/>
    </row>
    <row r="1585" spans="1:14" x14ac:dyDescent="0.3">
      <c r="C1585" s="134" t="s">
        <v>951</v>
      </c>
      <c r="D1585" s="221">
        <f>D1580</f>
        <v>12188.608008565312</v>
      </c>
      <c r="E1585" s="73">
        <f>I1549</f>
        <v>1932.7</v>
      </c>
      <c r="F1585" s="73">
        <f>ROUND((D1585/E1585)/60,2)</f>
        <v>0.11</v>
      </c>
      <c r="G1585" s="73">
        <f>E1553</f>
        <v>20</v>
      </c>
      <c r="H1585" s="78">
        <f>ROUND(F1585*G1585,2)</f>
        <v>2.2000000000000002</v>
      </c>
    </row>
    <row r="1586" spans="1:14" x14ac:dyDescent="0.3">
      <c r="C1586" s="134" t="s">
        <v>952</v>
      </c>
      <c r="D1586" s="221">
        <f>D1581</f>
        <v>53.149721627408987</v>
      </c>
      <c r="E1586" s="73">
        <f>I1549</f>
        <v>1932.7</v>
      </c>
      <c r="F1586" s="73">
        <f>ROUND((D1586/E1586)/60,2)</f>
        <v>0</v>
      </c>
      <c r="G1586" s="73">
        <f>E1553</f>
        <v>20</v>
      </c>
      <c r="H1586" s="78">
        <f>ROUND(F1586*G1586,2)</f>
        <v>0</v>
      </c>
    </row>
    <row r="1587" spans="1:14" x14ac:dyDescent="0.3">
      <c r="C1587" s="134" t="s">
        <v>953</v>
      </c>
      <c r="D1587" s="221">
        <f>D1582</f>
        <v>374.98368308351178</v>
      </c>
      <c r="E1587" s="73">
        <f>I1549</f>
        <v>1932.7</v>
      </c>
      <c r="F1587" s="73">
        <f>ROUND((D1587/E1587)/60,2)</f>
        <v>0</v>
      </c>
      <c r="G1587" s="73">
        <f>E1553</f>
        <v>20</v>
      </c>
      <c r="H1587" s="78">
        <f>ROUND(F1587*G1587,2)</f>
        <v>0</v>
      </c>
    </row>
    <row r="1588" spans="1:14" x14ac:dyDescent="0.3">
      <c r="C1588" s="134" t="s">
        <v>1109</v>
      </c>
      <c r="D1588" s="221">
        <f>D1583</f>
        <v>1686.0389293361886</v>
      </c>
      <c r="E1588" s="73">
        <f>I1549</f>
        <v>1932.7</v>
      </c>
      <c r="F1588" s="73">
        <f>ROUND((D1588/E1588)/60,2)</f>
        <v>0.01</v>
      </c>
      <c r="G1588" s="73">
        <f>E1553</f>
        <v>20</v>
      </c>
      <c r="H1588" s="78">
        <f>ROUND(F1588*G1588,2)</f>
        <v>0.2</v>
      </c>
    </row>
    <row r="1589" spans="1:14" x14ac:dyDescent="0.3">
      <c r="C1589" s="1012" t="s">
        <v>957</v>
      </c>
      <c r="D1589" s="1013"/>
      <c r="E1589" s="1013"/>
      <c r="F1589" s="1013"/>
      <c r="G1589" s="1014"/>
      <c r="H1589" s="299">
        <f>SUM(H1580:H1588)</f>
        <v>5.2</v>
      </c>
    </row>
    <row r="1591" spans="1:14" ht="0.75" customHeight="1" x14ac:dyDescent="0.3"/>
    <row r="1592" spans="1:14" x14ac:dyDescent="0.3">
      <c r="C1592" s="1015" t="s">
        <v>959</v>
      </c>
      <c r="D1592" s="1015"/>
      <c r="E1592" s="1015"/>
      <c r="F1592" s="1015"/>
      <c r="G1592" s="1015"/>
      <c r="H1592" s="334">
        <f>F1545+F1557+F1571+F1576</f>
        <v>85.070000000000007</v>
      </c>
    </row>
    <row r="1593" spans="1:14" x14ac:dyDescent="0.3">
      <c r="C1593" s="323"/>
      <c r="D1593" s="33"/>
      <c r="E1593" s="33"/>
      <c r="F1593" s="33"/>
      <c r="G1593" s="33"/>
      <c r="H1593" s="335"/>
    </row>
    <row r="1594" spans="1:14" x14ac:dyDescent="0.3">
      <c r="C1594" s="1015" t="s">
        <v>960</v>
      </c>
      <c r="D1594" s="1015"/>
      <c r="E1594" s="1015"/>
      <c r="F1594" s="1015"/>
      <c r="G1594" s="1015"/>
      <c r="H1594" s="334">
        <f>ROUND(H1592,0)</f>
        <v>85</v>
      </c>
    </row>
    <row r="1596" spans="1:14" s="54" customFormat="1" ht="19.8" x14ac:dyDescent="0.4">
      <c r="A1596" s="53"/>
      <c r="B1596" s="1016" t="s">
        <v>958</v>
      </c>
      <c r="C1596" s="1016"/>
      <c r="D1596" s="1016"/>
      <c r="E1596" s="1016"/>
      <c r="F1596" s="1016"/>
      <c r="G1596" s="1016"/>
      <c r="H1596" s="1016"/>
      <c r="I1596" s="1016"/>
      <c r="J1596" s="1016"/>
      <c r="K1596" s="70"/>
      <c r="L1596" s="348"/>
      <c r="M1596" s="348"/>
      <c r="N1596" s="99"/>
    </row>
    <row r="1597" spans="1:14" s="54" customFormat="1" ht="19.8" x14ac:dyDescent="0.4">
      <c r="A1597" s="53"/>
      <c r="B1597" s="53"/>
      <c r="C1597" s="56"/>
      <c r="D1597" s="225"/>
      <c r="E1597" s="225"/>
      <c r="F1597" s="225"/>
      <c r="G1597" s="225"/>
      <c r="H1597" s="225"/>
      <c r="I1597" s="225"/>
      <c r="J1597" s="225"/>
      <c r="K1597" s="70"/>
      <c r="L1597" s="348"/>
      <c r="M1597" s="348"/>
      <c r="N1597" s="99"/>
    </row>
    <row r="1598" spans="1:14" s="54" customFormat="1" ht="38.25" customHeight="1" x14ac:dyDescent="0.4">
      <c r="A1598" s="53"/>
      <c r="B1598" s="50" t="s">
        <v>600</v>
      </c>
      <c r="C1598" s="1017" t="s">
        <v>659</v>
      </c>
      <c r="D1598" s="1017"/>
      <c r="E1598" s="1017"/>
      <c r="F1598" s="296">
        <f>H1649</f>
        <v>121</v>
      </c>
      <c r="G1598" s="296" t="s">
        <v>971</v>
      </c>
      <c r="H1598" s="225"/>
      <c r="I1598" s="225"/>
      <c r="J1598" s="225"/>
      <c r="K1598" s="70"/>
      <c r="L1598" s="348"/>
      <c r="M1598" s="348"/>
      <c r="N1598" s="99"/>
    </row>
    <row r="1600" spans="1:14" x14ac:dyDescent="0.3">
      <c r="C1600" s="1018" t="s">
        <v>932</v>
      </c>
      <c r="D1600" s="1018"/>
      <c r="E1600" s="297"/>
      <c r="F1600" s="298">
        <f>F1607+F1610+F1608</f>
        <v>60.019999999999996</v>
      </c>
      <c r="G1600" s="227" t="s">
        <v>971</v>
      </c>
    </row>
    <row r="1602" spans="3:10" x14ac:dyDescent="0.3">
      <c r="C1602" s="318" t="s">
        <v>929</v>
      </c>
      <c r="D1602" s="14" t="s">
        <v>928</v>
      </c>
      <c r="E1602" s="14" t="s">
        <v>514</v>
      </c>
      <c r="F1602" s="14" t="s">
        <v>515</v>
      </c>
      <c r="G1602" s="14" t="s">
        <v>962</v>
      </c>
      <c r="H1602" s="14" t="s">
        <v>926</v>
      </c>
      <c r="I1602" s="14" t="s">
        <v>516</v>
      </c>
      <c r="J1602" s="14" t="s">
        <v>961</v>
      </c>
    </row>
    <row r="1603" spans="3:10" x14ac:dyDescent="0.3">
      <c r="C1603" s="134" t="str">
        <f>C1548</f>
        <v>Лікар з ультразвукової діагностики</v>
      </c>
      <c r="D1603" s="73">
        <f>D1548</f>
        <v>6660.23</v>
      </c>
      <c r="E1603" s="78">
        <f>D1603*12</f>
        <v>79922.759999999995</v>
      </c>
      <c r="F1603" s="73">
        <f>F1548</f>
        <v>6054.75</v>
      </c>
      <c r="G1603" s="78">
        <f>G1548</f>
        <v>3027.375</v>
      </c>
      <c r="H1603" s="78">
        <f>E1603+F1603+G1603</f>
        <v>89004.884999999995</v>
      </c>
      <c r="I1603" s="73">
        <v>1656.6</v>
      </c>
      <c r="J1603" s="78">
        <f>ROUND((H1603/I1603)/60,2)</f>
        <v>0.9</v>
      </c>
    </row>
    <row r="1604" spans="3:10" x14ac:dyDescent="0.3">
      <c r="C1604" s="134" t="str">
        <f>C1549</f>
        <v xml:space="preserve">Сестра медична </v>
      </c>
      <c r="D1604" s="73">
        <f>D1549</f>
        <v>6506.5</v>
      </c>
      <c r="E1604" s="78">
        <f>D1604*12</f>
        <v>78078</v>
      </c>
      <c r="F1604" s="73">
        <f>F1549</f>
        <v>5005</v>
      </c>
      <c r="G1604" s="78">
        <f>G1549</f>
        <v>2502.5</v>
      </c>
      <c r="H1604" s="78">
        <f>E1604+F1604+G1604</f>
        <v>85585.5</v>
      </c>
      <c r="I1604" s="73">
        <v>1932.7</v>
      </c>
      <c r="J1604" s="78">
        <f>ROUND((H1604/I1604)/60,2)</f>
        <v>0.74</v>
      </c>
    </row>
    <row r="1606" spans="3:10" ht="27.6" x14ac:dyDescent="0.3">
      <c r="C1606" s="318" t="s">
        <v>929</v>
      </c>
      <c r="D1606" s="14" t="s">
        <v>961</v>
      </c>
      <c r="E1606" s="14" t="s">
        <v>930</v>
      </c>
      <c r="F1606" s="14" t="s">
        <v>931</v>
      </c>
    </row>
    <row r="1607" spans="3:10" x14ac:dyDescent="0.3">
      <c r="C1607" s="320" t="str">
        <f>C1603</f>
        <v>Лікар з ультразвукової діагностики</v>
      </c>
      <c r="D1607" s="78">
        <f>J1603</f>
        <v>0.9</v>
      </c>
      <c r="E1607" s="73">
        <v>30</v>
      </c>
      <c r="F1607" s="299">
        <f>ROUND(D1607*E1607,2)</f>
        <v>27</v>
      </c>
    </row>
    <row r="1608" spans="3:10" x14ac:dyDescent="0.3">
      <c r="C1608" s="320" t="str">
        <f>C1604</f>
        <v xml:space="preserve">Сестра медична </v>
      </c>
      <c r="D1608" s="78">
        <f>J1604</f>
        <v>0.74</v>
      </c>
      <c r="E1608" s="73">
        <v>30</v>
      </c>
      <c r="F1608" s="299">
        <f>ROUND(D1608*E1608,2)</f>
        <v>22.2</v>
      </c>
    </row>
    <row r="1609" spans="3:10" x14ac:dyDescent="0.3">
      <c r="D1609" s="19"/>
    </row>
    <row r="1610" spans="3:10" x14ac:dyDescent="0.3">
      <c r="C1610" s="134" t="s">
        <v>933</v>
      </c>
      <c r="D1610" s="78">
        <f>F1607+F1608</f>
        <v>49.2</v>
      </c>
      <c r="E1610" s="300">
        <v>0.22</v>
      </c>
      <c r="F1610" s="301">
        <f>ROUND(D1610*E1610,2)</f>
        <v>10.82</v>
      </c>
    </row>
    <row r="1611" spans="3:10" ht="9" customHeight="1" x14ac:dyDescent="0.3"/>
    <row r="1612" spans="3:10" x14ac:dyDescent="0.3">
      <c r="C1612" s="321" t="s">
        <v>946</v>
      </c>
      <c r="D1612" s="227"/>
      <c r="E1612" s="227"/>
      <c r="F1612" s="227">
        <f>G1624</f>
        <v>12.45</v>
      </c>
      <c r="G1612" s="227" t="s">
        <v>971</v>
      </c>
    </row>
    <row r="1613" spans="3:10" ht="9" customHeight="1" x14ac:dyDescent="0.3"/>
    <row r="1614" spans="3:10" x14ac:dyDescent="0.3">
      <c r="C1614" s="27" t="str">
        <f t="shared" ref="C1614:F1623" si="58">C1559</f>
        <v>Рукавиці не стерильні</v>
      </c>
      <c r="D1614" s="303" t="str">
        <f t="shared" si="58"/>
        <v>шт</v>
      </c>
      <c r="E1614" s="303">
        <f t="shared" si="58"/>
        <v>0.1</v>
      </c>
      <c r="F1614" s="303">
        <f t="shared" si="58"/>
        <v>2.8</v>
      </c>
      <c r="G1614" s="228">
        <f>ROUND(F1614*E1614,2)</f>
        <v>0.28000000000000003</v>
      </c>
    </row>
    <row r="1615" spans="3:10" x14ac:dyDescent="0.3">
      <c r="C1615" s="27" t="str">
        <f t="shared" si="58"/>
        <v xml:space="preserve">Септил 70% 100мл </v>
      </c>
      <c r="D1615" s="303" t="str">
        <f t="shared" si="58"/>
        <v>шт</v>
      </c>
      <c r="E1615" s="303">
        <f t="shared" si="58"/>
        <v>0.01</v>
      </c>
      <c r="F1615" s="303">
        <f t="shared" si="58"/>
        <v>24.6</v>
      </c>
      <c r="G1615" s="228">
        <f t="shared" ref="G1615:G1620" si="59">ROUND(F1615*E1615,2)</f>
        <v>0.25</v>
      </c>
    </row>
    <row r="1616" spans="3:10" x14ac:dyDescent="0.3">
      <c r="C1616" s="27" t="str">
        <f t="shared" si="58"/>
        <v>Маска на резинці, стерильна.</v>
      </c>
      <c r="D1616" s="303" t="str">
        <f t="shared" si="58"/>
        <v>шт</v>
      </c>
      <c r="E1616" s="303">
        <f t="shared" si="58"/>
        <v>0.1</v>
      </c>
      <c r="F1616" s="303">
        <f t="shared" si="58"/>
        <v>2</v>
      </c>
      <c r="G1616" s="228">
        <f t="shared" si="59"/>
        <v>0.2</v>
      </c>
    </row>
    <row r="1617" spans="3:9" x14ac:dyDescent="0.3">
      <c r="C1617" s="27" t="str">
        <f t="shared" si="58"/>
        <v>Мікрасепт</v>
      </c>
      <c r="D1617" s="303" t="str">
        <f t="shared" si="58"/>
        <v>мл</v>
      </c>
      <c r="E1617" s="303">
        <f t="shared" si="58"/>
        <v>1</v>
      </c>
      <c r="F1617" s="303">
        <f t="shared" si="58"/>
        <v>0.3</v>
      </c>
      <c r="G1617" s="28">
        <f>ROUND(E1617*F1617,2)</f>
        <v>0.3</v>
      </c>
    </row>
    <row r="1618" spans="3:9" x14ac:dyDescent="0.3">
      <c r="C1618" s="27" t="str">
        <f t="shared" si="58"/>
        <v>Папір офісний А4</v>
      </c>
      <c r="D1618" s="303" t="str">
        <f t="shared" si="58"/>
        <v>шт</v>
      </c>
      <c r="E1618" s="303">
        <f t="shared" si="58"/>
        <v>2</v>
      </c>
      <c r="F1618" s="303">
        <f t="shared" si="58"/>
        <v>0.3</v>
      </c>
      <c r="G1618" s="228">
        <f t="shared" si="59"/>
        <v>0.6</v>
      </c>
    </row>
    <row r="1619" spans="3:9" x14ac:dyDescent="0.3">
      <c r="C1619" s="27" t="str">
        <f t="shared" si="58"/>
        <v xml:space="preserve">Гель для УЗД , 1000 гр. </v>
      </c>
      <c r="D1619" s="303" t="str">
        <f t="shared" si="58"/>
        <v>пляшка</v>
      </c>
      <c r="E1619" s="303">
        <f t="shared" si="58"/>
        <v>0.1</v>
      </c>
      <c r="F1619" s="303">
        <f t="shared" si="58"/>
        <v>48</v>
      </c>
      <c r="G1619" s="228">
        <f t="shared" si="59"/>
        <v>4.8</v>
      </c>
    </row>
    <row r="1620" spans="3:9" x14ac:dyDescent="0.3">
      <c r="C1620" s="27" t="str">
        <f t="shared" si="58"/>
        <v>Паперові рушники "Fesko Professional"</v>
      </c>
      <c r="D1620" s="303" t="str">
        <f t="shared" si="58"/>
        <v>рул</v>
      </c>
      <c r="E1620" s="303">
        <f t="shared" si="58"/>
        <v>0.3</v>
      </c>
      <c r="F1620" s="303">
        <f t="shared" si="58"/>
        <v>17</v>
      </c>
      <c r="G1620" s="228">
        <f t="shared" si="59"/>
        <v>5.0999999999999996</v>
      </c>
    </row>
    <row r="1621" spans="3:9" x14ac:dyDescent="0.3">
      <c r="C1621" s="27" t="str">
        <f t="shared" si="58"/>
        <v>Марля медична</v>
      </c>
      <c r="D1621" s="303" t="str">
        <f t="shared" si="58"/>
        <v>метр</v>
      </c>
      <c r="E1621" s="303">
        <f t="shared" si="58"/>
        <v>0.1</v>
      </c>
      <c r="F1621" s="303">
        <f t="shared" si="58"/>
        <v>6</v>
      </c>
      <c r="G1621" s="28">
        <f>ROUND(E1621*F1621,2)</f>
        <v>0.6</v>
      </c>
    </row>
    <row r="1622" spans="3:9" x14ac:dyDescent="0.3">
      <c r="C1622" s="27" t="str">
        <f t="shared" si="58"/>
        <v>Вата</v>
      </c>
      <c r="D1622" s="303" t="str">
        <f t="shared" si="58"/>
        <v>г</v>
      </c>
      <c r="E1622" s="303">
        <f t="shared" si="58"/>
        <v>1</v>
      </c>
      <c r="F1622" s="303">
        <f t="shared" si="58"/>
        <v>7.0000000000000007E-2</v>
      </c>
      <c r="G1622" s="28">
        <f>ROUND(E1622*F1622,2)</f>
        <v>7.0000000000000007E-2</v>
      </c>
    </row>
    <row r="1623" spans="3:9" x14ac:dyDescent="0.3">
      <c r="C1623" s="27" t="str">
        <f t="shared" si="58"/>
        <v>Деззасоби</v>
      </c>
      <c r="D1623" s="303" t="str">
        <f t="shared" si="58"/>
        <v>г</v>
      </c>
      <c r="E1623" s="303">
        <f t="shared" si="58"/>
        <v>0.5</v>
      </c>
      <c r="F1623" s="303">
        <f t="shared" si="58"/>
        <v>0.5</v>
      </c>
      <c r="G1623" s="28">
        <f>ROUND(E1623*F1623,2)</f>
        <v>0.25</v>
      </c>
    </row>
    <row r="1624" spans="3:9" x14ac:dyDescent="0.3">
      <c r="C1624" s="1019" t="s">
        <v>945</v>
      </c>
      <c r="D1624" s="1019"/>
      <c r="E1624" s="1019"/>
      <c r="F1624" s="1019"/>
      <c r="G1624" s="332">
        <f>SUM(G1614:G1623)</f>
        <v>12.45</v>
      </c>
    </row>
    <row r="1626" spans="3:9" x14ac:dyDescent="0.3">
      <c r="C1626" s="321" t="s">
        <v>968</v>
      </c>
      <c r="D1626" s="227"/>
      <c r="E1626" s="227"/>
      <c r="F1626" s="298">
        <f>H1629</f>
        <v>41.1</v>
      </c>
      <c r="G1626" s="227" t="s">
        <v>971</v>
      </c>
    </row>
    <row r="1627" spans="3:9" ht="8.25" customHeight="1" x14ac:dyDescent="0.3">
      <c r="C1627" s="322"/>
      <c r="D1627" s="36"/>
      <c r="E1627" s="36"/>
      <c r="F1627" s="302"/>
      <c r="G1627" s="36"/>
    </row>
    <row r="1628" spans="3:9" ht="27.6" x14ac:dyDescent="0.3">
      <c r="C1628" s="46" t="s">
        <v>513</v>
      </c>
      <c r="D1628" s="14" t="s">
        <v>1108</v>
      </c>
      <c r="E1628" s="14" t="s">
        <v>516</v>
      </c>
      <c r="F1628" s="14" t="s">
        <v>970</v>
      </c>
      <c r="G1628" s="14" t="s">
        <v>930</v>
      </c>
      <c r="H1628" s="14" t="s">
        <v>961</v>
      </c>
    </row>
    <row r="1629" spans="3:9" x14ac:dyDescent="0.3">
      <c r="C1629" s="27" t="str">
        <f>C1574</f>
        <v>Ультразвукова система AFFINITI 30</v>
      </c>
      <c r="D1629" s="73">
        <f>D1574</f>
        <v>136236.38</v>
      </c>
      <c r="E1629" s="73">
        <f>I1603</f>
        <v>1656.6</v>
      </c>
      <c r="F1629" s="73">
        <f>ROUND((D1629/E1629)/60,2)</f>
        <v>1.37</v>
      </c>
      <c r="G1629" s="73">
        <f>E1607</f>
        <v>30</v>
      </c>
      <c r="H1629" s="78">
        <f>ROUND(F1629*G1629,2)</f>
        <v>41.1</v>
      </c>
      <c r="I1629" s="333"/>
    </row>
    <row r="1630" spans="3:9" ht="10.5" customHeight="1" x14ac:dyDescent="0.3"/>
    <row r="1631" spans="3:9" x14ac:dyDescent="0.3">
      <c r="C1631" s="321" t="s">
        <v>948</v>
      </c>
      <c r="D1631" s="227"/>
      <c r="E1631" s="227"/>
      <c r="F1631" s="298">
        <f>H1644</f>
        <v>7.8</v>
      </c>
      <c r="G1631" s="227" t="s">
        <v>971</v>
      </c>
    </row>
    <row r="1632" spans="3:9" ht="9" customHeight="1" x14ac:dyDescent="0.3">
      <c r="C1632" s="322"/>
      <c r="D1632" s="36"/>
      <c r="E1632" s="36"/>
      <c r="F1632" s="302"/>
    </row>
    <row r="1633" spans="3:8" ht="27.6" x14ac:dyDescent="0.3">
      <c r="C1633" s="46" t="s">
        <v>948</v>
      </c>
      <c r="D1633" s="14" t="s">
        <v>1110</v>
      </c>
      <c r="E1633" s="14" t="s">
        <v>516</v>
      </c>
      <c r="F1633" s="14" t="s">
        <v>954</v>
      </c>
      <c r="G1633" s="14" t="s">
        <v>930</v>
      </c>
      <c r="H1633" s="14" t="s">
        <v>1111</v>
      </c>
    </row>
    <row r="1634" spans="3:8" x14ac:dyDescent="0.3">
      <c r="C1634" s="1009" t="str">
        <f>C1603</f>
        <v>Лікар з ультразвукової діагностики</v>
      </c>
      <c r="D1634" s="1010"/>
      <c r="E1634" s="1010"/>
      <c r="F1634" s="1010"/>
      <c r="G1634" s="1010"/>
      <c r="H1634" s="1011"/>
    </row>
    <row r="1635" spans="3:8" x14ac:dyDescent="0.3">
      <c r="C1635" s="134" t="s">
        <v>951</v>
      </c>
      <c r="D1635" s="221">
        <f>D1580</f>
        <v>12188.608008565312</v>
      </c>
      <c r="E1635" s="73">
        <f>I1603</f>
        <v>1656.6</v>
      </c>
      <c r="F1635" s="73">
        <f>ROUND((D1635/E1635)/60,2)</f>
        <v>0.12</v>
      </c>
      <c r="G1635" s="73">
        <f>E1607</f>
        <v>30</v>
      </c>
      <c r="H1635" s="78">
        <f>ROUND(F1635*G1635,2)</f>
        <v>3.6</v>
      </c>
    </row>
    <row r="1636" spans="3:8" x14ac:dyDescent="0.3">
      <c r="C1636" s="134" t="s">
        <v>952</v>
      </c>
      <c r="D1636" s="221">
        <f>D1581</f>
        <v>53.149721627408987</v>
      </c>
      <c r="E1636" s="73">
        <f>I1603</f>
        <v>1656.6</v>
      </c>
      <c r="F1636" s="73">
        <f>ROUND((D1636/E1636)/60,2)</f>
        <v>0</v>
      </c>
      <c r="G1636" s="73">
        <f>E1607</f>
        <v>30</v>
      </c>
      <c r="H1636" s="78">
        <f>ROUND(F1636*G1636,2)</f>
        <v>0</v>
      </c>
    </row>
    <row r="1637" spans="3:8" x14ac:dyDescent="0.3">
      <c r="C1637" s="134" t="s">
        <v>953</v>
      </c>
      <c r="D1637" s="221">
        <f>D1582</f>
        <v>374.98368308351178</v>
      </c>
      <c r="E1637" s="73">
        <f>I1603</f>
        <v>1656.6</v>
      </c>
      <c r="F1637" s="73">
        <f>ROUND((D1637/E1637)/60,2)</f>
        <v>0</v>
      </c>
      <c r="G1637" s="73">
        <f>E1607</f>
        <v>30</v>
      </c>
      <c r="H1637" s="78">
        <f>ROUND(F1637*G1637,2)</f>
        <v>0</v>
      </c>
    </row>
    <row r="1638" spans="3:8" x14ac:dyDescent="0.3">
      <c r="C1638" s="134" t="s">
        <v>1109</v>
      </c>
      <c r="D1638" s="221">
        <f>D1583</f>
        <v>1686.0389293361886</v>
      </c>
      <c r="E1638" s="73">
        <f>I1603</f>
        <v>1656.6</v>
      </c>
      <c r="F1638" s="73">
        <f>ROUND((D1638/E1638)/60,2)</f>
        <v>0.02</v>
      </c>
      <c r="G1638" s="73">
        <f>E1607</f>
        <v>30</v>
      </c>
      <c r="H1638" s="78">
        <f>ROUND(F1638*G1638,2)</f>
        <v>0.6</v>
      </c>
    </row>
    <row r="1639" spans="3:8" x14ac:dyDescent="0.3">
      <c r="C1639" s="1009" t="str">
        <f>C1604</f>
        <v xml:space="preserve">Сестра медична </v>
      </c>
      <c r="D1639" s="1010"/>
      <c r="E1639" s="1010"/>
      <c r="F1639" s="1010"/>
      <c r="G1639" s="1010"/>
      <c r="H1639" s="1011"/>
    </row>
    <row r="1640" spans="3:8" x14ac:dyDescent="0.3">
      <c r="C1640" s="134" t="s">
        <v>951</v>
      </c>
      <c r="D1640" s="221">
        <f>D1635</f>
        <v>12188.608008565312</v>
      </c>
      <c r="E1640" s="73">
        <f>I1604</f>
        <v>1932.7</v>
      </c>
      <c r="F1640" s="73">
        <f>ROUND((D1640/E1640)/60,2)</f>
        <v>0.11</v>
      </c>
      <c r="G1640" s="73">
        <f>E1608</f>
        <v>30</v>
      </c>
      <c r="H1640" s="78">
        <f>ROUND(F1640*G1640,2)</f>
        <v>3.3</v>
      </c>
    </row>
    <row r="1641" spans="3:8" x14ac:dyDescent="0.3">
      <c r="C1641" s="134" t="s">
        <v>952</v>
      </c>
      <c r="D1641" s="221">
        <f>D1636</f>
        <v>53.149721627408987</v>
      </c>
      <c r="E1641" s="73">
        <f>I1604</f>
        <v>1932.7</v>
      </c>
      <c r="F1641" s="73">
        <f>ROUND((D1641/E1641)/60,2)</f>
        <v>0</v>
      </c>
      <c r="G1641" s="73">
        <f>E1608</f>
        <v>30</v>
      </c>
      <c r="H1641" s="78">
        <f>ROUND(F1641*G1641,2)</f>
        <v>0</v>
      </c>
    </row>
    <row r="1642" spans="3:8" x14ac:dyDescent="0.3">
      <c r="C1642" s="134" t="s">
        <v>953</v>
      </c>
      <c r="D1642" s="221">
        <f>D1637</f>
        <v>374.98368308351178</v>
      </c>
      <c r="E1642" s="73">
        <f>I1604</f>
        <v>1932.7</v>
      </c>
      <c r="F1642" s="73">
        <f>ROUND((D1642/E1642)/60,2)</f>
        <v>0</v>
      </c>
      <c r="G1642" s="73">
        <f>E1608</f>
        <v>30</v>
      </c>
      <c r="H1642" s="78">
        <f>ROUND(F1642*G1642,2)</f>
        <v>0</v>
      </c>
    </row>
    <row r="1643" spans="3:8" x14ac:dyDescent="0.3">
      <c r="C1643" s="134" t="s">
        <v>1109</v>
      </c>
      <c r="D1643" s="221">
        <f>D1638</f>
        <v>1686.0389293361886</v>
      </c>
      <c r="E1643" s="73">
        <f>I1604</f>
        <v>1932.7</v>
      </c>
      <c r="F1643" s="73">
        <f>ROUND((D1643/E1643)/60,2)</f>
        <v>0.01</v>
      </c>
      <c r="G1643" s="73">
        <f>E1608</f>
        <v>30</v>
      </c>
      <c r="H1643" s="78">
        <f>ROUND(F1643*G1643,2)</f>
        <v>0.3</v>
      </c>
    </row>
    <row r="1644" spans="3:8" x14ac:dyDescent="0.3">
      <c r="C1644" s="1012" t="s">
        <v>957</v>
      </c>
      <c r="D1644" s="1013"/>
      <c r="E1644" s="1013"/>
      <c r="F1644" s="1013"/>
      <c r="G1644" s="1014"/>
      <c r="H1644" s="299">
        <f>SUM(H1635:H1643)</f>
        <v>7.8</v>
      </c>
    </row>
    <row r="1646" spans="3:8" ht="0.75" customHeight="1" x14ac:dyDescent="0.3"/>
    <row r="1647" spans="3:8" x14ac:dyDescent="0.3">
      <c r="C1647" s="1015" t="s">
        <v>959</v>
      </c>
      <c r="D1647" s="1015"/>
      <c r="E1647" s="1015"/>
      <c r="F1647" s="1015"/>
      <c r="G1647" s="1015"/>
      <c r="H1647" s="334">
        <f>F1600+F1612+F1626+F1631</f>
        <v>121.36999999999999</v>
      </c>
    </row>
    <row r="1648" spans="3:8" x14ac:dyDescent="0.3">
      <c r="C1648" s="323"/>
      <c r="D1648" s="33"/>
      <c r="E1648" s="33"/>
      <c r="F1648" s="33"/>
      <c r="G1648" s="33"/>
      <c r="H1648" s="335"/>
    </row>
    <row r="1649" spans="1:14" x14ac:dyDescent="0.3">
      <c r="C1649" s="1015" t="s">
        <v>960</v>
      </c>
      <c r="D1649" s="1015"/>
      <c r="E1649" s="1015"/>
      <c r="F1649" s="1015"/>
      <c r="G1649" s="1015"/>
      <c r="H1649" s="334">
        <f>ROUND(H1647,0)</f>
        <v>121</v>
      </c>
    </row>
    <row r="1651" spans="1:14" s="54" customFormat="1" ht="19.8" x14ac:dyDescent="0.4">
      <c r="A1651" s="53"/>
      <c r="B1651" s="1016" t="s">
        <v>958</v>
      </c>
      <c r="C1651" s="1016"/>
      <c r="D1651" s="1016"/>
      <c r="E1651" s="1016"/>
      <c r="F1651" s="1016"/>
      <c r="G1651" s="1016"/>
      <c r="H1651" s="1016"/>
      <c r="I1651" s="1016"/>
      <c r="J1651" s="1016"/>
      <c r="K1651" s="70"/>
      <c r="L1651" s="348"/>
      <c r="M1651" s="348"/>
      <c r="N1651" s="99"/>
    </row>
    <row r="1652" spans="1:14" s="54" customFormat="1" ht="19.8" x14ac:dyDescent="0.4">
      <c r="A1652" s="53"/>
      <c r="B1652" s="53"/>
      <c r="C1652" s="56"/>
      <c r="D1652" s="225"/>
      <c r="E1652" s="225"/>
      <c r="F1652" s="225"/>
      <c r="G1652" s="225"/>
      <c r="H1652" s="225"/>
      <c r="I1652" s="225"/>
      <c r="J1652" s="225"/>
      <c r="K1652" s="70"/>
      <c r="L1652" s="348"/>
      <c r="M1652" s="348"/>
      <c r="N1652" s="99"/>
    </row>
    <row r="1653" spans="1:14" s="54" customFormat="1" ht="54.75" customHeight="1" x14ac:dyDescent="0.4">
      <c r="A1653" s="53"/>
      <c r="B1653" s="50" t="s">
        <v>602</v>
      </c>
      <c r="C1653" s="1017" t="s">
        <v>661</v>
      </c>
      <c r="D1653" s="1017"/>
      <c r="E1653" s="1017"/>
      <c r="F1653" s="296">
        <f>H1704</f>
        <v>121</v>
      </c>
      <c r="G1653" s="296" t="s">
        <v>971</v>
      </c>
      <c r="H1653" s="225"/>
      <c r="I1653" s="225"/>
      <c r="J1653" s="225"/>
      <c r="K1653" s="70"/>
      <c r="L1653" s="348"/>
      <c r="M1653" s="348"/>
      <c r="N1653" s="99"/>
    </row>
    <row r="1655" spans="1:14" x14ac:dyDescent="0.3">
      <c r="C1655" s="1018" t="s">
        <v>932</v>
      </c>
      <c r="D1655" s="1018"/>
      <c r="E1655" s="297"/>
      <c r="F1655" s="298">
        <f>F1662+F1665+F1663</f>
        <v>60.019999999999996</v>
      </c>
      <c r="G1655" s="227" t="s">
        <v>971</v>
      </c>
    </row>
    <row r="1656" spans="1:14" ht="6" customHeight="1" x14ac:dyDescent="0.3"/>
    <row r="1657" spans="1:14" x14ac:dyDescent="0.3">
      <c r="C1657" s="318" t="s">
        <v>929</v>
      </c>
      <c r="D1657" s="14" t="s">
        <v>928</v>
      </c>
      <c r="E1657" s="14" t="s">
        <v>514</v>
      </c>
      <c r="F1657" s="14" t="s">
        <v>515</v>
      </c>
      <c r="G1657" s="14" t="s">
        <v>962</v>
      </c>
      <c r="H1657" s="14" t="s">
        <v>926</v>
      </c>
      <c r="I1657" s="14" t="s">
        <v>516</v>
      </c>
      <c r="J1657" s="14" t="s">
        <v>961</v>
      </c>
    </row>
    <row r="1658" spans="1:14" x14ac:dyDescent="0.3">
      <c r="C1658" s="134" t="str">
        <f>C1603</f>
        <v>Лікар з ультразвукової діагностики</v>
      </c>
      <c r="D1658" s="73">
        <f>D1603</f>
        <v>6660.23</v>
      </c>
      <c r="E1658" s="78">
        <f>D1658*12</f>
        <v>79922.759999999995</v>
      </c>
      <c r="F1658" s="73">
        <f>F1603</f>
        <v>6054.75</v>
      </c>
      <c r="G1658" s="78">
        <f>G1603</f>
        <v>3027.375</v>
      </c>
      <c r="H1658" s="78">
        <f>E1658+F1658+G1658</f>
        <v>89004.884999999995</v>
      </c>
      <c r="I1658" s="73">
        <v>1656.6</v>
      </c>
      <c r="J1658" s="78">
        <f>ROUND((H1658/I1658)/60,2)</f>
        <v>0.9</v>
      </c>
    </row>
    <row r="1659" spans="1:14" x14ac:dyDescent="0.3">
      <c r="C1659" s="134" t="str">
        <f>C1604</f>
        <v xml:space="preserve">Сестра медична </v>
      </c>
      <c r="D1659" s="73">
        <f>D1604</f>
        <v>6506.5</v>
      </c>
      <c r="E1659" s="78">
        <f>D1659*12</f>
        <v>78078</v>
      </c>
      <c r="F1659" s="73">
        <f>F1604</f>
        <v>5005</v>
      </c>
      <c r="G1659" s="78">
        <f>G1604</f>
        <v>2502.5</v>
      </c>
      <c r="H1659" s="78">
        <f>E1659+F1659+G1659</f>
        <v>85585.5</v>
      </c>
      <c r="I1659" s="73">
        <v>1932.7</v>
      </c>
      <c r="J1659" s="78">
        <f>ROUND((H1659/I1659)/60,2)</f>
        <v>0.74</v>
      </c>
    </row>
    <row r="1660" spans="1:14" ht="7.5" customHeight="1" x14ac:dyDescent="0.3"/>
    <row r="1661" spans="1:14" ht="27.6" x14ac:dyDescent="0.3">
      <c r="C1661" s="318" t="s">
        <v>929</v>
      </c>
      <c r="D1661" s="14" t="s">
        <v>961</v>
      </c>
      <c r="E1661" s="14" t="s">
        <v>930</v>
      </c>
      <c r="F1661" s="14" t="s">
        <v>931</v>
      </c>
    </row>
    <row r="1662" spans="1:14" x14ac:dyDescent="0.3">
      <c r="C1662" s="320" t="str">
        <f>C1658</f>
        <v>Лікар з ультразвукової діагностики</v>
      </c>
      <c r="D1662" s="78">
        <f>J1658</f>
        <v>0.9</v>
      </c>
      <c r="E1662" s="73">
        <v>30</v>
      </c>
      <c r="F1662" s="299">
        <f>ROUND(D1662*E1662,2)</f>
        <v>27</v>
      </c>
    </row>
    <row r="1663" spans="1:14" x14ac:dyDescent="0.3">
      <c r="C1663" s="320" t="str">
        <f>C1659</f>
        <v xml:space="preserve">Сестра медична </v>
      </c>
      <c r="D1663" s="78">
        <f>J1659</f>
        <v>0.74</v>
      </c>
      <c r="E1663" s="73">
        <v>30</v>
      </c>
      <c r="F1663" s="299">
        <f>ROUND(D1663*E1663,2)</f>
        <v>22.2</v>
      </c>
    </row>
    <row r="1664" spans="1:14" ht="5.25" customHeight="1" x14ac:dyDescent="0.3">
      <c r="D1664" s="19"/>
    </row>
    <row r="1665" spans="3:7" x14ac:dyDescent="0.3">
      <c r="C1665" s="134" t="s">
        <v>933</v>
      </c>
      <c r="D1665" s="78">
        <f>F1662+F1663</f>
        <v>49.2</v>
      </c>
      <c r="E1665" s="300">
        <v>0.22</v>
      </c>
      <c r="F1665" s="301">
        <f>ROUND(D1665*E1665,2)</f>
        <v>10.82</v>
      </c>
    </row>
    <row r="1667" spans="3:7" x14ac:dyDescent="0.3">
      <c r="C1667" s="321" t="s">
        <v>946</v>
      </c>
      <c r="D1667" s="227"/>
      <c r="E1667" s="227"/>
      <c r="F1667" s="227">
        <f>G1679</f>
        <v>12.45</v>
      </c>
      <c r="G1667" s="227" t="s">
        <v>971</v>
      </c>
    </row>
    <row r="1668" spans="3:7" ht="6" customHeight="1" x14ac:dyDescent="0.3"/>
    <row r="1669" spans="3:7" x14ac:dyDescent="0.3">
      <c r="C1669" s="27" t="str">
        <f t="shared" ref="C1669:F1678" si="60">C1614</f>
        <v>Рукавиці не стерильні</v>
      </c>
      <c r="D1669" s="303" t="str">
        <f t="shared" si="60"/>
        <v>шт</v>
      </c>
      <c r="E1669" s="303">
        <f t="shared" si="60"/>
        <v>0.1</v>
      </c>
      <c r="F1669" s="303">
        <f t="shared" si="60"/>
        <v>2.8</v>
      </c>
      <c r="G1669" s="228">
        <f>ROUND(F1669*E1669,2)</f>
        <v>0.28000000000000003</v>
      </c>
    </row>
    <row r="1670" spans="3:7" x14ac:dyDescent="0.3">
      <c r="C1670" s="27" t="str">
        <f t="shared" si="60"/>
        <v xml:space="preserve">Септил 70% 100мл </v>
      </c>
      <c r="D1670" s="303" t="str">
        <f t="shared" si="60"/>
        <v>шт</v>
      </c>
      <c r="E1670" s="303">
        <f t="shared" si="60"/>
        <v>0.01</v>
      </c>
      <c r="F1670" s="303">
        <f t="shared" si="60"/>
        <v>24.6</v>
      </c>
      <c r="G1670" s="228">
        <f t="shared" ref="G1670:G1675" si="61">ROUND(F1670*E1670,2)</f>
        <v>0.25</v>
      </c>
    </row>
    <row r="1671" spans="3:7" x14ac:dyDescent="0.3">
      <c r="C1671" s="27" t="str">
        <f t="shared" si="60"/>
        <v>Маска на резинці, стерильна.</v>
      </c>
      <c r="D1671" s="303" t="str">
        <f t="shared" si="60"/>
        <v>шт</v>
      </c>
      <c r="E1671" s="303">
        <f t="shared" si="60"/>
        <v>0.1</v>
      </c>
      <c r="F1671" s="303">
        <f t="shared" si="60"/>
        <v>2</v>
      </c>
      <c r="G1671" s="228">
        <f t="shared" si="61"/>
        <v>0.2</v>
      </c>
    </row>
    <row r="1672" spans="3:7" x14ac:dyDescent="0.3">
      <c r="C1672" s="27" t="str">
        <f t="shared" si="60"/>
        <v>Мікрасепт</v>
      </c>
      <c r="D1672" s="303" t="str">
        <f t="shared" si="60"/>
        <v>мл</v>
      </c>
      <c r="E1672" s="303">
        <f t="shared" si="60"/>
        <v>1</v>
      </c>
      <c r="F1672" s="303">
        <f t="shared" si="60"/>
        <v>0.3</v>
      </c>
      <c r="G1672" s="28">
        <f>ROUND(E1672*F1672,2)</f>
        <v>0.3</v>
      </c>
    </row>
    <row r="1673" spans="3:7" x14ac:dyDescent="0.3">
      <c r="C1673" s="27" t="str">
        <f t="shared" si="60"/>
        <v>Папір офісний А4</v>
      </c>
      <c r="D1673" s="303" t="str">
        <f t="shared" si="60"/>
        <v>шт</v>
      </c>
      <c r="E1673" s="303">
        <f t="shared" si="60"/>
        <v>2</v>
      </c>
      <c r="F1673" s="303">
        <f t="shared" si="60"/>
        <v>0.3</v>
      </c>
      <c r="G1673" s="228">
        <f t="shared" si="61"/>
        <v>0.6</v>
      </c>
    </row>
    <row r="1674" spans="3:7" x14ac:dyDescent="0.3">
      <c r="C1674" s="27" t="str">
        <f t="shared" si="60"/>
        <v xml:space="preserve">Гель для УЗД , 1000 гр. </v>
      </c>
      <c r="D1674" s="303" t="str">
        <f t="shared" si="60"/>
        <v>пляшка</v>
      </c>
      <c r="E1674" s="303">
        <f t="shared" si="60"/>
        <v>0.1</v>
      </c>
      <c r="F1674" s="303">
        <f t="shared" si="60"/>
        <v>48</v>
      </c>
      <c r="G1674" s="228">
        <f t="shared" si="61"/>
        <v>4.8</v>
      </c>
    </row>
    <row r="1675" spans="3:7" x14ac:dyDescent="0.3">
      <c r="C1675" s="27" t="str">
        <f t="shared" si="60"/>
        <v>Паперові рушники "Fesko Professional"</v>
      </c>
      <c r="D1675" s="303" t="str">
        <f t="shared" si="60"/>
        <v>рул</v>
      </c>
      <c r="E1675" s="303">
        <f t="shared" si="60"/>
        <v>0.3</v>
      </c>
      <c r="F1675" s="303">
        <f t="shared" si="60"/>
        <v>17</v>
      </c>
      <c r="G1675" s="228">
        <f t="shared" si="61"/>
        <v>5.0999999999999996</v>
      </c>
    </row>
    <row r="1676" spans="3:7" x14ac:dyDescent="0.3">
      <c r="C1676" s="27" t="str">
        <f t="shared" si="60"/>
        <v>Марля медична</v>
      </c>
      <c r="D1676" s="303" t="str">
        <f t="shared" si="60"/>
        <v>метр</v>
      </c>
      <c r="E1676" s="303">
        <f t="shared" si="60"/>
        <v>0.1</v>
      </c>
      <c r="F1676" s="303">
        <f t="shared" si="60"/>
        <v>6</v>
      </c>
      <c r="G1676" s="28">
        <f>ROUND(E1676*F1676,2)</f>
        <v>0.6</v>
      </c>
    </row>
    <row r="1677" spans="3:7" x14ac:dyDescent="0.3">
      <c r="C1677" s="27" t="str">
        <f t="shared" si="60"/>
        <v>Вата</v>
      </c>
      <c r="D1677" s="303" t="str">
        <f t="shared" si="60"/>
        <v>г</v>
      </c>
      <c r="E1677" s="303">
        <f t="shared" si="60"/>
        <v>1</v>
      </c>
      <c r="F1677" s="303">
        <f t="shared" si="60"/>
        <v>7.0000000000000007E-2</v>
      </c>
      <c r="G1677" s="28">
        <f>ROUND(E1677*F1677,2)</f>
        <v>7.0000000000000007E-2</v>
      </c>
    </row>
    <row r="1678" spans="3:7" x14ac:dyDescent="0.3">
      <c r="C1678" s="27" t="str">
        <f t="shared" si="60"/>
        <v>Деззасоби</v>
      </c>
      <c r="D1678" s="303" t="str">
        <f t="shared" si="60"/>
        <v>г</v>
      </c>
      <c r="E1678" s="303">
        <f t="shared" si="60"/>
        <v>0.5</v>
      </c>
      <c r="F1678" s="303">
        <f t="shared" si="60"/>
        <v>0.5</v>
      </c>
      <c r="G1678" s="28">
        <f>ROUND(E1678*F1678,2)</f>
        <v>0.25</v>
      </c>
    </row>
    <row r="1679" spans="3:7" x14ac:dyDescent="0.3">
      <c r="C1679" s="1019" t="s">
        <v>945</v>
      </c>
      <c r="D1679" s="1019"/>
      <c r="E1679" s="1019"/>
      <c r="F1679" s="1019"/>
      <c r="G1679" s="332">
        <f>SUM(G1669:G1678)</f>
        <v>12.45</v>
      </c>
    </row>
    <row r="1681" spans="3:9" x14ac:dyDescent="0.3">
      <c r="C1681" s="321" t="s">
        <v>968</v>
      </c>
      <c r="D1681" s="227"/>
      <c r="E1681" s="227"/>
      <c r="F1681" s="298">
        <f>H1684</f>
        <v>41.1</v>
      </c>
      <c r="G1681" s="227" t="s">
        <v>971</v>
      </c>
    </row>
    <row r="1682" spans="3:9" ht="6.75" customHeight="1" x14ac:dyDescent="0.3">
      <c r="C1682" s="322"/>
      <c r="D1682" s="36"/>
      <c r="E1682" s="36"/>
      <c r="F1682" s="302"/>
      <c r="G1682" s="36"/>
    </row>
    <row r="1683" spans="3:9" ht="27.6" x14ac:dyDescent="0.3">
      <c r="C1683" s="46" t="s">
        <v>513</v>
      </c>
      <c r="D1683" s="14" t="s">
        <v>1108</v>
      </c>
      <c r="E1683" s="14" t="s">
        <v>516</v>
      </c>
      <c r="F1683" s="14" t="s">
        <v>970</v>
      </c>
      <c r="G1683" s="14" t="s">
        <v>930</v>
      </c>
      <c r="H1683" s="14" t="s">
        <v>961</v>
      </c>
    </row>
    <row r="1684" spans="3:9" x14ac:dyDescent="0.3">
      <c r="C1684" s="27" t="str">
        <f>C1629</f>
        <v>Ультразвукова система AFFINITI 30</v>
      </c>
      <c r="D1684" s="73">
        <f>D1629</f>
        <v>136236.38</v>
      </c>
      <c r="E1684" s="73">
        <f>I1658</f>
        <v>1656.6</v>
      </c>
      <c r="F1684" s="73">
        <f>ROUND((D1684/E1684)/60,2)</f>
        <v>1.37</v>
      </c>
      <c r="G1684" s="73">
        <f>E1662</f>
        <v>30</v>
      </c>
      <c r="H1684" s="78">
        <f>ROUND(F1684*G1684,2)</f>
        <v>41.1</v>
      </c>
      <c r="I1684" s="333"/>
    </row>
    <row r="1686" spans="3:9" x14ac:dyDescent="0.3">
      <c r="C1686" s="321" t="s">
        <v>948</v>
      </c>
      <c r="D1686" s="227"/>
      <c r="E1686" s="227"/>
      <c r="F1686" s="298">
        <f>H1699</f>
        <v>7.8</v>
      </c>
      <c r="G1686" s="227" t="s">
        <v>971</v>
      </c>
    </row>
    <row r="1687" spans="3:9" x14ac:dyDescent="0.3">
      <c r="C1687" s="322"/>
      <c r="D1687" s="36"/>
      <c r="E1687" s="36"/>
      <c r="F1687" s="302"/>
    </row>
    <row r="1688" spans="3:9" ht="27.6" x14ac:dyDescent="0.3">
      <c r="C1688" s="46" t="s">
        <v>948</v>
      </c>
      <c r="D1688" s="14" t="s">
        <v>1110</v>
      </c>
      <c r="E1688" s="14" t="s">
        <v>516</v>
      </c>
      <c r="F1688" s="14" t="s">
        <v>954</v>
      </c>
      <c r="G1688" s="14" t="s">
        <v>930</v>
      </c>
      <c r="H1688" s="14" t="s">
        <v>1111</v>
      </c>
    </row>
    <row r="1689" spans="3:9" x14ac:dyDescent="0.3">
      <c r="C1689" s="1009" t="str">
        <f>C1658</f>
        <v>Лікар з ультразвукової діагностики</v>
      </c>
      <c r="D1689" s="1010"/>
      <c r="E1689" s="1010"/>
      <c r="F1689" s="1010"/>
      <c r="G1689" s="1010"/>
      <c r="H1689" s="1011"/>
    </row>
    <row r="1690" spans="3:9" x14ac:dyDescent="0.3">
      <c r="C1690" s="134" t="s">
        <v>951</v>
      </c>
      <c r="D1690" s="221">
        <f>D1635</f>
        <v>12188.608008565312</v>
      </c>
      <c r="E1690" s="73">
        <f>I1658</f>
        <v>1656.6</v>
      </c>
      <c r="F1690" s="73">
        <f>ROUND((D1690/E1690)/60,2)</f>
        <v>0.12</v>
      </c>
      <c r="G1690" s="73">
        <f>E1662</f>
        <v>30</v>
      </c>
      <c r="H1690" s="78">
        <f>ROUND(F1690*G1690,2)</f>
        <v>3.6</v>
      </c>
    </row>
    <row r="1691" spans="3:9" x14ac:dyDescent="0.3">
      <c r="C1691" s="134" t="s">
        <v>952</v>
      </c>
      <c r="D1691" s="221">
        <f>D1636</f>
        <v>53.149721627408987</v>
      </c>
      <c r="E1691" s="73">
        <f>I1658</f>
        <v>1656.6</v>
      </c>
      <c r="F1691" s="73">
        <f>ROUND((D1691/E1691)/60,2)</f>
        <v>0</v>
      </c>
      <c r="G1691" s="73">
        <f>E1662</f>
        <v>30</v>
      </c>
      <c r="H1691" s="78">
        <f>ROUND(F1691*G1691,2)</f>
        <v>0</v>
      </c>
    </row>
    <row r="1692" spans="3:9" x14ac:dyDescent="0.3">
      <c r="C1692" s="134" t="s">
        <v>953</v>
      </c>
      <c r="D1692" s="221">
        <f>D1637</f>
        <v>374.98368308351178</v>
      </c>
      <c r="E1692" s="73">
        <f>I1658</f>
        <v>1656.6</v>
      </c>
      <c r="F1692" s="73">
        <f>ROUND((D1692/E1692)/60,2)</f>
        <v>0</v>
      </c>
      <c r="G1692" s="73">
        <f>E1662</f>
        <v>30</v>
      </c>
      <c r="H1692" s="78">
        <f>ROUND(F1692*G1692,2)</f>
        <v>0</v>
      </c>
    </row>
    <row r="1693" spans="3:9" x14ac:dyDescent="0.3">
      <c r="C1693" s="134" t="s">
        <v>1109</v>
      </c>
      <c r="D1693" s="221">
        <f>D1638</f>
        <v>1686.0389293361886</v>
      </c>
      <c r="E1693" s="73">
        <f>I1658</f>
        <v>1656.6</v>
      </c>
      <c r="F1693" s="73">
        <f>ROUND((D1693/E1693)/60,2)</f>
        <v>0.02</v>
      </c>
      <c r="G1693" s="73">
        <f>E1662</f>
        <v>30</v>
      </c>
      <c r="H1693" s="78">
        <f>ROUND(F1693*G1693,2)</f>
        <v>0.6</v>
      </c>
    </row>
    <row r="1694" spans="3:9" x14ac:dyDescent="0.3">
      <c r="C1694" s="1009" t="str">
        <f>C1659</f>
        <v xml:space="preserve">Сестра медична </v>
      </c>
      <c r="D1694" s="1010"/>
      <c r="E1694" s="1010"/>
      <c r="F1694" s="1010"/>
      <c r="G1694" s="1010"/>
      <c r="H1694" s="1011"/>
    </row>
    <row r="1695" spans="3:9" x14ac:dyDescent="0.3">
      <c r="C1695" s="134" t="s">
        <v>951</v>
      </c>
      <c r="D1695" s="221">
        <f>D1690</f>
        <v>12188.608008565312</v>
      </c>
      <c r="E1695" s="73">
        <f>I1659</f>
        <v>1932.7</v>
      </c>
      <c r="F1695" s="73">
        <f>ROUND((D1695/E1695)/60,2)</f>
        <v>0.11</v>
      </c>
      <c r="G1695" s="73">
        <f>E1663</f>
        <v>30</v>
      </c>
      <c r="H1695" s="78">
        <f>ROUND(F1695*G1695,2)</f>
        <v>3.3</v>
      </c>
    </row>
    <row r="1696" spans="3:9" x14ac:dyDescent="0.3">
      <c r="C1696" s="134" t="s">
        <v>952</v>
      </c>
      <c r="D1696" s="221">
        <f>D1691</f>
        <v>53.149721627408987</v>
      </c>
      <c r="E1696" s="73">
        <f>I1659</f>
        <v>1932.7</v>
      </c>
      <c r="F1696" s="73">
        <f>ROUND((D1696/E1696)/60,2)</f>
        <v>0</v>
      </c>
      <c r="G1696" s="73">
        <f>E1663</f>
        <v>30</v>
      </c>
      <c r="H1696" s="78">
        <f>ROUND(F1696*G1696,2)</f>
        <v>0</v>
      </c>
    </row>
    <row r="1697" spans="1:14" x14ac:dyDescent="0.3">
      <c r="C1697" s="134" t="s">
        <v>953</v>
      </c>
      <c r="D1697" s="221">
        <f>D1692</f>
        <v>374.98368308351178</v>
      </c>
      <c r="E1697" s="73">
        <f>I1659</f>
        <v>1932.7</v>
      </c>
      <c r="F1697" s="73">
        <f>ROUND((D1697/E1697)/60,2)</f>
        <v>0</v>
      </c>
      <c r="G1697" s="73">
        <f>E1663</f>
        <v>30</v>
      </c>
      <c r="H1697" s="78">
        <f>ROUND(F1697*G1697,2)</f>
        <v>0</v>
      </c>
    </row>
    <row r="1698" spans="1:14" x14ac:dyDescent="0.3">
      <c r="C1698" s="134" t="s">
        <v>1109</v>
      </c>
      <c r="D1698" s="221">
        <f>D1693</f>
        <v>1686.0389293361886</v>
      </c>
      <c r="E1698" s="73">
        <f>I1659</f>
        <v>1932.7</v>
      </c>
      <c r="F1698" s="73">
        <f>ROUND((D1698/E1698)/60,2)</f>
        <v>0.01</v>
      </c>
      <c r="G1698" s="73">
        <f>E1663</f>
        <v>30</v>
      </c>
      <c r="H1698" s="78">
        <f>ROUND(F1698*G1698,2)</f>
        <v>0.3</v>
      </c>
    </row>
    <row r="1699" spans="1:14" x14ac:dyDescent="0.3">
      <c r="C1699" s="1012" t="s">
        <v>957</v>
      </c>
      <c r="D1699" s="1013"/>
      <c r="E1699" s="1013"/>
      <c r="F1699" s="1013"/>
      <c r="G1699" s="1014"/>
      <c r="H1699" s="299">
        <f>SUM(H1690:H1698)</f>
        <v>7.8</v>
      </c>
    </row>
    <row r="1700" spans="1:14" ht="14.25" customHeight="1" x14ac:dyDescent="0.3"/>
    <row r="1702" spans="1:14" x14ac:dyDescent="0.3">
      <c r="C1702" s="1015" t="s">
        <v>959</v>
      </c>
      <c r="D1702" s="1015"/>
      <c r="E1702" s="1015"/>
      <c r="F1702" s="1015"/>
      <c r="G1702" s="1015"/>
      <c r="H1702" s="334">
        <f>F1655+F1667+F1681+F1686</f>
        <v>121.36999999999999</v>
      </c>
    </row>
    <row r="1703" spans="1:14" x14ac:dyDescent="0.3">
      <c r="C1703" s="323"/>
      <c r="D1703" s="33"/>
      <c r="E1703" s="33"/>
      <c r="F1703" s="33"/>
      <c r="G1703" s="33"/>
      <c r="H1703" s="335"/>
    </row>
    <row r="1704" spans="1:14" x14ac:dyDescent="0.3">
      <c r="C1704" s="1015" t="s">
        <v>960</v>
      </c>
      <c r="D1704" s="1015"/>
      <c r="E1704" s="1015"/>
      <c r="F1704" s="1015"/>
      <c r="G1704" s="1015"/>
      <c r="H1704" s="334">
        <f>ROUND(H1702,0)</f>
        <v>121</v>
      </c>
    </row>
    <row r="1706" spans="1:14" s="54" customFormat="1" ht="19.8" x14ac:dyDescent="0.4">
      <c r="A1706" s="53"/>
      <c r="B1706" s="1016" t="s">
        <v>958</v>
      </c>
      <c r="C1706" s="1016"/>
      <c r="D1706" s="1016"/>
      <c r="E1706" s="1016"/>
      <c r="F1706" s="1016"/>
      <c r="G1706" s="1016"/>
      <c r="H1706" s="1016"/>
      <c r="I1706" s="1016"/>
      <c r="J1706" s="1016"/>
      <c r="K1706" s="70"/>
      <c r="L1706" s="348"/>
      <c r="M1706" s="348"/>
      <c r="N1706" s="99"/>
    </row>
    <row r="1707" spans="1:14" s="54" customFormat="1" ht="19.8" x14ac:dyDescent="0.4">
      <c r="A1707" s="53"/>
      <c r="B1707" s="53"/>
      <c r="C1707" s="56"/>
      <c r="D1707" s="225"/>
      <c r="E1707" s="225"/>
      <c r="F1707" s="225"/>
      <c r="G1707" s="225"/>
      <c r="H1707" s="225"/>
      <c r="I1707" s="225"/>
      <c r="J1707" s="225"/>
      <c r="K1707" s="70"/>
      <c r="L1707" s="348"/>
      <c r="M1707" s="348"/>
      <c r="N1707" s="99"/>
    </row>
    <row r="1708" spans="1:14" s="54" customFormat="1" ht="39.75" customHeight="1" x14ac:dyDescent="0.4">
      <c r="A1708" s="53"/>
      <c r="B1708" s="50" t="s">
        <v>604</v>
      </c>
      <c r="C1708" s="1032" t="s">
        <v>663</v>
      </c>
      <c r="D1708" s="1032"/>
      <c r="E1708" s="1032"/>
      <c r="F1708" s="296">
        <f>H1759</f>
        <v>158</v>
      </c>
      <c r="G1708" s="296" t="s">
        <v>971</v>
      </c>
      <c r="H1708" s="225"/>
      <c r="I1708" s="225"/>
      <c r="J1708" s="225"/>
      <c r="K1708" s="70"/>
      <c r="L1708" s="348"/>
      <c r="M1708" s="348"/>
      <c r="N1708" s="99"/>
    </row>
    <row r="1710" spans="1:14" x14ac:dyDescent="0.3">
      <c r="C1710" s="1018" t="s">
        <v>932</v>
      </c>
      <c r="D1710" s="1018"/>
      <c r="E1710" s="297"/>
      <c r="F1710" s="298">
        <f>F1717+F1720+F1718</f>
        <v>80.03</v>
      </c>
      <c r="G1710" s="227" t="s">
        <v>971</v>
      </c>
    </row>
    <row r="1712" spans="1:14" x14ac:dyDescent="0.3">
      <c r="C1712" s="318" t="s">
        <v>929</v>
      </c>
      <c r="D1712" s="14" t="s">
        <v>928</v>
      </c>
      <c r="E1712" s="14" t="s">
        <v>514</v>
      </c>
      <c r="F1712" s="14" t="s">
        <v>515</v>
      </c>
      <c r="G1712" s="14" t="s">
        <v>962</v>
      </c>
      <c r="H1712" s="14" t="s">
        <v>926</v>
      </c>
      <c r="I1712" s="14" t="s">
        <v>516</v>
      </c>
      <c r="J1712" s="14" t="s">
        <v>961</v>
      </c>
    </row>
    <row r="1713" spans="3:10" x14ac:dyDescent="0.3">
      <c r="C1713" s="134" t="str">
        <f>C1658</f>
        <v>Лікар з ультразвукової діагностики</v>
      </c>
      <c r="D1713" s="73">
        <f>D1658</f>
        <v>6660.23</v>
      </c>
      <c r="E1713" s="78">
        <f>D1713*12</f>
        <v>79922.759999999995</v>
      </c>
      <c r="F1713" s="73">
        <f>F1658</f>
        <v>6054.75</v>
      </c>
      <c r="G1713" s="78">
        <f>G1658</f>
        <v>3027.375</v>
      </c>
      <c r="H1713" s="78">
        <f>E1713+F1713+G1713</f>
        <v>89004.884999999995</v>
      </c>
      <c r="I1713" s="73">
        <v>1656.6</v>
      </c>
      <c r="J1713" s="78">
        <f>ROUND((H1713/I1713)/60,2)</f>
        <v>0.9</v>
      </c>
    </row>
    <row r="1714" spans="3:10" x14ac:dyDescent="0.3">
      <c r="C1714" s="134" t="str">
        <f>C1659</f>
        <v xml:space="preserve">Сестра медична </v>
      </c>
      <c r="D1714" s="73">
        <f>D1659</f>
        <v>6506.5</v>
      </c>
      <c r="E1714" s="78">
        <f>D1714*12</f>
        <v>78078</v>
      </c>
      <c r="F1714" s="73">
        <f>F1659</f>
        <v>5005</v>
      </c>
      <c r="G1714" s="78">
        <f>G1659</f>
        <v>2502.5</v>
      </c>
      <c r="H1714" s="78">
        <f>E1714+F1714+G1714</f>
        <v>85585.5</v>
      </c>
      <c r="I1714" s="73">
        <v>1932.7</v>
      </c>
      <c r="J1714" s="78">
        <f>ROUND((H1714/I1714)/60,2)</f>
        <v>0.74</v>
      </c>
    </row>
    <row r="1716" spans="3:10" ht="27.6" x14ac:dyDescent="0.3">
      <c r="C1716" s="318" t="s">
        <v>929</v>
      </c>
      <c r="D1716" s="14" t="s">
        <v>961</v>
      </c>
      <c r="E1716" s="14" t="s">
        <v>930</v>
      </c>
      <c r="F1716" s="14" t="s">
        <v>931</v>
      </c>
    </row>
    <row r="1717" spans="3:10" x14ac:dyDescent="0.3">
      <c r="C1717" s="320" t="str">
        <f>C1713</f>
        <v>Лікар з ультразвукової діагностики</v>
      </c>
      <c r="D1717" s="78">
        <f>J1713</f>
        <v>0.9</v>
      </c>
      <c r="E1717" s="73">
        <v>40</v>
      </c>
      <c r="F1717" s="299">
        <f>ROUND(D1717*E1717,2)</f>
        <v>36</v>
      </c>
    </row>
    <row r="1718" spans="3:10" x14ac:dyDescent="0.3">
      <c r="C1718" s="320" t="str">
        <f>C1714</f>
        <v xml:space="preserve">Сестра медична </v>
      </c>
      <c r="D1718" s="78">
        <f>J1714</f>
        <v>0.74</v>
      </c>
      <c r="E1718" s="73">
        <v>40</v>
      </c>
      <c r="F1718" s="299">
        <f>ROUND(D1718*E1718,2)</f>
        <v>29.6</v>
      </c>
    </row>
    <row r="1719" spans="3:10" x14ac:dyDescent="0.3">
      <c r="D1719" s="19"/>
    </row>
    <row r="1720" spans="3:10" x14ac:dyDescent="0.3">
      <c r="C1720" s="134" t="s">
        <v>933</v>
      </c>
      <c r="D1720" s="78">
        <f>F1717+F1718</f>
        <v>65.599999999999994</v>
      </c>
      <c r="E1720" s="300">
        <v>0.22</v>
      </c>
      <c r="F1720" s="301">
        <f>ROUND(D1720*E1720,2)</f>
        <v>14.43</v>
      </c>
    </row>
    <row r="1722" spans="3:10" x14ac:dyDescent="0.3">
      <c r="C1722" s="321" t="s">
        <v>946</v>
      </c>
      <c r="D1722" s="227"/>
      <c r="E1722" s="227"/>
      <c r="F1722" s="227">
        <f>G1734</f>
        <v>12.45</v>
      </c>
      <c r="G1722" s="227" t="s">
        <v>971</v>
      </c>
    </row>
    <row r="1723" spans="3:10" ht="6.75" customHeight="1" x14ac:dyDescent="0.3"/>
    <row r="1724" spans="3:10" x14ac:dyDescent="0.3">
      <c r="C1724" s="27" t="str">
        <f t="shared" ref="C1724:F1733" si="62">C1669</f>
        <v>Рукавиці не стерильні</v>
      </c>
      <c r="D1724" s="303" t="str">
        <f t="shared" si="62"/>
        <v>шт</v>
      </c>
      <c r="E1724" s="303">
        <f t="shared" si="62"/>
        <v>0.1</v>
      </c>
      <c r="F1724" s="303">
        <f t="shared" si="62"/>
        <v>2.8</v>
      </c>
      <c r="G1724" s="228">
        <f>ROUND(F1724*E1724,2)</f>
        <v>0.28000000000000003</v>
      </c>
    </row>
    <row r="1725" spans="3:10" x14ac:dyDescent="0.3">
      <c r="C1725" s="27" t="str">
        <f t="shared" si="62"/>
        <v xml:space="preserve">Септил 70% 100мл </v>
      </c>
      <c r="D1725" s="303" t="str">
        <f t="shared" si="62"/>
        <v>шт</v>
      </c>
      <c r="E1725" s="303">
        <f t="shared" si="62"/>
        <v>0.01</v>
      </c>
      <c r="F1725" s="303">
        <f t="shared" si="62"/>
        <v>24.6</v>
      </c>
      <c r="G1725" s="228">
        <f t="shared" ref="G1725:G1730" si="63">ROUND(F1725*E1725,2)</f>
        <v>0.25</v>
      </c>
    </row>
    <row r="1726" spans="3:10" x14ac:dyDescent="0.3">
      <c r="C1726" s="27" t="str">
        <f t="shared" si="62"/>
        <v>Маска на резинці, стерильна.</v>
      </c>
      <c r="D1726" s="303" t="str">
        <f t="shared" si="62"/>
        <v>шт</v>
      </c>
      <c r="E1726" s="303">
        <f t="shared" si="62"/>
        <v>0.1</v>
      </c>
      <c r="F1726" s="303">
        <f t="shared" si="62"/>
        <v>2</v>
      </c>
      <c r="G1726" s="228">
        <f t="shared" si="63"/>
        <v>0.2</v>
      </c>
    </row>
    <row r="1727" spans="3:10" x14ac:dyDescent="0.3">
      <c r="C1727" s="27" t="str">
        <f t="shared" si="62"/>
        <v>Мікрасепт</v>
      </c>
      <c r="D1727" s="303" t="str">
        <f t="shared" si="62"/>
        <v>мл</v>
      </c>
      <c r="E1727" s="303">
        <f t="shared" si="62"/>
        <v>1</v>
      </c>
      <c r="F1727" s="303">
        <f t="shared" si="62"/>
        <v>0.3</v>
      </c>
      <c r="G1727" s="28">
        <f>ROUND(E1727*F1727,2)</f>
        <v>0.3</v>
      </c>
    </row>
    <row r="1728" spans="3:10" x14ac:dyDescent="0.3">
      <c r="C1728" s="27" t="str">
        <f t="shared" si="62"/>
        <v>Папір офісний А4</v>
      </c>
      <c r="D1728" s="303" t="str">
        <f t="shared" si="62"/>
        <v>шт</v>
      </c>
      <c r="E1728" s="303">
        <f t="shared" si="62"/>
        <v>2</v>
      </c>
      <c r="F1728" s="303">
        <f t="shared" si="62"/>
        <v>0.3</v>
      </c>
      <c r="G1728" s="228">
        <f t="shared" si="63"/>
        <v>0.6</v>
      </c>
    </row>
    <row r="1729" spans="3:9" x14ac:dyDescent="0.3">
      <c r="C1729" s="27" t="str">
        <f t="shared" si="62"/>
        <v xml:space="preserve">Гель для УЗД , 1000 гр. </v>
      </c>
      <c r="D1729" s="303" t="str">
        <f t="shared" si="62"/>
        <v>пляшка</v>
      </c>
      <c r="E1729" s="303">
        <f t="shared" si="62"/>
        <v>0.1</v>
      </c>
      <c r="F1729" s="303">
        <f t="shared" si="62"/>
        <v>48</v>
      </c>
      <c r="G1729" s="228">
        <f t="shared" si="63"/>
        <v>4.8</v>
      </c>
    </row>
    <row r="1730" spans="3:9" x14ac:dyDescent="0.3">
      <c r="C1730" s="27" t="str">
        <f t="shared" si="62"/>
        <v>Паперові рушники "Fesko Professional"</v>
      </c>
      <c r="D1730" s="303" t="str">
        <f t="shared" si="62"/>
        <v>рул</v>
      </c>
      <c r="E1730" s="303">
        <f t="shared" si="62"/>
        <v>0.3</v>
      </c>
      <c r="F1730" s="303">
        <f t="shared" si="62"/>
        <v>17</v>
      </c>
      <c r="G1730" s="228">
        <f t="shared" si="63"/>
        <v>5.0999999999999996</v>
      </c>
    </row>
    <row r="1731" spans="3:9" x14ac:dyDescent="0.3">
      <c r="C1731" s="27" t="str">
        <f t="shared" si="62"/>
        <v>Марля медична</v>
      </c>
      <c r="D1731" s="303" t="str">
        <f t="shared" si="62"/>
        <v>метр</v>
      </c>
      <c r="E1731" s="303">
        <f t="shared" si="62"/>
        <v>0.1</v>
      </c>
      <c r="F1731" s="303">
        <f t="shared" si="62"/>
        <v>6</v>
      </c>
      <c r="G1731" s="28">
        <f>ROUND(E1731*F1731,2)</f>
        <v>0.6</v>
      </c>
    </row>
    <row r="1732" spans="3:9" x14ac:dyDescent="0.3">
      <c r="C1732" s="27" t="str">
        <f t="shared" si="62"/>
        <v>Вата</v>
      </c>
      <c r="D1732" s="303" t="str">
        <f t="shared" si="62"/>
        <v>г</v>
      </c>
      <c r="E1732" s="303">
        <f t="shared" si="62"/>
        <v>1</v>
      </c>
      <c r="F1732" s="303">
        <f t="shared" si="62"/>
        <v>7.0000000000000007E-2</v>
      </c>
      <c r="G1732" s="28">
        <f>ROUND(E1732*F1732,2)</f>
        <v>7.0000000000000007E-2</v>
      </c>
    </row>
    <row r="1733" spans="3:9" x14ac:dyDescent="0.3">
      <c r="C1733" s="27" t="str">
        <f t="shared" si="62"/>
        <v>Деззасоби</v>
      </c>
      <c r="D1733" s="303" t="str">
        <f t="shared" si="62"/>
        <v>г</v>
      </c>
      <c r="E1733" s="303">
        <f t="shared" si="62"/>
        <v>0.5</v>
      </c>
      <c r="F1733" s="303">
        <f t="shared" si="62"/>
        <v>0.5</v>
      </c>
      <c r="G1733" s="28">
        <f>ROUND(E1733*F1733,2)</f>
        <v>0.25</v>
      </c>
    </row>
    <row r="1734" spans="3:9" x14ac:dyDescent="0.3">
      <c r="C1734" s="1019" t="s">
        <v>945</v>
      </c>
      <c r="D1734" s="1019"/>
      <c r="E1734" s="1019"/>
      <c r="F1734" s="1019"/>
      <c r="G1734" s="332">
        <f>SUM(G1724:G1733)</f>
        <v>12.45</v>
      </c>
    </row>
    <row r="1736" spans="3:9" x14ac:dyDescent="0.3">
      <c r="C1736" s="321" t="s">
        <v>968</v>
      </c>
      <c r="D1736" s="227"/>
      <c r="E1736" s="227"/>
      <c r="F1736" s="298">
        <f>H1739</f>
        <v>54.8</v>
      </c>
      <c r="G1736" s="227" t="s">
        <v>971</v>
      </c>
    </row>
    <row r="1737" spans="3:9" ht="6" customHeight="1" x14ac:dyDescent="0.3">
      <c r="C1737" s="322"/>
      <c r="D1737" s="36"/>
      <c r="E1737" s="36"/>
      <c r="F1737" s="302"/>
      <c r="G1737" s="36"/>
    </row>
    <row r="1738" spans="3:9" ht="27.6" x14ac:dyDescent="0.3">
      <c r="C1738" s="46" t="s">
        <v>513</v>
      </c>
      <c r="D1738" s="14" t="s">
        <v>1108</v>
      </c>
      <c r="E1738" s="14" t="s">
        <v>516</v>
      </c>
      <c r="F1738" s="14" t="s">
        <v>970</v>
      </c>
      <c r="G1738" s="14" t="s">
        <v>930</v>
      </c>
      <c r="H1738" s="14" t="s">
        <v>961</v>
      </c>
    </row>
    <row r="1739" spans="3:9" x14ac:dyDescent="0.3">
      <c r="C1739" s="27" t="str">
        <f>C1684</f>
        <v>Ультразвукова система AFFINITI 30</v>
      </c>
      <c r="D1739" s="73">
        <f>D1684</f>
        <v>136236.38</v>
      </c>
      <c r="E1739" s="73">
        <f>I1713</f>
        <v>1656.6</v>
      </c>
      <c r="F1739" s="73">
        <f>ROUND((D1739/E1739)/60,2)</f>
        <v>1.37</v>
      </c>
      <c r="G1739" s="73">
        <f>E1717</f>
        <v>40</v>
      </c>
      <c r="H1739" s="78">
        <f>ROUND(F1739*G1739,2)</f>
        <v>54.8</v>
      </c>
      <c r="I1739" s="333"/>
    </row>
    <row r="1741" spans="3:9" x14ac:dyDescent="0.3">
      <c r="C1741" s="321" t="s">
        <v>948</v>
      </c>
      <c r="D1741" s="227"/>
      <c r="E1741" s="227"/>
      <c r="F1741" s="298">
        <f>H1754</f>
        <v>10.4</v>
      </c>
      <c r="G1741" s="227" t="s">
        <v>971</v>
      </c>
    </row>
    <row r="1742" spans="3:9" ht="7.5" customHeight="1" x14ac:dyDescent="0.3">
      <c r="C1742" s="322"/>
      <c r="D1742" s="36"/>
      <c r="E1742" s="36"/>
      <c r="F1742" s="302"/>
    </row>
    <row r="1743" spans="3:9" ht="27.6" x14ac:dyDescent="0.3">
      <c r="C1743" s="46" t="s">
        <v>948</v>
      </c>
      <c r="D1743" s="14" t="s">
        <v>1110</v>
      </c>
      <c r="E1743" s="14" t="s">
        <v>516</v>
      </c>
      <c r="F1743" s="14" t="s">
        <v>954</v>
      </c>
      <c r="G1743" s="14" t="s">
        <v>930</v>
      </c>
      <c r="H1743" s="14" t="s">
        <v>1111</v>
      </c>
    </row>
    <row r="1744" spans="3:9" x14ac:dyDescent="0.3">
      <c r="C1744" s="1009" t="str">
        <f>C1713</f>
        <v>Лікар з ультразвукової діагностики</v>
      </c>
      <c r="D1744" s="1010"/>
      <c r="E1744" s="1010"/>
      <c r="F1744" s="1010"/>
      <c r="G1744" s="1010"/>
      <c r="H1744" s="1011"/>
    </row>
    <row r="1745" spans="3:8" x14ac:dyDescent="0.3">
      <c r="C1745" s="134" t="s">
        <v>951</v>
      </c>
      <c r="D1745" s="221">
        <f>D1690</f>
        <v>12188.608008565312</v>
      </c>
      <c r="E1745" s="73">
        <f>I1713</f>
        <v>1656.6</v>
      </c>
      <c r="F1745" s="73">
        <f>ROUND((D1745/E1745)/60,2)</f>
        <v>0.12</v>
      </c>
      <c r="G1745" s="73">
        <f>E1717</f>
        <v>40</v>
      </c>
      <c r="H1745" s="78">
        <f>ROUND(F1745*G1745,2)</f>
        <v>4.8</v>
      </c>
    </row>
    <row r="1746" spans="3:8" x14ac:dyDescent="0.3">
      <c r="C1746" s="134" t="s">
        <v>952</v>
      </c>
      <c r="D1746" s="221">
        <f>D1691</f>
        <v>53.149721627408987</v>
      </c>
      <c r="E1746" s="73">
        <f>I1713</f>
        <v>1656.6</v>
      </c>
      <c r="F1746" s="73">
        <f>ROUND((D1746/E1746)/60,2)</f>
        <v>0</v>
      </c>
      <c r="G1746" s="73">
        <f>E1717</f>
        <v>40</v>
      </c>
      <c r="H1746" s="78">
        <f>ROUND(F1746*G1746,2)</f>
        <v>0</v>
      </c>
    </row>
    <row r="1747" spans="3:8" x14ac:dyDescent="0.3">
      <c r="C1747" s="134" t="s">
        <v>953</v>
      </c>
      <c r="D1747" s="221">
        <f>D1692</f>
        <v>374.98368308351178</v>
      </c>
      <c r="E1747" s="73">
        <f>I1713</f>
        <v>1656.6</v>
      </c>
      <c r="F1747" s="73">
        <f>ROUND((D1747/E1747)/60,2)</f>
        <v>0</v>
      </c>
      <c r="G1747" s="73">
        <f>E1717</f>
        <v>40</v>
      </c>
      <c r="H1747" s="78">
        <f>ROUND(F1747*G1747,2)</f>
        <v>0</v>
      </c>
    </row>
    <row r="1748" spans="3:8" x14ac:dyDescent="0.3">
      <c r="C1748" s="134" t="s">
        <v>1109</v>
      </c>
      <c r="D1748" s="221">
        <f>D1693</f>
        <v>1686.0389293361886</v>
      </c>
      <c r="E1748" s="73">
        <f>I1713</f>
        <v>1656.6</v>
      </c>
      <c r="F1748" s="73">
        <f>ROUND((D1748/E1748)/60,2)</f>
        <v>0.02</v>
      </c>
      <c r="G1748" s="73">
        <f>E1717</f>
        <v>40</v>
      </c>
      <c r="H1748" s="78">
        <f>ROUND(F1748*G1748,2)</f>
        <v>0.8</v>
      </c>
    </row>
    <row r="1749" spans="3:8" x14ac:dyDescent="0.3">
      <c r="C1749" s="1009" t="str">
        <f>C1714</f>
        <v xml:space="preserve">Сестра медична </v>
      </c>
      <c r="D1749" s="1010"/>
      <c r="E1749" s="1010"/>
      <c r="F1749" s="1010"/>
      <c r="G1749" s="1010"/>
      <c r="H1749" s="1011"/>
    </row>
    <row r="1750" spans="3:8" x14ac:dyDescent="0.3">
      <c r="C1750" s="134" t="s">
        <v>951</v>
      </c>
      <c r="D1750" s="221">
        <f>D1745</f>
        <v>12188.608008565312</v>
      </c>
      <c r="E1750" s="73">
        <f>I1714</f>
        <v>1932.7</v>
      </c>
      <c r="F1750" s="73">
        <f>ROUND((D1750/E1750)/60,2)</f>
        <v>0.11</v>
      </c>
      <c r="G1750" s="73">
        <f>E1718</f>
        <v>40</v>
      </c>
      <c r="H1750" s="78">
        <f>ROUND(F1750*G1750,2)</f>
        <v>4.4000000000000004</v>
      </c>
    </row>
    <row r="1751" spans="3:8" x14ac:dyDescent="0.3">
      <c r="C1751" s="134" t="s">
        <v>952</v>
      </c>
      <c r="D1751" s="221">
        <f>D1746</f>
        <v>53.149721627408987</v>
      </c>
      <c r="E1751" s="73">
        <f>I1714</f>
        <v>1932.7</v>
      </c>
      <c r="F1751" s="73">
        <f>ROUND((D1751/E1751)/60,2)</f>
        <v>0</v>
      </c>
      <c r="G1751" s="73">
        <f>E1718</f>
        <v>40</v>
      </c>
      <c r="H1751" s="78">
        <f>ROUND(F1751*G1751,2)</f>
        <v>0</v>
      </c>
    </row>
    <row r="1752" spans="3:8" x14ac:dyDescent="0.3">
      <c r="C1752" s="134" t="s">
        <v>953</v>
      </c>
      <c r="D1752" s="221">
        <f>D1747</f>
        <v>374.98368308351178</v>
      </c>
      <c r="E1752" s="73">
        <f>I1714</f>
        <v>1932.7</v>
      </c>
      <c r="F1752" s="73">
        <f>ROUND((D1752/E1752)/60,2)</f>
        <v>0</v>
      </c>
      <c r="G1752" s="73">
        <f>E1718</f>
        <v>40</v>
      </c>
      <c r="H1752" s="78">
        <f>ROUND(F1752*G1752,2)</f>
        <v>0</v>
      </c>
    </row>
    <row r="1753" spans="3:8" x14ac:dyDescent="0.3">
      <c r="C1753" s="134" t="s">
        <v>1109</v>
      </c>
      <c r="D1753" s="221">
        <f>D1748</f>
        <v>1686.0389293361886</v>
      </c>
      <c r="E1753" s="73">
        <f>I1714</f>
        <v>1932.7</v>
      </c>
      <c r="F1753" s="73">
        <f>ROUND((D1753/E1753)/60,2)</f>
        <v>0.01</v>
      </c>
      <c r="G1753" s="73">
        <f>E1718</f>
        <v>40</v>
      </c>
      <c r="H1753" s="78">
        <f>ROUND(F1753*G1753,2)</f>
        <v>0.4</v>
      </c>
    </row>
    <row r="1754" spans="3:8" x14ac:dyDescent="0.3">
      <c r="C1754" s="1012" t="s">
        <v>957</v>
      </c>
      <c r="D1754" s="1013"/>
      <c r="E1754" s="1013"/>
      <c r="F1754" s="1013"/>
      <c r="G1754" s="1014"/>
      <c r="H1754" s="299">
        <f>SUM(H1745:H1753)</f>
        <v>10.4</v>
      </c>
    </row>
    <row r="1755" spans="3:8" ht="6.75" customHeight="1" x14ac:dyDescent="0.3"/>
    <row r="1756" spans="3:8" ht="0.75" customHeight="1" x14ac:dyDescent="0.3"/>
    <row r="1757" spans="3:8" x14ac:dyDescent="0.3">
      <c r="C1757" s="1015" t="s">
        <v>959</v>
      </c>
      <c r="D1757" s="1015"/>
      <c r="E1757" s="1015"/>
      <c r="F1757" s="1015"/>
      <c r="G1757" s="1015"/>
      <c r="H1757" s="334">
        <f>F1710+F1722+F1736+F1741</f>
        <v>157.68</v>
      </c>
    </row>
    <row r="1758" spans="3:8" x14ac:dyDescent="0.3">
      <c r="C1758" s="323"/>
      <c r="D1758" s="33"/>
      <c r="E1758" s="33"/>
      <c r="F1758" s="33"/>
      <c r="G1758" s="33"/>
      <c r="H1758" s="335"/>
    </row>
    <row r="1759" spans="3:8" x14ac:dyDescent="0.3">
      <c r="C1759" s="1015" t="s">
        <v>960</v>
      </c>
      <c r="D1759" s="1015"/>
      <c r="E1759" s="1015"/>
      <c r="F1759" s="1015"/>
      <c r="G1759" s="1015"/>
      <c r="H1759" s="334">
        <f>ROUND(H1757,0)</f>
        <v>158</v>
      </c>
    </row>
    <row r="1761" spans="1:14" s="54" customFormat="1" ht="19.8" x14ac:dyDescent="0.4">
      <c r="A1761" s="53"/>
      <c r="B1761" s="1016" t="s">
        <v>958</v>
      </c>
      <c r="C1761" s="1016"/>
      <c r="D1761" s="1016"/>
      <c r="E1761" s="1016"/>
      <c r="F1761" s="1016"/>
      <c r="G1761" s="1016"/>
      <c r="H1761" s="1016"/>
      <c r="I1761" s="1016"/>
      <c r="J1761" s="1016"/>
      <c r="K1761" s="70"/>
      <c r="L1761" s="348"/>
      <c r="M1761" s="348"/>
      <c r="N1761" s="99"/>
    </row>
    <row r="1762" spans="1:14" s="54" customFormat="1" ht="19.8" x14ac:dyDescent="0.4">
      <c r="A1762" s="53"/>
      <c r="B1762" s="53"/>
      <c r="C1762" s="56"/>
      <c r="D1762" s="225"/>
      <c r="E1762" s="225"/>
      <c r="F1762" s="225"/>
      <c r="G1762" s="225"/>
      <c r="H1762" s="225"/>
      <c r="I1762" s="225"/>
      <c r="J1762" s="225"/>
      <c r="K1762" s="70"/>
      <c r="L1762" s="348"/>
      <c r="M1762" s="348"/>
      <c r="N1762" s="99"/>
    </row>
    <row r="1763" spans="1:14" s="54" customFormat="1" ht="37.5" customHeight="1" x14ac:dyDescent="0.4">
      <c r="A1763" s="53"/>
      <c r="B1763" s="50" t="s">
        <v>606</v>
      </c>
      <c r="C1763" s="1017" t="s">
        <v>665</v>
      </c>
      <c r="D1763" s="1017"/>
      <c r="E1763" s="1017"/>
      <c r="F1763" s="296">
        <f>H1814</f>
        <v>121</v>
      </c>
      <c r="G1763" s="296" t="s">
        <v>971</v>
      </c>
      <c r="H1763" s="225"/>
      <c r="I1763" s="225"/>
      <c r="J1763" s="225"/>
      <c r="K1763" s="70"/>
      <c r="L1763" s="348"/>
      <c r="M1763" s="348"/>
      <c r="N1763" s="99"/>
    </row>
    <row r="1765" spans="1:14" x14ac:dyDescent="0.3">
      <c r="C1765" s="1018" t="s">
        <v>932</v>
      </c>
      <c r="D1765" s="1018"/>
      <c r="E1765" s="297"/>
      <c r="F1765" s="298">
        <f>F1772+F1775+F1773</f>
        <v>60.019999999999996</v>
      </c>
      <c r="G1765" s="227" t="s">
        <v>971</v>
      </c>
    </row>
    <row r="1767" spans="1:14" x14ac:dyDescent="0.3">
      <c r="C1767" s="318" t="s">
        <v>929</v>
      </c>
      <c r="D1767" s="14" t="s">
        <v>928</v>
      </c>
      <c r="E1767" s="14" t="s">
        <v>514</v>
      </c>
      <c r="F1767" s="14" t="s">
        <v>515</v>
      </c>
      <c r="G1767" s="14" t="s">
        <v>962</v>
      </c>
      <c r="H1767" s="14" t="s">
        <v>926</v>
      </c>
      <c r="I1767" s="14" t="s">
        <v>516</v>
      </c>
      <c r="J1767" s="14" t="s">
        <v>961</v>
      </c>
    </row>
    <row r="1768" spans="1:14" x14ac:dyDescent="0.3">
      <c r="C1768" s="134" t="str">
        <f>C1713</f>
        <v>Лікар з ультразвукової діагностики</v>
      </c>
      <c r="D1768" s="73">
        <f>D1713</f>
        <v>6660.23</v>
      </c>
      <c r="E1768" s="78">
        <f>D1768*12</f>
        <v>79922.759999999995</v>
      </c>
      <c r="F1768" s="73">
        <f>F1713</f>
        <v>6054.75</v>
      </c>
      <c r="G1768" s="78">
        <f>G1713</f>
        <v>3027.375</v>
      </c>
      <c r="H1768" s="78">
        <f>E1768+F1768+G1768</f>
        <v>89004.884999999995</v>
      </c>
      <c r="I1768" s="73">
        <v>1656.6</v>
      </c>
      <c r="J1768" s="78">
        <f>ROUND((H1768/I1768)/60,2)</f>
        <v>0.9</v>
      </c>
    </row>
    <row r="1769" spans="1:14" x14ac:dyDescent="0.3">
      <c r="C1769" s="134" t="str">
        <f>C1714</f>
        <v xml:space="preserve">Сестра медична </v>
      </c>
      <c r="D1769" s="73">
        <f>D1714</f>
        <v>6506.5</v>
      </c>
      <c r="E1769" s="78">
        <f>D1769*12</f>
        <v>78078</v>
      </c>
      <c r="F1769" s="73">
        <f>F1714</f>
        <v>5005</v>
      </c>
      <c r="G1769" s="78">
        <f>G1714</f>
        <v>2502.5</v>
      </c>
      <c r="H1769" s="78">
        <f>E1769+F1769+G1769</f>
        <v>85585.5</v>
      </c>
      <c r="I1769" s="73">
        <v>1932.7</v>
      </c>
      <c r="J1769" s="78">
        <f>ROUND((H1769/I1769)/60,2)</f>
        <v>0.74</v>
      </c>
    </row>
    <row r="1770" spans="1:14" ht="8.25" customHeight="1" x14ac:dyDescent="0.3"/>
    <row r="1771" spans="1:14" ht="27.6" x14ac:dyDescent="0.3">
      <c r="C1771" s="318" t="s">
        <v>929</v>
      </c>
      <c r="D1771" s="14" t="s">
        <v>961</v>
      </c>
      <c r="E1771" s="14" t="s">
        <v>930</v>
      </c>
      <c r="F1771" s="14" t="s">
        <v>931</v>
      </c>
    </row>
    <row r="1772" spans="1:14" x14ac:dyDescent="0.3">
      <c r="C1772" s="320" t="str">
        <f>C1768</f>
        <v>Лікар з ультразвукової діагностики</v>
      </c>
      <c r="D1772" s="78">
        <f>J1768</f>
        <v>0.9</v>
      </c>
      <c r="E1772" s="73">
        <v>30</v>
      </c>
      <c r="F1772" s="299">
        <f>ROUND(D1772*E1772,2)</f>
        <v>27</v>
      </c>
    </row>
    <row r="1773" spans="1:14" x14ac:dyDescent="0.3">
      <c r="C1773" s="320" t="str">
        <f>C1769</f>
        <v xml:space="preserve">Сестра медична </v>
      </c>
      <c r="D1773" s="78">
        <f>J1769</f>
        <v>0.74</v>
      </c>
      <c r="E1773" s="73">
        <v>30</v>
      </c>
      <c r="F1773" s="299">
        <f>ROUND(D1773*E1773,2)</f>
        <v>22.2</v>
      </c>
    </row>
    <row r="1774" spans="1:14" x14ac:dyDescent="0.3">
      <c r="D1774" s="19"/>
    </row>
    <row r="1775" spans="1:14" x14ac:dyDescent="0.3">
      <c r="C1775" s="134" t="s">
        <v>933</v>
      </c>
      <c r="D1775" s="78">
        <f>F1772+F1773</f>
        <v>49.2</v>
      </c>
      <c r="E1775" s="300">
        <v>0.22</v>
      </c>
      <c r="F1775" s="301">
        <f>ROUND(D1775*E1775,2)</f>
        <v>10.82</v>
      </c>
    </row>
    <row r="1777" spans="3:7" x14ac:dyDescent="0.3">
      <c r="C1777" s="321" t="s">
        <v>946</v>
      </c>
      <c r="D1777" s="227"/>
      <c r="E1777" s="227"/>
      <c r="F1777" s="227">
        <f>G1789</f>
        <v>12.45</v>
      </c>
      <c r="G1777" s="227" t="s">
        <v>971</v>
      </c>
    </row>
    <row r="1778" spans="3:7" ht="9" customHeight="1" x14ac:dyDescent="0.3"/>
    <row r="1779" spans="3:7" x14ac:dyDescent="0.3">
      <c r="C1779" s="27" t="str">
        <f t="shared" ref="C1779:F1788" si="64">C1724</f>
        <v>Рукавиці не стерильні</v>
      </c>
      <c r="D1779" s="303" t="str">
        <f t="shared" si="64"/>
        <v>шт</v>
      </c>
      <c r="E1779" s="303">
        <f t="shared" si="64"/>
        <v>0.1</v>
      </c>
      <c r="F1779" s="303">
        <f t="shared" si="64"/>
        <v>2.8</v>
      </c>
      <c r="G1779" s="228">
        <f>ROUND(F1779*E1779,2)</f>
        <v>0.28000000000000003</v>
      </c>
    </row>
    <row r="1780" spans="3:7" x14ac:dyDescent="0.3">
      <c r="C1780" s="27" t="str">
        <f t="shared" si="64"/>
        <v xml:space="preserve">Септил 70% 100мл </v>
      </c>
      <c r="D1780" s="303" t="str">
        <f t="shared" si="64"/>
        <v>шт</v>
      </c>
      <c r="E1780" s="303">
        <f t="shared" si="64"/>
        <v>0.01</v>
      </c>
      <c r="F1780" s="303">
        <f t="shared" si="64"/>
        <v>24.6</v>
      </c>
      <c r="G1780" s="228">
        <f t="shared" ref="G1780:G1785" si="65">ROUND(F1780*E1780,2)</f>
        <v>0.25</v>
      </c>
    </row>
    <row r="1781" spans="3:7" x14ac:dyDescent="0.3">
      <c r="C1781" s="27" t="str">
        <f t="shared" si="64"/>
        <v>Маска на резинці, стерильна.</v>
      </c>
      <c r="D1781" s="303" t="str">
        <f t="shared" si="64"/>
        <v>шт</v>
      </c>
      <c r="E1781" s="303">
        <f t="shared" si="64"/>
        <v>0.1</v>
      </c>
      <c r="F1781" s="303">
        <f t="shared" si="64"/>
        <v>2</v>
      </c>
      <c r="G1781" s="228">
        <f t="shared" si="65"/>
        <v>0.2</v>
      </c>
    </row>
    <row r="1782" spans="3:7" x14ac:dyDescent="0.3">
      <c r="C1782" s="27" t="str">
        <f t="shared" si="64"/>
        <v>Мікрасепт</v>
      </c>
      <c r="D1782" s="303" t="str">
        <f t="shared" si="64"/>
        <v>мл</v>
      </c>
      <c r="E1782" s="303">
        <f t="shared" si="64"/>
        <v>1</v>
      </c>
      <c r="F1782" s="303">
        <f t="shared" si="64"/>
        <v>0.3</v>
      </c>
      <c r="G1782" s="28">
        <f>ROUND(E1782*F1782,2)</f>
        <v>0.3</v>
      </c>
    </row>
    <row r="1783" spans="3:7" x14ac:dyDescent="0.3">
      <c r="C1783" s="27" t="str">
        <f t="shared" si="64"/>
        <v>Папір офісний А4</v>
      </c>
      <c r="D1783" s="303" t="str">
        <f t="shared" si="64"/>
        <v>шт</v>
      </c>
      <c r="E1783" s="303">
        <f t="shared" si="64"/>
        <v>2</v>
      </c>
      <c r="F1783" s="303">
        <f t="shared" si="64"/>
        <v>0.3</v>
      </c>
      <c r="G1783" s="228">
        <f t="shared" si="65"/>
        <v>0.6</v>
      </c>
    </row>
    <row r="1784" spans="3:7" x14ac:dyDescent="0.3">
      <c r="C1784" s="27" t="str">
        <f t="shared" si="64"/>
        <v xml:space="preserve">Гель для УЗД , 1000 гр. </v>
      </c>
      <c r="D1784" s="303" t="str">
        <f t="shared" si="64"/>
        <v>пляшка</v>
      </c>
      <c r="E1784" s="303">
        <f t="shared" si="64"/>
        <v>0.1</v>
      </c>
      <c r="F1784" s="303">
        <f t="shared" si="64"/>
        <v>48</v>
      </c>
      <c r="G1784" s="228">
        <f t="shared" si="65"/>
        <v>4.8</v>
      </c>
    </row>
    <row r="1785" spans="3:7" x14ac:dyDescent="0.3">
      <c r="C1785" s="27" t="str">
        <f t="shared" si="64"/>
        <v>Паперові рушники "Fesko Professional"</v>
      </c>
      <c r="D1785" s="303" t="str">
        <f t="shared" si="64"/>
        <v>рул</v>
      </c>
      <c r="E1785" s="303">
        <f t="shared" si="64"/>
        <v>0.3</v>
      </c>
      <c r="F1785" s="303">
        <f t="shared" si="64"/>
        <v>17</v>
      </c>
      <c r="G1785" s="228">
        <f t="shared" si="65"/>
        <v>5.0999999999999996</v>
      </c>
    </row>
    <row r="1786" spans="3:7" x14ac:dyDescent="0.3">
      <c r="C1786" s="27" t="str">
        <f t="shared" si="64"/>
        <v>Марля медична</v>
      </c>
      <c r="D1786" s="303" t="str">
        <f t="shared" si="64"/>
        <v>метр</v>
      </c>
      <c r="E1786" s="303">
        <f t="shared" si="64"/>
        <v>0.1</v>
      </c>
      <c r="F1786" s="303">
        <f t="shared" si="64"/>
        <v>6</v>
      </c>
      <c r="G1786" s="28">
        <f>ROUND(E1786*F1786,2)</f>
        <v>0.6</v>
      </c>
    </row>
    <row r="1787" spans="3:7" x14ac:dyDescent="0.3">
      <c r="C1787" s="27" t="str">
        <f t="shared" si="64"/>
        <v>Вата</v>
      </c>
      <c r="D1787" s="303" t="str">
        <f t="shared" si="64"/>
        <v>г</v>
      </c>
      <c r="E1787" s="303">
        <f t="shared" si="64"/>
        <v>1</v>
      </c>
      <c r="F1787" s="303">
        <f t="shared" si="64"/>
        <v>7.0000000000000007E-2</v>
      </c>
      <c r="G1787" s="28">
        <f>ROUND(E1787*F1787,2)</f>
        <v>7.0000000000000007E-2</v>
      </c>
    </row>
    <row r="1788" spans="3:7" x14ac:dyDescent="0.3">
      <c r="C1788" s="27" t="str">
        <f t="shared" si="64"/>
        <v>Деззасоби</v>
      </c>
      <c r="D1788" s="303" t="str">
        <f t="shared" si="64"/>
        <v>г</v>
      </c>
      <c r="E1788" s="303">
        <f t="shared" si="64"/>
        <v>0.5</v>
      </c>
      <c r="F1788" s="303">
        <f t="shared" si="64"/>
        <v>0.5</v>
      </c>
      <c r="G1788" s="28">
        <f>ROUND(E1788*F1788,2)</f>
        <v>0.25</v>
      </c>
    </row>
    <row r="1789" spans="3:7" x14ac:dyDescent="0.3">
      <c r="C1789" s="1019" t="s">
        <v>945</v>
      </c>
      <c r="D1789" s="1019"/>
      <c r="E1789" s="1019"/>
      <c r="F1789" s="1019"/>
      <c r="G1789" s="332">
        <f>SUM(G1779:G1788)</f>
        <v>12.45</v>
      </c>
    </row>
    <row r="1791" spans="3:7" x14ac:dyDescent="0.3">
      <c r="C1791" s="321" t="s">
        <v>968</v>
      </c>
      <c r="D1791" s="227"/>
      <c r="E1791" s="227"/>
      <c r="F1791" s="298">
        <f>H1794</f>
        <v>41.1</v>
      </c>
      <c r="G1791" s="227" t="s">
        <v>971</v>
      </c>
    </row>
    <row r="1792" spans="3:7" ht="7.5" customHeight="1" x14ac:dyDescent="0.3">
      <c r="C1792" s="322"/>
      <c r="D1792" s="36"/>
      <c r="E1792" s="36"/>
      <c r="F1792" s="302"/>
      <c r="G1792" s="36"/>
    </row>
    <row r="1793" spans="3:9" ht="27.6" x14ac:dyDescent="0.3">
      <c r="C1793" s="46" t="s">
        <v>513</v>
      </c>
      <c r="D1793" s="14" t="s">
        <v>1108</v>
      </c>
      <c r="E1793" s="14" t="s">
        <v>516</v>
      </c>
      <c r="F1793" s="14" t="s">
        <v>970</v>
      </c>
      <c r="G1793" s="14" t="s">
        <v>930</v>
      </c>
      <c r="H1793" s="14" t="s">
        <v>961</v>
      </c>
    </row>
    <row r="1794" spans="3:9" x14ac:dyDescent="0.3">
      <c r="C1794" s="27" t="str">
        <f>C1739</f>
        <v>Ультразвукова система AFFINITI 30</v>
      </c>
      <c r="D1794" s="73">
        <f>D1739</f>
        <v>136236.38</v>
      </c>
      <c r="E1794" s="73">
        <f>I1768</f>
        <v>1656.6</v>
      </c>
      <c r="F1794" s="73">
        <f>ROUND((D1794/E1794)/60,2)</f>
        <v>1.37</v>
      </c>
      <c r="G1794" s="73">
        <f>E1772</f>
        <v>30</v>
      </c>
      <c r="H1794" s="78">
        <f>ROUND(F1794*G1794,2)</f>
        <v>41.1</v>
      </c>
      <c r="I1794" s="333"/>
    </row>
    <row r="1796" spans="3:9" x14ac:dyDescent="0.3">
      <c r="C1796" s="321" t="s">
        <v>948</v>
      </c>
      <c r="D1796" s="227"/>
      <c r="E1796" s="227"/>
      <c r="F1796" s="298">
        <f>H1809</f>
        <v>7.8</v>
      </c>
      <c r="G1796" s="227" t="s">
        <v>971</v>
      </c>
    </row>
    <row r="1797" spans="3:9" ht="7.5" customHeight="1" x14ac:dyDescent="0.3">
      <c r="C1797" s="322"/>
      <c r="D1797" s="36"/>
      <c r="E1797" s="36"/>
      <c r="F1797" s="302"/>
    </row>
    <row r="1798" spans="3:9" ht="27.6" x14ac:dyDescent="0.3">
      <c r="C1798" s="46" t="s">
        <v>948</v>
      </c>
      <c r="D1798" s="14" t="s">
        <v>1110</v>
      </c>
      <c r="E1798" s="14" t="s">
        <v>516</v>
      </c>
      <c r="F1798" s="14" t="s">
        <v>954</v>
      </c>
      <c r="G1798" s="14" t="s">
        <v>930</v>
      </c>
      <c r="H1798" s="14" t="s">
        <v>1111</v>
      </c>
    </row>
    <row r="1799" spans="3:9" x14ac:dyDescent="0.3">
      <c r="C1799" s="1009" t="str">
        <f>C1768</f>
        <v>Лікар з ультразвукової діагностики</v>
      </c>
      <c r="D1799" s="1010"/>
      <c r="E1799" s="1010"/>
      <c r="F1799" s="1010"/>
      <c r="G1799" s="1010"/>
      <c r="H1799" s="1011"/>
    </row>
    <row r="1800" spans="3:9" x14ac:dyDescent="0.3">
      <c r="C1800" s="134" t="s">
        <v>951</v>
      </c>
      <c r="D1800" s="221">
        <f>D1745</f>
        <v>12188.608008565312</v>
      </c>
      <c r="E1800" s="73">
        <f>I1768</f>
        <v>1656.6</v>
      </c>
      <c r="F1800" s="73">
        <f>ROUND((D1800/E1800)/60,2)</f>
        <v>0.12</v>
      </c>
      <c r="G1800" s="73">
        <f>E1772</f>
        <v>30</v>
      </c>
      <c r="H1800" s="78">
        <f>ROUND(F1800*G1800,2)</f>
        <v>3.6</v>
      </c>
    </row>
    <row r="1801" spans="3:9" x14ac:dyDescent="0.3">
      <c r="C1801" s="134" t="s">
        <v>952</v>
      </c>
      <c r="D1801" s="221">
        <f>D1746</f>
        <v>53.149721627408987</v>
      </c>
      <c r="E1801" s="73">
        <f>I1768</f>
        <v>1656.6</v>
      </c>
      <c r="F1801" s="73">
        <f>ROUND((D1801/E1801)/60,2)</f>
        <v>0</v>
      </c>
      <c r="G1801" s="73">
        <f>E1772</f>
        <v>30</v>
      </c>
      <c r="H1801" s="78">
        <f>ROUND(F1801*G1801,2)</f>
        <v>0</v>
      </c>
    </row>
    <row r="1802" spans="3:9" x14ac:dyDescent="0.3">
      <c r="C1802" s="134" t="s">
        <v>953</v>
      </c>
      <c r="D1802" s="221">
        <f>D1747</f>
        <v>374.98368308351178</v>
      </c>
      <c r="E1802" s="73">
        <f>I1768</f>
        <v>1656.6</v>
      </c>
      <c r="F1802" s="73">
        <f>ROUND((D1802/E1802)/60,2)</f>
        <v>0</v>
      </c>
      <c r="G1802" s="73">
        <f>E1772</f>
        <v>30</v>
      </c>
      <c r="H1802" s="78">
        <f>ROUND(F1802*G1802,2)</f>
        <v>0</v>
      </c>
    </row>
    <row r="1803" spans="3:9" x14ac:dyDescent="0.3">
      <c r="C1803" s="134" t="s">
        <v>1109</v>
      </c>
      <c r="D1803" s="221">
        <f>D1748</f>
        <v>1686.0389293361886</v>
      </c>
      <c r="E1803" s="73">
        <f>I1768</f>
        <v>1656.6</v>
      </c>
      <c r="F1803" s="73">
        <f>ROUND((D1803/E1803)/60,2)</f>
        <v>0.02</v>
      </c>
      <c r="G1803" s="73">
        <f>E1772</f>
        <v>30</v>
      </c>
      <c r="H1803" s="78">
        <f>ROUND(F1803*G1803,2)</f>
        <v>0.6</v>
      </c>
    </row>
    <row r="1804" spans="3:9" x14ac:dyDescent="0.3">
      <c r="C1804" s="1009" t="str">
        <f>C1769</f>
        <v xml:space="preserve">Сестра медична </v>
      </c>
      <c r="D1804" s="1010"/>
      <c r="E1804" s="1010"/>
      <c r="F1804" s="1010"/>
      <c r="G1804" s="1010"/>
      <c r="H1804" s="1011"/>
    </row>
    <row r="1805" spans="3:9" x14ac:dyDescent="0.3">
      <c r="C1805" s="134" t="s">
        <v>951</v>
      </c>
      <c r="D1805" s="221">
        <f>D1800</f>
        <v>12188.608008565312</v>
      </c>
      <c r="E1805" s="73">
        <f>I1769</f>
        <v>1932.7</v>
      </c>
      <c r="F1805" s="73">
        <f>ROUND((D1805/E1805)/60,2)</f>
        <v>0.11</v>
      </c>
      <c r="G1805" s="73">
        <f>E1773</f>
        <v>30</v>
      </c>
      <c r="H1805" s="78">
        <f>ROUND(F1805*G1805,2)</f>
        <v>3.3</v>
      </c>
    </row>
    <row r="1806" spans="3:9" x14ac:dyDescent="0.3">
      <c r="C1806" s="134" t="s">
        <v>952</v>
      </c>
      <c r="D1806" s="221">
        <f>D1801</f>
        <v>53.149721627408987</v>
      </c>
      <c r="E1806" s="73">
        <f>I1769</f>
        <v>1932.7</v>
      </c>
      <c r="F1806" s="73">
        <f>ROUND((D1806/E1806)/60,2)</f>
        <v>0</v>
      </c>
      <c r="G1806" s="73">
        <f>E1773</f>
        <v>30</v>
      </c>
      <c r="H1806" s="78">
        <f>ROUND(F1806*G1806,2)</f>
        <v>0</v>
      </c>
    </row>
    <row r="1807" spans="3:9" x14ac:dyDescent="0.3">
      <c r="C1807" s="134" t="s">
        <v>953</v>
      </c>
      <c r="D1807" s="221">
        <f>D1802</f>
        <v>374.98368308351178</v>
      </c>
      <c r="E1807" s="73">
        <f>I1769</f>
        <v>1932.7</v>
      </c>
      <c r="F1807" s="73">
        <f>ROUND((D1807/E1807)/60,2)</f>
        <v>0</v>
      </c>
      <c r="G1807" s="73">
        <f>E1773</f>
        <v>30</v>
      </c>
      <c r="H1807" s="78">
        <f>ROUND(F1807*G1807,2)</f>
        <v>0</v>
      </c>
    </row>
    <row r="1808" spans="3:9" x14ac:dyDescent="0.3">
      <c r="C1808" s="134" t="s">
        <v>1109</v>
      </c>
      <c r="D1808" s="221">
        <f>D1803</f>
        <v>1686.0389293361886</v>
      </c>
      <c r="E1808" s="73">
        <f>I1769</f>
        <v>1932.7</v>
      </c>
      <c r="F1808" s="73">
        <f>ROUND((D1808/E1808)/60,2)</f>
        <v>0.01</v>
      </c>
      <c r="G1808" s="73">
        <f>E1773</f>
        <v>30</v>
      </c>
      <c r="H1808" s="78">
        <f>ROUND(F1808*G1808,2)</f>
        <v>0.3</v>
      </c>
    </row>
    <row r="1809" spans="1:14" x14ac:dyDescent="0.3">
      <c r="C1809" s="1012" t="s">
        <v>957</v>
      </c>
      <c r="D1809" s="1013"/>
      <c r="E1809" s="1013"/>
      <c r="F1809" s="1013"/>
      <c r="G1809" s="1014"/>
      <c r="H1809" s="299">
        <f>SUM(H1800:H1808)</f>
        <v>7.8</v>
      </c>
    </row>
    <row r="1812" spans="1:14" x14ac:dyDescent="0.3">
      <c r="C1812" s="1015" t="s">
        <v>959</v>
      </c>
      <c r="D1812" s="1015"/>
      <c r="E1812" s="1015"/>
      <c r="F1812" s="1015"/>
      <c r="G1812" s="1015"/>
      <c r="H1812" s="334">
        <f>F1765+F1777+F1791+F1796</f>
        <v>121.36999999999999</v>
      </c>
    </row>
    <row r="1813" spans="1:14" x14ac:dyDescent="0.3">
      <c r="C1813" s="323"/>
      <c r="D1813" s="33"/>
      <c r="E1813" s="33"/>
      <c r="F1813" s="33"/>
      <c r="G1813" s="33"/>
      <c r="H1813" s="335"/>
    </row>
    <row r="1814" spans="1:14" x14ac:dyDescent="0.3">
      <c r="C1814" s="1015" t="s">
        <v>960</v>
      </c>
      <c r="D1814" s="1015"/>
      <c r="E1814" s="1015"/>
      <c r="F1814" s="1015"/>
      <c r="G1814" s="1015"/>
      <c r="H1814" s="334">
        <f>ROUND(H1812,0)</f>
        <v>121</v>
      </c>
    </row>
    <row r="1816" spans="1:14" s="54" customFormat="1" ht="19.8" x14ac:dyDescent="0.4">
      <c r="A1816" s="53"/>
      <c r="B1816" s="1016" t="s">
        <v>958</v>
      </c>
      <c r="C1816" s="1016"/>
      <c r="D1816" s="1016"/>
      <c r="E1816" s="1016"/>
      <c r="F1816" s="1016"/>
      <c r="G1816" s="1016"/>
      <c r="H1816" s="1016"/>
      <c r="I1816" s="1016"/>
      <c r="J1816" s="1016"/>
      <c r="K1816" s="70"/>
      <c r="L1816" s="348"/>
      <c r="M1816" s="348"/>
      <c r="N1816" s="99"/>
    </row>
    <row r="1817" spans="1:14" s="54" customFormat="1" ht="19.8" x14ac:dyDescent="0.4">
      <c r="A1817" s="53"/>
      <c r="B1817" s="53"/>
      <c r="C1817" s="56"/>
      <c r="D1817" s="225"/>
      <c r="E1817" s="225"/>
      <c r="F1817" s="225"/>
      <c r="G1817" s="225"/>
      <c r="H1817" s="225"/>
      <c r="I1817" s="225"/>
      <c r="J1817" s="225"/>
      <c r="K1817" s="70"/>
      <c r="L1817" s="348"/>
      <c r="M1817" s="348"/>
      <c r="N1817" s="99"/>
    </row>
    <row r="1818" spans="1:14" s="54" customFormat="1" ht="35.25" customHeight="1" x14ac:dyDescent="0.4">
      <c r="A1818" s="53"/>
      <c r="B1818" s="50" t="s">
        <v>608</v>
      </c>
      <c r="C1818" s="1017" t="s">
        <v>1095</v>
      </c>
      <c r="D1818" s="1017"/>
      <c r="E1818" s="1017"/>
      <c r="F1818" s="296">
        <f>H1869</f>
        <v>158</v>
      </c>
      <c r="G1818" s="296" t="s">
        <v>971</v>
      </c>
      <c r="H1818" s="225"/>
      <c r="I1818" s="225"/>
      <c r="J1818" s="225"/>
      <c r="K1818" s="70"/>
      <c r="L1818" s="348"/>
      <c r="M1818" s="348"/>
      <c r="N1818" s="99"/>
    </row>
    <row r="1820" spans="1:14" x14ac:dyDescent="0.3">
      <c r="C1820" s="1018" t="s">
        <v>932</v>
      </c>
      <c r="D1820" s="1018"/>
      <c r="E1820" s="297"/>
      <c r="F1820" s="298">
        <f>F1827+F1830+F1828</f>
        <v>80.03</v>
      </c>
      <c r="G1820" s="227" t="s">
        <v>971</v>
      </c>
    </row>
    <row r="1822" spans="1:14" x14ac:dyDescent="0.3">
      <c r="C1822" s="318" t="s">
        <v>929</v>
      </c>
      <c r="D1822" s="14" t="s">
        <v>928</v>
      </c>
      <c r="E1822" s="14" t="s">
        <v>514</v>
      </c>
      <c r="F1822" s="14" t="s">
        <v>515</v>
      </c>
      <c r="G1822" s="14" t="s">
        <v>962</v>
      </c>
      <c r="H1822" s="14" t="s">
        <v>926</v>
      </c>
      <c r="I1822" s="14" t="s">
        <v>516</v>
      </c>
      <c r="J1822" s="14" t="s">
        <v>961</v>
      </c>
    </row>
    <row r="1823" spans="1:14" x14ac:dyDescent="0.3">
      <c r="C1823" s="134" t="str">
        <f>C1768</f>
        <v>Лікар з ультразвукової діагностики</v>
      </c>
      <c r="D1823" s="73">
        <f>D1768</f>
        <v>6660.23</v>
      </c>
      <c r="E1823" s="78">
        <f>D1823*12</f>
        <v>79922.759999999995</v>
      </c>
      <c r="F1823" s="73">
        <f>F1768</f>
        <v>6054.75</v>
      </c>
      <c r="G1823" s="78">
        <f>G1768</f>
        <v>3027.375</v>
      </c>
      <c r="H1823" s="78">
        <f>E1823+F1823+G1823</f>
        <v>89004.884999999995</v>
      </c>
      <c r="I1823" s="73">
        <v>1656.6</v>
      </c>
      <c r="J1823" s="78">
        <f>ROUND((H1823/I1823)/60,2)</f>
        <v>0.9</v>
      </c>
    </row>
    <row r="1824" spans="1:14" x14ac:dyDescent="0.3">
      <c r="C1824" s="134" t="str">
        <f>C1769</f>
        <v xml:space="preserve">Сестра медична </v>
      </c>
      <c r="D1824" s="73">
        <f>D1769</f>
        <v>6506.5</v>
      </c>
      <c r="E1824" s="78">
        <f>D1824*12</f>
        <v>78078</v>
      </c>
      <c r="F1824" s="73">
        <f>F1769</f>
        <v>5005</v>
      </c>
      <c r="G1824" s="78">
        <f>G1769</f>
        <v>2502.5</v>
      </c>
      <c r="H1824" s="78">
        <f>E1824+F1824+G1824</f>
        <v>85585.5</v>
      </c>
      <c r="I1824" s="73">
        <v>1932.7</v>
      </c>
      <c r="J1824" s="78">
        <f>ROUND((H1824/I1824)/60,2)</f>
        <v>0.74</v>
      </c>
    </row>
    <row r="1826" spans="3:7" ht="27.6" x14ac:dyDescent="0.3">
      <c r="C1826" s="318" t="s">
        <v>929</v>
      </c>
      <c r="D1826" s="14" t="s">
        <v>961</v>
      </c>
      <c r="E1826" s="14" t="s">
        <v>930</v>
      </c>
      <c r="F1826" s="14" t="s">
        <v>931</v>
      </c>
    </row>
    <row r="1827" spans="3:7" x14ac:dyDescent="0.3">
      <c r="C1827" s="320" t="str">
        <f>C1823</f>
        <v>Лікар з ультразвукової діагностики</v>
      </c>
      <c r="D1827" s="78">
        <f>J1823</f>
        <v>0.9</v>
      </c>
      <c r="E1827" s="73">
        <v>40</v>
      </c>
      <c r="F1827" s="299">
        <f>ROUND(D1827*E1827,2)</f>
        <v>36</v>
      </c>
    </row>
    <row r="1828" spans="3:7" x14ac:dyDescent="0.3">
      <c r="C1828" s="320" t="str">
        <f>C1824</f>
        <v xml:space="preserve">Сестра медична </v>
      </c>
      <c r="D1828" s="78">
        <f>J1824</f>
        <v>0.74</v>
      </c>
      <c r="E1828" s="73">
        <v>40</v>
      </c>
      <c r="F1828" s="299">
        <f>ROUND(D1828*E1828,2)</f>
        <v>29.6</v>
      </c>
    </row>
    <row r="1829" spans="3:7" x14ac:dyDescent="0.3">
      <c r="D1829" s="19"/>
    </row>
    <row r="1830" spans="3:7" x14ac:dyDescent="0.3">
      <c r="C1830" s="134" t="s">
        <v>933</v>
      </c>
      <c r="D1830" s="78">
        <f>F1827+F1828</f>
        <v>65.599999999999994</v>
      </c>
      <c r="E1830" s="300">
        <v>0.22</v>
      </c>
      <c r="F1830" s="301">
        <f>ROUND(D1830*E1830,2)</f>
        <v>14.43</v>
      </c>
    </row>
    <row r="1832" spans="3:7" x14ac:dyDescent="0.3">
      <c r="C1832" s="321" t="s">
        <v>946</v>
      </c>
      <c r="D1832" s="227"/>
      <c r="E1832" s="227"/>
      <c r="F1832" s="227">
        <f>G1844</f>
        <v>12.45</v>
      </c>
      <c r="G1832" s="227" t="s">
        <v>971</v>
      </c>
    </row>
    <row r="1833" spans="3:7" ht="8.25" customHeight="1" x14ac:dyDescent="0.3"/>
    <row r="1834" spans="3:7" x14ac:dyDescent="0.3">
      <c r="C1834" s="27" t="str">
        <f t="shared" ref="C1834:F1843" si="66">C1779</f>
        <v>Рукавиці не стерильні</v>
      </c>
      <c r="D1834" s="303" t="str">
        <f t="shared" si="66"/>
        <v>шт</v>
      </c>
      <c r="E1834" s="303">
        <f t="shared" si="66"/>
        <v>0.1</v>
      </c>
      <c r="F1834" s="303">
        <f t="shared" si="66"/>
        <v>2.8</v>
      </c>
      <c r="G1834" s="228">
        <f>ROUND(F1834*E1834,2)</f>
        <v>0.28000000000000003</v>
      </c>
    </row>
    <row r="1835" spans="3:7" x14ac:dyDescent="0.3">
      <c r="C1835" s="27" t="str">
        <f t="shared" si="66"/>
        <v xml:space="preserve">Септил 70% 100мл </v>
      </c>
      <c r="D1835" s="303" t="str">
        <f t="shared" si="66"/>
        <v>шт</v>
      </c>
      <c r="E1835" s="303">
        <f t="shared" si="66"/>
        <v>0.01</v>
      </c>
      <c r="F1835" s="303">
        <f t="shared" si="66"/>
        <v>24.6</v>
      </c>
      <c r="G1835" s="228">
        <f>ROUND(F1835*E1835,2)</f>
        <v>0.25</v>
      </c>
    </row>
    <row r="1836" spans="3:7" x14ac:dyDescent="0.3">
      <c r="C1836" s="27" t="str">
        <f t="shared" si="66"/>
        <v>Маска на резинці, стерильна.</v>
      </c>
      <c r="D1836" s="303" t="str">
        <f t="shared" si="66"/>
        <v>шт</v>
      </c>
      <c r="E1836" s="303">
        <f t="shared" si="66"/>
        <v>0.1</v>
      </c>
      <c r="F1836" s="303">
        <f t="shared" si="66"/>
        <v>2</v>
      </c>
      <c r="G1836" s="228">
        <f>ROUND(F1836*E1836,2)</f>
        <v>0.2</v>
      </c>
    </row>
    <row r="1837" spans="3:7" x14ac:dyDescent="0.3">
      <c r="C1837" s="27" t="str">
        <f t="shared" si="66"/>
        <v>Мікрасепт</v>
      </c>
      <c r="D1837" s="303" t="str">
        <f t="shared" si="66"/>
        <v>мл</v>
      </c>
      <c r="E1837" s="303">
        <f t="shared" si="66"/>
        <v>1</v>
      </c>
      <c r="F1837" s="303">
        <f t="shared" si="66"/>
        <v>0.3</v>
      </c>
      <c r="G1837" s="28">
        <f>ROUND(E1837*F1837,2)</f>
        <v>0.3</v>
      </c>
    </row>
    <row r="1838" spans="3:7" x14ac:dyDescent="0.3">
      <c r="C1838" s="27" t="str">
        <f t="shared" si="66"/>
        <v>Папір офісний А4</v>
      </c>
      <c r="D1838" s="303" t="str">
        <f t="shared" si="66"/>
        <v>шт</v>
      </c>
      <c r="E1838" s="303">
        <f t="shared" si="66"/>
        <v>2</v>
      </c>
      <c r="F1838" s="303">
        <f t="shared" si="66"/>
        <v>0.3</v>
      </c>
      <c r="G1838" s="228">
        <f>ROUND(F1838*E1838,2)</f>
        <v>0.6</v>
      </c>
    </row>
    <row r="1839" spans="3:7" x14ac:dyDescent="0.3">
      <c r="C1839" s="27" t="str">
        <f t="shared" si="66"/>
        <v xml:space="preserve">Гель для УЗД , 1000 гр. </v>
      </c>
      <c r="D1839" s="303" t="str">
        <f t="shared" si="66"/>
        <v>пляшка</v>
      </c>
      <c r="E1839" s="303">
        <f t="shared" si="66"/>
        <v>0.1</v>
      </c>
      <c r="F1839" s="303">
        <f t="shared" si="66"/>
        <v>48</v>
      </c>
      <c r="G1839" s="228">
        <f>ROUND(F1839*E1839,2)</f>
        <v>4.8</v>
      </c>
    </row>
    <row r="1840" spans="3:7" x14ac:dyDescent="0.3">
      <c r="C1840" s="27" t="str">
        <f t="shared" si="66"/>
        <v>Паперові рушники "Fesko Professional"</v>
      </c>
      <c r="D1840" s="303" t="str">
        <f t="shared" si="66"/>
        <v>рул</v>
      </c>
      <c r="E1840" s="303">
        <f t="shared" si="66"/>
        <v>0.3</v>
      </c>
      <c r="F1840" s="303">
        <f t="shared" si="66"/>
        <v>17</v>
      </c>
      <c r="G1840" s="228">
        <f>ROUND(F1840*E1840,2)</f>
        <v>5.0999999999999996</v>
      </c>
    </row>
    <row r="1841" spans="3:9" x14ac:dyDescent="0.3">
      <c r="C1841" s="27" t="str">
        <f t="shared" si="66"/>
        <v>Марля медична</v>
      </c>
      <c r="D1841" s="303" t="str">
        <f t="shared" si="66"/>
        <v>метр</v>
      </c>
      <c r="E1841" s="303">
        <f t="shared" si="66"/>
        <v>0.1</v>
      </c>
      <c r="F1841" s="303">
        <f t="shared" si="66"/>
        <v>6</v>
      </c>
      <c r="G1841" s="28">
        <f>ROUND(E1841*F1841,2)</f>
        <v>0.6</v>
      </c>
    </row>
    <row r="1842" spans="3:9" x14ac:dyDescent="0.3">
      <c r="C1842" s="27" t="str">
        <f t="shared" si="66"/>
        <v>Вата</v>
      </c>
      <c r="D1842" s="303" t="str">
        <f t="shared" si="66"/>
        <v>г</v>
      </c>
      <c r="E1842" s="303">
        <f t="shared" si="66"/>
        <v>1</v>
      </c>
      <c r="F1842" s="303">
        <f t="shared" si="66"/>
        <v>7.0000000000000007E-2</v>
      </c>
      <c r="G1842" s="28">
        <f>ROUND(E1842*F1842,2)</f>
        <v>7.0000000000000007E-2</v>
      </c>
    </row>
    <row r="1843" spans="3:9" x14ac:dyDescent="0.3">
      <c r="C1843" s="27" t="str">
        <f t="shared" si="66"/>
        <v>Деззасоби</v>
      </c>
      <c r="D1843" s="303" t="str">
        <f t="shared" si="66"/>
        <v>г</v>
      </c>
      <c r="E1843" s="303">
        <f t="shared" si="66"/>
        <v>0.5</v>
      </c>
      <c r="F1843" s="303">
        <f t="shared" si="66"/>
        <v>0.5</v>
      </c>
      <c r="G1843" s="28">
        <f>ROUND(E1843*F1843,2)</f>
        <v>0.25</v>
      </c>
    </row>
    <row r="1844" spans="3:9" x14ac:dyDescent="0.3">
      <c r="C1844" s="1019" t="s">
        <v>945</v>
      </c>
      <c r="D1844" s="1019"/>
      <c r="E1844" s="1019"/>
      <c r="F1844" s="1019"/>
      <c r="G1844" s="332">
        <f>SUM(G1834:G1843)</f>
        <v>12.45</v>
      </c>
    </row>
    <row r="1846" spans="3:9" x14ac:dyDescent="0.3">
      <c r="C1846" s="321" t="s">
        <v>968</v>
      </c>
      <c r="D1846" s="227"/>
      <c r="E1846" s="227"/>
      <c r="F1846" s="298">
        <f>H1849</f>
        <v>54.8</v>
      </c>
      <c r="G1846" s="227" t="s">
        <v>971</v>
      </c>
    </row>
    <row r="1847" spans="3:9" ht="9.75" customHeight="1" x14ac:dyDescent="0.3">
      <c r="C1847" s="322"/>
      <c r="D1847" s="36"/>
      <c r="E1847" s="36"/>
      <c r="F1847" s="302"/>
      <c r="G1847" s="36"/>
    </row>
    <row r="1848" spans="3:9" ht="27.6" x14ac:dyDescent="0.3">
      <c r="C1848" s="46" t="s">
        <v>513</v>
      </c>
      <c r="D1848" s="14" t="s">
        <v>1108</v>
      </c>
      <c r="E1848" s="14" t="s">
        <v>516</v>
      </c>
      <c r="F1848" s="14" t="s">
        <v>970</v>
      </c>
      <c r="G1848" s="14" t="s">
        <v>930</v>
      </c>
      <c r="H1848" s="14" t="s">
        <v>961</v>
      </c>
    </row>
    <row r="1849" spans="3:9" x14ac:dyDescent="0.3">
      <c r="C1849" s="27" t="str">
        <f>C1794</f>
        <v>Ультразвукова система AFFINITI 30</v>
      </c>
      <c r="D1849" s="73">
        <f>D1794</f>
        <v>136236.38</v>
      </c>
      <c r="E1849" s="73">
        <f>I1823</f>
        <v>1656.6</v>
      </c>
      <c r="F1849" s="73">
        <f>ROUND((D1849/E1849)/60,2)</f>
        <v>1.37</v>
      </c>
      <c r="G1849" s="73">
        <f>E1827</f>
        <v>40</v>
      </c>
      <c r="H1849" s="78">
        <f>ROUND(F1849*G1849,2)</f>
        <v>54.8</v>
      </c>
      <c r="I1849" s="333"/>
    </row>
    <row r="1851" spans="3:9" x14ac:dyDescent="0.3">
      <c r="C1851" s="321" t="s">
        <v>948</v>
      </c>
      <c r="D1851" s="227"/>
      <c r="E1851" s="227"/>
      <c r="F1851" s="298">
        <f>H1864</f>
        <v>10.4</v>
      </c>
      <c r="G1851" s="227" t="s">
        <v>971</v>
      </c>
    </row>
    <row r="1852" spans="3:9" ht="6.75" customHeight="1" x14ac:dyDescent="0.3">
      <c r="C1852" s="322"/>
      <c r="D1852" s="36"/>
      <c r="E1852" s="36"/>
      <c r="F1852" s="302"/>
    </row>
    <row r="1853" spans="3:9" ht="27.6" x14ac:dyDescent="0.3">
      <c r="C1853" s="46" t="s">
        <v>948</v>
      </c>
      <c r="D1853" s="14" t="s">
        <v>1110</v>
      </c>
      <c r="E1853" s="14" t="s">
        <v>516</v>
      </c>
      <c r="F1853" s="14" t="s">
        <v>954</v>
      </c>
      <c r="G1853" s="14" t="s">
        <v>930</v>
      </c>
      <c r="H1853" s="14" t="s">
        <v>1111</v>
      </c>
    </row>
    <row r="1854" spans="3:9" x14ac:dyDescent="0.3">
      <c r="C1854" s="1009" t="str">
        <f>C1823</f>
        <v>Лікар з ультразвукової діагностики</v>
      </c>
      <c r="D1854" s="1010"/>
      <c r="E1854" s="1010"/>
      <c r="F1854" s="1010"/>
      <c r="G1854" s="1010"/>
      <c r="H1854" s="1011"/>
    </row>
    <row r="1855" spans="3:9" x14ac:dyDescent="0.3">
      <c r="C1855" s="134" t="s">
        <v>951</v>
      </c>
      <c r="D1855" s="221">
        <f>D1800</f>
        <v>12188.608008565312</v>
      </c>
      <c r="E1855" s="73">
        <f>I1823</f>
        <v>1656.6</v>
      </c>
      <c r="F1855" s="73">
        <f>ROUND((D1855/E1855)/60,2)</f>
        <v>0.12</v>
      </c>
      <c r="G1855" s="73">
        <f>E1827</f>
        <v>40</v>
      </c>
      <c r="H1855" s="78">
        <f>ROUND(F1855*G1855,2)</f>
        <v>4.8</v>
      </c>
    </row>
    <row r="1856" spans="3:9" x14ac:dyDescent="0.3">
      <c r="C1856" s="134" t="s">
        <v>952</v>
      </c>
      <c r="D1856" s="221">
        <f>D1801</f>
        <v>53.149721627408987</v>
      </c>
      <c r="E1856" s="73">
        <f>I1823</f>
        <v>1656.6</v>
      </c>
      <c r="F1856" s="73">
        <f>ROUND((D1856/E1856)/60,2)</f>
        <v>0</v>
      </c>
      <c r="G1856" s="73">
        <f>E1827</f>
        <v>40</v>
      </c>
      <c r="H1856" s="78">
        <f>ROUND(F1856*G1856,2)</f>
        <v>0</v>
      </c>
    </row>
    <row r="1857" spans="2:11" x14ac:dyDescent="0.3">
      <c r="C1857" s="134" t="s">
        <v>953</v>
      </c>
      <c r="D1857" s="221">
        <f>D1802</f>
        <v>374.98368308351178</v>
      </c>
      <c r="E1857" s="73">
        <f>I1823</f>
        <v>1656.6</v>
      </c>
      <c r="F1857" s="73">
        <f>ROUND((D1857/E1857)/60,2)</f>
        <v>0</v>
      </c>
      <c r="G1857" s="73">
        <f>E1827</f>
        <v>40</v>
      </c>
      <c r="H1857" s="78">
        <f>ROUND(F1857*G1857,2)</f>
        <v>0</v>
      </c>
    </row>
    <row r="1858" spans="2:11" x14ac:dyDescent="0.3">
      <c r="C1858" s="134" t="s">
        <v>1109</v>
      </c>
      <c r="D1858" s="221">
        <f>D1803</f>
        <v>1686.0389293361886</v>
      </c>
      <c r="E1858" s="73">
        <f>I1823</f>
        <v>1656.6</v>
      </c>
      <c r="F1858" s="73">
        <f>ROUND((D1858/E1858)/60,2)</f>
        <v>0.02</v>
      </c>
      <c r="G1858" s="73">
        <f>E1827</f>
        <v>40</v>
      </c>
      <c r="H1858" s="78">
        <f>ROUND(F1858*G1858,2)</f>
        <v>0.8</v>
      </c>
    </row>
    <row r="1859" spans="2:11" x14ac:dyDescent="0.3">
      <c r="C1859" s="1009" t="str">
        <f>C1824</f>
        <v xml:space="preserve">Сестра медична </v>
      </c>
      <c r="D1859" s="1010"/>
      <c r="E1859" s="1010"/>
      <c r="F1859" s="1010"/>
      <c r="G1859" s="1010"/>
      <c r="H1859" s="1011"/>
    </row>
    <row r="1860" spans="2:11" x14ac:dyDescent="0.3">
      <c r="C1860" s="134" t="s">
        <v>951</v>
      </c>
      <c r="D1860" s="221">
        <f>D1855</f>
        <v>12188.608008565312</v>
      </c>
      <c r="E1860" s="73">
        <f>I1824</f>
        <v>1932.7</v>
      </c>
      <c r="F1860" s="73">
        <f>ROUND((D1860/E1860)/60,2)</f>
        <v>0.11</v>
      </c>
      <c r="G1860" s="73">
        <f>E1828</f>
        <v>40</v>
      </c>
      <c r="H1860" s="78">
        <f>ROUND(F1860*G1860,2)</f>
        <v>4.4000000000000004</v>
      </c>
    </row>
    <row r="1861" spans="2:11" x14ac:dyDescent="0.3">
      <c r="C1861" s="134" t="s">
        <v>952</v>
      </c>
      <c r="D1861" s="221">
        <f>D1856</f>
        <v>53.149721627408987</v>
      </c>
      <c r="E1861" s="73">
        <f>I1824</f>
        <v>1932.7</v>
      </c>
      <c r="F1861" s="73">
        <f>ROUND((D1861/E1861)/60,2)</f>
        <v>0</v>
      </c>
      <c r="G1861" s="73">
        <f>E1828</f>
        <v>40</v>
      </c>
      <c r="H1861" s="78">
        <f>ROUND(F1861*G1861,2)</f>
        <v>0</v>
      </c>
    </row>
    <row r="1862" spans="2:11" x14ac:dyDescent="0.3">
      <c r="C1862" s="134" t="s">
        <v>953</v>
      </c>
      <c r="D1862" s="221">
        <f>D1857</f>
        <v>374.98368308351178</v>
      </c>
      <c r="E1862" s="73">
        <f>I1824</f>
        <v>1932.7</v>
      </c>
      <c r="F1862" s="73">
        <f>ROUND((D1862/E1862)/60,2)</f>
        <v>0</v>
      </c>
      <c r="G1862" s="73">
        <f>E1828</f>
        <v>40</v>
      </c>
      <c r="H1862" s="78">
        <f>ROUND(F1862*G1862,2)</f>
        <v>0</v>
      </c>
    </row>
    <row r="1863" spans="2:11" x14ac:dyDescent="0.3">
      <c r="C1863" s="134" t="s">
        <v>1109</v>
      </c>
      <c r="D1863" s="221">
        <f>D1858</f>
        <v>1686.0389293361886</v>
      </c>
      <c r="E1863" s="73">
        <f>I1824</f>
        <v>1932.7</v>
      </c>
      <c r="F1863" s="73">
        <f>ROUND((D1863/E1863)/60,2)</f>
        <v>0.01</v>
      </c>
      <c r="G1863" s="73">
        <f>E1828</f>
        <v>40</v>
      </c>
      <c r="H1863" s="78">
        <f>ROUND(F1863*G1863,2)</f>
        <v>0.4</v>
      </c>
    </row>
    <row r="1864" spans="2:11" x14ac:dyDescent="0.3">
      <c r="C1864" s="1012" t="s">
        <v>957</v>
      </c>
      <c r="D1864" s="1013"/>
      <c r="E1864" s="1013"/>
      <c r="F1864" s="1013"/>
      <c r="G1864" s="1014"/>
      <c r="H1864" s="299">
        <f>SUM(H1855:H1863)</f>
        <v>10.4</v>
      </c>
    </row>
    <row r="1867" spans="2:11" x14ac:dyDescent="0.3">
      <c r="C1867" s="1015" t="s">
        <v>959</v>
      </c>
      <c r="D1867" s="1015"/>
      <c r="E1867" s="1015"/>
      <c r="F1867" s="1015"/>
      <c r="G1867" s="1015"/>
      <c r="H1867" s="334">
        <f>F1820+F1832+F1846+F1851</f>
        <v>157.68</v>
      </c>
    </row>
    <row r="1868" spans="2:11" x14ac:dyDescent="0.3">
      <c r="C1868" s="323"/>
      <c r="D1868" s="33"/>
      <c r="E1868" s="33"/>
      <c r="F1868" s="33"/>
      <c r="G1868" s="33"/>
      <c r="H1868" s="335"/>
    </row>
    <row r="1869" spans="2:11" x14ac:dyDescent="0.3">
      <c r="C1869" s="1015" t="s">
        <v>960</v>
      </c>
      <c r="D1869" s="1015"/>
      <c r="E1869" s="1015"/>
      <c r="F1869" s="1015"/>
      <c r="G1869" s="1015"/>
      <c r="H1869" s="334">
        <f>ROUND(H1867,0)</f>
        <v>158</v>
      </c>
    </row>
    <row r="1870" spans="2:11" x14ac:dyDescent="0.3">
      <c r="K1870"/>
    </row>
    <row r="1871" spans="2:11" ht="17.399999999999999" x14ac:dyDescent="0.3">
      <c r="B1871" s="1060" t="s">
        <v>958</v>
      </c>
      <c r="C1871" s="1060"/>
      <c r="D1871" s="1060"/>
      <c r="E1871" s="1060"/>
      <c r="F1871" s="1060"/>
      <c r="G1871" s="1060"/>
      <c r="H1871" s="1060"/>
      <c r="I1871" s="1060"/>
      <c r="J1871" s="1060"/>
      <c r="K1871"/>
    </row>
    <row r="1872" spans="2:11" x14ac:dyDescent="0.3">
      <c r="B1872" s="292"/>
      <c r="C1872" s="324"/>
      <c r="D1872" s="304"/>
      <c r="E1872" s="304"/>
      <c r="F1872" s="304"/>
      <c r="G1872" s="304"/>
      <c r="H1872" s="304"/>
      <c r="I1872" s="304"/>
      <c r="J1872" s="304"/>
      <c r="K1872"/>
    </row>
    <row r="1873" spans="2:11" ht="35.25" customHeight="1" x14ac:dyDescent="0.3">
      <c r="B1873" s="356" t="s">
        <v>610</v>
      </c>
      <c r="C1873" s="1061" t="s">
        <v>545</v>
      </c>
      <c r="D1873" s="1061"/>
      <c r="E1873" s="1061"/>
      <c r="F1873" s="305">
        <f>H1924</f>
        <v>85</v>
      </c>
      <c r="G1873" s="305" t="s">
        <v>971</v>
      </c>
      <c r="H1873" s="304"/>
      <c r="I1873" s="304"/>
      <c r="J1873" s="304"/>
      <c r="K1873"/>
    </row>
    <row r="1874" spans="2:11" x14ac:dyDescent="0.3">
      <c r="B1874" s="292"/>
      <c r="C1874" s="324"/>
      <c r="D1874" s="304"/>
      <c r="E1874" s="304"/>
      <c r="F1874" s="304"/>
      <c r="G1874" s="304"/>
      <c r="H1874" s="304"/>
      <c r="I1874" s="304"/>
      <c r="J1874" s="304"/>
      <c r="K1874"/>
    </row>
    <row r="1875" spans="2:11" x14ac:dyDescent="0.3">
      <c r="B1875" s="292"/>
      <c r="C1875" s="1062" t="s">
        <v>932</v>
      </c>
      <c r="D1875" s="1062"/>
      <c r="E1875" s="306"/>
      <c r="F1875" s="307">
        <f>F1882+F1885+F1883</f>
        <v>39.769999999999996</v>
      </c>
      <c r="G1875" s="313" t="s">
        <v>971</v>
      </c>
      <c r="H1875" s="304"/>
      <c r="I1875" s="304"/>
      <c r="J1875" s="304"/>
      <c r="K1875"/>
    </row>
    <row r="1876" spans="2:11" x14ac:dyDescent="0.3">
      <c r="B1876" s="292"/>
      <c r="C1876" s="324"/>
      <c r="D1876" s="304"/>
      <c r="E1876" s="304"/>
      <c r="F1876" s="304"/>
      <c r="G1876" s="304"/>
      <c r="H1876" s="304"/>
      <c r="I1876" s="304"/>
      <c r="J1876" s="304"/>
      <c r="K1876"/>
    </row>
    <row r="1877" spans="2:11" x14ac:dyDescent="0.3">
      <c r="B1877" s="292"/>
      <c r="C1877" s="325" t="s">
        <v>929</v>
      </c>
      <c r="D1877" s="293" t="s">
        <v>928</v>
      </c>
      <c r="E1877" s="293" t="s">
        <v>514</v>
      </c>
      <c r="F1877" s="293" t="s">
        <v>515</v>
      </c>
      <c r="G1877" s="293" t="s">
        <v>962</v>
      </c>
      <c r="H1877" s="293" t="s">
        <v>926</v>
      </c>
      <c r="I1877" s="293" t="s">
        <v>516</v>
      </c>
      <c r="J1877" s="293" t="s">
        <v>961</v>
      </c>
      <c r="K1877"/>
    </row>
    <row r="1878" spans="2:11" x14ac:dyDescent="0.3">
      <c r="B1878" s="292"/>
      <c r="C1878" s="326" t="str">
        <f>C1823</f>
        <v>Лікар з ультразвукової діагностики</v>
      </c>
      <c r="D1878" s="308">
        <f>D1823</f>
        <v>6660.23</v>
      </c>
      <c r="E1878" s="308">
        <f>D1878*12</f>
        <v>79922.759999999995</v>
      </c>
      <c r="F1878" s="308">
        <f>F1823</f>
        <v>6054.75</v>
      </c>
      <c r="G1878" s="308">
        <f>G1823</f>
        <v>3027.375</v>
      </c>
      <c r="H1878" s="308">
        <f>E1878+F1878+G1878</f>
        <v>89004.884999999995</v>
      </c>
      <c r="I1878" s="309">
        <v>1657.6</v>
      </c>
      <c r="J1878" s="308">
        <f>ROUND((H1878/I1878)/60,2)</f>
        <v>0.89</v>
      </c>
      <c r="K1878"/>
    </row>
    <row r="1879" spans="2:11" x14ac:dyDescent="0.3">
      <c r="B1879" s="292"/>
      <c r="C1879" s="326" t="str">
        <f>C1824</f>
        <v xml:space="preserve">Сестра медична </v>
      </c>
      <c r="D1879" s="308">
        <f>D1824</f>
        <v>6506.5</v>
      </c>
      <c r="E1879" s="308">
        <f>D1879*12</f>
        <v>78078</v>
      </c>
      <c r="F1879" s="308">
        <f>F1824</f>
        <v>5005</v>
      </c>
      <c r="G1879" s="308">
        <f>G1824</f>
        <v>2502.5</v>
      </c>
      <c r="H1879" s="308">
        <f>E1879+F1879+G1879</f>
        <v>85585.5</v>
      </c>
      <c r="I1879" s="309">
        <v>1932.7</v>
      </c>
      <c r="J1879" s="308">
        <f>ROUND((H1879/I1879)/60,2)</f>
        <v>0.74</v>
      </c>
      <c r="K1879"/>
    </row>
    <row r="1880" spans="2:11" x14ac:dyDescent="0.3">
      <c r="B1880" s="292"/>
      <c r="C1880" s="324"/>
      <c r="D1880" s="304"/>
      <c r="E1880" s="304"/>
      <c r="F1880" s="304"/>
      <c r="G1880" s="304"/>
      <c r="H1880" s="304"/>
      <c r="I1880" s="304"/>
      <c r="J1880" s="304"/>
      <c r="K1880"/>
    </row>
    <row r="1881" spans="2:11" ht="27.6" x14ac:dyDescent="0.3">
      <c r="B1881" s="292"/>
      <c r="C1881" s="325" t="s">
        <v>929</v>
      </c>
      <c r="D1881" s="293" t="s">
        <v>961</v>
      </c>
      <c r="E1881" s="293" t="s">
        <v>930</v>
      </c>
      <c r="F1881" s="293" t="s">
        <v>931</v>
      </c>
      <c r="G1881" s="304"/>
      <c r="H1881" s="304"/>
      <c r="I1881" s="304"/>
      <c r="J1881" s="304"/>
      <c r="K1881"/>
    </row>
    <row r="1882" spans="2:11" x14ac:dyDescent="0.3">
      <c r="B1882" s="292"/>
      <c r="C1882" s="327" t="str">
        <f>C1878</f>
        <v>Лікар з ультразвукової діагностики</v>
      </c>
      <c r="D1882" s="308">
        <f>J1878</f>
        <v>0.89</v>
      </c>
      <c r="E1882" s="309">
        <v>20</v>
      </c>
      <c r="F1882" s="310">
        <f>ROUND(D1882*E1882,2)</f>
        <v>17.8</v>
      </c>
      <c r="G1882" s="304"/>
      <c r="H1882" s="304"/>
      <c r="I1882" s="304"/>
      <c r="J1882" s="304"/>
      <c r="K1882"/>
    </row>
    <row r="1883" spans="2:11" x14ac:dyDescent="0.3">
      <c r="B1883" s="292"/>
      <c r="C1883" s="327" t="str">
        <f>C1879</f>
        <v xml:space="preserve">Сестра медична </v>
      </c>
      <c r="D1883" s="308">
        <f>J1879</f>
        <v>0.74</v>
      </c>
      <c r="E1883" s="309">
        <v>20</v>
      </c>
      <c r="F1883" s="310">
        <f>ROUND(D1883*E1883,2)</f>
        <v>14.8</v>
      </c>
      <c r="G1883" s="304"/>
      <c r="H1883" s="304"/>
      <c r="I1883" s="304"/>
      <c r="J1883" s="304"/>
      <c r="K1883"/>
    </row>
    <row r="1884" spans="2:11" x14ac:dyDescent="0.3">
      <c r="B1884" s="292"/>
      <c r="C1884" s="324"/>
      <c r="D1884" s="294"/>
      <c r="E1884" s="304"/>
      <c r="F1884" s="304"/>
      <c r="G1884" s="304"/>
      <c r="H1884" s="304"/>
      <c r="I1884" s="304"/>
      <c r="J1884" s="304"/>
      <c r="K1884"/>
    </row>
    <row r="1885" spans="2:11" x14ac:dyDescent="0.3">
      <c r="B1885" s="292"/>
      <c r="C1885" s="326" t="s">
        <v>933</v>
      </c>
      <c r="D1885" s="308">
        <f>F1882+F1883</f>
        <v>32.6</v>
      </c>
      <c r="E1885" s="311">
        <v>0.22</v>
      </c>
      <c r="F1885" s="312">
        <f>ROUND(D1885*E1885,2)</f>
        <v>7.17</v>
      </c>
      <c r="G1885" s="304"/>
      <c r="H1885" s="304"/>
      <c r="I1885" s="304"/>
      <c r="J1885" s="304"/>
      <c r="K1885"/>
    </row>
    <row r="1886" spans="2:11" x14ac:dyDescent="0.3">
      <c r="B1886" s="292"/>
      <c r="C1886" s="324"/>
      <c r="D1886" s="304"/>
      <c r="E1886" s="304"/>
      <c r="F1886" s="304"/>
      <c r="G1886" s="304"/>
      <c r="H1886" s="304"/>
      <c r="I1886" s="304"/>
      <c r="J1886" s="304"/>
      <c r="K1886"/>
    </row>
    <row r="1887" spans="2:11" x14ac:dyDescent="0.3">
      <c r="B1887" s="292"/>
      <c r="C1887" s="328" t="s">
        <v>946</v>
      </c>
      <c r="D1887" s="313"/>
      <c r="E1887" s="313"/>
      <c r="F1887" s="313">
        <f>G1899</f>
        <v>12.45</v>
      </c>
      <c r="G1887" s="313" t="s">
        <v>971</v>
      </c>
      <c r="H1887" s="304"/>
      <c r="I1887" s="304"/>
      <c r="J1887" s="304"/>
      <c r="K1887"/>
    </row>
    <row r="1888" spans="2:11" x14ac:dyDescent="0.3">
      <c r="B1888" s="292"/>
      <c r="C1888" s="324"/>
      <c r="D1888" s="304"/>
      <c r="E1888" s="304"/>
      <c r="F1888" s="304"/>
      <c r="G1888" s="304"/>
      <c r="H1888" s="304"/>
      <c r="I1888" s="304"/>
      <c r="J1888" s="304"/>
      <c r="K1888"/>
    </row>
    <row r="1889" spans="2:11" x14ac:dyDescent="0.3">
      <c r="B1889" s="292"/>
      <c r="C1889" s="27" t="str">
        <f t="shared" ref="C1889:F1898" si="67">C1834</f>
        <v>Рукавиці не стерильні</v>
      </c>
      <c r="D1889" s="303" t="str">
        <f t="shared" si="67"/>
        <v>шт</v>
      </c>
      <c r="E1889" s="303">
        <f t="shared" si="67"/>
        <v>0.1</v>
      </c>
      <c r="F1889" s="303">
        <f t="shared" si="67"/>
        <v>2.8</v>
      </c>
      <c r="G1889" s="337">
        <f>ROUND(F1889*E1889,2)</f>
        <v>0.28000000000000003</v>
      </c>
      <c r="H1889" s="304"/>
      <c r="I1889" s="304"/>
      <c r="J1889" s="304"/>
      <c r="K1889"/>
    </row>
    <row r="1890" spans="2:11" x14ac:dyDescent="0.3">
      <c r="B1890" s="292"/>
      <c r="C1890" s="27" t="str">
        <f t="shared" si="67"/>
        <v xml:space="preserve">Септил 70% 100мл </v>
      </c>
      <c r="D1890" s="303" t="str">
        <f t="shared" si="67"/>
        <v>шт</v>
      </c>
      <c r="E1890" s="303">
        <f t="shared" si="67"/>
        <v>0.01</v>
      </c>
      <c r="F1890" s="303">
        <f t="shared" si="67"/>
        <v>24.6</v>
      </c>
      <c r="G1890" s="337">
        <f t="shared" ref="G1890:G1895" si="68">ROUND(F1890*E1890,2)</f>
        <v>0.25</v>
      </c>
      <c r="H1890" s="304"/>
      <c r="I1890" s="304"/>
      <c r="J1890" s="304"/>
      <c r="K1890"/>
    </row>
    <row r="1891" spans="2:11" x14ac:dyDescent="0.3">
      <c r="B1891" s="292"/>
      <c r="C1891" s="27" t="str">
        <f t="shared" si="67"/>
        <v>Маска на резинці, стерильна.</v>
      </c>
      <c r="D1891" s="303" t="str">
        <f t="shared" si="67"/>
        <v>шт</v>
      </c>
      <c r="E1891" s="303">
        <f t="shared" si="67"/>
        <v>0.1</v>
      </c>
      <c r="F1891" s="303">
        <f t="shared" si="67"/>
        <v>2</v>
      </c>
      <c r="G1891" s="337">
        <f t="shared" si="68"/>
        <v>0.2</v>
      </c>
      <c r="H1891" s="304"/>
      <c r="I1891" s="304"/>
      <c r="J1891" s="304"/>
      <c r="K1891"/>
    </row>
    <row r="1892" spans="2:11" x14ac:dyDescent="0.3">
      <c r="B1892" s="292"/>
      <c r="C1892" s="27" t="str">
        <f t="shared" si="67"/>
        <v>Мікрасепт</v>
      </c>
      <c r="D1892" s="303" t="str">
        <f t="shared" si="67"/>
        <v>мл</v>
      </c>
      <c r="E1892" s="303">
        <f t="shared" si="67"/>
        <v>1</v>
      </c>
      <c r="F1892" s="303">
        <f t="shared" si="67"/>
        <v>0.3</v>
      </c>
      <c r="G1892" s="28">
        <f>ROUND(E1892*F1892,2)</f>
        <v>0.3</v>
      </c>
      <c r="H1892" s="304"/>
      <c r="I1892" s="304"/>
      <c r="J1892" s="304"/>
      <c r="K1892"/>
    </row>
    <row r="1893" spans="2:11" x14ac:dyDescent="0.3">
      <c r="B1893" s="292"/>
      <c r="C1893" s="27" t="str">
        <f t="shared" si="67"/>
        <v>Папір офісний А4</v>
      </c>
      <c r="D1893" s="303" t="str">
        <f t="shared" si="67"/>
        <v>шт</v>
      </c>
      <c r="E1893" s="303">
        <f t="shared" si="67"/>
        <v>2</v>
      </c>
      <c r="F1893" s="303">
        <f t="shared" si="67"/>
        <v>0.3</v>
      </c>
      <c r="G1893" s="337">
        <f t="shared" si="68"/>
        <v>0.6</v>
      </c>
      <c r="H1893" s="304"/>
      <c r="I1893" s="304"/>
      <c r="J1893" s="304"/>
      <c r="K1893"/>
    </row>
    <row r="1894" spans="2:11" x14ac:dyDescent="0.3">
      <c r="B1894" s="292"/>
      <c r="C1894" s="27" t="str">
        <f t="shared" si="67"/>
        <v xml:space="preserve">Гель для УЗД , 1000 гр. </v>
      </c>
      <c r="D1894" s="303" t="str">
        <f t="shared" si="67"/>
        <v>пляшка</v>
      </c>
      <c r="E1894" s="303">
        <f t="shared" si="67"/>
        <v>0.1</v>
      </c>
      <c r="F1894" s="303">
        <f t="shared" si="67"/>
        <v>48</v>
      </c>
      <c r="G1894" s="337">
        <f t="shared" si="68"/>
        <v>4.8</v>
      </c>
      <c r="H1894" s="304"/>
      <c r="I1894" s="304"/>
      <c r="J1894" s="304"/>
      <c r="K1894"/>
    </row>
    <row r="1895" spans="2:11" x14ac:dyDescent="0.3">
      <c r="B1895" s="292"/>
      <c r="C1895" s="27" t="str">
        <f t="shared" si="67"/>
        <v>Паперові рушники "Fesko Professional"</v>
      </c>
      <c r="D1895" s="303" t="str">
        <f t="shared" si="67"/>
        <v>рул</v>
      </c>
      <c r="E1895" s="303">
        <f t="shared" si="67"/>
        <v>0.3</v>
      </c>
      <c r="F1895" s="303">
        <f t="shared" si="67"/>
        <v>17</v>
      </c>
      <c r="G1895" s="337">
        <f t="shared" si="68"/>
        <v>5.0999999999999996</v>
      </c>
      <c r="H1895" s="304"/>
      <c r="I1895" s="304"/>
      <c r="J1895" s="304"/>
      <c r="K1895"/>
    </row>
    <row r="1896" spans="2:11" x14ac:dyDescent="0.3">
      <c r="B1896" s="292"/>
      <c r="C1896" s="27" t="str">
        <f t="shared" si="67"/>
        <v>Марля медична</v>
      </c>
      <c r="D1896" s="303" t="str">
        <f t="shared" si="67"/>
        <v>метр</v>
      </c>
      <c r="E1896" s="303">
        <f t="shared" si="67"/>
        <v>0.1</v>
      </c>
      <c r="F1896" s="303">
        <f t="shared" si="67"/>
        <v>6</v>
      </c>
      <c r="G1896" s="28">
        <f>ROUND(E1896*F1896,2)</f>
        <v>0.6</v>
      </c>
      <c r="H1896" s="304"/>
      <c r="I1896" s="304"/>
      <c r="J1896" s="304"/>
      <c r="K1896"/>
    </row>
    <row r="1897" spans="2:11" x14ac:dyDescent="0.3">
      <c r="B1897" s="292"/>
      <c r="C1897" s="27" t="str">
        <f t="shared" si="67"/>
        <v>Вата</v>
      </c>
      <c r="D1897" s="303" t="str">
        <f t="shared" si="67"/>
        <v>г</v>
      </c>
      <c r="E1897" s="303">
        <f t="shared" si="67"/>
        <v>1</v>
      </c>
      <c r="F1897" s="303">
        <f t="shared" si="67"/>
        <v>7.0000000000000007E-2</v>
      </c>
      <c r="G1897" s="28">
        <f>ROUND(E1897*F1897,2)</f>
        <v>7.0000000000000007E-2</v>
      </c>
      <c r="H1897" s="304"/>
      <c r="I1897" s="304"/>
      <c r="J1897" s="304"/>
      <c r="K1897"/>
    </row>
    <row r="1898" spans="2:11" x14ac:dyDescent="0.3">
      <c r="B1898" s="292"/>
      <c r="C1898" s="27" t="str">
        <f t="shared" si="67"/>
        <v>Деззасоби</v>
      </c>
      <c r="D1898" s="303" t="str">
        <f t="shared" si="67"/>
        <v>г</v>
      </c>
      <c r="E1898" s="303">
        <f t="shared" si="67"/>
        <v>0.5</v>
      </c>
      <c r="F1898" s="303">
        <f t="shared" si="67"/>
        <v>0.5</v>
      </c>
      <c r="G1898" s="28">
        <f>ROUND(E1898*F1898,2)</f>
        <v>0.25</v>
      </c>
      <c r="H1898" s="304"/>
      <c r="I1898" s="304"/>
      <c r="J1898" s="304"/>
      <c r="K1898"/>
    </row>
    <row r="1899" spans="2:11" x14ac:dyDescent="0.3">
      <c r="B1899" s="292"/>
      <c r="C1899" s="1063" t="s">
        <v>945</v>
      </c>
      <c r="D1899" s="1063"/>
      <c r="E1899" s="1063"/>
      <c r="F1899" s="1063"/>
      <c r="G1899" s="332">
        <f>SUM(G1889:G1898)</f>
        <v>12.45</v>
      </c>
      <c r="H1899" s="304"/>
      <c r="I1899" s="304"/>
      <c r="J1899" s="304"/>
      <c r="K1899"/>
    </row>
    <row r="1900" spans="2:11" x14ac:dyDescent="0.3">
      <c r="B1900" s="292"/>
      <c r="C1900" s="324"/>
      <c r="D1900" s="304"/>
      <c r="E1900" s="304"/>
      <c r="F1900" s="304"/>
      <c r="G1900" s="304"/>
      <c r="H1900" s="304"/>
      <c r="I1900" s="304"/>
      <c r="J1900" s="304"/>
      <c r="K1900"/>
    </row>
    <row r="1901" spans="2:11" x14ac:dyDescent="0.3">
      <c r="B1901" s="292"/>
      <c r="C1901" s="328" t="s">
        <v>968</v>
      </c>
      <c r="D1901" s="313"/>
      <c r="E1901" s="313"/>
      <c r="F1901" s="307">
        <f>H1904</f>
        <v>27.4</v>
      </c>
      <c r="G1901" s="313" t="s">
        <v>971</v>
      </c>
      <c r="H1901" s="304"/>
      <c r="I1901" s="304"/>
      <c r="J1901" s="304"/>
      <c r="K1901"/>
    </row>
    <row r="1902" spans="2:11" x14ac:dyDescent="0.3">
      <c r="B1902" s="292"/>
      <c r="C1902" s="329"/>
      <c r="D1902" s="314"/>
      <c r="E1902" s="314"/>
      <c r="F1902" s="315"/>
      <c r="G1902" s="314"/>
      <c r="H1902" s="304"/>
      <c r="I1902" s="304"/>
      <c r="J1902" s="304"/>
      <c r="K1902"/>
    </row>
    <row r="1903" spans="2:11" ht="27.6" x14ac:dyDescent="0.3">
      <c r="B1903" s="292"/>
      <c r="C1903" s="330" t="s">
        <v>513</v>
      </c>
      <c r="D1903" s="293" t="s">
        <v>1108</v>
      </c>
      <c r="E1903" s="293" t="s">
        <v>516</v>
      </c>
      <c r="F1903" s="293" t="s">
        <v>970</v>
      </c>
      <c r="G1903" s="293" t="s">
        <v>930</v>
      </c>
      <c r="H1903" s="293" t="s">
        <v>961</v>
      </c>
      <c r="I1903" s="304"/>
      <c r="J1903" s="304"/>
      <c r="K1903"/>
    </row>
    <row r="1904" spans="2:11" x14ac:dyDescent="0.3">
      <c r="B1904" s="292"/>
      <c r="C1904" s="27" t="str">
        <f>C1849</f>
        <v>Ультразвукова система AFFINITI 30</v>
      </c>
      <c r="D1904" s="303">
        <f>D1849</f>
        <v>136236.38</v>
      </c>
      <c r="E1904" s="309">
        <f>I1878</f>
        <v>1657.6</v>
      </c>
      <c r="F1904" s="309">
        <f>ROUND((D1904/E1904)/60,2)</f>
        <v>1.37</v>
      </c>
      <c r="G1904" s="309">
        <v>20</v>
      </c>
      <c r="H1904" s="308">
        <f>ROUND(F1904*G1904,2)</f>
        <v>27.4</v>
      </c>
      <c r="I1904" s="338"/>
      <c r="J1904" s="304"/>
      <c r="K1904"/>
    </row>
    <row r="1905" spans="2:11" x14ac:dyDescent="0.3">
      <c r="B1905" s="292"/>
      <c r="C1905" s="324"/>
      <c r="D1905" s="304"/>
      <c r="E1905" s="304"/>
      <c r="F1905" s="304"/>
      <c r="G1905" s="304"/>
      <c r="H1905" s="304"/>
      <c r="I1905" s="304"/>
      <c r="J1905" s="304"/>
      <c r="K1905"/>
    </row>
    <row r="1906" spans="2:11" x14ac:dyDescent="0.3">
      <c r="B1906" s="292"/>
      <c r="C1906" s="328" t="s">
        <v>948</v>
      </c>
      <c r="D1906" s="313"/>
      <c r="E1906" s="313"/>
      <c r="F1906" s="307">
        <f>H1919</f>
        <v>5.2</v>
      </c>
      <c r="G1906" s="313" t="s">
        <v>971</v>
      </c>
      <c r="H1906" s="304"/>
      <c r="I1906" s="304"/>
      <c r="J1906" s="304"/>
      <c r="K1906"/>
    </row>
    <row r="1907" spans="2:11" x14ac:dyDescent="0.3">
      <c r="B1907" s="292"/>
      <c r="C1907" s="329"/>
      <c r="D1907" s="314"/>
      <c r="E1907" s="314"/>
      <c r="F1907" s="315"/>
      <c r="G1907" s="304"/>
      <c r="H1907" s="304"/>
      <c r="I1907" s="304"/>
      <c r="J1907" s="304"/>
      <c r="K1907"/>
    </row>
    <row r="1908" spans="2:11" ht="27.6" x14ac:dyDescent="0.3">
      <c r="B1908" s="292"/>
      <c r="C1908" s="330" t="s">
        <v>948</v>
      </c>
      <c r="D1908" s="293" t="s">
        <v>1110</v>
      </c>
      <c r="E1908" s="293" t="s">
        <v>516</v>
      </c>
      <c r="F1908" s="293" t="s">
        <v>954</v>
      </c>
      <c r="G1908" s="293" t="s">
        <v>930</v>
      </c>
      <c r="H1908" s="293" t="s">
        <v>1111</v>
      </c>
      <c r="I1908" s="304"/>
      <c r="J1908" s="304"/>
      <c r="K1908"/>
    </row>
    <row r="1909" spans="2:11" x14ac:dyDescent="0.3">
      <c r="B1909" s="292"/>
      <c r="C1909" s="1064" t="str">
        <f>C1878</f>
        <v>Лікар з ультразвукової діагностики</v>
      </c>
      <c r="D1909" s="1065"/>
      <c r="E1909" s="1065"/>
      <c r="F1909" s="1065"/>
      <c r="G1909" s="1065"/>
      <c r="H1909" s="1066"/>
      <c r="I1909" s="304"/>
      <c r="J1909" s="304"/>
      <c r="K1909"/>
    </row>
    <row r="1910" spans="2:11" x14ac:dyDescent="0.3">
      <c r="B1910" s="292"/>
      <c r="C1910" s="326" t="s">
        <v>951</v>
      </c>
      <c r="D1910" s="316">
        <f>D1855</f>
        <v>12188.608008565312</v>
      </c>
      <c r="E1910" s="309">
        <f>I1878</f>
        <v>1657.6</v>
      </c>
      <c r="F1910" s="309">
        <f>ROUND((D1910/E1910)/60,2)</f>
        <v>0.12</v>
      </c>
      <c r="G1910" s="309">
        <f>E1882</f>
        <v>20</v>
      </c>
      <c r="H1910" s="308">
        <f>ROUND(F1910*G1910,2)</f>
        <v>2.4</v>
      </c>
      <c r="I1910" s="304"/>
      <c r="J1910" s="304"/>
      <c r="K1910"/>
    </row>
    <row r="1911" spans="2:11" x14ac:dyDescent="0.3">
      <c r="B1911" s="292"/>
      <c r="C1911" s="326" t="s">
        <v>952</v>
      </c>
      <c r="D1911" s="316">
        <f>D1856</f>
        <v>53.149721627408987</v>
      </c>
      <c r="E1911" s="309">
        <f>I1878</f>
        <v>1657.6</v>
      </c>
      <c r="F1911" s="309">
        <f>ROUND((D1911/E1911)/60,2)</f>
        <v>0</v>
      </c>
      <c r="G1911" s="309">
        <f>E1882</f>
        <v>20</v>
      </c>
      <c r="H1911" s="308">
        <f>ROUND(F1911*G1911,2)</f>
        <v>0</v>
      </c>
      <c r="I1911" s="304"/>
      <c r="J1911" s="304"/>
      <c r="K1911"/>
    </row>
    <row r="1912" spans="2:11" x14ac:dyDescent="0.3">
      <c r="B1912" s="292"/>
      <c r="C1912" s="326" t="s">
        <v>953</v>
      </c>
      <c r="D1912" s="316">
        <f>D1857</f>
        <v>374.98368308351178</v>
      </c>
      <c r="E1912" s="309">
        <f>I1878</f>
        <v>1657.6</v>
      </c>
      <c r="F1912" s="309">
        <f>ROUND((D1912/E1912)/60,2)</f>
        <v>0</v>
      </c>
      <c r="G1912" s="309">
        <f>E1882</f>
        <v>20</v>
      </c>
      <c r="H1912" s="308">
        <f>ROUND(F1912*G1912,2)</f>
        <v>0</v>
      </c>
      <c r="I1912" s="304"/>
      <c r="J1912" s="304"/>
      <c r="K1912"/>
    </row>
    <row r="1913" spans="2:11" x14ac:dyDescent="0.3">
      <c r="B1913" s="292"/>
      <c r="C1913" s="326" t="s">
        <v>1109</v>
      </c>
      <c r="D1913" s="316">
        <f>D1858</f>
        <v>1686.0389293361886</v>
      </c>
      <c r="E1913" s="309">
        <f>I1878</f>
        <v>1657.6</v>
      </c>
      <c r="F1913" s="309">
        <f>ROUND((D1913/E1913)/60,2)</f>
        <v>0.02</v>
      </c>
      <c r="G1913" s="309">
        <f>E1882</f>
        <v>20</v>
      </c>
      <c r="H1913" s="308">
        <f>ROUND(F1913*G1913,2)</f>
        <v>0.4</v>
      </c>
      <c r="I1913" s="304"/>
      <c r="J1913" s="304"/>
      <c r="K1913"/>
    </row>
    <row r="1914" spans="2:11" x14ac:dyDescent="0.3">
      <c r="B1914" s="292"/>
      <c r="C1914" s="1064" t="str">
        <f>C1879</f>
        <v xml:space="preserve">Сестра медична </v>
      </c>
      <c r="D1914" s="1065"/>
      <c r="E1914" s="1065"/>
      <c r="F1914" s="1065"/>
      <c r="G1914" s="1065"/>
      <c r="H1914" s="1066"/>
      <c r="I1914" s="304"/>
      <c r="J1914" s="304"/>
      <c r="K1914"/>
    </row>
    <row r="1915" spans="2:11" x14ac:dyDescent="0.3">
      <c r="B1915" s="292"/>
      <c r="C1915" s="326" t="s">
        <v>951</v>
      </c>
      <c r="D1915" s="316">
        <f>D1910</f>
        <v>12188.608008565312</v>
      </c>
      <c r="E1915" s="309">
        <f>I1879</f>
        <v>1932.7</v>
      </c>
      <c r="F1915" s="309">
        <f>ROUND((D1915/E1915)/60,2)</f>
        <v>0.11</v>
      </c>
      <c r="G1915" s="309">
        <f>E1883</f>
        <v>20</v>
      </c>
      <c r="H1915" s="308">
        <f>ROUND(F1915*G1915,2)</f>
        <v>2.2000000000000002</v>
      </c>
      <c r="I1915" s="304"/>
      <c r="J1915" s="304"/>
      <c r="K1915"/>
    </row>
    <row r="1916" spans="2:11" x14ac:dyDescent="0.3">
      <c r="B1916" s="292"/>
      <c r="C1916" s="326" t="s">
        <v>952</v>
      </c>
      <c r="D1916" s="316">
        <f>D1911</f>
        <v>53.149721627408987</v>
      </c>
      <c r="E1916" s="309">
        <f>I1879</f>
        <v>1932.7</v>
      </c>
      <c r="F1916" s="309">
        <f>ROUND((D1916/E1916)/60,2)</f>
        <v>0</v>
      </c>
      <c r="G1916" s="309">
        <f>E1883</f>
        <v>20</v>
      </c>
      <c r="H1916" s="308">
        <f>ROUND(F1916*G1916,2)</f>
        <v>0</v>
      </c>
      <c r="I1916" s="304"/>
      <c r="J1916" s="304"/>
      <c r="K1916"/>
    </row>
    <row r="1917" spans="2:11" x14ac:dyDescent="0.3">
      <c r="B1917" s="292"/>
      <c r="C1917" s="326" t="s">
        <v>953</v>
      </c>
      <c r="D1917" s="316">
        <f>D1912</f>
        <v>374.98368308351178</v>
      </c>
      <c r="E1917" s="309">
        <f>I1879</f>
        <v>1932.7</v>
      </c>
      <c r="F1917" s="309">
        <f>ROUND((D1917/E1917)/60,2)</f>
        <v>0</v>
      </c>
      <c r="G1917" s="309">
        <f>E1883</f>
        <v>20</v>
      </c>
      <c r="H1917" s="308">
        <f>ROUND(F1917*G1917,2)</f>
        <v>0</v>
      </c>
      <c r="I1917" s="304"/>
      <c r="J1917" s="304"/>
      <c r="K1917"/>
    </row>
    <row r="1918" spans="2:11" x14ac:dyDescent="0.3">
      <c r="B1918" s="292"/>
      <c r="C1918" s="326" t="s">
        <v>1109</v>
      </c>
      <c r="D1918" s="316">
        <f>D1913</f>
        <v>1686.0389293361886</v>
      </c>
      <c r="E1918" s="309">
        <f>I1879</f>
        <v>1932.7</v>
      </c>
      <c r="F1918" s="309">
        <f>ROUND((D1918/E1918)/60,2)</f>
        <v>0.01</v>
      </c>
      <c r="G1918" s="309">
        <f>E1883</f>
        <v>20</v>
      </c>
      <c r="H1918" s="308">
        <f>ROUND(F1918*G1918,2)</f>
        <v>0.2</v>
      </c>
      <c r="I1918" s="304"/>
      <c r="J1918" s="304"/>
      <c r="K1918"/>
    </row>
    <row r="1919" spans="2:11" x14ac:dyDescent="0.3">
      <c r="B1919" s="292"/>
      <c r="C1919" s="1056" t="s">
        <v>957</v>
      </c>
      <c r="D1919" s="1057"/>
      <c r="E1919" s="1057"/>
      <c r="F1919" s="1057"/>
      <c r="G1919" s="1058"/>
      <c r="H1919" s="310">
        <f>SUM(H1910:H1918)</f>
        <v>5.2</v>
      </c>
      <c r="I1919" s="304"/>
      <c r="J1919" s="304"/>
      <c r="K1919"/>
    </row>
    <row r="1920" spans="2:11" x14ac:dyDescent="0.3">
      <c r="B1920" s="292"/>
      <c r="C1920" s="324"/>
      <c r="D1920" s="304"/>
      <c r="E1920" s="304"/>
      <c r="F1920" s="304"/>
      <c r="G1920" s="304"/>
      <c r="H1920" s="304"/>
      <c r="I1920" s="304"/>
      <c r="J1920" s="304"/>
      <c r="K1920"/>
    </row>
    <row r="1921" spans="2:11" x14ac:dyDescent="0.3">
      <c r="B1921" s="292"/>
      <c r="C1921" s="324"/>
      <c r="D1921" s="304"/>
      <c r="E1921" s="304"/>
      <c r="F1921" s="304"/>
      <c r="G1921" s="304"/>
      <c r="H1921" s="304"/>
      <c r="I1921" s="304"/>
      <c r="J1921" s="304"/>
      <c r="K1921"/>
    </row>
    <row r="1922" spans="2:11" ht="17.399999999999999" x14ac:dyDescent="0.3">
      <c r="B1922" s="292"/>
      <c r="C1922" s="1059" t="s">
        <v>959</v>
      </c>
      <c r="D1922" s="1059"/>
      <c r="E1922" s="1059"/>
      <c r="F1922" s="1059"/>
      <c r="G1922" s="1059"/>
      <c r="H1922" s="339">
        <f>F1875+F1887+F1901+F1906</f>
        <v>84.820000000000007</v>
      </c>
      <c r="I1922" s="304"/>
      <c r="J1922" s="304"/>
      <c r="K1922"/>
    </row>
    <row r="1923" spans="2:11" ht="17.399999999999999" x14ac:dyDescent="0.3">
      <c r="B1923" s="292"/>
      <c r="C1923" s="331"/>
      <c r="D1923" s="295"/>
      <c r="E1923" s="295"/>
      <c r="F1923" s="295"/>
      <c r="G1923" s="295"/>
      <c r="H1923" s="340"/>
      <c r="I1923" s="304"/>
      <c r="J1923" s="304"/>
      <c r="K1923"/>
    </row>
    <row r="1924" spans="2:11" ht="17.399999999999999" x14ac:dyDescent="0.3">
      <c r="B1924" s="292"/>
      <c r="C1924" s="1059" t="s">
        <v>960</v>
      </c>
      <c r="D1924" s="1059"/>
      <c r="E1924" s="1059"/>
      <c r="F1924" s="1059"/>
      <c r="G1924" s="1059"/>
      <c r="H1924" s="334">
        <f>ROUND(H1922,0)</f>
        <v>85</v>
      </c>
      <c r="I1924" s="304"/>
      <c r="J1924" s="304"/>
      <c r="K1924"/>
    </row>
    <row r="1925" spans="2:11" x14ac:dyDescent="0.3">
      <c r="B1925" s="292"/>
      <c r="C1925" s="324"/>
      <c r="D1925" s="304"/>
      <c r="E1925" s="304"/>
      <c r="F1925" s="304"/>
      <c r="G1925" s="304"/>
      <c r="H1925" s="304"/>
      <c r="I1925" s="304"/>
      <c r="J1925" s="304"/>
      <c r="K1925"/>
    </row>
    <row r="1926" spans="2:11" ht="17.399999999999999" x14ac:dyDescent="0.3">
      <c r="B1926" s="1060" t="s">
        <v>958</v>
      </c>
      <c r="C1926" s="1060"/>
      <c r="D1926" s="1060"/>
      <c r="E1926" s="1060"/>
      <c r="F1926" s="1060"/>
      <c r="G1926" s="1060"/>
      <c r="H1926" s="1060"/>
      <c r="I1926" s="1060"/>
      <c r="J1926" s="1060"/>
      <c r="K1926"/>
    </row>
    <row r="1927" spans="2:11" x14ac:dyDescent="0.3">
      <c r="B1927" s="292"/>
      <c r="C1927" s="324"/>
      <c r="D1927" s="304"/>
      <c r="E1927" s="304"/>
      <c r="F1927" s="304"/>
      <c r="G1927" s="304"/>
      <c r="H1927" s="304"/>
      <c r="I1927" s="304"/>
      <c r="J1927" s="304"/>
      <c r="K1927"/>
    </row>
    <row r="1928" spans="2:11" ht="17.399999999999999" x14ac:dyDescent="0.3">
      <c r="B1928" s="356" t="s">
        <v>612</v>
      </c>
      <c r="C1928" s="1067" t="s">
        <v>547</v>
      </c>
      <c r="D1928" s="1067"/>
      <c r="E1928" s="1067"/>
      <c r="F1928" s="305">
        <f>H1979</f>
        <v>67</v>
      </c>
      <c r="G1928" s="305" t="s">
        <v>971</v>
      </c>
      <c r="H1928" s="304"/>
      <c r="I1928" s="304"/>
      <c r="J1928" s="304"/>
      <c r="K1928"/>
    </row>
    <row r="1929" spans="2:11" x14ac:dyDescent="0.3">
      <c r="B1929" s="292"/>
      <c r="C1929" s="324"/>
      <c r="D1929" s="304"/>
      <c r="E1929" s="304"/>
      <c r="F1929" s="304"/>
      <c r="G1929" s="304"/>
      <c r="H1929" s="304"/>
      <c r="I1929" s="304"/>
      <c r="J1929" s="304"/>
      <c r="K1929"/>
    </row>
    <row r="1930" spans="2:11" x14ac:dyDescent="0.3">
      <c r="B1930" s="292"/>
      <c r="C1930" s="1062" t="s">
        <v>932</v>
      </c>
      <c r="D1930" s="1062"/>
      <c r="E1930" s="306"/>
      <c r="F1930" s="307">
        <f>F1937+F1940+F1938</f>
        <v>30.009999999999998</v>
      </c>
      <c r="G1930" s="313" t="s">
        <v>971</v>
      </c>
      <c r="H1930" s="304"/>
      <c r="I1930" s="304"/>
      <c r="J1930" s="304"/>
      <c r="K1930"/>
    </row>
    <row r="1931" spans="2:11" x14ac:dyDescent="0.3">
      <c r="B1931" s="292"/>
      <c r="C1931" s="324"/>
      <c r="D1931" s="304"/>
      <c r="E1931" s="304"/>
      <c r="F1931" s="304"/>
      <c r="G1931" s="304"/>
      <c r="H1931" s="304"/>
      <c r="I1931" s="304"/>
      <c r="J1931" s="304"/>
      <c r="K1931"/>
    </row>
    <row r="1932" spans="2:11" x14ac:dyDescent="0.3">
      <c r="B1932" s="292"/>
      <c r="C1932" s="325" t="s">
        <v>929</v>
      </c>
      <c r="D1932" s="293" t="s">
        <v>928</v>
      </c>
      <c r="E1932" s="293" t="s">
        <v>514</v>
      </c>
      <c r="F1932" s="293" t="s">
        <v>515</v>
      </c>
      <c r="G1932" s="293" t="s">
        <v>962</v>
      </c>
      <c r="H1932" s="293" t="s">
        <v>926</v>
      </c>
      <c r="I1932" s="293" t="s">
        <v>516</v>
      </c>
      <c r="J1932" s="293" t="s">
        <v>961</v>
      </c>
      <c r="K1932"/>
    </row>
    <row r="1933" spans="2:11" x14ac:dyDescent="0.3">
      <c r="B1933" s="292"/>
      <c r="C1933" s="326" t="str">
        <f>C1878</f>
        <v>Лікар з ультразвукової діагностики</v>
      </c>
      <c r="D1933" s="309">
        <f>D1878</f>
        <v>6660.23</v>
      </c>
      <c r="E1933" s="308">
        <f>D1933*12</f>
        <v>79922.759999999995</v>
      </c>
      <c r="F1933" s="309">
        <f>F1878</f>
        <v>6054.75</v>
      </c>
      <c r="G1933" s="309">
        <f>G1878</f>
        <v>3027.375</v>
      </c>
      <c r="H1933" s="308">
        <f>E1933+F1933+G1933</f>
        <v>89004.884999999995</v>
      </c>
      <c r="I1933" s="309">
        <v>1656.6</v>
      </c>
      <c r="J1933" s="308">
        <f>ROUND((H1933/I1933)/60,2)</f>
        <v>0.9</v>
      </c>
      <c r="K1933"/>
    </row>
    <row r="1934" spans="2:11" x14ac:dyDescent="0.3">
      <c r="B1934" s="292"/>
      <c r="C1934" s="326" t="str">
        <f>C1879</f>
        <v xml:space="preserve">Сестра медична </v>
      </c>
      <c r="D1934" s="309">
        <f>D1879</f>
        <v>6506.5</v>
      </c>
      <c r="E1934" s="308">
        <f>D1934*12</f>
        <v>78078</v>
      </c>
      <c r="F1934" s="309">
        <f>F1879</f>
        <v>5005</v>
      </c>
      <c r="G1934" s="309">
        <f>G1879</f>
        <v>2502.5</v>
      </c>
      <c r="H1934" s="308">
        <f>E1934+F1934+G1934</f>
        <v>85585.5</v>
      </c>
      <c r="I1934" s="309">
        <v>1932.7</v>
      </c>
      <c r="J1934" s="308">
        <f>ROUND((H1934/I1934)/60,2)</f>
        <v>0.74</v>
      </c>
      <c r="K1934"/>
    </row>
    <row r="1935" spans="2:11" x14ac:dyDescent="0.3">
      <c r="B1935" s="292"/>
      <c r="C1935" s="324"/>
      <c r="D1935" s="304"/>
      <c r="E1935" s="304"/>
      <c r="F1935" s="304"/>
      <c r="G1935" s="304"/>
      <c r="H1935" s="304"/>
      <c r="I1935" s="304"/>
      <c r="J1935" s="304"/>
      <c r="K1935"/>
    </row>
    <row r="1936" spans="2:11" ht="27.6" x14ac:dyDescent="0.3">
      <c r="B1936" s="292"/>
      <c r="C1936" s="325" t="s">
        <v>929</v>
      </c>
      <c r="D1936" s="293" t="s">
        <v>961</v>
      </c>
      <c r="E1936" s="293" t="s">
        <v>930</v>
      </c>
      <c r="F1936" s="293" t="s">
        <v>931</v>
      </c>
      <c r="G1936" s="304"/>
      <c r="H1936" s="304"/>
      <c r="I1936" s="304"/>
      <c r="J1936" s="304"/>
      <c r="K1936"/>
    </row>
    <row r="1937" spans="2:11" x14ac:dyDescent="0.3">
      <c r="B1937" s="292"/>
      <c r="C1937" s="327" t="str">
        <f>C1933</f>
        <v>Лікар з ультразвукової діагностики</v>
      </c>
      <c r="D1937" s="308">
        <f>J1933</f>
        <v>0.9</v>
      </c>
      <c r="E1937" s="309">
        <v>15</v>
      </c>
      <c r="F1937" s="310">
        <f>ROUND(D1937*E1937,2)</f>
        <v>13.5</v>
      </c>
      <c r="G1937" s="304"/>
      <c r="H1937" s="304"/>
      <c r="I1937" s="304"/>
      <c r="J1937" s="304"/>
      <c r="K1937"/>
    </row>
    <row r="1938" spans="2:11" x14ac:dyDescent="0.3">
      <c r="B1938" s="292"/>
      <c r="C1938" s="327" t="str">
        <f>C1934</f>
        <v xml:space="preserve">Сестра медична </v>
      </c>
      <c r="D1938" s="308">
        <f>J1934</f>
        <v>0.74</v>
      </c>
      <c r="E1938" s="309">
        <v>15</v>
      </c>
      <c r="F1938" s="310">
        <f>ROUND(D1938*E1938,2)</f>
        <v>11.1</v>
      </c>
      <c r="G1938" s="304"/>
      <c r="H1938" s="304"/>
      <c r="I1938" s="304"/>
      <c r="J1938" s="304"/>
      <c r="K1938"/>
    </row>
    <row r="1939" spans="2:11" x14ac:dyDescent="0.3">
      <c r="B1939" s="292"/>
      <c r="C1939" s="324"/>
      <c r="D1939" s="294"/>
      <c r="E1939" s="304"/>
      <c r="F1939" s="304"/>
      <c r="G1939" s="304"/>
      <c r="H1939" s="304"/>
      <c r="I1939" s="304"/>
      <c r="J1939" s="304"/>
      <c r="K1939"/>
    </row>
    <row r="1940" spans="2:11" x14ac:dyDescent="0.3">
      <c r="B1940" s="292"/>
      <c r="C1940" s="326" t="s">
        <v>933</v>
      </c>
      <c r="D1940" s="308">
        <f>F1937+F1938</f>
        <v>24.6</v>
      </c>
      <c r="E1940" s="311">
        <v>0.22</v>
      </c>
      <c r="F1940" s="312">
        <f>ROUND(D1940*E1940,2)</f>
        <v>5.41</v>
      </c>
      <c r="G1940" s="304"/>
      <c r="H1940" s="304"/>
      <c r="I1940" s="304"/>
      <c r="J1940" s="304"/>
      <c r="K1940"/>
    </row>
    <row r="1941" spans="2:11" x14ac:dyDescent="0.3">
      <c r="B1941" s="292"/>
      <c r="C1941" s="324"/>
      <c r="D1941" s="304"/>
      <c r="E1941" s="304"/>
      <c r="F1941" s="304"/>
      <c r="G1941" s="304"/>
      <c r="H1941" s="304"/>
      <c r="I1941" s="304"/>
      <c r="J1941" s="304"/>
      <c r="K1941"/>
    </row>
    <row r="1942" spans="2:11" x14ac:dyDescent="0.3">
      <c r="B1942" s="292"/>
      <c r="C1942" s="328" t="s">
        <v>946</v>
      </c>
      <c r="D1942" s="313"/>
      <c r="E1942" s="313"/>
      <c r="F1942" s="313">
        <f>G1954</f>
        <v>12.45</v>
      </c>
      <c r="G1942" s="313" t="s">
        <v>971</v>
      </c>
      <c r="H1942" s="304"/>
      <c r="I1942" s="304"/>
      <c r="J1942" s="304"/>
      <c r="K1942"/>
    </row>
    <row r="1943" spans="2:11" x14ac:dyDescent="0.3">
      <c r="B1943" s="292"/>
      <c r="C1943" s="324"/>
      <c r="D1943" s="304"/>
      <c r="E1943" s="304"/>
      <c r="F1943" s="304"/>
      <c r="G1943" s="304"/>
      <c r="H1943" s="304"/>
      <c r="I1943" s="304"/>
      <c r="J1943" s="304"/>
      <c r="K1943"/>
    </row>
    <row r="1944" spans="2:11" x14ac:dyDescent="0.3">
      <c r="B1944" s="292"/>
      <c r="C1944" s="27" t="str">
        <f>C1889</f>
        <v>Рукавиці не стерильні</v>
      </c>
      <c r="D1944" s="303" t="str">
        <f>D1889</f>
        <v>шт</v>
      </c>
      <c r="E1944" s="303">
        <f>E1889</f>
        <v>0.1</v>
      </c>
      <c r="F1944" s="303">
        <f>F1889</f>
        <v>2.8</v>
      </c>
      <c r="G1944" s="341">
        <f>ROUND(F1944*E1944,2)</f>
        <v>0.28000000000000003</v>
      </c>
      <c r="H1944" s="304"/>
      <c r="I1944" s="304"/>
      <c r="J1944" s="304"/>
      <c r="K1944"/>
    </row>
    <row r="1945" spans="2:11" x14ac:dyDescent="0.3">
      <c r="B1945" s="292"/>
      <c r="C1945" s="27" t="str">
        <f t="shared" ref="C1945:F1953" si="69">C1890</f>
        <v xml:space="preserve">Септил 70% 100мл </v>
      </c>
      <c r="D1945" s="303" t="str">
        <f t="shared" si="69"/>
        <v>шт</v>
      </c>
      <c r="E1945" s="303">
        <f t="shared" si="69"/>
        <v>0.01</v>
      </c>
      <c r="F1945" s="303">
        <f t="shared" si="69"/>
        <v>24.6</v>
      </c>
      <c r="G1945" s="337">
        <f t="shared" ref="G1945:G1950" si="70">ROUND(F1945*E1945,2)</f>
        <v>0.25</v>
      </c>
      <c r="H1945" s="304"/>
      <c r="I1945" s="304"/>
      <c r="J1945" s="304"/>
      <c r="K1945"/>
    </row>
    <row r="1946" spans="2:11" x14ac:dyDescent="0.3">
      <c r="B1946" s="292"/>
      <c r="C1946" s="27" t="str">
        <f t="shared" si="69"/>
        <v>Маска на резинці, стерильна.</v>
      </c>
      <c r="D1946" s="303" t="str">
        <f t="shared" si="69"/>
        <v>шт</v>
      </c>
      <c r="E1946" s="303">
        <f t="shared" si="69"/>
        <v>0.1</v>
      </c>
      <c r="F1946" s="303">
        <f t="shared" si="69"/>
        <v>2</v>
      </c>
      <c r="G1946" s="337">
        <f t="shared" si="70"/>
        <v>0.2</v>
      </c>
      <c r="H1946" s="304"/>
      <c r="I1946" s="304"/>
      <c r="J1946" s="304"/>
      <c r="K1946"/>
    </row>
    <row r="1947" spans="2:11" x14ac:dyDescent="0.3">
      <c r="B1947" s="292"/>
      <c r="C1947" s="27" t="str">
        <f t="shared" si="69"/>
        <v>Мікрасепт</v>
      </c>
      <c r="D1947" s="303" t="str">
        <f t="shared" si="69"/>
        <v>мл</v>
      </c>
      <c r="E1947" s="303">
        <f t="shared" si="69"/>
        <v>1</v>
      </c>
      <c r="F1947" s="303">
        <f t="shared" si="69"/>
        <v>0.3</v>
      </c>
      <c r="G1947" s="28">
        <f>ROUND(E1947*F1947,2)</f>
        <v>0.3</v>
      </c>
      <c r="H1947" s="304"/>
      <c r="I1947" s="304"/>
      <c r="J1947" s="304"/>
      <c r="K1947"/>
    </row>
    <row r="1948" spans="2:11" x14ac:dyDescent="0.3">
      <c r="B1948" s="292"/>
      <c r="C1948" s="27" t="str">
        <f t="shared" si="69"/>
        <v>Папір офісний А4</v>
      </c>
      <c r="D1948" s="303" t="str">
        <f t="shared" si="69"/>
        <v>шт</v>
      </c>
      <c r="E1948" s="303">
        <f t="shared" si="69"/>
        <v>2</v>
      </c>
      <c r="F1948" s="303">
        <f t="shared" si="69"/>
        <v>0.3</v>
      </c>
      <c r="G1948" s="337">
        <f t="shared" si="70"/>
        <v>0.6</v>
      </c>
      <c r="H1948" s="304"/>
      <c r="I1948" s="304"/>
      <c r="J1948" s="304"/>
      <c r="K1948"/>
    </row>
    <row r="1949" spans="2:11" x14ac:dyDescent="0.3">
      <c r="B1949" s="292"/>
      <c r="C1949" s="27" t="str">
        <f t="shared" si="69"/>
        <v xml:space="preserve">Гель для УЗД , 1000 гр. </v>
      </c>
      <c r="D1949" s="303" t="str">
        <f t="shared" si="69"/>
        <v>пляшка</v>
      </c>
      <c r="E1949" s="303">
        <f t="shared" si="69"/>
        <v>0.1</v>
      </c>
      <c r="F1949" s="303">
        <f t="shared" si="69"/>
        <v>48</v>
      </c>
      <c r="G1949" s="337">
        <f t="shared" si="70"/>
        <v>4.8</v>
      </c>
      <c r="H1949" s="304"/>
      <c r="I1949" s="304"/>
      <c r="J1949" s="304"/>
      <c r="K1949"/>
    </row>
    <row r="1950" spans="2:11" x14ac:dyDescent="0.3">
      <c r="B1950" s="292"/>
      <c r="C1950" s="27" t="str">
        <f t="shared" si="69"/>
        <v>Паперові рушники "Fesko Professional"</v>
      </c>
      <c r="D1950" s="303" t="str">
        <f t="shared" si="69"/>
        <v>рул</v>
      </c>
      <c r="E1950" s="303">
        <f t="shared" si="69"/>
        <v>0.3</v>
      </c>
      <c r="F1950" s="303">
        <f t="shared" si="69"/>
        <v>17</v>
      </c>
      <c r="G1950" s="337">
        <f t="shared" si="70"/>
        <v>5.0999999999999996</v>
      </c>
      <c r="H1950" s="304"/>
      <c r="I1950" s="304"/>
      <c r="J1950" s="304"/>
      <c r="K1950"/>
    </row>
    <row r="1951" spans="2:11" x14ac:dyDescent="0.3">
      <c r="B1951" s="292"/>
      <c r="C1951" s="27" t="str">
        <f t="shared" si="69"/>
        <v>Марля медична</v>
      </c>
      <c r="D1951" s="303" t="str">
        <f t="shared" si="69"/>
        <v>метр</v>
      </c>
      <c r="E1951" s="303">
        <f t="shared" si="69"/>
        <v>0.1</v>
      </c>
      <c r="F1951" s="303">
        <f t="shared" si="69"/>
        <v>6</v>
      </c>
      <c r="G1951" s="28">
        <f>ROUND(E1951*F1951,2)</f>
        <v>0.6</v>
      </c>
      <c r="H1951" s="304"/>
      <c r="I1951" s="304"/>
      <c r="J1951" s="304"/>
      <c r="K1951"/>
    </row>
    <row r="1952" spans="2:11" x14ac:dyDescent="0.3">
      <c r="B1952" s="292"/>
      <c r="C1952" s="27" t="str">
        <f t="shared" si="69"/>
        <v>Вата</v>
      </c>
      <c r="D1952" s="303" t="str">
        <f t="shared" si="69"/>
        <v>г</v>
      </c>
      <c r="E1952" s="303">
        <f t="shared" si="69"/>
        <v>1</v>
      </c>
      <c r="F1952" s="303">
        <f t="shared" si="69"/>
        <v>7.0000000000000007E-2</v>
      </c>
      <c r="G1952" s="28">
        <f>ROUND(E1952*F1952,2)</f>
        <v>7.0000000000000007E-2</v>
      </c>
      <c r="H1952" s="304"/>
      <c r="I1952" s="304"/>
      <c r="J1952" s="304"/>
      <c r="K1952"/>
    </row>
    <row r="1953" spans="2:11" x14ac:dyDescent="0.3">
      <c r="B1953" s="292"/>
      <c r="C1953" s="27" t="str">
        <f t="shared" si="69"/>
        <v>Деззасоби</v>
      </c>
      <c r="D1953" s="303" t="str">
        <f t="shared" si="69"/>
        <v>г</v>
      </c>
      <c r="E1953" s="303">
        <f t="shared" si="69"/>
        <v>0.5</v>
      </c>
      <c r="F1953" s="303">
        <f t="shared" si="69"/>
        <v>0.5</v>
      </c>
      <c r="G1953" s="28">
        <f>ROUND(E1953*F1953,2)</f>
        <v>0.25</v>
      </c>
      <c r="H1953" s="304"/>
      <c r="I1953" s="304"/>
      <c r="J1953" s="304"/>
      <c r="K1953"/>
    </row>
    <row r="1954" spans="2:11" x14ac:dyDescent="0.3">
      <c r="B1954" s="292"/>
      <c r="C1954" s="1063" t="s">
        <v>945</v>
      </c>
      <c r="D1954" s="1063"/>
      <c r="E1954" s="1063"/>
      <c r="F1954" s="1063"/>
      <c r="G1954" s="332">
        <f>SUM(G1944:G1953)</f>
        <v>12.45</v>
      </c>
      <c r="H1954" s="304"/>
      <c r="I1954" s="304"/>
      <c r="J1954" s="304"/>
      <c r="K1954"/>
    </row>
    <row r="1955" spans="2:11" x14ac:dyDescent="0.3">
      <c r="B1955" s="292"/>
      <c r="C1955" s="324"/>
      <c r="D1955" s="304"/>
      <c r="E1955" s="304"/>
      <c r="F1955" s="304"/>
      <c r="G1955" s="304"/>
      <c r="H1955" s="304"/>
      <c r="I1955" s="304"/>
      <c r="J1955" s="304"/>
      <c r="K1955"/>
    </row>
    <row r="1956" spans="2:11" x14ac:dyDescent="0.3">
      <c r="B1956" s="292"/>
      <c r="C1956" s="328" t="s">
        <v>968</v>
      </c>
      <c r="D1956" s="313"/>
      <c r="E1956" s="313"/>
      <c r="F1956" s="307">
        <f>H1959</f>
        <v>20.55</v>
      </c>
      <c r="G1956" s="313" t="s">
        <v>971</v>
      </c>
      <c r="H1956" s="304"/>
      <c r="I1956" s="304"/>
      <c r="J1956" s="304"/>
      <c r="K1956"/>
    </row>
    <row r="1957" spans="2:11" x14ac:dyDescent="0.3">
      <c r="B1957" s="292"/>
      <c r="C1957" s="329"/>
      <c r="D1957" s="314"/>
      <c r="E1957" s="314"/>
      <c r="F1957" s="315"/>
      <c r="G1957" s="314"/>
      <c r="H1957" s="304"/>
      <c r="I1957" s="304"/>
      <c r="J1957" s="304"/>
      <c r="K1957"/>
    </row>
    <row r="1958" spans="2:11" ht="27.6" x14ac:dyDescent="0.3">
      <c r="B1958" s="292"/>
      <c r="C1958" s="330" t="s">
        <v>513</v>
      </c>
      <c r="D1958" s="293" t="s">
        <v>969</v>
      </c>
      <c r="E1958" s="293" t="s">
        <v>516</v>
      </c>
      <c r="F1958" s="293" t="s">
        <v>970</v>
      </c>
      <c r="G1958" s="293" t="s">
        <v>930</v>
      </c>
      <c r="H1958" s="293" t="s">
        <v>961</v>
      </c>
      <c r="I1958" s="304"/>
      <c r="J1958" s="304"/>
      <c r="K1958"/>
    </row>
    <row r="1959" spans="2:11" x14ac:dyDescent="0.3">
      <c r="B1959" s="292"/>
      <c r="C1959" s="27" t="str">
        <f>C1904</f>
        <v>Ультразвукова система AFFINITI 30</v>
      </c>
      <c r="D1959" s="303">
        <f>D1904</f>
        <v>136236.38</v>
      </c>
      <c r="E1959" s="309">
        <f>I1933</f>
        <v>1656.6</v>
      </c>
      <c r="F1959" s="309">
        <f>ROUND((D1959/E1959)/60,2)</f>
        <v>1.37</v>
      </c>
      <c r="G1959" s="309">
        <f>E1937</f>
        <v>15</v>
      </c>
      <c r="H1959" s="308">
        <f>ROUND(F1959*G1959,2)</f>
        <v>20.55</v>
      </c>
      <c r="I1959" s="338"/>
      <c r="J1959" s="304"/>
      <c r="K1959"/>
    </row>
    <row r="1960" spans="2:11" x14ac:dyDescent="0.3">
      <c r="B1960" s="292"/>
      <c r="C1960" s="324"/>
      <c r="D1960" s="304"/>
      <c r="E1960" s="304"/>
      <c r="F1960" s="304"/>
      <c r="G1960" s="304"/>
      <c r="H1960" s="304"/>
      <c r="I1960" s="304"/>
      <c r="J1960" s="304"/>
      <c r="K1960"/>
    </row>
    <row r="1961" spans="2:11" x14ac:dyDescent="0.3">
      <c r="B1961" s="292"/>
      <c r="C1961" s="328" t="s">
        <v>948</v>
      </c>
      <c r="D1961" s="313"/>
      <c r="E1961" s="313"/>
      <c r="F1961" s="307">
        <f>H1974</f>
        <v>3.9</v>
      </c>
      <c r="G1961" s="313" t="s">
        <v>971</v>
      </c>
      <c r="H1961" s="304"/>
      <c r="I1961" s="304"/>
      <c r="J1961" s="304"/>
      <c r="K1961"/>
    </row>
    <row r="1962" spans="2:11" x14ac:dyDescent="0.3">
      <c r="B1962" s="292"/>
      <c r="C1962" s="329"/>
      <c r="D1962" s="314"/>
      <c r="E1962" s="314"/>
      <c r="F1962" s="315"/>
      <c r="G1962" s="304"/>
      <c r="H1962" s="304"/>
      <c r="I1962" s="304"/>
      <c r="J1962" s="304"/>
      <c r="K1962"/>
    </row>
    <row r="1963" spans="2:11" ht="27.6" x14ac:dyDescent="0.3">
      <c r="B1963" s="292"/>
      <c r="C1963" s="330" t="s">
        <v>948</v>
      </c>
      <c r="D1963" s="293" t="s">
        <v>1110</v>
      </c>
      <c r="E1963" s="293" t="s">
        <v>516</v>
      </c>
      <c r="F1963" s="293" t="s">
        <v>954</v>
      </c>
      <c r="G1963" s="293" t="s">
        <v>930</v>
      </c>
      <c r="H1963" s="293" t="s">
        <v>1111</v>
      </c>
      <c r="I1963" s="304"/>
      <c r="J1963" s="304"/>
      <c r="K1963"/>
    </row>
    <row r="1964" spans="2:11" x14ac:dyDescent="0.3">
      <c r="B1964" s="292"/>
      <c r="C1964" s="1064" t="str">
        <f>C1933</f>
        <v>Лікар з ультразвукової діагностики</v>
      </c>
      <c r="D1964" s="1065"/>
      <c r="E1964" s="1065"/>
      <c r="F1964" s="1065"/>
      <c r="G1964" s="1065"/>
      <c r="H1964" s="1066"/>
      <c r="I1964" s="304"/>
      <c r="J1964" s="304"/>
      <c r="K1964"/>
    </row>
    <row r="1965" spans="2:11" x14ac:dyDescent="0.3">
      <c r="B1965" s="292"/>
      <c r="C1965" s="326" t="s">
        <v>951</v>
      </c>
      <c r="D1965" s="316">
        <f>D1910</f>
        <v>12188.608008565312</v>
      </c>
      <c r="E1965" s="309">
        <f>I1933</f>
        <v>1656.6</v>
      </c>
      <c r="F1965" s="309">
        <f>ROUND((D1965/E1965)/60,2)</f>
        <v>0.12</v>
      </c>
      <c r="G1965" s="309">
        <f>E1937</f>
        <v>15</v>
      </c>
      <c r="H1965" s="308">
        <f>ROUND(F1965*G1965,2)</f>
        <v>1.8</v>
      </c>
      <c r="I1965" s="304"/>
      <c r="J1965" s="304"/>
      <c r="K1965"/>
    </row>
    <row r="1966" spans="2:11" x14ac:dyDescent="0.3">
      <c r="B1966" s="292"/>
      <c r="C1966" s="326" t="s">
        <v>952</v>
      </c>
      <c r="D1966" s="316">
        <f>D1911</f>
        <v>53.149721627408987</v>
      </c>
      <c r="E1966" s="309">
        <f>I1933</f>
        <v>1656.6</v>
      </c>
      <c r="F1966" s="309">
        <f>ROUND((D1966/E1966)/60,2)</f>
        <v>0</v>
      </c>
      <c r="G1966" s="309">
        <f>E1937</f>
        <v>15</v>
      </c>
      <c r="H1966" s="308">
        <f>ROUND(F1966*G1966,2)</f>
        <v>0</v>
      </c>
      <c r="I1966" s="304"/>
      <c r="J1966" s="304"/>
      <c r="K1966"/>
    </row>
    <row r="1967" spans="2:11" x14ac:dyDescent="0.3">
      <c r="B1967" s="292"/>
      <c r="C1967" s="326" t="s">
        <v>953</v>
      </c>
      <c r="D1967" s="316">
        <f>D1912</f>
        <v>374.98368308351178</v>
      </c>
      <c r="E1967" s="309">
        <f>I1933</f>
        <v>1656.6</v>
      </c>
      <c r="F1967" s="309">
        <f>ROUND((D1967/E1967)/60,2)</f>
        <v>0</v>
      </c>
      <c r="G1967" s="309">
        <f>E1937</f>
        <v>15</v>
      </c>
      <c r="H1967" s="308">
        <f>ROUND(F1967*G1967,2)</f>
        <v>0</v>
      </c>
      <c r="I1967" s="304"/>
      <c r="J1967" s="304"/>
      <c r="K1967"/>
    </row>
    <row r="1968" spans="2:11" x14ac:dyDescent="0.3">
      <c r="B1968" s="292"/>
      <c r="C1968" s="326" t="s">
        <v>1109</v>
      </c>
      <c r="D1968" s="316">
        <f>D1913</f>
        <v>1686.0389293361886</v>
      </c>
      <c r="E1968" s="309">
        <f>I1933</f>
        <v>1656.6</v>
      </c>
      <c r="F1968" s="309">
        <f>ROUND((D1968/E1968)/60,2)</f>
        <v>0.02</v>
      </c>
      <c r="G1968" s="309">
        <f>E1937</f>
        <v>15</v>
      </c>
      <c r="H1968" s="308">
        <f>ROUND(F1968*G1968,2)</f>
        <v>0.3</v>
      </c>
      <c r="I1968" s="304"/>
      <c r="J1968" s="304"/>
      <c r="K1968"/>
    </row>
    <row r="1969" spans="2:11" x14ac:dyDescent="0.3">
      <c r="B1969" s="292"/>
      <c r="C1969" s="1064" t="str">
        <f>C1934</f>
        <v xml:space="preserve">Сестра медична </v>
      </c>
      <c r="D1969" s="1065"/>
      <c r="E1969" s="1065"/>
      <c r="F1969" s="1065"/>
      <c r="G1969" s="1065"/>
      <c r="H1969" s="1066"/>
      <c r="I1969" s="304"/>
      <c r="J1969" s="304"/>
      <c r="K1969"/>
    </row>
    <row r="1970" spans="2:11" x14ac:dyDescent="0.3">
      <c r="B1970" s="292"/>
      <c r="C1970" s="326" t="s">
        <v>951</v>
      </c>
      <c r="D1970" s="316">
        <f>D1965</f>
        <v>12188.608008565312</v>
      </c>
      <c r="E1970" s="309">
        <f>I1934</f>
        <v>1932.7</v>
      </c>
      <c r="F1970" s="309">
        <f>ROUND((D1970/E1970)/60,2)</f>
        <v>0.11</v>
      </c>
      <c r="G1970" s="309">
        <f>E1938</f>
        <v>15</v>
      </c>
      <c r="H1970" s="308">
        <f>ROUND(F1970*G1970,2)</f>
        <v>1.65</v>
      </c>
      <c r="I1970" s="304"/>
      <c r="J1970" s="304"/>
      <c r="K1970"/>
    </row>
    <row r="1971" spans="2:11" x14ac:dyDescent="0.3">
      <c r="B1971" s="292"/>
      <c r="C1971" s="326" t="s">
        <v>952</v>
      </c>
      <c r="D1971" s="316">
        <f>D1966</f>
        <v>53.149721627408987</v>
      </c>
      <c r="E1971" s="309">
        <f>I1934</f>
        <v>1932.7</v>
      </c>
      <c r="F1971" s="309">
        <f>ROUND((D1971/E1971)/60,2)</f>
        <v>0</v>
      </c>
      <c r="G1971" s="309">
        <f>E1938</f>
        <v>15</v>
      </c>
      <c r="H1971" s="308">
        <f>ROUND(F1971*G1971,2)</f>
        <v>0</v>
      </c>
      <c r="I1971" s="304"/>
      <c r="J1971" s="304"/>
      <c r="K1971"/>
    </row>
    <row r="1972" spans="2:11" x14ac:dyDescent="0.3">
      <c r="B1972" s="292"/>
      <c r="C1972" s="326" t="s">
        <v>953</v>
      </c>
      <c r="D1972" s="316">
        <f>D1967</f>
        <v>374.98368308351178</v>
      </c>
      <c r="E1972" s="309">
        <f>I1934</f>
        <v>1932.7</v>
      </c>
      <c r="F1972" s="309">
        <f>ROUND((D1972/E1972)/60,2)</f>
        <v>0</v>
      </c>
      <c r="G1972" s="309">
        <f>E1938</f>
        <v>15</v>
      </c>
      <c r="H1972" s="308">
        <f>ROUND(F1972*G1972,2)</f>
        <v>0</v>
      </c>
      <c r="I1972" s="304"/>
      <c r="J1972" s="304"/>
      <c r="K1972"/>
    </row>
    <row r="1973" spans="2:11" x14ac:dyDescent="0.3">
      <c r="B1973" s="292"/>
      <c r="C1973" s="326" t="s">
        <v>1109</v>
      </c>
      <c r="D1973" s="316">
        <f>D1968</f>
        <v>1686.0389293361886</v>
      </c>
      <c r="E1973" s="309">
        <f>I1934</f>
        <v>1932.7</v>
      </c>
      <c r="F1973" s="309">
        <f>ROUND((D1973/E1973)/60,2)</f>
        <v>0.01</v>
      </c>
      <c r="G1973" s="309">
        <f>E1938</f>
        <v>15</v>
      </c>
      <c r="H1973" s="308">
        <f>ROUND(F1973*G1973,2)</f>
        <v>0.15</v>
      </c>
      <c r="I1973" s="304"/>
      <c r="J1973" s="304"/>
      <c r="K1973"/>
    </row>
    <row r="1974" spans="2:11" x14ac:dyDescent="0.3">
      <c r="B1974" s="292"/>
      <c r="C1974" s="1056" t="s">
        <v>957</v>
      </c>
      <c r="D1974" s="1057"/>
      <c r="E1974" s="1057"/>
      <c r="F1974" s="1057"/>
      <c r="G1974" s="1058"/>
      <c r="H1974" s="310">
        <f>SUM(H1965:H1973)</f>
        <v>3.9</v>
      </c>
      <c r="I1974" s="304"/>
      <c r="J1974" s="304"/>
      <c r="K1974"/>
    </row>
    <row r="1975" spans="2:11" x14ac:dyDescent="0.3">
      <c r="B1975" s="292"/>
      <c r="C1975" s="324"/>
      <c r="D1975" s="304"/>
      <c r="E1975" s="304"/>
      <c r="F1975" s="304"/>
      <c r="G1975" s="304"/>
      <c r="H1975" s="304"/>
      <c r="I1975" s="304"/>
      <c r="J1975" s="304"/>
      <c r="K1975"/>
    </row>
    <row r="1976" spans="2:11" x14ac:dyDescent="0.3">
      <c r="B1976" s="292"/>
      <c r="C1976" s="324"/>
      <c r="D1976" s="304"/>
      <c r="E1976" s="304"/>
      <c r="F1976" s="304"/>
      <c r="G1976" s="304"/>
      <c r="H1976" s="304"/>
      <c r="I1976" s="304"/>
      <c r="J1976" s="304"/>
      <c r="K1976"/>
    </row>
    <row r="1977" spans="2:11" ht="17.399999999999999" x14ac:dyDescent="0.3">
      <c r="B1977" s="292"/>
      <c r="C1977" s="1059" t="s">
        <v>959</v>
      </c>
      <c r="D1977" s="1059"/>
      <c r="E1977" s="1059"/>
      <c r="F1977" s="1059"/>
      <c r="G1977" s="1059"/>
      <c r="H1977" s="339">
        <f>F1930+F1942+F1956+F1961</f>
        <v>66.91</v>
      </c>
      <c r="I1977" s="304"/>
      <c r="J1977" s="304"/>
      <c r="K1977"/>
    </row>
    <row r="1978" spans="2:11" ht="17.399999999999999" x14ac:dyDescent="0.3">
      <c r="B1978" s="292"/>
      <c r="C1978" s="331"/>
      <c r="D1978" s="295"/>
      <c r="E1978" s="295"/>
      <c r="F1978" s="295"/>
      <c r="G1978" s="295"/>
      <c r="H1978" s="340"/>
      <c r="I1978" s="304"/>
      <c r="J1978" s="304"/>
      <c r="K1978"/>
    </row>
    <row r="1979" spans="2:11" ht="17.399999999999999" x14ac:dyDescent="0.3">
      <c r="B1979" s="292"/>
      <c r="C1979" s="1059" t="s">
        <v>960</v>
      </c>
      <c r="D1979" s="1059"/>
      <c r="E1979" s="1059"/>
      <c r="F1979" s="1059"/>
      <c r="G1979" s="1059"/>
      <c r="H1979" s="334">
        <f>ROUND(H1977,0)</f>
        <v>67</v>
      </c>
      <c r="I1979" s="304"/>
      <c r="J1979" s="304"/>
      <c r="K1979"/>
    </row>
    <row r="1980" spans="2:11" ht="17.399999999999999" x14ac:dyDescent="0.3">
      <c r="B1980" s="1060"/>
      <c r="C1980" s="1060"/>
      <c r="D1980" s="1060"/>
      <c r="E1980" s="1060"/>
      <c r="F1980" s="1060"/>
      <c r="G1980" s="1060"/>
      <c r="H1980" s="1060"/>
      <c r="I1980" s="1060"/>
      <c r="J1980" s="1060"/>
      <c r="K1980"/>
    </row>
    <row r="1981" spans="2:11" ht="17.399999999999999" x14ac:dyDescent="0.3">
      <c r="B1981" s="1060" t="s">
        <v>958</v>
      </c>
      <c r="C1981" s="1060"/>
      <c r="D1981" s="1060"/>
      <c r="E1981" s="1060"/>
      <c r="F1981" s="1060"/>
      <c r="G1981" s="1060"/>
      <c r="H1981" s="1060"/>
      <c r="I1981" s="1060"/>
      <c r="J1981" s="1060"/>
      <c r="K1981"/>
    </row>
    <row r="1982" spans="2:11" x14ac:dyDescent="0.3">
      <c r="B1982" s="292"/>
      <c r="C1982" s="324"/>
      <c r="D1982" s="304"/>
      <c r="E1982" s="304"/>
      <c r="F1982" s="304"/>
      <c r="G1982" s="304"/>
      <c r="H1982" s="304"/>
      <c r="I1982" s="304"/>
      <c r="J1982" s="304"/>
    </row>
    <row r="1983" spans="2:11" ht="17.399999999999999" x14ac:dyDescent="0.3">
      <c r="B1983" s="356" t="s">
        <v>614</v>
      </c>
      <c r="C1983" s="1061" t="s">
        <v>597</v>
      </c>
      <c r="D1983" s="1061"/>
      <c r="E1983" s="1061"/>
      <c r="F1983" s="305">
        <f>H2034</f>
        <v>121</v>
      </c>
      <c r="G1983" s="305" t="s">
        <v>971</v>
      </c>
      <c r="H1983" s="304"/>
      <c r="I1983" s="304"/>
      <c r="J1983" s="304"/>
    </row>
    <row r="1984" spans="2:11" x14ac:dyDescent="0.3">
      <c r="B1984" s="292"/>
      <c r="C1984" s="324"/>
      <c r="D1984" s="304"/>
      <c r="E1984" s="304"/>
      <c r="F1984" s="304"/>
      <c r="G1984" s="304"/>
      <c r="H1984" s="304"/>
      <c r="I1984" s="304"/>
      <c r="J1984" s="304"/>
    </row>
    <row r="1985" spans="1:14" x14ac:dyDescent="0.3">
      <c r="B1985" s="292"/>
      <c r="C1985" s="1062" t="s">
        <v>932</v>
      </c>
      <c r="D1985" s="1062"/>
      <c r="E1985" s="306"/>
      <c r="F1985" s="307">
        <f>F1992+F1995+F1993</f>
        <v>59.66</v>
      </c>
      <c r="G1985" s="313" t="s">
        <v>971</v>
      </c>
      <c r="H1985" s="304"/>
      <c r="I1985" s="304"/>
      <c r="J1985" s="304"/>
    </row>
    <row r="1986" spans="1:14" x14ac:dyDescent="0.3">
      <c r="B1986" s="292"/>
      <c r="C1986" s="324"/>
      <c r="D1986" s="304"/>
      <c r="E1986" s="304"/>
      <c r="F1986" s="304"/>
      <c r="G1986" s="304"/>
      <c r="H1986" s="304"/>
      <c r="I1986" s="304"/>
      <c r="J1986" s="304"/>
    </row>
    <row r="1987" spans="1:14" x14ac:dyDescent="0.3">
      <c r="B1987" s="292"/>
      <c r="C1987" s="325" t="s">
        <v>929</v>
      </c>
      <c r="D1987" s="293" t="s">
        <v>928</v>
      </c>
      <c r="E1987" s="293" t="s">
        <v>514</v>
      </c>
      <c r="F1987" s="293" t="s">
        <v>515</v>
      </c>
      <c r="G1987" s="293" t="s">
        <v>962</v>
      </c>
      <c r="H1987" s="293" t="s">
        <v>926</v>
      </c>
      <c r="I1987" s="293" t="s">
        <v>516</v>
      </c>
      <c r="J1987" s="293" t="s">
        <v>961</v>
      </c>
    </row>
    <row r="1988" spans="1:14" x14ac:dyDescent="0.3">
      <c r="B1988" s="292"/>
      <c r="C1988" s="326" t="str">
        <f t="shared" ref="C1988:G1989" si="71">C1933</f>
        <v>Лікар з ультразвукової діагностики</v>
      </c>
      <c r="D1988" s="309">
        <f t="shared" si="71"/>
        <v>6660.23</v>
      </c>
      <c r="E1988" s="309">
        <f t="shared" si="71"/>
        <v>79922.759999999995</v>
      </c>
      <c r="F1988" s="309">
        <f t="shared" si="71"/>
        <v>6054.75</v>
      </c>
      <c r="G1988" s="309">
        <f t="shared" si="71"/>
        <v>3027.375</v>
      </c>
      <c r="H1988" s="308">
        <f>E1988+F1988+G1988</f>
        <v>89004.884999999995</v>
      </c>
      <c r="I1988" s="309">
        <v>1657.6</v>
      </c>
      <c r="J1988" s="308">
        <f>ROUND((H1988/I1988)/60,2)</f>
        <v>0.89</v>
      </c>
    </row>
    <row r="1989" spans="1:14" x14ac:dyDescent="0.3">
      <c r="B1989" s="292"/>
      <c r="C1989" s="326" t="str">
        <f t="shared" si="71"/>
        <v xml:space="preserve">Сестра медична </v>
      </c>
      <c r="D1989" s="309">
        <f t="shared" si="71"/>
        <v>6506.5</v>
      </c>
      <c r="E1989" s="309">
        <f t="shared" si="71"/>
        <v>78078</v>
      </c>
      <c r="F1989" s="309">
        <f t="shared" si="71"/>
        <v>5005</v>
      </c>
      <c r="G1989" s="309">
        <f t="shared" si="71"/>
        <v>2502.5</v>
      </c>
      <c r="H1989" s="308">
        <f>E1989+F1989+G1989</f>
        <v>85585.5</v>
      </c>
      <c r="I1989" s="309">
        <v>1932.7</v>
      </c>
      <c r="J1989" s="308">
        <f>ROUND((H1989/I1989)/60,2)</f>
        <v>0.74</v>
      </c>
    </row>
    <row r="1990" spans="1:14" x14ac:dyDescent="0.3">
      <c r="B1990" s="292"/>
      <c r="C1990" s="324"/>
      <c r="D1990" s="304"/>
      <c r="E1990" s="304"/>
      <c r="F1990" s="304"/>
      <c r="G1990" s="304"/>
      <c r="H1990" s="304"/>
      <c r="I1990" s="304"/>
      <c r="J1990" s="304"/>
    </row>
    <row r="1991" spans="1:14" ht="27.6" x14ac:dyDescent="0.3">
      <c r="B1991" s="292"/>
      <c r="C1991" s="325" t="s">
        <v>929</v>
      </c>
      <c r="D1991" s="293" t="s">
        <v>961</v>
      </c>
      <c r="E1991" s="293" t="s">
        <v>930</v>
      </c>
      <c r="F1991" s="293" t="s">
        <v>931</v>
      </c>
      <c r="G1991" s="304"/>
      <c r="H1991" s="304"/>
      <c r="I1991" s="304"/>
      <c r="J1991" s="304"/>
    </row>
    <row r="1992" spans="1:14" x14ac:dyDescent="0.3">
      <c r="B1992" s="292"/>
      <c r="C1992" s="327" t="str">
        <f>C1988</f>
        <v>Лікар з ультразвукової діагностики</v>
      </c>
      <c r="D1992" s="308">
        <f>J1988</f>
        <v>0.89</v>
      </c>
      <c r="E1992" s="309">
        <v>30</v>
      </c>
      <c r="F1992" s="310">
        <f>ROUND(D1992*E1992,2)</f>
        <v>26.7</v>
      </c>
      <c r="G1992" s="304"/>
      <c r="H1992" s="304"/>
      <c r="I1992" s="304"/>
      <c r="J1992" s="304"/>
    </row>
    <row r="1993" spans="1:14" x14ac:dyDescent="0.3">
      <c r="B1993" s="292"/>
      <c r="C1993" s="327" t="str">
        <f>C1989</f>
        <v xml:space="preserve">Сестра медична </v>
      </c>
      <c r="D1993" s="308">
        <f>J1989</f>
        <v>0.74</v>
      </c>
      <c r="E1993" s="309">
        <v>30</v>
      </c>
      <c r="F1993" s="310">
        <f>ROUND(D1993*E1993,2)</f>
        <v>22.2</v>
      </c>
      <c r="G1993" s="304"/>
      <c r="H1993" s="304"/>
      <c r="I1993" s="304"/>
      <c r="J1993" s="304"/>
    </row>
    <row r="1994" spans="1:14" x14ac:dyDescent="0.3">
      <c r="B1994" s="292"/>
      <c r="C1994" s="324"/>
      <c r="D1994" s="294"/>
      <c r="E1994" s="304"/>
      <c r="F1994" s="304"/>
      <c r="G1994" s="304"/>
      <c r="H1994" s="304"/>
      <c r="I1994" s="304"/>
      <c r="J1994" s="304"/>
    </row>
    <row r="1995" spans="1:14" x14ac:dyDescent="0.3">
      <c r="B1995" s="292"/>
      <c r="C1995" s="326" t="s">
        <v>933</v>
      </c>
      <c r="D1995" s="308">
        <f>F1992+F1993</f>
        <v>48.9</v>
      </c>
      <c r="E1995" s="311">
        <v>0.22</v>
      </c>
      <c r="F1995" s="312">
        <f>ROUND(D1995*E1995,2)</f>
        <v>10.76</v>
      </c>
      <c r="G1995" s="304"/>
      <c r="H1995" s="304"/>
      <c r="I1995" s="304"/>
      <c r="J1995" s="304"/>
    </row>
    <row r="1996" spans="1:14" x14ac:dyDescent="0.3">
      <c r="B1996" s="292"/>
      <c r="C1996" s="324"/>
      <c r="D1996" s="304"/>
      <c r="E1996" s="304"/>
      <c r="F1996" s="304"/>
      <c r="G1996" s="304"/>
      <c r="H1996" s="304"/>
      <c r="I1996" s="304"/>
      <c r="J1996" s="304"/>
    </row>
    <row r="1997" spans="1:14" x14ac:dyDescent="0.3">
      <c r="B1997" s="292"/>
      <c r="C1997" s="328" t="s">
        <v>946</v>
      </c>
      <c r="D1997" s="313"/>
      <c r="E1997" s="313"/>
      <c r="F1997" s="313">
        <f>G2009</f>
        <v>12.45</v>
      </c>
      <c r="G1997" s="313" t="s">
        <v>971</v>
      </c>
      <c r="H1997" s="304"/>
      <c r="I1997" s="304"/>
      <c r="J1997" s="304"/>
    </row>
    <row r="1998" spans="1:14" x14ac:dyDescent="0.3">
      <c r="B1998" s="292"/>
      <c r="C1998" s="324"/>
      <c r="D1998" s="304"/>
      <c r="E1998" s="304"/>
      <c r="F1998" s="304"/>
      <c r="G1998" s="304"/>
      <c r="H1998" s="304"/>
      <c r="I1998" s="304"/>
      <c r="J1998" s="304"/>
    </row>
    <row r="1999" spans="1:14" s="350" customFormat="1" x14ac:dyDescent="0.3">
      <c r="A1999" s="7"/>
      <c r="B1999" s="292"/>
      <c r="C1999" s="27" t="str">
        <f t="shared" ref="C1999:F2008" si="72">C1944</f>
        <v>Рукавиці не стерильні</v>
      </c>
      <c r="D1999" s="303" t="str">
        <f t="shared" si="72"/>
        <v>шт</v>
      </c>
      <c r="E1999" s="303">
        <f t="shared" si="72"/>
        <v>0.1</v>
      </c>
      <c r="F1999" s="303">
        <f t="shared" si="72"/>
        <v>2.8</v>
      </c>
      <c r="G1999" s="337">
        <f>ROUND(F1999*E1999,2)</f>
        <v>0.28000000000000003</v>
      </c>
      <c r="H1999" s="304"/>
      <c r="I1999" s="304"/>
      <c r="J1999" s="304"/>
      <c r="K1999" s="22"/>
      <c r="L1999" s="346"/>
      <c r="M1999" s="346"/>
      <c r="N1999" s="3"/>
    </row>
    <row r="2000" spans="1:14" s="350" customFormat="1" x14ac:dyDescent="0.3">
      <c r="A2000" s="7"/>
      <c r="B2000" s="292"/>
      <c r="C2000" s="27" t="str">
        <f t="shared" si="72"/>
        <v xml:space="preserve">Септил 70% 100мл </v>
      </c>
      <c r="D2000" s="303" t="str">
        <f t="shared" si="72"/>
        <v>шт</v>
      </c>
      <c r="E2000" s="303">
        <f t="shared" si="72"/>
        <v>0.01</v>
      </c>
      <c r="F2000" s="303">
        <f t="shared" si="72"/>
        <v>24.6</v>
      </c>
      <c r="G2000" s="337">
        <f t="shared" ref="G2000:G2005" si="73">ROUND(F2000*E2000,2)</f>
        <v>0.25</v>
      </c>
      <c r="H2000" s="304"/>
      <c r="I2000" s="304"/>
      <c r="J2000" s="304"/>
      <c r="K2000" s="22"/>
      <c r="L2000" s="346"/>
      <c r="M2000" s="346"/>
      <c r="N2000" s="3"/>
    </row>
    <row r="2001" spans="1:14" s="350" customFormat="1" x14ac:dyDescent="0.3">
      <c r="A2001" s="7"/>
      <c r="B2001" s="292"/>
      <c r="C2001" s="27" t="str">
        <f t="shared" si="72"/>
        <v>Маска на резинці, стерильна.</v>
      </c>
      <c r="D2001" s="303" t="str">
        <f t="shared" si="72"/>
        <v>шт</v>
      </c>
      <c r="E2001" s="303">
        <f t="shared" si="72"/>
        <v>0.1</v>
      </c>
      <c r="F2001" s="303">
        <f t="shared" si="72"/>
        <v>2</v>
      </c>
      <c r="G2001" s="337">
        <f t="shared" si="73"/>
        <v>0.2</v>
      </c>
      <c r="H2001" s="304"/>
      <c r="I2001" s="304"/>
      <c r="J2001" s="304"/>
      <c r="K2001" s="22"/>
      <c r="L2001" s="346"/>
      <c r="M2001" s="346"/>
      <c r="N2001" s="3"/>
    </row>
    <row r="2002" spans="1:14" s="350" customFormat="1" x14ac:dyDescent="0.3">
      <c r="A2002" s="7"/>
      <c r="B2002" s="292"/>
      <c r="C2002" s="27" t="str">
        <f t="shared" si="72"/>
        <v>Мікрасепт</v>
      </c>
      <c r="D2002" s="303" t="str">
        <f t="shared" si="72"/>
        <v>мл</v>
      </c>
      <c r="E2002" s="303">
        <f t="shared" si="72"/>
        <v>1</v>
      </c>
      <c r="F2002" s="303">
        <f t="shared" si="72"/>
        <v>0.3</v>
      </c>
      <c r="G2002" s="28">
        <f>ROUND(E2002*F2002,2)</f>
        <v>0.3</v>
      </c>
      <c r="H2002" s="304"/>
      <c r="I2002" s="304"/>
      <c r="J2002" s="304"/>
      <c r="K2002" s="22"/>
      <c r="L2002" s="346"/>
      <c r="M2002" s="346"/>
      <c r="N2002" s="3"/>
    </row>
    <row r="2003" spans="1:14" s="350" customFormat="1" x14ac:dyDescent="0.3">
      <c r="A2003" s="7"/>
      <c r="B2003" s="292"/>
      <c r="C2003" s="27" t="str">
        <f t="shared" si="72"/>
        <v>Папір офісний А4</v>
      </c>
      <c r="D2003" s="303" t="str">
        <f t="shared" si="72"/>
        <v>шт</v>
      </c>
      <c r="E2003" s="303">
        <f t="shared" si="72"/>
        <v>2</v>
      </c>
      <c r="F2003" s="303">
        <f t="shared" si="72"/>
        <v>0.3</v>
      </c>
      <c r="G2003" s="337">
        <f t="shared" si="73"/>
        <v>0.6</v>
      </c>
      <c r="H2003" s="304"/>
      <c r="I2003" s="304"/>
      <c r="J2003" s="304"/>
      <c r="K2003" s="22"/>
      <c r="L2003" s="346"/>
      <c r="M2003" s="346"/>
      <c r="N2003" s="3"/>
    </row>
    <row r="2004" spans="1:14" s="350" customFormat="1" x14ac:dyDescent="0.3">
      <c r="A2004" s="7"/>
      <c r="B2004" s="292"/>
      <c r="C2004" s="27" t="str">
        <f t="shared" si="72"/>
        <v xml:space="preserve">Гель для УЗД , 1000 гр. </v>
      </c>
      <c r="D2004" s="303" t="str">
        <f t="shared" si="72"/>
        <v>пляшка</v>
      </c>
      <c r="E2004" s="303">
        <f t="shared" si="72"/>
        <v>0.1</v>
      </c>
      <c r="F2004" s="303">
        <f t="shared" si="72"/>
        <v>48</v>
      </c>
      <c r="G2004" s="337">
        <f t="shared" si="73"/>
        <v>4.8</v>
      </c>
      <c r="H2004" s="304"/>
      <c r="I2004" s="304"/>
      <c r="J2004" s="304"/>
      <c r="K2004" s="22"/>
      <c r="L2004" s="346"/>
      <c r="M2004" s="346"/>
      <c r="N2004" s="3"/>
    </row>
    <row r="2005" spans="1:14" s="350" customFormat="1" x14ac:dyDescent="0.3">
      <c r="A2005" s="7"/>
      <c r="B2005" s="292"/>
      <c r="C2005" s="27" t="str">
        <f t="shared" si="72"/>
        <v>Паперові рушники "Fesko Professional"</v>
      </c>
      <c r="D2005" s="303" t="str">
        <f t="shared" si="72"/>
        <v>рул</v>
      </c>
      <c r="E2005" s="303">
        <f t="shared" si="72"/>
        <v>0.3</v>
      </c>
      <c r="F2005" s="303">
        <f t="shared" si="72"/>
        <v>17</v>
      </c>
      <c r="G2005" s="337">
        <f t="shared" si="73"/>
        <v>5.0999999999999996</v>
      </c>
      <c r="H2005" s="304"/>
      <c r="I2005" s="304"/>
      <c r="J2005" s="304"/>
      <c r="K2005" s="22"/>
      <c r="L2005" s="346"/>
      <c r="M2005" s="346"/>
      <c r="N2005" s="3"/>
    </row>
    <row r="2006" spans="1:14" s="350" customFormat="1" x14ac:dyDescent="0.3">
      <c r="A2006" s="7"/>
      <c r="B2006" s="292"/>
      <c r="C2006" s="27" t="str">
        <f t="shared" si="72"/>
        <v>Марля медична</v>
      </c>
      <c r="D2006" s="303" t="str">
        <f t="shared" si="72"/>
        <v>метр</v>
      </c>
      <c r="E2006" s="303">
        <f t="shared" si="72"/>
        <v>0.1</v>
      </c>
      <c r="F2006" s="303">
        <f t="shared" si="72"/>
        <v>6</v>
      </c>
      <c r="G2006" s="28">
        <f>ROUND(E2006*F2006,2)</f>
        <v>0.6</v>
      </c>
      <c r="H2006" s="304"/>
      <c r="I2006" s="304"/>
      <c r="J2006" s="304"/>
      <c r="K2006" s="22"/>
      <c r="L2006" s="346"/>
      <c r="M2006" s="346"/>
      <c r="N2006" s="3"/>
    </row>
    <row r="2007" spans="1:14" s="350" customFormat="1" x14ac:dyDescent="0.3">
      <c r="A2007" s="7"/>
      <c r="B2007" s="292"/>
      <c r="C2007" s="27" t="str">
        <f t="shared" si="72"/>
        <v>Вата</v>
      </c>
      <c r="D2007" s="303" t="str">
        <f t="shared" si="72"/>
        <v>г</v>
      </c>
      <c r="E2007" s="303">
        <f t="shared" si="72"/>
        <v>1</v>
      </c>
      <c r="F2007" s="303">
        <f t="shared" si="72"/>
        <v>7.0000000000000007E-2</v>
      </c>
      <c r="G2007" s="28">
        <f>ROUND(E2007*F2007,2)</f>
        <v>7.0000000000000007E-2</v>
      </c>
      <c r="H2007" s="304"/>
      <c r="I2007" s="304"/>
      <c r="J2007" s="304"/>
      <c r="K2007" s="22"/>
      <c r="L2007" s="346"/>
      <c r="M2007" s="346"/>
      <c r="N2007" s="3"/>
    </row>
    <row r="2008" spans="1:14" s="350" customFormat="1" x14ac:dyDescent="0.3">
      <c r="A2008" s="7"/>
      <c r="B2008" s="292"/>
      <c r="C2008" s="27" t="str">
        <f t="shared" si="72"/>
        <v>Деззасоби</v>
      </c>
      <c r="D2008" s="303" t="str">
        <f t="shared" si="72"/>
        <v>г</v>
      </c>
      <c r="E2008" s="303">
        <f t="shared" si="72"/>
        <v>0.5</v>
      </c>
      <c r="F2008" s="303">
        <f t="shared" si="72"/>
        <v>0.5</v>
      </c>
      <c r="G2008" s="28">
        <f>ROUND(E2008*F2008,2)</f>
        <v>0.25</v>
      </c>
      <c r="H2008" s="304"/>
      <c r="I2008" s="304"/>
      <c r="J2008" s="304"/>
      <c r="K2008" s="22"/>
      <c r="L2008" s="346"/>
      <c r="M2008" s="346"/>
      <c r="N2008" s="3"/>
    </row>
    <row r="2009" spans="1:14" s="350" customFormat="1" x14ac:dyDescent="0.3">
      <c r="A2009" s="7"/>
      <c r="B2009" s="292"/>
      <c r="C2009" s="1063" t="s">
        <v>945</v>
      </c>
      <c r="D2009" s="1063"/>
      <c r="E2009" s="1063"/>
      <c r="F2009" s="1063"/>
      <c r="G2009" s="332">
        <f>SUM(G1999:G2008)</f>
        <v>12.45</v>
      </c>
      <c r="H2009" s="304"/>
      <c r="I2009" s="304"/>
      <c r="J2009" s="304"/>
      <c r="K2009" s="22"/>
      <c r="L2009" s="346"/>
      <c r="M2009" s="346"/>
      <c r="N2009" s="3"/>
    </row>
    <row r="2010" spans="1:14" x14ac:dyDescent="0.3">
      <c r="B2010" s="292"/>
      <c r="C2010" s="324"/>
      <c r="D2010" s="304"/>
      <c r="E2010" s="304"/>
      <c r="F2010" s="304"/>
      <c r="G2010" s="304"/>
      <c r="H2010" s="304"/>
      <c r="I2010" s="304"/>
      <c r="J2010" s="304"/>
    </row>
    <row r="2011" spans="1:14" x14ac:dyDescent="0.3">
      <c r="B2011" s="292"/>
      <c r="C2011" s="328" t="s">
        <v>968</v>
      </c>
      <c r="D2011" s="313"/>
      <c r="E2011" s="313"/>
      <c r="F2011" s="307">
        <f>H2014</f>
        <v>41.1</v>
      </c>
      <c r="G2011" s="313" t="s">
        <v>971</v>
      </c>
      <c r="H2011" s="304"/>
      <c r="I2011" s="304"/>
      <c r="J2011" s="304"/>
    </row>
    <row r="2012" spans="1:14" x14ac:dyDescent="0.3">
      <c r="B2012" s="292"/>
      <c r="C2012" s="329"/>
      <c r="D2012" s="314"/>
      <c r="E2012" s="314"/>
      <c r="F2012" s="315"/>
      <c r="G2012" s="314"/>
      <c r="H2012" s="304"/>
      <c r="I2012" s="304"/>
      <c r="J2012" s="304"/>
    </row>
    <row r="2013" spans="1:14" s="350" customFormat="1" ht="27.6" x14ac:dyDescent="0.3">
      <c r="A2013" s="7"/>
      <c r="B2013" s="292"/>
      <c r="C2013" s="330" t="s">
        <v>513</v>
      </c>
      <c r="D2013" s="293" t="s">
        <v>1108</v>
      </c>
      <c r="E2013" s="293" t="s">
        <v>516</v>
      </c>
      <c r="F2013" s="293" t="s">
        <v>970</v>
      </c>
      <c r="G2013" s="293" t="s">
        <v>930</v>
      </c>
      <c r="H2013" s="293" t="s">
        <v>961</v>
      </c>
      <c r="I2013" s="304"/>
      <c r="J2013" s="304"/>
      <c r="K2013" s="22"/>
      <c r="L2013" s="346"/>
      <c r="M2013" s="346"/>
      <c r="N2013" s="3"/>
    </row>
    <row r="2014" spans="1:14" s="350" customFormat="1" x14ac:dyDescent="0.3">
      <c r="A2014" s="7"/>
      <c r="B2014" s="292"/>
      <c r="C2014" s="27" t="str">
        <f>C1959</f>
        <v>Ультразвукова система AFFINITI 30</v>
      </c>
      <c r="D2014" s="303">
        <f>D1959</f>
        <v>136236.38</v>
      </c>
      <c r="E2014" s="309">
        <f>I1988</f>
        <v>1657.6</v>
      </c>
      <c r="F2014" s="309">
        <f>ROUND((D2014/E2014)/60,2)</f>
        <v>1.37</v>
      </c>
      <c r="G2014" s="309">
        <f>E1992</f>
        <v>30</v>
      </c>
      <c r="H2014" s="308">
        <f>ROUND(F2014*G2014,2)</f>
        <v>41.1</v>
      </c>
      <c r="I2014" s="338"/>
      <c r="J2014" s="304"/>
      <c r="K2014" s="22"/>
      <c r="L2014" s="346"/>
      <c r="M2014" s="346"/>
      <c r="N2014" s="3"/>
    </row>
    <row r="2015" spans="1:14" x14ac:dyDescent="0.3">
      <c r="B2015" s="292"/>
      <c r="C2015" s="324"/>
      <c r="D2015" s="304"/>
      <c r="E2015" s="304"/>
      <c r="F2015" s="304"/>
      <c r="G2015" s="304"/>
      <c r="H2015" s="304"/>
      <c r="I2015" s="304"/>
      <c r="J2015" s="304"/>
    </row>
    <row r="2016" spans="1:14" x14ac:dyDescent="0.3">
      <c r="B2016" s="292"/>
      <c r="C2016" s="328" t="s">
        <v>948</v>
      </c>
      <c r="D2016" s="313"/>
      <c r="E2016" s="313"/>
      <c r="F2016" s="307">
        <f>H2029</f>
        <v>7.8</v>
      </c>
      <c r="G2016" s="313" t="s">
        <v>971</v>
      </c>
      <c r="H2016" s="304"/>
      <c r="I2016" s="304"/>
      <c r="J2016" s="304"/>
    </row>
    <row r="2017" spans="2:10" x14ac:dyDescent="0.3">
      <c r="B2017" s="292"/>
      <c r="C2017" s="329"/>
      <c r="D2017" s="314"/>
      <c r="E2017" s="314"/>
      <c r="F2017" s="315"/>
      <c r="G2017" s="304"/>
      <c r="H2017" s="304"/>
      <c r="I2017" s="304"/>
      <c r="J2017" s="304"/>
    </row>
    <row r="2018" spans="2:10" ht="27.6" x14ac:dyDescent="0.3">
      <c r="B2018" s="292"/>
      <c r="C2018" s="330" t="s">
        <v>948</v>
      </c>
      <c r="D2018" s="293" t="s">
        <v>1110</v>
      </c>
      <c r="E2018" s="293" t="s">
        <v>516</v>
      </c>
      <c r="F2018" s="293" t="s">
        <v>954</v>
      </c>
      <c r="G2018" s="293" t="s">
        <v>930</v>
      </c>
      <c r="H2018" s="293" t="s">
        <v>1111</v>
      </c>
      <c r="I2018" s="304"/>
      <c r="J2018" s="304"/>
    </row>
    <row r="2019" spans="2:10" x14ac:dyDescent="0.3">
      <c r="B2019" s="292"/>
      <c r="C2019" s="1064" t="str">
        <f>C1988</f>
        <v>Лікар з ультразвукової діагностики</v>
      </c>
      <c r="D2019" s="1065"/>
      <c r="E2019" s="1065"/>
      <c r="F2019" s="1065"/>
      <c r="G2019" s="1065"/>
      <c r="H2019" s="1066"/>
      <c r="I2019" s="304"/>
      <c r="J2019" s="304"/>
    </row>
    <row r="2020" spans="2:10" x14ac:dyDescent="0.3">
      <c r="B2020" s="292"/>
      <c r="C2020" s="326" t="str">
        <f>C1965</f>
        <v>Непрямі (адміністративні)</v>
      </c>
      <c r="D2020" s="316">
        <f>D1965</f>
        <v>12188.608008565312</v>
      </c>
      <c r="E2020" s="309">
        <f>I1988</f>
        <v>1657.6</v>
      </c>
      <c r="F2020" s="309">
        <f>ROUND((D2020/E2020)/60,2)</f>
        <v>0.12</v>
      </c>
      <c r="G2020" s="309">
        <f>E1992</f>
        <v>30</v>
      </c>
      <c r="H2020" s="308">
        <f>ROUND(F2020*G2020,2)</f>
        <v>3.6</v>
      </c>
      <c r="I2020" s="304"/>
      <c r="J2020" s="304"/>
    </row>
    <row r="2021" spans="2:10" x14ac:dyDescent="0.3">
      <c r="B2021" s="292"/>
      <c r="C2021" s="326" t="str">
        <f t="shared" ref="C2021:D2023" si="74">C1966</f>
        <v>Непрямі (поточні)</v>
      </c>
      <c r="D2021" s="316">
        <f t="shared" si="74"/>
        <v>53.149721627408987</v>
      </c>
      <c r="E2021" s="309">
        <f>I1988</f>
        <v>1657.6</v>
      </c>
      <c r="F2021" s="309">
        <f>ROUND((D2021/E2021)/60,2)</f>
        <v>0</v>
      </c>
      <c r="G2021" s="309">
        <f>E1992</f>
        <v>30</v>
      </c>
      <c r="H2021" s="308">
        <f>ROUND(F2021*G2021,2)</f>
        <v>0</v>
      </c>
      <c r="I2021" s="304"/>
      <c r="J2021" s="304"/>
    </row>
    <row r="2022" spans="2:10" x14ac:dyDescent="0.3">
      <c r="B2022" s="292"/>
      <c r="C2022" s="326" t="str">
        <f t="shared" si="74"/>
        <v>Непрямі (комунальні)</v>
      </c>
      <c r="D2022" s="316">
        <f t="shared" si="74"/>
        <v>374.98368308351178</v>
      </c>
      <c r="E2022" s="309">
        <f>I1988</f>
        <v>1657.6</v>
      </c>
      <c r="F2022" s="309">
        <f>ROUND((D2022/E2022)/60,2)</f>
        <v>0</v>
      </c>
      <c r="G2022" s="309">
        <f>E1992</f>
        <v>30</v>
      </c>
      <c r="H2022" s="308">
        <f>ROUND(F2022*G2022,2)</f>
        <v>0</v>
      </c>
      <c r="I2022" s="304"/>
      <c r="J2022" s="304"/>
    </row>
    <row r="2023" spans="2:10" x14ac:dyDescent="0.3">
      <c r="B2023" s="292"/>
      <c r="C2023" s="326" t="str">
        <f t="shared" si="74"/>
        <v>Непрямі (відділення)</v>
      </c>
      <c r="D2023" s="316">
        <f t="shared" si="74"/>
        <v>1686.0389293361886</v>
      </c>
      <c r="E2023" s="309">
        <f>I1988</f>
        <v>1657.6</v>
      </c>
      <c r="F2023" s="309">
        <f>ROUND((D2023/E2023)/60,2)</f>
        <v>0.02</v>
      </c>
      <c r="G2023" s="309">
        <f>E1992</f>
        <v>30</v>
      </c>
      <c r="H2023" s="308">
        <f>ROUND(F2023*G2023,2)</f>
        <v>0.6</v>
      </c>
      <c r="I2023" s="304"/>
      <c r="J2023" s="304"/>
    </row>
    <row r="2024" spans="2:10" x14ac:dyDescent="0.3">
      <c r="B2024" s="292"/>
      <c r="C2024" s="1064" t="str">
        <f>C1989</f>
        <v xml:space="preserve">Сестра медична </v>
      </c>
      <c r="D2024" s="1065"/>
      <c r="E2024" s="1065"/>
      <c r="F2024" s="1065"/>
      <c r="G2024" s="1065"/>
      <c r="H2024" s="1066"/>
      <c r="I2024" s="304"/>
      <c r="J2024" s="304"/>
    </row>
    <row r="2025" spans="2:10" x14ac:dyDescent="0.3">
      <c r="B2025" s="292"/>
      <c r="C2025" s="326" t="str">
        <f t="shared" ref="C2025:D2028" si="75">C2020</f>
        <v>Непрямі (адміністративні)</v>
      </c>
      <c r="D2025" s="316">
        <f t="shared" si="75"/>
        <v>12188.608008565312</v>
      </c>
      <c r="E2025" s="309">
        <f>I1989</f>
        <v>1932.7</v>
      </c>
      <c r="F2025" s="309">
        <f>ROUND((D2025/E2025)/60,2)</f>
        <v>0.11</v>
      </c>
      <c r="G2025" s="309">
        <f>E1993</f>
        <v>30</v>
      </c>
      <c r="H2025" s="308">
        <f>ROUND(F2025*G2025,2)</f>
        <v>3.3</v>
      </c>
      <c r="I2025" s="304"/>
      <c r="J2025" s="304"/>
    </row>
    <row r="2026" spans="2:10" x14ac:dyDescent="0.3">
      <c r="B2026" s="292"/>
      <c r="C2026" s="326" t="str">
        <f t="shared" si="75"/>
        <v>Непрямі (поточні)</v>
      </c>
      <c r="D2026" s="316">
        <f t="shared" si="75"/>
        <v>53.149721627408987</v>
      </c>
      <c r="E2026" s="309">
        <f>I1989</f>
        <v>1932.7</v>
      </c>
      <c r="F2026" s="309">
        <f>ROUND((D2026/E2026)/60,2)</f>
        <v>0</v>
      </c>
      <c r="G2026" s="309">
        <f>E1993</f>
        <v>30</v>
      </c>
      <c r="H2026" s="308">
        <f>ROUND(F2026*G2026,2)</f>
        <v>0</v>
      </c>
      <c r="I2026" s="304"/>
      <c r="J2026" s="304"/>
    </row>
    <row r="2027" spans="2:10" x14ac:dyDescent="0.3">
      <c r="B2027" s="292"/>
      <c r="C2027" s="326" t="str">
        <f t="shared" si="75"/>
        <v>Непрямі (комунальні)</v>
      </c>
      <c r="D2027" s="316">
        <f t="shared" si="75"/>
        <v>374.98368308351178</v>
      </c>
      <c r="E2027" s="309">
        <f>I1989</f>
        <v>1932.7</v>
      </c>
      <c r="F2027" s="309">
        <f>ROUND((D2027/E2027)/60,2)</f>
        <v>0</v>
      </c>
      <c r="G2027" s="309">
        <f>E1993</f>
        <v>30</v>
      </c>
      <c r="H2027" s="308">
        <f>ROUND(F2027*G2027,2)</f>
        <v>0</v>
      </c>
      <c r="I2027" s="304"/>
      <c r="J2027" s="304"/>
    </row>
    <row r="2028" spans="2:10" x14ac:dyDescent="0.3">
      <c r="B2028" s="292"/>
      <c r="C2028" s="326" t="str">
        <f t="shared" si="75"/>
        <v>Непрямі (відділення)</v>
      </c>
      <c r="D2028" s="316">
        <f t="shared" si="75"/>
        <v>1686.0389293361886</v>
      </c>
      <c r="E2028" s="309">
        <f>I1989</f>
        <v>1932.7</v>
      </c>
      <c r="F2028" s="309">
        <f>ROUND((D2028/E2028)/60,2)</f>
        <v>0.01</v>
      </c>
      <c r="G2028" s="309">
        <f>E1993</f>
        <v>30</v>
      </c>
      <c r="H2028" s="308">
        <f>ROUND(F2028*G2028,2)</f>
        <v>0.3</v>
      </c>
      <c r="I2028" s="304"/>
      <c r="J2028" s="304"/>
    </row>
    <row r="2029" spans="2:10" x14ac:dyDescent="0.3">
      <c r="B2029" s="292"/>
      <c r="C2029" s="1056" t="s">
        <v>957</v>
      </c>
      <c r="D2029" s="1057"/>
      <c r="E2029" s="1057"/>
      <c r="F2029" s="1057"/>
      <c r="G2029" s="1058"/>
      <c r="H2029" s="310">
        <f>SUM(H2020:H2028)</f>
        <v>7.8</v>
      </c>
      <c r="I2029" s="304"/>
      <c r="J2029" s="304"/>
    </row>
    <row r="2030" spans="2:10" x14ac:dyDescent="0.3">
      <c r="B2030" s="292"/>
      <c r="C2030" s="324"/>
      <c r="D2030" s="304"/>
      <c r="E2030" s="304"/>
      <c r="F2030" s="304"/>
      <c r="G2030" s="304"/>
      <c r="H2030" s="304"/>
      <c r="I2030" s="304"/>
      <c r="J2030" s="304"/>
    </row>
    <row r="2031" spans="2:10" x14ac:dyDescent="0.3">
      <c r="B2031" s="292"/>
      <c r="C2031" s="324"/>
      <c r="D2031" s="304"/>
      <c r="E2031" s="304"/>
      <c r="F2031" s="304"/>
      <c r="G2031" s="304"/>
      <c r="H2031" s="304"/>
      <c r="I2031" s="304"/>
      <c r="J2031" s="304"/>
    </row>
    <row r="2032" spans="2:10" ht="17.399999999999999" x14ac:dyDescent="0.3">
      <c r="B2032" s="292"/>
      <c r="C2032" s="1059" t="s">
        <v>959</v>
      </c>
      <c r="D2032" s="1059"/>
      <c r="E2032" s="1059"/>
      <c r="F2032" s="1059"/>
      <c r="G2032" s="1059"/>
      <c r="H2032" s="339">
        <f>F1985+F1997+F2011+F2016</f>
        <v>121.01</v>
      </c>
      <c r="I2032" s="304"/>
      <c r="J2032" s="304"/>
    </row>
    <row r="2033" spans="2:10" ht="17.399999999999999" x14ac:dyDescent="0.3">
      <c r="B2033" s="292"/>
      <c r="C2033" s="331"/>
      <c r="D2033" s="295"/>
      <c r="E2033" s="295"/>
      <c r="F2033" s="295"/>
      <c r="G2033" s="295"/>
      <c r="H2033" s="340"/>
      <c r="I2033" s="304"/>
      <c r="J2033" s="304"/>
    </row>
    <row r="2034" spans="2:10" ht="17.399999999999999" x14ac:dyDescent="0.3">
      <c r="B2034" s="292"/>
      <c r="C2034" s="1059" t="s">
        <v>960</v>
      </c>
      <c r="D2034" s="1059"/>
      <c r="E2034" s="1059"/>
      <c r="F2034" s="1059"/>
      <c r="G2034" s="1059"/>
      <c r="H2034" s="334">
        <f>ROUND(H2032,0)</f>
        <v>121</v>
      </c>
      <c r="I2034" s="304"/>
      <c r="J2034" s="304"/>
    </row>
    <row r="2035" spans="2:10" x14ac:dyDescent="0.3">
      <c r="B2035" s="292"/>
      <c r="C2035" s="324"/>
      <c r="D2035" s="304"/>
      <c r="E2035" s="304"/>
      <c r="F2035" s="304"/>
      <c r="G2035" s="304"/>
      <c r="H2035" s="304"/>
      <c r="I2035" s="304"/>
      <c r="J2035" s="304"/>
    </row>
    <row r="2036" spans="2:10" ht="17.399999999999999" x14ac:dyDescent="0.3">
      <c r="B2036" s="1060" t="s">
        <v>958</v>
      </c>
      <c r="C2036" s="1060"/>
      <c r="D2036" s="1060"/>
      <c r="E2036" s="1060"/>
      <c r="F2036" s="1060"/>
      <c r="G2036" s="1060"/>
      <c r="H2036" s="1060"/>
      <c r="I2036" s="1060"/>
      <c r="J2036" s="1060"/>
    </row>
    <row r="2037" spans="2:10" x14ac:dyDescent="0.3">
      <c r="B2037" s="292"/>
      <c r="C2037" s="324"/>
      <c r="D2037" s="304"/>
      <c r="E2037" s="304"/>
      <c r="F2037" s="304"/>
      <c r="G2037" s="304"/>
      <c r="H2037" s="304"/>
      <c r="I2037" s="304"/>
      <c r="J2037" s="304"/>
    </row>
    <row r="2038" spans="2:10" ht="17.399999999999999" x14ac:dyDescent="0.3">
      <c r="B2038" s="356" t="s">
        <v>616</v>
      </c>
      <c r="C2038" s="1061" t="s">
        <v>599</v>
      </c>
      <c r="D2038" s="1061"/>
      <c r="E2038" s="1061"/>
      <c r="F2038" s="305">
        <f>H2089</f>
        <v>86</v>
      </c>
      <c r="G2038" s="305" t="s">
        <v>971</v>
      </c>
      <c r="H2038" s="304"/>
      <c r="I2038" s="304"/>
      <c r="J2038" s="304"/>
    </row>
    <row r="2039" spans="2:10" x14ac:dyDescent="0.3">
      <c r="B2039" s="292"/>
      <c r="C2039" s="324"/>
      <c r="D2039" s="304"/>
      <c r="E2039" s="304"/>
      <c r="F2039" s="304"/>
      <c r="G2039" s="304"/>
      <c r="H2039" s="304"/>
      <c r="I2039" s="304"/>
      <c r="J2039" s="304"/>
    </row>
    <row r="2040" spans="2:10" x14ac:dyDescent="0.3">
      <c r="B2040" s="292"/>
      <c r="C2040" s="1062" t="s">
        <v>932</v>
      </c>
      <c r="D2040" s="1062"/>
      <c r="E2040" s="306"/>
      <c r="F2040" s="307">
        <f>F2047+F2050+F2048</f>
        <v>40.5</v>
      </c>
      <c r="G2040" s="313" t="s">
        <v>971</v>
      </c>
      <c r="H2040" s="304"/>
      <c r="I2040" s="304"/>
      <c r="J2040" s="304"/>
    </row>
    <row r="2041" spans="2:10" x14ac:dyDescent="0.3">
      <c r="B2041" s="292"/>
      <c r="C2041" s="324"/>
      <c r="D2041" s="304"/>
      <c r="E2041" s="304"/>
      <c r="F2041" s="304"/>
      <c r="G2041" s="304"/>
      <c r="H2041" s="304"/>
      <c r="I2041" s="304"/>
      <c r="J2041" s="304"/>
    </row>
    <row r="2042" spans="2:10" x14ac:dyDescent="0.3">
      <c r="B2042" s="292"/>
      <c r="C2042" s="325" t="s">
        <v>929</v>
      </c>
      <c r="D2042" s="293" t="s">
        <v>928</v>
      </c>
      <c r="E2042" s="293" t="s">
        <v>514</v>
      </c>
      <c r="F2042" s="293" t="s">
        <v>515</v>
      </c>
      <c r="G2042" s="293" t="s">
        <v>962</v>
      </c>
      <c r="H2042" s="293" t="s">
        <v>926</v>
      </c>
      <c r="I2042" s="293" t="s">
        <v>516</v>
      </c>
      <c r="J2042" s="293" t="s">
        <v>961</v>
      </c>
    </row>
    <row r="2043" spans="2:10" x14ac:dyDescent="0.3">
      <c r="B2043" s="292"/>
      <c r="C2043" s="326" t="str">
        <f>C1988</f>
        <v>Лікар з ультразвукової діагностики</v>
      </c>
      <c r="D2043" s="309">
        <f>D1988</f>
        <v>6660.23</v>
      </c>
      <c r="E2043" s="308">
        <f>D2043*12</f>
        <v>79922.759999999995</v>
      </c>
      <c r="F2043" s="309">
        <f>F1988</f>
        <v>6054.75</v>
      </c>
      <c r="G2043" s="308">
        <v>4399.8999999999996</v>
      </c>
      <c r="H2043" s="308">
        <f>E2043+F2043+G2043</f>
        <v>90377.409999999989</v>
      </c>
      <c r="I2043" s="309">
        <v>1657.6</v>
      </c>
      <c r="J2043" s="308">
        <f>ROUND((H2043/I2043)/60,2)</f>
        <v>0.91</v>
      </c>
    </row>
    <row r="2044" spans="2:10" x14ac:dyDescent="0.3">
      <c r="B2044" s="292"/>
      <c r="C2044" s="326" t="str">
        <f>C1989</f>
        <v xml:space="preserve">Сестра медична </v>
      </c>
      <c r="D2044" s="309">
        <f>D1989</f>
        <v>6506.5</v>
      </c>
      <c r="E2044" s="308">
        <f>D2044*12</f>
        <v>78078</v>
      </c>
      <c r="F2044" s="309">
        <f>F1989</f>
        <v>5005</v>
      </c>
      <c r="G2044" s="308">
        <v>3964.05</v>
      </c>
      <c r="H2044" s="308">
        <f>E2044+F2044+G2044</f>
        <v>87047.05</v>
      </c>
      <c r="I2044" s="309">
        <v>1932.7</v>
      </c>
      <c r="J2044" s="308">
        <f>ROUND((H2044/I2044)/60,2)</f>
        <v>0.75</v>
      </c>
    </row>
    <row r="2045" spans="2:10" x14ac:dyDescent="0.3">
      <c r="B2045" s="292"/>
      <c r="C2045" s="324"/>
      <c r="D2045" s="304"/>
      <c r="E2045" s="304"/>
      <c r="F2045" s="304"/>
      <c r="G2045" s="304"/>
      <c r="H2045" s="304"/>
      <c r="I2045" s="304"/>
      <c r="J2045" s="304"/>
    </row>
    <row r="2046" spans="2:10" ht="27.6" x14ac:dyDescent="0.3">
      <c r="B2046" s="292"/>
      <c r="C2046" s="325" t="s">
        <v>929</v>
      </c>
      <c r="D2046" s="293" t="s">
        <v>961</v>
      </c>
      <c r="E2046" s="293" t="s">
        <v>930</v>
      </c>
      <c r="F2046" s="293" t="s">
        <v>931</v>
      </c>
      <c r="G2046" s="304"/>
      <c r="H2046" s="304"/>
      <c r="I2046" s="304"/>
      <c r="J2046" s="304"/>
    </row>
    <row r="2047" spans="2:10" x14ac:dyDescent="0.3">
      <c r="B2047" s="292"/>
      <c r="C2047" s="327" t="str">
        <f>C2043</f>
        <v>Лікар з ультразвукової діагностики</v>
      </c>
      <c r="D2047" s="308">
        <f>J2043</f>
        <v>0.91</v>
      </c>
      <c r="E2047" s="309">
        <v>20</v>
      </c>
      <c r="F2047" s="310">
        <f>ROUND(D2047*E2047,2)</f>
        <v>18.2</v>
      </c>
      <c r="G2047" s="304"/>
      <c r="H2047" s="304"/>
      <c r="I2047" s="304"/>
      <c r="J2047" s="304"/>
    </row>
    <row r="2048" spans="2:10" x14ac:dyDescent="0.3">
      <c r="B2048" s="292"/>
      <c r="C2048" s="327" t="str">
        <f>C2044</f>
        <v xml:space="preserve">Сестра медична </v>
      </c>
      <c r="D2048" s="308">
        <f>J2044</f>
        <v>0.75</v>
      </c>
      <c r="E2048" s="309">
        <v>20</v>
      </c>
      <c r="F2048" s="310">
        <f>ROUND(D2048*E2048,2)</f>
        <v>15</v>
      </c>
      <c r="G2048" s="304"/>
      <c r="H2048" s="304"/>
      <c r="I2048" s="304"/>
      <c r="J2048" s="304"/>
    </row>
    <row r="2049" spans="1:14" x14ac:dyDescent="0.3">
      <c r="B2049" s="292"/>
      <c r="C2049" s="324"/>
      <c r="D2049" s="294"/>
      <c r="E2049" s="304"/>
      <c r="F2049" s="304"/>
      <c r="G2049" s="304"/>
      <c r="H2049" s="304"/>
      <c r="I2049" s="304"/>
      <c r="J2049" s="304"/>
    </row>
    <row r="2050" spans="1:14" x14ac:dyDescent="0.3">
      <c r="B2050" s="292"/>
      <c r="C2050" s="326" t="s">
        <v>933</v>
      </c>
      <c r="D2050" s="308">
        <f>F2047+F2048</f>
        <v>33.200000000000003</v>
      </c>
      <c r="E2050" s="311">
        <v>0.22</v>
      </c>
      <c r="F2050" s="312">
        <f>ROUND(D2050*E2050,2)</f>
        <v>7.3</v>
      </c>
      <c r="G2050" s="304"/>
      <c r="H2050" s="304"/>
      <c r="I2050" s="304"/>
      <c r="J2050" s="304"/>
    </row>
    <row r="2051" spans="1:14" x14ac:dyDescent="0.3">
      <c r="B2051" s="292"/>
      <c r="C2051" s="324"/>
      <c r="D2051" s="304"/>
      <c r="E2051" s="304"/>
      <c r="F2051" s="304"/>
      <c r="G2051" s="304"/>
      <c r="H2051" s="304"/>
      <c r="I2051" s="304"/>
      <c r="J2051" s="304"/>
    </row>
    <row r="2052" spans="1:14" x14ac:dyDescent="0.3">
      <c r="B2052" s="292"/>
      <c r="C2052" s="328" t="s">
        <v>946</v>
      </c>
      <c r="D2052" s="313"/>
      <c r="E2052" s="313"/>
      <c r="F2052" s="313">
        <f>G2064</f>
        <v>12.45</v>
      </c>
      <c r="G2052" s="313" t="s">
        <v>971</v>
      </c>
      <c r="H2052" s="304"/>
      <c r="I2052" s="304"/>
      <c r="J2052" s="304"/>
    </row>
    <row r="2053" spans="1:14" x14ac:dyDescent="0.3">
      <c r="B2053" s="292"/>
      <c r="C2053" s="324"/>
      <c r="D2053" s="304"/>
      <c r="E2053" s="304"/>
      <c r="F2053" s="304"/>
      <c r="G2053" s="304"/>
      <c r="H2053" s="304"/>
      <c r="I2053" s="304"/>
      <c r="J2053" s="304"/>
    </row>
    <row r="2054" spans="1:14" s="350" customFormat="1" x14ac:dyDescent="0.3">
      <c r="A2054" s="7"/>
      <c r="B2054" s="292"/>
      <c r="C2054" s="27" t="str">
        <f t="shared" ref="C2054:F2063" si="76">C1999</f>
        <v>Рукавиці не стерильні</v>
      </c>
      <c r="D2054" s="303" t="str">
        <f t="shared" si="76"/>
        <v>шт</v>
      </c>
      <c r="E2054" s="303">
        <f t="shared" si="76"/>
        <v>0.1</v>
      </c>
      <c r="F2054" s="303">
        <f t="shared" si="76"/>
        <v>2.8</v>
      </c>
      <c r="G2054" s="337">
        <f>ROUND(F2054*E2054,2)</f>
        <v>0.28000000000000003</v>
      </c>
      <c r="H2054" s="304"/>
      <c r="I2054" s="304"/>
      <c r="J2054" s="304"/>
      <c r="K2054" s="22"/>
      <c r="L2054" s="346"/>
      <c r="M2054" s="346"/>
      <c r="N2054" s="3"/>
    </row>
    <row r="2055" spans="1:14" s="350" customFormat="1" x14ac:dyDescent="0.3">
      <c r="A2055" s="7"/>
      <c r="B2055" s="292"/>
      <c r="C2055" s="27" t="str">
        <f t="shared" si="76"/>
        <v xml:space="preserve">Септил 70% 100мл </v>
      </c>
      <c r="D2055" s="303" t="str">
        <f t="shared" si="76"/>
        <v>шт</v>
      </c>
      <c r="E2055" s="303">
        <f t="shared" si="76"/>
        <v>0.01</v>
      </c>
      <c r="F2055" s="303">
        <f t="shared" si="76"/>
        <v>24.6</v>
      </c>
      <c r="G2055" s="337">
        <f t="shared" ref="G2055:G2060" si="77">ROUND(F2055*E2055,2)</f>
        <v>0.25</v>
      </c>
      <c r="H2055" s="304"/>
      <c r="I2055" s="304"/>
      <c r="J2055" s="304"/>
      <c r="K2055" s="22"/>
      <c r="L2055" s="346"/>
      <c r="M2055" s="346"/>
      <c r="N2055" s="3"/>
    </row>
    <row r="2056" spans="1:14" s="350" customFormat="1" x14ac:dyDescent="0.3">
      <c r="A2056" s="7"/>
      <c r="B2056" s="292"/>
      <c r="C2056" s="27" t="str">
        <f t="shared" si="76"/>
        <v>Маска на резинці, стерильна.</v>
      </c>
      <c r="D2056" s="303" t="str">
        <f t="shared" si="76"/>
        <v>шт</v>
      </c>
      <c r="E2056" s="303">
        <f t="shared" si="76"/>
        <v>0.1</v>
      </c>
      <c r="F2056" s="303">
        <f t="shared" si="76"/>
        <v>2</v>
      </c>
      <c r="G2056" s="337">
        <f t="shared" si="77"/>
        <v>0.2</v>
      </c>
      <c r="H2056" s="304"/>
      <c r="I2056" s="304"/>
      <c r="J2056" s="304"/>
      <c r="K2056" s="22"/>
      <c r="L2056" s="346"/>
      <c r="M2056" s="346"/>
      <c r="N2056" s="3"/>
    </row>
    <row r="2057" spans="1:14" s="350" customFormat="1" x14ac:dyDescent="0.3">
      <c r="A2057" s="7"/>
      <c r="B2057" s="292"/>
      <c r="C2057" s="27" t="str">
        <f t="shared" si="76"/>
        <v>Мікрасепт</v>
      </c>
      <c r="D2057" s="303" t="str">
        <f t="shared" si="76"/>
        <v>мл</v>
      </c>
      <c r="E2057" s="303">
        <f t="shared" si="76"/>
        <v>1</v>
      </c>
      <c r="F2057" s="303">
        <f t="shared" si="76"/>
        <v>0.3</v>
      </c>
      <c r="G2057" s="28">
        <f>ROUND(E2057*F2057,2)</f>
        <v>0.3</v>
      </c>
      <c r="H2057" s="304"/>
      <c r="I2057" s="304"/>
      <c r="J2057" s="304"/>
      <c r="K2057" s="22"/>
      <c r="L2057" s="346"/>
      <c r="M2057" s="346"/>
      <c r="N2057" s="3"/>
    </row>
    <row r="2058" spans="1:14" s="350" customFormat="1" x14ac:dyDescent="0.3">
      <c r="A2058" s="7"/>
      <c r="B2058" s="292"/>
      <c r="C2058" s="27" t="str">
        <f t="shared" si="76"/>
        <v>Папір офісний А4</v>
      </c>
      <c r="D2058" s="303" t="str">
        <f t="shared" si="76"/>
        <v>шт</v>
      </c>
      <c r="E2058" s="303">
        <f t="shared" si="76"/>
        <v>2</v>
      </c>
      <c r="F2058" s="303">
        <f t="shared" si="76"/>
        <v>0.3</v>
      </c>
      <c r="G2058" s="337">
        <f t="shared" si="77"/>
        <v>0.6</v>
      </c>
      <c r="H2058" s="304"/>
      <c r="I2058" s="304"/>
      <c r="J2058" s="304"/>
      <c r="K2058" s="22"/>
      <c r="L2058" s="346"/>
      <c r="M2058" s="346"/>
      <c r="N2058" s="3"/>
    </row>
    <row r="2059" spans="1:14" s="350" customFormat="1" x14ac:dyDescent="0.3">
      <c r="A2059" s="7"/>
      <c r="B2059" s="292"/>
      <c r="C2059" s="27" t="str">
        <f t="shared" si="76"/>
        <v xml:space="preserve">Гель для УЗД , 1000 гр. </v>
      </c>
      <c r="D2059" s="303" t="str">
        <f t="shared" si="76"/>
        <v>пляшка</v>
      </c>
      <c r="E2059" s="303">
        <f t="shared" si="76"/>
        <v>0.1</v>
      </c>
      <c r="F2059" s="303">
        <f t="shared" si="76"/>
        <v>48</v>
      </c>
      <c r="G2059" s="337">
        <f t="shared" si="77"/>
        <v>4.8</v>
      </c>
      <c r="H2059" s="304"/>
      <c r="I2059" s="304"/>
      <c r="J2059" s="304"/>
      <c r="K2059" s="22"/>
      <c r="L2059" s="346"/>
      <c r="M2059" s="346"/>
      <c r="N2059" s="3"/>
    </row>
    <row r="2060" spans="1:14" s="350" customFormat="1" x14ac:dyDescent="0.3">
      <c r="A2060" s="7"/>
      <c r="B2060" s="292"/>
      <c r="C2060" s="27" t="str">
        <f t="shared" si="76"/>
        <v>Паперові рушники "Fesko Professional"</v>
      </c>
      <c r="D2060" s="303" t="str">
        <f t="shared" si="76"/>
        <v>рул</v>
      </c>
      <c r="E2060" s="303">
        <f t="shared" si="76"/>
        <v>0.3</v>
      </c>
      <c r="F2060" s="303">
        <f t="shared" si="76"/>
        <v>17</v>
      </c>
      <c r="G2060" s="337">
        <f t="shared" si="77"/>
        <v>5.0999999999999996</v>
      </c>
      <c r="H2060" s="304"/>
      <c r="I2060" s="304"/>
      <c r="J2060" s="304"/>
      <c r="K2060" s="22"/>
      <c r="L2060" s="346"/>
      <c r="M2060" s="346"/>
      <c r="N2060" s="3"/>
    </row>
    <row r="2061" spans="1:14" s="350" customFormat="1" x14ac:dyDescent="0.3">
      <c r="A2061" s="7"/>
      <c r="B2061" s="292"/>
      <c r="C2061" s="27" t="str">
        <f t="shared" si="76"/>
        <v>Марля медична</v>
      </c>
      <c r="D2061" s="303" t="str">
        <f t="shared" si="76"/>
        <v>метр</v>
      </c>
      <c r="E2061" s="303">
        <f t="shared" si="76"/>
        <v>0.1</v>
      </c>
      <c r="F2061" s="303">
        <f t="shared" si="76"/>
        <v>6</v>
      </c>
      <c r="G2061" s="28">
        <f>ROUND(E2061*F2061,2)</f>
        <v>0.6</v>
      </c>
      <c r="H2061" s="304"/>
      <c r="I2061" s="304"/>
      <c r="J2061" s="304"/>
      <c r="K2061" s="22"/>
      <c r="L2061" s="346"/>
      <c r="M2061" s="346"/>
      <c r="N2061" s="3"/>
    </row>
    <row r="2062" spans="1:14" s="350" customFormat="1" x14ac:dyDescent="0.3">
      <c r="A2062" s="7"/>
      <c r="B2062" s="292"/>
      <c r="C2062" s="27" t="str">
        <f t="shared" si="76"/>
        <v>Вата</v>
      </c>
      <c r="D2062" s="303" t="str">
        <f t="shared" si="76"/>
        <v>г</v>
      </c>
      <c r="E2062" s="303">
        <f t="shared" si="76"/>
        <v>1</v>
      </c>
      <c r="F2062" s="303">
        <f t="shared" si="76"/>
        <v>7.0000000000000007E-2</v>
      </c>
      <c r="G2062" s="28">
        <f>ROUND(E2062*F2062,2)</f>
        <v>7.0000000000000007E-2</v>
      </c>
      <c r="H2062" s="304"/>
      <c r="I2062" s="304"/>
      <c r="J2062" s="304"/>
      <c r="K2062" s="22"/>
      <c r="L2062" s="346"/>
      <c r="M2062" s="346"/>
      <c r="N2062" s="3"/>
    </row>
    <row r="2063" spans="1:14" s="350" customFormat="1" x14ac:dyDescent="0.3">
      <c r="A2063" s="7"/>
      <c r="B2063" s="292"/>
      <c r="C2063" s="27" t="str">
        <f t="shared" si="76"/>
        <v>Деззасоби</v>
      </c>
      <c r="D2063" s="303" t="str">
        <f t="shared" si="76"/>
        <v>г</v>
      </c>
      <c r="E2063" s="303">
        <f t="shared" si="76"/>
        <v>0.5</v>
      </c>
      <c r="F2063" s="303">
        <f t="shared" si="76"/>
        <v>0.5</v>
      </c>
      <c r="G2063" s="28">
        <f>ROUND(E2063*F2063,2)</f>
        <v>0.25</v>
      </c>
      <c r="H2063" s="304"/>
      <c r="I2063" s="304"/>
      <c r="J2063" s="304"/>
      <c r="K2063" s="22"/>
      <c r="L2063" s="346"/>
      <c r="M2063" s="346"/>
      <c r="N2063" s="3"/>
    </row>
    <row r="2064" spans="1:14" s="350" customFormat="1" x14ac:dyDescent="0.3">
      <c r="A2064" s="7"/>
      <c r="B2064" s="292"/>
      <c r="C2064" s="1063" t="s">
        <v>945</v>
      </c>
      <c r="D2064" s="1063"/>
      <c r="E2064" s="1063"/>
      <c r="F2064" s="1063"/>
      <c r="G2064" s="332">
        <f>SUM(G2054:G2063)</f>
        <v>12.45</v>
      </c>
      <c r="H2064" s="304"/>
      <c r="I2064" s="304"/>
      <c r="J2064" s="304"/>
      <c r="K2064" s="22"/>
      <c r="L2064" s="346"/>
      <c r="M2064" s="346"/>
      <c r="N2064" s="3"/>
    </row>
    <row r="2065" spans="1:14" x14ac:dyDescent="0.3">
      <c r="B2065" s="292"/>
      <c r="C2065" s="324"/>
      <c r="D2065" s="304"/>
      <c r="E2065" s="304"/>
      <c r="F2065" s="304"/>
      <c r="G2065" s="304"/>
      <c r="H2065" s="304"/>
      <c r="I2065" s="304"/>
      <c r="J2065" s="304"/>
    </row>
    <row r="2066" spans="1:14" x14ac:dyDescent="0.3">
      <c r="B2066" s="292"/>
      <c r="C2066" s="328" t="s">
        <v>968</v>
      </c>
      <c r="D2066" s="313"/>
      <c r="E2066" s="313"/>
      <c r="F2066" s="307">
        <f>H2069</f>
        <v>27.4</v>
      </c>
      <c r="G2066" s="313" t="s">
        <v>971</v>
      </c>
      <c r="H2066" s="304"/>
      <c r="I2066" s="304"/>
      <c r="J2066" s="304"/>
    </row>
    <row r="2067" spans="1:14" x14ac:dyDescent="0.3">
      <c r="B2067" s="292"/>
      <c r="C2067" s="329"/>
      <c r="D2067" s="314"/>
      <c r="E2067" s="314"/>
      <c r="F2067" s="315"/>
      <c r="G2067" s="314"/>
      <c r="H2067" s="304"/>
      <c r="I2067" s="304"/>
      <c r="J2067" s="304"/>
    </row>
    <row r="2068" spans="1:14" s="350" customFormat="1" ht="27.6" x14ac:dyDescent="0.3">
      <c r="A2068" s="7"/>
      <c r="B2068" s="292"/>
      <c r="C2068" s="330" t="s">
        <v>513</v>
      </c>
      <c r="D2068" s="293" t="s">
        <v>1108</v>
      </c>
      <c r="E2068" s="293" t="s">
        <v>516</v>
      </c>
      <c r="F2068" s="293" t="s">
        <v>970</v>
      </c>
      <c r="G2068" s="293" t="s">
        <v>930</v>
      </c>
      <c r="H2068" s="293" t="s">
        <v>961</v>
      </c>
      <c r="I2068" s="304"/>
      <c r="J2068" s="304"/>
      <c r="K2068" s="22"/>
      <c r="L2068" s="346"/>
      <c r="M2068" s="346"/>
      <c r="N2068" s="3"/>
    </row>
    <row r="2069" spans="1:14" s="350" customFormat="1" x14ac:dyDescent="0.3">
      <c r="A2069" s="7"/>
      <c r="B2069" s="292"/>
      <c r="C2069" s="27" t="str">
        <f>C2014</f>
        <v>Ультразвукова система AFFINITI 30</v>
      </c>
      <c r="D2069" s="303">
        <f>D2014</f>
        <v>136236.38</v>
      </c>
      <c r="E2069" s="309">
        <f>I2043</f>
        <v>1657.6</v>
      </c>
      <c r="F2069" s="309">
        <f>ROUND((D2069/E2069)/60,2)</f>
        <v>1.37</v>
      </c>
      <c r="G2069" s="309">
        <f>E2047</f>
        <v>20</v>
      </c>
      <c r="H2069" s="308">
        <f>ROUND(F2069*G2069,2)</f>
        <v>27.4</v>
      </c>
      <c r="I2069" s="338"/>
      <c r="J2069" s="304"/>
      <c r="K2069" s="22"/>
      <c r="L2069" s="346"/>
      <c r="M2069" s="346"/>
      <c r="N2069" s="3"/>
    </row>
    <row r="2070" spans="1:14" x14ac:dyDescent="0.3">
      <c r="B2070" s="292"/>
      <c r="C2070" s="324"/>
      <c r="D2070" s="304"/>
      <c r="E2070" s="304"/>
      <c r="F2070" s="304"/>
      <c r="G2070" s="304"/>
      <c r="H2070" s="304"/>
      <c r="I2070" s="304"/>
      <c r="J2070" s="304"/>
    </row>
    <row r="2071" spans="1:14" x14ac:dyDescent="0.3">
      <c r="B2071" s="292"/>
      <c r="C2071" s="328" t="s">
        <v>948</v>
      </c>
      <c r="D2071" s="313"/>
      <c r="E2071" s="313"/>
      <c r="F2071" s="307">
        <f>H2084</f>
        <v>5.2</v>
      </c>
      <c r="G2071" s="313" t="s">
        <v>971</v>
      </c>
      <c r="H2071" s="304"/>
      <c r="I2071" s="304"/>
      <c r="J2071" s="304"/>
    </row>
    <row r="2072" spans="1:14" x14ac:dyDescent="0.3">
      <c r="B2072" s="292"/>
      <c r="C2072" s="329"/>
      <c r="D2072" s="314"/>
      <c r="E2072" s="314"/>
      <c r="F2072" s="315"/>
      <c r="G2072" s="304"/>
      <c r="H2072" s="304"/>
      <c r="I2072" s="304"/>
      <c r="J2072" s="304"/>
    </row>
    <row r="2073" spans="1:14" ht="27.6" x14ac:dyDescent="0.3">
      <c r="B2073" s="292"/>
      <c r="C2073" s="330" t="s">
        <v>948</v>
      </c>
      <c r="D2073" s="293" t="s">
        <v>1110</v>
      </c>
      <c r="E2073" s="293" t="s">
        <v>516</v>
      </c>
      <c r="F2073" s="293" t="s">
        <v>954</v>
      </c>
      <c r="G2073" s="293" t="s">
        <v>930</v>
      </c>
      <c r="H2073" s="293" t="s">
        <v>1111</v>
      </c>
      <c r="I2073" s="304"/>
      <c r="J2073" s="304"/>
    </row>
    <row r="2074" spans="1:14" x14ac:dyDescent="0.3">
      <c r="B2074" s="292"/>
      <c r="C2074" s="1064" t="str">
        <f t="shared" ref="C2074:C2079" si="78">C2019</f>
        <v>Лікар з ультразвукової діагностики</v>
      </c>
      <c r="D2074" s="1065"/>
      <c r="E2074" s="1065"/>
      <c r="F2074" s="1065"/>
      <c r="G2074" s="1065"/>
      <c r="H2074" s="1066"/>
      <c r="I2074" s="304"/>
      <c r="J2074" s="304"/>
    </row>
    <row r="2075" spans="1:14" x14ac:dyDescent="0.3">
      <c r="B2075" s="292"/>
      <c r="C2075" s="326" t="str">
        <f t="shared" si="78"/>
        <v>Непрямі (адміністративні)</v>
      </c>
      <c r="D2075" s="316">
        <f>D2020</f>
        <v>12188.608008565312</v>
      </c>
      <c r="E2075" s="309">
        <f>I2043</f>
        <v>1657.6</v>
      </c>
      <c r="F2075" s="309">
        <f>ROUND((D2075/E2075)/60,2)</f>
        <v>0.12</v>
      </c>
      <c r="G2075" s="309">
        <f>E2047</f>
        <v>20</v>
      </c>
      <c r="H2075" s="308">
        <f>ROUND(F2075*G2075,2)</f>
        <v>2.4</v>
      </c>
      <c r="I2075" s="304"/>
      <c r="J2075" s="304"/>
    </row>
    <row r="2076" spans="1:14" x14ac:dyDescent="0.3">
      <c r="B2076" s="292"/>
      <c r="C2076" s="326" t="str">
        <f t="shared" si="78"/>
        <v>Непрямі (поточні)</v>
      </c>
      <c r="D2076" s="316">
        <f>D2021</f>
        <v>53.149721627408987</v>
      </c>
      <c r="E2076" s="309">
        <f>I2043</f>
        <v>1657.6</v>
      </c>
      <c r="F2076" s="309">
        <f>ROUND((D2076/E2076)/60,2)</f>
        <v>0</v>
      </c>
      <c r="G2076" s="309">
        <f>E2047</f>
        <v>20</v>
      </c>
      <c r="H2076" s="308">
        <f>ROUND(F2076*G2076,2)</f>
        <v>0</v>
      </c>
      <c r="I2076" s="304"/>
      <c r="J2076" s="304"/>
    </row>
    <row r="2077" spans="1:14" x14ac:dyDescent="0.3">
      <c r="B2077" s="292"/>
      <c r="C2077" s="326" t="str">
        <f t="shared" si="78"/>
        <v>Непрямі (комунальні)</v>
      </c>
      <c r="D2077" s="316">
        <f>D2022</f>
        <v>374.98368308351178</v>
      </c>
      <c r="E2077" s="309">
        <f>I2043</f>
        <v>1657.6</v>
      </c>
      <c r="F2077" s="309">
        <f>ROUND((D2077/E2077)/60,2)</f>
        <v>0</v>
      </c>
      <c r="G2077" s="309">
        <f>E2047</f>
        <v>20</v>
      </c>
      <c r="H2077" s="308">
        <f>ROUND(F2077*G2077,2)</f>
        <v>0</v>
      </c>
      <c r="I2077" s="304"/>
      <c r="J2077" s="304"/>
    </row>
    <row r="2078" spans="1:14" x14ac:dyDescent="0.3">
      <c r="B2078" s="292"/>
      <c r="C2078" s="326" t="str">
        <f t="shared" si="78"/>
        <v>Непрямі (відділення)</v>
      </c>
      <c r="D2078" s="316">
        <f>D2023</f>
        <v>1686.0389293361886</v>
      </c>
      <c r="E2078" s="309">
        <f>I2043</f>
        <v>1657.6</v>
      </c>
      <c r="F2078" s="309">
        <f>ROUND((D2078/E2078)/60,2)</f>
        <v>0.02</v>
      </c>
      <c r="G2078" s="309">
        <f>E2047</f>
        <v>20</v>
      </c>
      <c r="H2078" s="308">
        <f>ROUND(F2078*G2078,2)</f>
        <v>0.4</v>
      </c>
      <c r="I2078" s="304"/>
      <c r="J2078" s="304"/>
    </row>
    <row r="2079" spans="1:14" x14ac:dyDescent="0.3">
      <c r="B2079" s="292"/>
      <c r="C2079" s="1064" t="str">
        <f t="shared" si="78"/>
        <v xml:space="preserve">Сестра медична </v>
      </c>
      <c r="D2079" s="1065"/>
      <c r="E2079" s="1065"/>
      <c r="F2079" s="1065"/>
      <c r="G2079" s="1065"/>
      <c r="H2079" s="1066"/>
      <c r="I2079" s="304"/>
      <c r="J2079" s="304"/>
    </row>
    <row r="2080" spans="1:14" x14ac:dyDescent="0.3">
      <c r="B2080" s="292"/>
      <c r="C2080" s="326" t="str">
        <f t="shared" ref="C2080:D2083" si="79">C2075</f>
        <v>Непрямі (адміністративні)</v>
      </c>
      <c r="D2080" s="316">
        <f t="shared" si="79"/>
        <v>12188.608008565312</v>
      </c>
      <c r="E2080" s="309">
        <f>I2044</f>
        <v>1932.7</v>
      </c>
      <c r="F2080" s="309">
        <f>ROUND((D2080/E2080)/60,2)</f>
        <v>0.11</v>
      </c>
      <c r="G2080" s="309">
        <f>E2048</f>
        <v>20</v>
      </c>
      <c r="H2080" s="308">
        <f>ROUND(F2080*G2080,2)</f>
        <v>2.2000000000000002</v>
      </c>
      <c r="I2080" s="304"/>
      <c r="J2080" s="304"/>
    </row>
    <row r="2081" spans="2:10" x14ac:dyDescent="0.3">
      <c r="B2081" s="292"/>
      <c r="C2081" s="326" t="str">
        <f t="shared" si="79"/>
        <v>Непрямі (поточні)</v>
      </c>
      <c r="D2081" s="316">
        <f t="shared" si="79"/>
        <v>53.149721627408987</v>
      </c>
      <c r="E2081" s="309">
        <f>I2044</f>
        <v>1932.7</v>
      </c>
      <c r="F2081" s="309">
        <f>ROUND((D2081/E2081)/60,2)</f>
        <v>0</v>
      </c>
      <c r="G2081" s="309">
        <f>E2048</f>
        <v>20</v>
      </c>
      <c r="H2081" s="308">
        <f>ROUND(F2081*G2081,2)</f>
        <v>0</v>
      </c>
      <c r="I2081" s="304"/>
      <c r="J2081" s="304"/>
    </row>
    <row r="2082" spans="2:10" x14ac:dyDescent="0.3">
      <c r="B2082" s="292"/>
      <c r="C2082" s="326" t="str">
        <f t="shared" si="79"/>
        <v>Непрямі (комунальні)</v>
      </c>
      <c r="D2082" s="316">
        <f t="shared" si="79"/>
        <v>374.98368308351178</v>
      </c>
      <c r="E2082" s="309">
        <f>I2044</f>
        <v>1932.7</v>
      </c>
      <c r="F2082" s="309">
        <f>ROUND((D2082/E2082)/60,2)</f>
        <v>0</v>
      </c>
      <c r="G2082" s="309">
        <f>E2048</f>
        <v>20</v>
      </c>
      <c r="H2082" s="308">
        <f>ROUND(F2082*G2082,2)</f>
        <v>0</v>
      </c>
      <c r="I2082" s="304"/>
      <c r="J2082" s="304"/>
    </row>
    <row r="2083" spans="2:10" x14ac:dyDescent="0.3">
      <c r="B2083" s="292"/>
      <c r="C2083" s="326" t="str">
        <f t="shared" si="79"/>
        <v>Непрямі (відділення)</v>
      </c>
      <c r="D2083" s="316">
        <f t="shared" si="79"/>
        <v>1686.0389293361886</v>
      </c>
      <c r="E2083" s="309">
        <f>I2044</f>
        <v>1932.7</v>
      </c>
      <c r="F2083" s="309">
        <f>ROUND((D2083/E2083)/60,2)</f>
        <v>0.01</v>
      </c>
      <c r="G2083" s="309">
        <f>E2048</f>
        <v>20</v>
      </c>
      <c r="H2083" s="308">
        <f>ROUND(F2083*G2083,2)</f>
        <v>0.2</v>
      </c>
      <c r="I2083" s="304"/>
      <c r="J2083" s="304"/>
    </row>
    <row r="2084" spans="2:10" x14ac:dyDescent="0.3">
      <c r="B2084" s="292"/>
      <c r="C2084" s="1056" t="s">
        <v>957</v>
      </c>
      <c r="D2084" s="1057"/>
      <c r="E2084" s="1057"/>
      <c r="F2084" s="1057"/>
      <c r="G2084" s="1058"/>
      <c r="H2084" s="310">
        <f>SUM(H2075:H2083)</f>
        <v>5.2</v>
      </c>
      <c r="I2084" s="304"/>
      <c r="J2084" s="304"/>
    </row>
    <row r="2085" spans="2:10" x14ac:dyDescent="0.3">
      <c r="B2085" s="292"/>
      <c r="C2085" s="324"/>
      <c r="D2085" s="304"/>
      <c r="E2085" s="304"/>
      <c r="F2085" s="304"/>
      <c r="G2085" s="304"/>
      <c r="H2085" s="304"/>
      <c r="I2085" s="304"/>
      <c r="J2085" s="304"/>
    </row>
    <row r="2086" spans="2:10" x14ac:dyDescent="0.3">
      <c r="B2086" s="292"/>
      <c r="C2086" s="324"/>
      <c r="D2086" s="304"/>
      <c r="E2086" s="304"/>
      <c r="F2086" s="304"/>
      <c r="G2086" s="304"/>
      <c r="H2086" s="304"/>
      <c r="I2086" s="304"/>
      <c r="J2086" s="304"/>
    </row>
    <row r="2087" spans="2:10" ht="17.399999999999999" x14ac:dyDescent="0.3">
      <c r="B2087" s="292"/>
      <c r="C2087" s="1059" t="s">
        <v>959</v>
      </c>
      <c r="D2087" s="1059"/>
      <c r="E2087" s="1059"/>
      <c r="F2087" s="1059"/>
      <c r="G2087" s="1059"/>
      <c r="H2087" s="339">
        <f>F2040+F2052+F2066+F2071</f>
        <v>85.55</v>
      </c>
      <c r="I2087" s="304"/>
      <c r="J2087" s="304"/>
    </row>
    <row r="2088" spans="2:10" ht="17.399999999999999" x14ac:dyDescent="0.3">
      <c r="B2088" s="292"/>
      <c r="C2088" s="331"/>
      <c r="D2088" s="295"/>
      <c r="E2088" s="295"/>
      <c r="F2088" s="295"/>
      <c r="G2088" s="295"/>
      <c r="H2088" s="340"/>
      <c r="I2088" s="304"/>
      <c r="J2088" s="304"/>
    </row>
    <row r="2089" spans="2:10" ht="17.399999999999999" x14ac:dyDescent="0.3">
      <c r="B2089" s="292"/>
      <c r="C2089" s="1059" t="s">
        <v>960</v>
      </c>
      <c r="D2089" s="1059"/>
      <c r="E2089" s="1059"/>
      <c r="F2089" s="1059"/>
      <c r="G2089" s="1059"/>
      <c r="H2089" s="334">
        <f>ROUND(H2087,0)</f>
        <v>86</v>
      </c>
      <c r="I2089" s="304"/>
      <c r="J2089" s="304"/>
    </row>
    <row r="2090" spans="2:10" x14ac:dyDescent="0.3">
      <c r="B2090" s="292"/>
      <c r="C2090" s="324"/>
      <c r="D2090" s="304"/>
      <c r="E2090" s="304"/>
      <c r="F2090" s="304"/>
      <c r="G2090" s="304"/>
      <c r="H2090" s="304"/>
      <c r="I2090" s="304"/>
      <c r="J2090" s="304"/>
    </row>
    <row r="2091" spans="2:10" ht="17.399999999999999" x14ac:dyDescent="0.3">
      <c r="B2091" s="1060" t="s">
        <v>958</v>
      </c>
      <c r="C2091" s="1060"/>
      <c r="D2091" s="1060"/>
      <c r="E2091" s="1060"/>
      <c r="F2091" s="1060"/>
      <c r="G2091" s="1060"/>
      <c r="H2091" s="1060"/>
      <c r="I2091" s="1060"/>
      <c r="J2091" s="1060"/>
    </row>
    <row r="2092" spans="2:10" x14ac:dyDescent="0.3">
      <c r="B2092" s="292"/>
      <c r="C2092" s="324"/>
      <c r="D2092" s="304"/>
      <c r="E2092" s="304"/>
      <c r="F2092" s="304"/>
      <c r="G2092" s="304"/>
      <c r="H2092" s="304"/>
      <c r="I2092" s="304"/>
      <c r="J2092" s="304"/>
    </row>
    <row r="2093" spans="2:10" ht="17.399999999999999" x14ac:dyDescent="0.3">
      <c r="B2093" s="356" t="s">
        <v>618</v>
      </c>
      <c r="C2093" s="1061" t="s">
        <v>601</v>
      </c>
      <c r="D2093" s="1061"/>
      <c r="E2093" s="1061"/>
      <c r="F2093" s="305">
        <f>H2144</f>
        <v>67</v>
      </c>
      <c r="G2093" s="305" t="s">
        <v>971</v>
      </c>
      <c r="H2093" s="304"/>
      <c r="I2093" s="304"/>
      <c r="J2093" s="304"/>
    </row>
    <row r="2094" spans="2:10" x14ac:dyDescent="0.3">
      <c r="B2094" s="292"/>
      <c r="C2094" s="324"/>
      <c r="D2094" s="304"/>
      <c r="E2094" s="304"/>
      <c r="F2094" s="304"/>
      <c r="G2094" s="304"/>
      <c r="H2094" s="304"/>
      <c r="I2094" s="304"/>
      <c r="J2094" s="304"/>
    </row>
    <row r="2095" spans="2:10" x14ac:dyDescent="0.3">
      <c r="B2095" s="292"/>
      <c r="C2095" s="1062" t="s">
        <v>932</v>
      </c>
      <c r="D2095" s="1062"/>
      <c r="E2095" s="306"/>
      <c r="F2095" s="307">
        <f>F2102+F2105+F2103</f>
        <v>30.380000000000003</v>
      </c>
      <c r="G2095" s="313" t="s">
        <v>971</v>
      </c>
      <c r="H2095" s="304"/>
      <c r="I2095" s="304"/>
      <c r="J2095" s="304"/>
    </row>
    <row r="2096" spans="2:10" x14ac:dyDescent="0.3">
      <c r="B2096" s="292"/>
      <c r="C2096" s="324"/>
      <c r="D2096" s="304"/>
      <c r="E2096" s="304"/>
      <c r="F2096" s="304"/>
      <c r="G2096" s="304"/>
      <c r="H2096" s="304"/>
      <c r="I2096" s="304"/>
      <c r="J2096" s="304"/>
    </row>
    <row r="2097" spans="1:14" x14ac:dyDescent="0.3">
      <c r="B2097" s="292"/>
      <c r="C2097" s="325" t="s">
        <v>929</v>
      </c>
      <c r="D2097" s="293" t="s">
        <v>928</v>
      </c>
      <c r="E2097" s="293" t="s">
        <v>514</v>
      </c>
      <c r="F2097" s="293" t="s">
        <v>515</v>
      </c>
      <c r="G2097" s="293" t="s">
        <v>962</v>
      </c>
      <c r="H2097" s="293" t="s">
        <v>926</v>
      </c>
      <c r="I2097" s="293" t="s">
        <v>516</v>
      </c>
      <c r="J2097" s="293" t="s">
        <v>961</v>
      </c>
    </row>
    <row r="2098" spans="1:14" x14ac:dyDescent="0.3">
      <c r="B2098" s="292"/>
      <c r="C2098" s="326" t="str">
        <f t="shared" ref="C2098:G2099" si="80">C2043</f>
        <v>Лікар з ультразвукової діагностики</v>
      </c>
      <c r="D2098" s="309">
        <f t="shared" si="80"/>
        <v>6660.23</v>
      </c>
      <c r="E2098" s="309">
        <f t="shared" si="80"/>
        <v>79922.759999999995</v>
      </c>
      <c r="F2098" s="309">
        <f t="shared" si="80"/>
        <v>6054.75</v>
      </c>
      <c r="G2098" s="309">
        <f t="shared" si="80"/>
        <v>4399.8999999999996</v>
      </c>
      <c r="H2098" s="308">
        <f>E2098+F2098+G2098</f>
        <v>90377.409999999989</v>
      </c>
      <c r="I2098" s="309">
        <v>1657.6</v>
      </c>
      <c r="J2098" s="308">
        <f>ROUND((H2098/I2098)/60,2)</f>
        <v>0.91</v>
      </c>
    </row>
    <row r="2099" spans="1:14" x14ac:dyDescent="0.3">
      <c r="B2099" s="292"/>
      <c r="C2099" s="326" t="str">
        <f t="shared" si="80"/>
        <v xml:space="preserve">Сестра медична </v>
      </c>
      <c r="D2099" s="309">
        <f t="shared" si="80"/>
        <v>6506.5</v>
      </c>
      <c r="E2099" s="309">
        <f t="shared" si="80"/>
        <v>78078</v>
      </c>
      <c r="F2099" s="309">
        <f t="shared" si="80"/>
        <v>5005</v>
      </c>
      <c r="G2099" s="309">
        <f t="shared" si="80"/>
        <v>3964.05</v>
      </c>
      <c r="H2099" s="308">
        <f>E2099+F2099+G2099</f>
        <v>87047.05</v>
      </c>
      <c r="I2099" s="309">
        <v>1932.7</v>
      </c>
      <c r="J2099" s="308">
        <f>ROUND((H2099/I2099)/60,2)</f>
        <v>0.75</v>
      </c>
    </row>
    <row r="2100" spans="1:14" x14ac:dyDescent="0.3">
      <c r="B2100" s="292"/>
      <c r="C2100" s="324"/>
      <c r="D2100" s="304"/>
      <c r="E2100" s="304"/>
      <c r="F2100" s="304"/>
      <c r="G2100" s="304"/>
      <c r="H2100" s="304"/>
      <c r="I2100" s="304"/>
      <c r="J2100" s="304"/>
    </row>
    <row r="2101" spans="1:14" ht="27.6" x14ac:dyDescent="0.3">
      <c r="B2101" s="292"/>
      <c r="C2101" s="325" t="s">
        <v>929</v>
      </c>
      <c r="D2101" s="293" t="s">
        <v>961</v>
      </c>
      <c r="E2101" s="293" t="s">
        <v>930</v>
      </c>
      <c r="F2101" s="293" t="s">
        <v>931</v>
      </c>
      <c r="G2101" s="304"/>
      <c r="H2101" s="304"/>
      <c r="I2101" s="304"/>
      <c r="J2101" s="304"/>
    </row>
    <row r="2102" spans="1:14" x14ac:dyDescent="0.3">
      <c r="B2102" s="292"/>
      <c r="C2102" s="327" t="str">
        <f>C2098</f>
        <v>Лікар з ультразвукової діагностики</v>
      </c>
      <c r="D2102" s="308">
        <f>J2098</f>
        <v>0.91</v>
      </c>
      <c r="E2102" s="309">
        <v>15</v>
      </c>
      <c r="F2102" s="310">
        <f>ROUND(D2102*E2102,2)</f>
        <v>13.65</v>
      </c>
      <c r="G2102" s="304"/>
      <c r="H2102" s="304"/>
      <c r="I2102" s="304"/>
      <c r="J2102" s="304"/>
    </row>
    <row r="2103" spans="1:14" x14ac:dyDescent="0.3">
      <c r="B2103" s="292"/>
      <c r="C2103" s="327" t="str">
        <f>C2099</f>
        <v xml:space="preserve">Сестра медична </v>
      </c>
      <c r="D2103" s="308">
        <f>J2099</f>
        <v>0.75</v>
      </c>
      <c r="E2103" s="309">
        <v>15</v>
      </c>
      <c r="F2103" s="310">
        <f>ROUND(D2103*E2103,2)</f>
        <v>11.25</v>
      </c>
      <c r="G2103" s="304"/>
      <c r="H2103" s="304"/>
      <c r="I2103" s="304"/>
      <c r="J2103" s="304"/>
    </row>
    <row r="2104" spans="1:14" x14ac:dyDescent="0.3">
      <c r="B2104" s="292"/>
      <c r="C2104" s="324"/>
      <c r="D2104" s="294"/>
      <c r="E2104" s="304"/>
      <c r="F2104" s="304"/>
      <c r="G2104" s="304"/>
      <c r="H2104" s="304"/>
      <c r="I2104" s="304"/>
      <c r="J2104" s="304"/>
    </row>
    <row r="2105" spans="1:14" x14ac:dyDescent="0.3">
      <c r="B2105" s="292"/>
      <c r="C2105" s="326" t="s">
        <v>933</v>
      </c>
      <c r="D2105" s="308">
        <f>F2102+F2103</f>
        <v>24.9</v>
      </c>
      <c r="E2105" s="311">
        <v>0.22</v>
      </c>
      <c r="F2105" s="312">
        <f>ROUND(D2105*E2105,2)</f>
        <v>5.48</v>
      </c>
      <c r="G2105" s="304"/>
      <c r="H2105" s="304"/>
      <c r="I2105" s="304"/>
      <c r="J2105" s="304"/>
    </row>
    <row r="2106" spans="1:14" x14ac:dyDescent="0.3">
      <c r="B2106" s="292"/>
      <c r="C2106" s="324"/>
      <c r="D2106" s="304"/>
      <c r="E2106" s="304"/>
      <c r="F2106" s="304"/>
      <c r="G2106" s="304"/>
      <c r="H2106" s="304"/>
      <c r="I2106" s="304"/>
      <c r="J2106" s="304"/>
    </row>
    <row r="2107" spans="1:14" x14ac:dyDescent="0.3">
      <c r="B2107" s="292"/>
      <c r="C2107" s="328" t="s">
        <v>946</v>
      </c>
      <c r="D2107" s="313"/>
      <c r="E2107" s="313"/>
      <c r="F2107" s="313">
        <f>G2119</f>
        <v>12.45</v>
      </c>
      <c r="G2107" s="313" t="s">
        <v>971</v>
      </c>
      <c r="H2107" s="304"/>
      <c r="I2107" s="304"/>
      <c r="J2107" s="304"/>
    </row>
    <row r="2108" spans="1:14" x14ac:dyDescent="0.3">
      <c r="B2108" s="292"/>
      <c r="C2108" s="324"/>
      <c r="D2108" s="304"/>
      <c r="E2108" s="304"/>
      <c r="F2108" s="304"/>
      <c r="G2108" s="304"/>
      <c r="H2108" s="304"/>
      <c r="I2108" s="304"/>
      <c r="J2108" s="304"/>
    </row>
    <row r="2109" spans="1:14" s="350" customFormat="1" x14ac:dyDescent="0.3">
      <c r="A2109" s="7"/>
      <c r="B2109" s="292"/>
      <c r="C2109" s="27" t="str">
        <f t="shared" ref="C2109:F2118" si="81">C2054</f>
        <v>Рукавиці не стерильні</v>
      </c>
      <c r="D2109" s="303" t="str">
        <f t="shared" si="81"/>
        <v>шт</v>
      </c>
      <c r="E2109" s="303">
        <f t="shared" si="81"/>
        <v>0.1</v>
      </c>
      <c r="F2109" s="303">
        <f t="shared" si="81"/>
        <v>2.8</v>
      </c>
      <c r="G2109" s="337">
        <f>ROUND(F2109*E2109,2)</f>
        <v>0.28000000000000003</v>
      </c>
      <c r="H2109" s="304"/>
      <c r="I2109" s="304"/>
      <c r="J2109" s="304"/>
      <c r="K2109" s="22"/>
      <c r="L2109" s="346"/>
      <c r="M2109" s="346"/>
      <c r="N2109" s="3"/>
    </row>
    <row r="2110" spans="1:14" s="350" customFormat="1" x14ac:dyDescent="0.3">
      <c r="A2110" s="7"/>
      <c r="B2110" s="292"/>
      <c r="C2110" s="27" t="str">
        <f t="shared" si="81"/>
        <v xml:space="preserve">Септил 70% 100мл </v>
      </c>
      <c r="D2110" s="303" t="str">
        <f t="shared" si="81"/>
        <v>шт</v>
      </c>
      <c r="E2110" s="303">
        <f t="shared" si="81"/>
        <v>0.01</v>
      </c>
      <c r="F2110" s="303">
        <f t="shared" si="81"/>
        <v>24.6</v>
      </c>
      <c r="G2110" s="337">
        <f t="shared" ref="G2110:G2115" si="82">ROUND(F2110*E2110,2)</f>
        <v>0.25</v>
      </c>
      <c r="H2110" s="304"/>
      <c r="I2110" s="304"/>
      <c r="J2110" s="304"/>
      <c r="K2110" s="22"/>
      <c r="L2110" s="346"/>
      <c r="M2110" s="346"/>
      <c r="N2110" s="3"/>
    </row>
    <row r="2111" spans="1:14" s="350" customFormat="1" x14ac:dyDescent="0.3">
      <c r="A2111" s="7"/>
      <c r="B2111" s="292"/>
      <c r="C2111" s="27" t="str">
        <f t="shared" si="81"/>
        <v>Маска на резинці, стерильна.</v>
      </c>
      <c r="D2111" s="303" t="str">
        <f t="shared" si="81"/>
        <v>шт</v>
      </c>
      <c r="E2111" s="303">
        <f t="shared" si="81"/>
        <v>0.1</v>
      </c>
      <c r="F2111" s="303">
        <f t="shared" si="81"/>
        <v>2</v>
      </c>
      <c r="G2111" s="337">
        <f t="shared" si="82"/>
        <v>0.2</v>
      </c>
      <c r="H2111" s="304"/>
      <c r="I2111" s="304"/>
      <c r="J2111" s="304"/>
      <c r="K2111" s="22"/>
      <c r="L2111" s="346"/>
      <c r="M2111" s="346"/>
      <c r="N2111" s="3"/>
    </row>
    <row r="2112" spans="1:14" s="350" customFormat="1" x14ac:dyDescent="0.3">
      <c r="A2112" s="7"/>
      <c r="B2112" s="292"/>
      <c r="C2112" s="27" t="str">
        <f t="shared" si="81"/>
        <v>Мікрасепт</v>
      </c>
      <c r="D2112" s="303" t="str">
        <f t="shared" si="81"/>
        <v>мл</v>
      </c>
      <c r="E2112" s="303">
        <f t="shared" si="81"/>
        <v>1</v>
      </c>
      <c r="F2112" s="303">
        <f t="shared" si="81"/>
        <v>0.3</v>
      </c>
      <c r="G2112" s="28">
        <f>ROUND(E2112*F2112,2)</f>
        <v>0.3</v>
      </c>
      <c r="H2112" s="304"/>
      <c r="I2112" s="304"/>
      <c r="J2112" s="304"/>
      <c r="K2112" s="22"/>
      <c r="L2112" s="346"/>
      <c r="M2112" s="346"/>
      <c r="N2112" s="3"/>
    </row>
    <row r="2113" spans="1:14" s="350" customFormat="1" x14ac:dyDescent="0.3">
      <c r="A2113" s="7"/>
      <c r="B2113" s="292"/>
      <c r="C2113" s="27" t="str">
        <f t="shared" si="81"/>
        <v>Папір офісний А4</v>
      </c>
      <c r="D2113" s="303" t="str">
        <f t="shared" si="81"/>
        <v>шт</v>
      </c>
      <c r="E2113" s="303">
        <f t="shared" si="81"/>
        <v>2</v>
      </c>
      <c r="F2113" s="303">
        <f t="shared" si="81"/>
        <v>0.3</v>
      </c>
      <c r="G2113" s="337">
        <f t="shared" si="82"/>
        <v>0.6</v>
      </c>
      <c r="H2113" s="304"/>
      <c r="I2113" s="304"/>
      <c r="J2113" s="304"/>
      <c r="K2113" s="22"/>
      <c r="L2113" s="346"/>
      <c r="M2113" s="346"/>
      <c r="N2113" s="3"/>
    </row>
    <row r="2114" spans="1:14" s="350" customFormat="1" x14ac:dyDescent="0.3">
      <c r="A2114" s="7"/>
      <c r="B2114" s="292"/>
      <c r="C2114" s="27" t="str">
        <f t="shared" si="81"/>
        <v xml:space="preserve">Гель для УЗД , 1000 гр. </v>
      </c>
      <c r="D2114" s="303" t="str">
        <f t="shared" si="81"/>
        <v>пляшка</v>
      </c>
      <c r="E2114" s="303">
        <f t="shared" si="81"/>
        <v>0.1</v>
      </c>
      <c r="F2114" s="303">
        <f t="shared" si="81"/>
        <v>48</v>
      </c>
      <c r="G2114" s="337">
        <f t="shared" si="82"/>
        <v>4.8</v>
      </c>
      <c r="H2114" s="304"/>
      <c r="I2114" s="304"/>
      <c r="J2114" s="304"/>
      <c r="K2114" s="22"/>
      <c r="L2114" s="346"/>
      <c r="M2114" s="346"/>
      <c r="N2114" s="3"/>
    </row>
    <row r="2115" spans="1:14" s="350" customFormat="1" x14ac:dyDescent="0.3">
      <c r="A2115" s="7"/>
      <c r="B2115" s="292"/>
      <c r="C2115" s="27" t="str">
        <f t="shared" si="81"/>
        <v>Паперові рушники "Fesko Professional"</v>
      </c>
      <c r="D2115" s="303" t="str">
        <f t="shared" si="81"/>
        <v>рул</v>
      </c>
      <c r="E2115" s="303">
        <f t="shared" si="81"/>
        <v>0.3</v>
      </c>
      <c r="F2115" s="303">
        <f t="shared" si="81"/>
        <v>17</v>
      </c>
      <c r="G2115" s="337">
        <f t="shared" si="82"/>
        <v>5.0999999999999996</v>
      </c>
      <c r="H2115" s="304"/>
      <c r="I2115" s="304"/>
      <c r="J2115" s="304"/>
      <c r="K2115" s="22"/>
      <c r="L2115" s="346"/>
      <c r="M2115" s="346"/>
      <c r="N2115" s="3"/>
    </row>
    <row r="2116" spans="1:14" s="350" customFormat="1" x14ac:dyDescent="0.3">
      <c r="A2116" s="7"/>
      <c r="B2116" s="292"/>
      <c r="C2116" s="27" t="str">
        <f t="shared" si="81"/>
        <v>Марля медична</v>
      </c>
      <c r="D2116" s="303" t="str">
        <f t="shared" si="81"/>
        <v>метр</v>
      </c>
      <c r="E2116" s="303">
        <f t="shared" si="81"/>
        <v>0.1</v>
      </c>
      <c r="F2116" s="303">
        <f t="shared" si="81"/>
        <v>6</v>
      </c>
      <c r="G2116" s="28">
        <f>ROUND(E2116*F2116,2)</f>
        <v>0.6</v>
      </c>
      <c r="H2116" s="304"/>
      <c r="I2116" s="304"/>
      <c r="J2116" s="304"/>
      <c r="K2116" s="22"/>
      <c r="L2116" s="346"/>
      <c r="M2116" s="346"/>
      <c r="N2116" s="3"/>
    </row>
    <row r="2117" spans="1:14" s="350" customFormat="1" x14ac:dyDescent="0.3">
      <c r="A2117" s="7"/>
      <c r="B2117" s="292"/>
      <c r="C2117" s="27" t="str">
        <f t="shared" si="81"/>
        <v>Вата</v>
      </c>
      <c r="D2117" s="303" t="str">
        <f t="shared" si="81"/>
        <v>г</v>
      </c>
      <c r="E2117" s="303">
        <f t="shared" si="81"/>
        <v>1</v>
      </c>
      <c r="F2117" s="303">
        <f t="shared" si="81"/>
        <v>7.0000000000000007E-2</v>
      </c>
      <c r="G2117" s="28">
        <f>ROUND(E2117*F2117,2)</f>
        <v>7.0000000000000007E-2</v>
      </c>
      <c r="H2117" s="304"/>
      <c r="I2117" s="304"/>
      <c r="J2117" s="304"/>
      <c r="K2117" s="22"/>
      <c r="L2117" s="346"/>
      <c r="M2117" s="346"/>
      <c r="N2117" s="3"/>
    </row>
    <row r="2118" spans="1:14" s="350" customFormat="1" x14ac:dyDescent="0.3">
      <c r="A2118" s="7"/>
      <c r="B2118" s="292"/>
      <c r="C2118" s="27" t="str">
        <f t="shared" si="81"/>
        <v>Деззасоби</v>
      </c>
      <c r="D2118" s="303" t="str">
        <f t="shared" si="81"/>
        <v>г</v>
      </c>
      <c r="E2118" s="303">
        <f t="shared" si="81"/>
        <v>0.5</v>
      </c>
      <c r="F2118" s="303">
        <f t="shared" si="81"/>
        <v>0.5</v>
      </c>
      <c r="G2118" s="28">
        <f>ROUND(E2118*F2118,2)</f>
        <v>0.25</v>
      </c>
      <c r="H2118" s="304"/>
      <c r="I2118" s="304"/>
      <c r="J2118" s="304"/>
      <c r="K2118" s="22"/>
      <c r="L2118" s="346"/>
      <c r="M2118" s="346"/>
      <c r="N2118" s="3"/>
    </row>
    <row r="2119" spans="1:14" s="350" customFormat="1" x14ac:dyDescent="0.3">
      <c r="A2119" s="7"/>
      <c r="B2119" s="292"/>
      <c r="C2119" s="1063" t="s">
        <v>945</v>
      </c>
      <c r="D2119" s="1063"/>
      <c r="E2119" s="1063"/>
      <c r="F2119" s="1063"/>
      <c r="G2119" s="332">
        <f>SUM(G2109:G2118)</f>
        <v>12.45</v>
      </c>
      <c r="H2119" s="304"/>
      <c r="I2119" s="304"/>
      <c r="J2119" s="304"/>
      <c r="K2119" s="22"/>
      <c r="L2119" s="346"/>
      <c r="M2119" s="346"/>
      <c r="N2119" s="3"/>
    </row>
    <row r="2120" spans="1:14" x14ac:dyDescent="0.3">
      <c r="B2120" s="292"/>
      <c r="C2120" s="324"/>
      <c r="D2120" s="304"/>
      <c r="E2120" s="304"/>
      <c r="F2120" s="304"/>
      <c r="G2120" s="304"/>
      <c r="H2120" s="304"/>
      <c r="I2120" s="304"/>
      <c r="J2120" s="304"/>
    </row>
    <row r="2121" spans="1:14" x14ac:dyDescent="0.3">
      <c r="B2121" s="292"/>
      <c r="C2121" s="328" t="s">
        <v>968</v>
      </c>
      <c r="D2121" s="313"/>
      <c r="E2121" s="313"/>
      <c r="F2121" s="307">
        <f>H2124</f>
        <v>20.55</v>
      </c>
      <c r="G2121" s="313" t="s">
        <v>971</v>
      </c>
      <c r="H2121" s="304"/>
      <c r="I2121" s="304"/>
      <c r="J2121" s="304"/>
    </row>
    <row r="2122" spans="1:14" x14ac:dyDescent="0.3">
      <c r="B2122" s="292"/>
      <c r="C2122" s="329"/>
      <c r="D2122" s="314"/>
      <c r="E2122" s="314"/>
      <c r="F2122" s="315"/>
      <c r="G2122" s="314"/>
      <c r="H2122" s="304"/>
      <c r="I2122" s="304"/>
      <c r="J2122" s="304"/>
    </row>
    <row r="2123" spans="1:14" s="350" customFormat="1" ht="27.6" x14ac:dyDescent="0.3">
      <c r="A2123" s="7"/>
      <c r="B2123" s="292"/>
      <c r="C2123" s="330" t="s">
        <v>513</v>
      </c>
      <c r="D2123" s="293" t="s">
        <v>1108</v>
      </c>
      <c r="E2123" s="293" t="s">
        <v>516</v>
      </c>
      <c r="F2123" s="293" t="s">
        <v>970</v>
      </c>
      <c r="G2123" s="293" t="s">
        <v>930</v>
      </c>
      <c r="H2123" s="293" t="s">
        <v>961</v>
      </c>
      <c r="I2123" s="304"/>
      <c r="J2123" s="304"/>
      <c r="K2123" s="22"/>
      <c r="L2123" s="346"/>
      <c r="M2123" s="346"/>
      <c r="N2123" s="3"/>
    </row>
    <row r="2124" spans="1:14" s="350" customFormat="1" x14ac:dyDescent="0.3">
      <c r="A2124" s="7"/>
      <c r="B2124" s="292"/>
      <c r="C2124" s="27" t="str">
        <f>C2069</f>
        <v>Ультразвукова система AFFINITI 30</v>
      </c>
      <c r="D2124" s="303">
        <f>D2069</f>
        <v>136236.38</v>
      </c>
      <c r="E2124" s="309">
        <f>I2098</f>
        <v>1657.6</v>
      </c>
      <c r="F2124" s="309">
        <f>ROUND((D2124/E2124)/60,2)</f>
        <v>1.37</v>
      </c>
      <c r="G2124" s="309">
        <f>E2102</f>
        <v>15</v>
      </c>
      <c r="H2124" s="308">
        <f>ROUND(F2124*G2124,2)</f>
        <v>20.55</v>
      </c>
      <c r="I2124" s="338"/>
      <c r="J2124" s="304"/>
      <c r="K2124" s="22"/>
      <c r="L2124" s="346"/>
      <c r="M2124" s="346"/>
      <c r="N2124" s="3"/>
    </row>
    <row r="2125" spans="1:14" x14ac:dyDescent="0.3">
      <c r="B2125" s="292"/>
      <c r="C2125" s="324"/>
      <c r="D2125" s="304"/>
      <c r="E2125" s="304"/>
      <c r="F2125" s="304"/>
      <c r="G2125" s="304"/>
      <c r="H2125" s="304"/>
      <c r="I2125" s="304"/>
      <c r="J2125" s="304"/>
    </row>
    <row r="2126" spans="1:14" x14ac:dyDescent="0.3">
      <c r="B2126" s="292"/>
      <c r="C2126" s="328" t="s">
        <v>948</v>
      </c>
      <c r="D2126" s="313"/>
      <c r="E2126" s="313"/>
      <c r="F2126" s="307">
        <f>H2139</f>
        <v>3.9</v>
      </c>
      <c r="G2126" s="313" t="s">
        <v>971</v>
      </c>
      <c r="H2126" s="304"/>
      <c r="I2126" s="304"/>
      <c r="J2126" s="304"/>
    </row>
    <row r="2127" spans="1:14" x14ac:dyDescent="0.3">
      <c r="B2127" s="292"/>
      <c r="C2127" s="329"/>
      <c r="D2127" s="314"/>
      <c r="E2127" s="314"/>
      <c r="F2127" s="315"/>
      <c r="G2127" s="304"/>
      <c r="H2127" s="304"/>
      <c r="I2127" s="304"/>
      <c r="J2127" s="304"/>
    </row>
    <row r="2128" spans="1:14" ht="27.6" x14ac:dyDescent="0.3">
      <c r="B2128" s="292"/>
      <c r="C2128" s="330" t="s">
        <v>948</v>
      </c>
      <c r="D2128" s="293" t="s">
        <v>1110</v>
      </c>
      <c r="E2128" s="293" t="s">
        <v>516</v>
      </c>
      <c r="F2128" s="293" t="s">
        <v>954</v>
      </c>
      <c r="G2128" s="293" t="s">
        <v>930</v>
      </c>
      <c r="H2128" s="293" t="s">
        <v>1111</v>
      </c>
      <c r="I2128" s="304"/>
      <c r="J2128" s="304"/>
    </row>
    <row r="2129" spans="2:10" x14ac:dyDescent="0.3">
      <c r="B2129" s="292"/>
      <c r="C2129" s="1064" t="str">
        <f>C2098</f>
        <v>Лікар з ультразвукової діагностики</v>
      </c>
      <c r="D2129" s="1065"/>
      <c r="E2129" s="1065"/>
      <c r="F2129" s="1065"/>
      <c r="G2129" s="1065"/>
      <c r="H2129" s="1066"/>
      <c r="I2129" s="304"/>
      <c r="J2129" s="304"/>
    </row>
    <row r="2130" spans="2:10" x14ac:dyDescent="0.3">
      <c r="B2130" s="292"/>
      <c r="C2130" s="326" t="str">
        <f>C2075</f>
        <v>Непрямі (адміністративні)</v>
      </c>
      <c r="D2130" s="316">
        <f>D2075</f>
        <v>12188.608008565312</v>
      </c>
      <c r="E2130" s="309">
        <f>I2098</f>
        <v>1657.6</v>
      </c>
      <c r="F2130" s="309">
        <f>ROUND((D2130/E2130)/60,2)</f>
        <v>0.12</v>
      </c>
      <c r="G2130" s="309">
        <f>E2102</f>
        <v>15</v>
      </c>
      <c r="H2130" s="308">
        <f>ROUND(F2130*G2130,2)</f>
        <v>1.8</v>
      </c>
      <c r="I2130" s="304"/>
      <c r="J2130" s="304"/>
    </row>
    <row r="2131" spans="2:10" x14ac:dyDescent="0.3">
      <c r="B2131" s="292"/>
      <c r="C2131" s="326" t="str">
        <f t="shared" ref="C2131:D2133" si="83">C2076</f>
        <v>Непрямі (поточні)</v>
      </c>
      <c r="D2131" s="316">
        <f t="shared" si="83"/>
        <v>53.149721627408987</v>
      </c>
      <c r="E2131" s="309">
        <f>I2098</f>
        <v>1657.6</v>
      </c>
      <c r="F2131" s="309">
        <f>ROUND((D2131/E2131)/60,2)</f>
        <v>0</v>
      </c>
      <c r="G2131" s="309">
        <f>E2102</f>
        <v>15</v>
      </c>
      <c r="H2131" s="308">
        <f>ROUND(F2131*G2131,2)</f>
        <v>0</v>
      </c>
      <c r="I2131" s="304"/>
      <c r="J2131" s="304"/>
    </row>
    <row r="2132" spans="2:10" x14ac:dyDescent="0.3">
      <c r="B2132" s="292"/>
      <c r="C2132" s="326" t="str">
        <f t="shared" si="83"/>
        <v>Непрямі (комунальні)</v>
      </c>
      <c r="D2132" s="316">
        <f t="shared" si="83"/>
        <v>374.98368308351178</v>
      </c>
      <c r="E2132" s="309">
        <f>I2098</f>
        <v>1657.6</v>
      </c>
      <c r="F2132" s="309">
        <f>ROUND((D2132/E2132)/60,2)</f>
        <v>0</v>
      </c>
      <c r="G2132" s="309">
        <f>E2102</f>
        <v>15</v>
      </c>
      <c r="H2132" s="308">
        <f>ROUND(F2132*G2132,2)</f>
        <v>0</v>
      </c>
      <c r="I2132" s="304"/>
      <c r="J2132" s="304"/>
    </row>
    <row r="2133" spans="2:10" x14ac:dyDescent="0.3">
      <c r="B2133" s="292"/>
      <c r="C2133" s="326" t="str">
        <f t="shared" si="83"/>
        <v>Непрямі (відділення)</v>
      </c>
      <c r="D2133" s="316">
        <f t="shared" si="83"/>
        <v>1686.0389293361886</v>
      </c>
      <c r="E2133" s="309">
        <f>I2098</f>
        <v>1657.6</v>
      </c>
      <c r="F2133" s="309">
        <f>ROUND((D2133/E2133)/60,2)</f>
        <v>0.02</v>
      </c>
      <c r="G2133" s="309">
        <f>E2102</f>
        <v>15</v>
      </c>
      <c r="H2133" s="308">
        <f>ROUND(F2133*G2133,2)</f>
        <v>0.3</v>
      </c>
      <c r="I2133" s="304"/>
      <c r="J2133" s="304"/>
    </row>
    <row r="2134" spans="2:10" x14ac:dyDescent="0.3">
      <c r="B2134" s="292"/>
      <c r="C2134" s="1064" t="str">
        <f>C2099</f>
        <v xml:space="preserve">Сестра медична </v>
      </c>
      <c r="D2134" s="1065"/>
      <c r="E2134" s="1065"/>
      <c r="F2134" s="1065"/>
      <c r="G2134" s="1065"/>
      <c r="H2134" s="1066"/>
      <c r="I2134" s="304"/>
      <c r="J2134" s="304"/>
    </row>
    <row r="2135" spans="2:10" x14ac:dyDescent="0.3">
      <c r="B2135" s="292"/>
      <c r="C2135" s="326" t="str">
        <f>C2130</f>
        <v>Непрямі (адміністративні)</v>
      </c>
      <c r="D2135" s="316">
        <f>D2130</f>
        <v>12188.608008565312</v>
      </c>
      <c r="E2135" s="309">
        <f>I2099</f>
        <v>1932.7</v>
      </c>
      <c r="F2135" s="309">
        <f>ROUND((D2135/E2135)/60,2)</f>
        <v>0.11</v>
      </c>
      <c r="G2135" s="309">
        <f>E2103</f>
        <v>15</v>
      </c>
      <c r="H2135" s="308">
        <f>ROUND(F2135*G2135,2)</f>
        <v>1.65</v>
      </c>
      <c r="I2135" s="304"/>
      <c r="J2135" s="304"/>
    </row>
    <row r="2136" spans="2:10" x14ac:dyDescent="0.3">
      <c r="B2136" s="292"/>
      <c r="C2136" s="326" t="str">
        <f t="shared" ref="C2136:D2138" si="84">C2131</f>
        <v>Непрямі (поточні)</v>
      </c>
      <c r="D2136" s="316">
        <f t="shared" si="84"/>
        <v>53.149721627408987</v>
      </c>
      <c r="E2136" s="309">
        <f>I2099</f>
        <v>1932.7</v>
      </c>
      <c r="F2136" s="309">
        <f>ROUND((D2136/E2136)/60,2)</f>
        <v>0</v>
      </c>
      <c r="G2136" s="309">
        <f>E2103</f>
        <v>15</v>
      </c>
      <c r="H2136" s="308">
        <f>ROUND(F2136*G2136,2)</f>
        <v>0</v>
      </c>
      <c r="I2136" s="304"/>
      <c r="J2136" s="304"/>
    </row>
    <row r="2137" spans="2:10" x14ac:dyDescent="0.3">
      <c r="B2137" s="292"/>
      <c r="C2137" s="326" t="str">
        <f t="shared" si="84"/>
        <v>Непрямі (комунальні)</v>
      </c>
      <c r="D2137" s="316">
        <f t="shared" si="84"/>
        <v>374.98368308351178</v>
      </c>
      <c r="E2137" s="309">
        <f>I2099</f>
        <v>1932.7</v>
      </c>
      <c r="F2137" s="309">
        <f>ROUND((D2137/E2137)/60,2)</f>
        <v>0</v>
      </c>
      <c r="G2137" s="309">
        <f>E2103</f>
        <v>15</v>
      </c>
      <c r="H2137" s="308">
        <f>ROUND(F2137*G2137,2)</f>
        <v>0</v>
      </c>
      <c r="I2137" s="304"/>
      <c r="J2137" s="304"/>
    </row>
    <row r="2138" spans="2:10" x14ac:dyDescent="0.3">
      <c r="B2138" s="292"/>
      <c r="C2138" s="326" t="str">
        <f t="shared" si="84"/>
        <v>Непрямі (відділення)</v>
      </c>
      <c r="D2138" s="316">
        <f t="shared" si="84"/>
        <v>1686.0389293361886</v>
      </c>
      <c r="E2138" s="309">
        <f>I2099</f>
        <v>1932.7</v>
      </c>
      <c r="F2138" s="309">
        <f>ROUND((D2138/E2138)/60,2)</f>
        <v>0.01</v>
      </c>
      <c r="G2138" s="309">
        <f>E2103</f>
        <v>15</v>
      </c>
      <c r="H2138" s="308">
        <f>ROUND(F2138*G2138,2)</f>
        <v>0.15</v>
      </c>
      <c r="I2138" s="304"/>
      <c r="J2138" s="304"/>
    </row>
    <row r="2139" spans="2:10" x14ac:dyDescent="0.3">
      <c r="B2139" s="292"/>
      <c r="C2139" s="1056" t="s">
        <v>957</v>
      </c>
      <c r="D2139" s="1057"/>
      <c r="E2139" s="1057"/>
      <c r="F2139" s="1057"/>
      <c r="G2139" s="1058"/>
      <c r="H2139" s="310">
        <f>SUM(H2130:H2138)</f>
        <v>3.9</v>
      </c>
      <c r="I2139" s="304"/>
      <c r="J2139" s="304"/>
    </row>
    <row r="2140" spans="2:10" x14ac:dyDescent="0.3">
      <c r="B2140" s="292"/>
      <c r="C2140" s="324"/>
      <c r="D2140" s="304"/>
      <c r="E2140" s="304"/>
      <c r="F2140" s="304"/>
      <c r="G2140" s="304"/>
      <c r="H2140" s="304"/>
      <c r="I2140" s="304"/>
      <c r="J2140" s="304"/>
    </row>
    <row r="2141" spans="2:10" x14ac:dyDescent="0.3">
      <c r="B2141" s="292"/>
      <c r="C2141" s="324"/>
      <c r="D2141" s="304"/>
      <c r="E2141" s="304"/>
      <c r="F2141" s="304"/>
      <c r="G2141" s="304"/>
      <c r="H2141" s="304"/>
      <c r="I2141" s="304"/>
      <c r="J2141" s="304"/>
    </row>
    <row r="2142" spans="2:10" ht="17.399999999999999" x14ac:dyDescent="0.3">
      <c r="B2142" s="292"/>
      <c r="C2142" s="1059" t="s">
        <v>959</v>
      </c>
      <c r="D2142" s="1059"/>
      <c r="E2142" s="1059"/>
      <c r="F2142" s="1059"/>
      <c r="G2142" s="1059"/>
      <c r="H2142" s="339">
        <f>F2095+F2107+F2121+F2126</f>
        <v>67.28</v>
      </c>
      <c r="I2142" s="304"/>
      <c r="J2142" s="304"/>
    </row>
    <row r="2143" spans="2:10" ht="17.399999999999999" x14ac:dyDescent="0.3">
      <c r="B2143" s="292"/>
      <c r="C2143" s="331"/>
      <c r="D2143" s="295"/>
      <c r="E2143" s="295"/>
      <c r="F2143" s="295"/>
      <c r="G2143" s="295"/>
      <c r="H2143" s="340"/>
      <c r="I2143" s="304"/>
      <c r="J2143" s="304"/>
    </row>
    <row r="2144" spans="2:10" ht="17.399999999999999" x14ac:dyDescent="0.3">
      <c r="B2144" s="292"/>
      <c r="C2144" s="1059" t="s">
        <v>960</v>
      </c>
      <c r="D2144" s="1059"/>
      <c r="E2144" s="1059"/>
      <c r="F2144" s="1059"/>
      <c r="G2144" s="1059"/>
      <c r="H2144" s="334">
        <f>ROUND(H2142,0)</f>
        <v>67</v>
      </c>
      <c r="I2144" s="304"/>
      <c r="J2144" s="304"/>
    </row>
    <row r="2145" spans="2:10" x14ac:dyDescent="0.3">
      <c r="B2145" s="292"/>
      <c r="C2145" s="324"/>
      <c r="D2145" s="304"/>
      <c r="E2145" s="304"/>
      <c r="F2145" s="304"/>
      <c r="G2145" s="304"/>
      <c r="H2145" s="304"/>
      <c r="I2145" s="304"/>
      <c r="J2145" s="304"/>
    </row>
    <row r="2146" spans="2:10" ht="17.399999999999999" x14ac:dyDescent="0.3">
      <c r="B2146" s="1060" t="s">
        <v>958</v>
      </c>
      <c r="C2146" s="1060"/>
      <c r="D2146" s="1060"/>
      <c r="E2146" s="1060"/>
      <c r="F2146" s="1060"/>
      <c r="G2146" s="1060"/>
      <c r="H2146" s="1060"/>
      <c r="I2146" s="1060"/>
      <c r="J2146" s="1060"/>
    </row>
    <row r="2147" spans="2:10" x14ac:dyDescent="0.3">
      <c r="B2147" s="292"/>
      <c r="C2147" s="324"/>
      <c r="D2147" s="304"/>
      <c r="E2147" s="304"/>
      <c r="F2147" s="304"/>
      <c r="G2147" s="304"/>
      <c r="H2147" s="304"/>
      <c r="I2147" s="304"/>
      <c r="J2147" s="304"/>
    </row>
    <row r="2148" spans="2:10" ht="17.399999999999999" x14ac:dyDescent="0.3">
      <c r="B2148" s="356" t="s">
        <v>620</v>
      </c>
      <c r="C2148" s="1061" t="s">
        <v>603</v>
      </c>
      <c r="D2148" s="1061"/>
      <c r="E2148" s="1061"/>
      <c r="F2148" s="305">
        <f>H2199</f>
        <v>122</v>
      </c>
      <c r="G2148" s="305" t="s">
        <v>971</v>
      </c>
      <c r="H2148" s="304"/>
      <c r="I2148" s="304"/>
      <c r="J2148" s="304"/>
    </row>
    <row r="2149" spans="2:10" x14ac:dyDescent="0.3">
      <c r="B2149" s="292"/>
      <c r="C2149" s="324"/>
      <c r="D2149" s="304"/>
      <c r="E2149" s="304"/>
      <c r="F2149" s="304"/>
      <c r="G2149" s="304"/>
      <c r="H2149" s="304"/>
      <c r="I2149" s="304"/>
      <c r="J2149" s="304"/>
    </row>
    <row r="2150" spans="2:10" x14ac:dyDescent="0.3">
      <c r="B2150" s="292"/>
      <c r="C2150" s="1062" t="s">
        <v>932</v>
      </c>
      <c r="D2150" s="1062"/>
      <c r="E2150" s="306"/>
      <c r="F2150" s="307">
        <f>F2157+F2160+F2158</f>
        <v>60.760000000000005</v>
      </c>
      <c r="G2150" s="313" t="s">
        <v>971</v>
      </c>
      <c r="H2150" s="304"/>
      <c r="I2150" s="304"/>
      <c r="J2150" s="304"/>
    </row>
    <row r="2151" spans="2:10" x14ac:dyDescent="0.3">
      <c r="B2151" s="292"/>
      <c r="C2151" s="324"/>
      <c r="D2151" s="304"/>
      <c r="E2151" s="304"/>
      <c r="F2151" s="304"/>
      <c r="G2151" s="304"/>
      <c r="H2151" s="304"/>
      <c r="I2151" s="304"/>
      <c r="J2151" s="304"/>
    </row>
    <row r="2152" spans="2:10" x14ac:dyDescent="0.3">
      <c r="B2152" s="292"/>
      <c r="C2152" s="325" t="s">
        <v>929</v>
      </c>
      <c r="D2152" s="293" t="s">
        <v>928</v>
      </c>
      <c r="E2152" s="293" t="s">
        <v>514</v>
      </c>
      <c r="F2152" s="293" t="s">
        <v>515</v>
      </c>
      <c r="G2152" s="293" t="s">
        <v>962</v>
      </c>
      <c r="H2152" s="293" t="s">
        <v>926</v>
      </c>
      <c r="I2152" s="293" t="s">
        <v>516</v>
      </c>
      <c r="J2152" s="293" t="s">
        <v>961</v>
      </c>
    </row>
    <row r="2153" spans="2:10" x14ac:dyDescent="0.3">
      <c r="B2153" s="292"/>
      <c r="C2153" s="326" t="str">
        <f t="shared" ref="C2153:G2154" si="85">C2098</f>
        <v>Лікар з ультразвукової діагностики</v>
      </c>
      <c r="D2153" s="309">
        <f t="shared" si="85"/>
        <v>6660.23</v>
      </c>
      <c r="E2153" s="309">
        <f t="shared" si="85"/>
        <v>79922.759999999995</v>
      </c>
      <c r="F2153" s="309">
        <f t="shared" si="85"/>
        <v>6054.75</v>
      </c>
      <c r="G2153" s="309">
        <f t="shared" si="85"/>
        <v>4399.8999999999996</v>
      </c>
      <c r="H2153" s="308">
        <f>E2153+F2153+G2153</f>
        <v>90377.409999999989</v>
      </c>
      <c r="I2153" s="309">
        <v>1657.6</v>
      </c>
      <c r="J2153" s="308">
        <f>ROUND((H2153/I2153)/60,2)</f>
        <v>0.91</v>
      </c>
    </row>
    <row r="2154" spans="2:10" x14ac:dyDescent="0.3">
      <c r="B2154" s="292"/>
      <c r="C2154" s="326" t="str">
        <f t="shared" si="85"/>
        <v xml:space="preserve">Сестра медична </v>
      </c>
      <c r="D2154" s="309">
        <f t="shared" si="85"/>
        <v>6506.5</v>
      </c>
      <c r="E2154" s="309">
        <f t="shared" si="85"/>
        <v>78078</v>
      </c>
      <c r="F2154" s="309">
        <f t="shared" si="85"/>
        <v>5005</v>
      </c>
      <c r="G2154" s="309">
        <f t="shared" si="85"/>
        <v>3964.05</v>
      </c>
      <c r="H2154" s="308">
        <f>E2154+F2154+G2154</f>
        <v>87047.05</v>
      </c>
      <c r="I2154" s="309">
        <v>1932.7</v>
      </c>
      <c r="J2154" s="308">
        <f>ROUND((H2154/I2154)/60,2)</f>
        <v>0.75</v>
      </c>
    </row>
    <row r="2155" spans="2:10" x14ac:dyDescent="0.3">
      <c r="B2155" s="292"/>
      <c r="C2155" s="324"/>
      <c r="D2155" s="304"/>
      <c r="E2155" s="304"/>
      <c r="F2155" s="304"/>
      <c r="G2155" s="304"/>
      <c r="H2155" s="304"/>
      <c r="I2155" s="304"/>
      <c r="J2155" s="304"/>
    </row>
    <row r="2156" spans="2:10" ht="27.6" x14ac:dyDescent="0.3">
      <c r="B2156" s="292"/>
      <c r="C2156" s="325" t="s">
        <v>929</v>
      </c>
      <c r="D2156" s="293" t="s">
        <v>961</v>
      </c>
      <c r="E2156" s="293" t="s">
        <v>930</v>
      </c>
      <c r="F2156" s="293" t="s">
        <v>931</v>
      </c>
      <c r="G2156" s="304"/>
      <c r="H2156" s="304"/>
      <c r="I2156" s="304"/>
      <c r="J2156" s="304"/>
    </row>
    <row r="2157" spans="2:10" x14ac:dyDescent="0.3">
      <c r="B2157" s="292"/>
      <c r="C2157" s="327" t="str">
        <f>C2153</f>
        <v>Лікар з ультразвукової діагностики</v>
      </c>
      <c r="D2157" s="308">
        <f>J2153</f>
        <v>0.91</v>
      </c>
      <c r="E2157" s="309">
        <v>30</v>
      </c>
      <c r="F2157" s="310">
        <f>ROUND(D2157*E2157,2)</f>
        <v>27.3</v>
      </c>
      <c r="G2157" s="304"/>
      <c r="H2157" s="304"/>
      <c r="I2157" s="304"/>
      <c r="J2157" s="304"/>
    </row>
    <row r="2158" spans="2:10" x14ac:dyDescent="0.3">
      <c r="B2158" s="292"/>
      <c r="C2158" s="327" t="str">
        <f>C2154</f>
        <v xml:space="preserve">Сестра медична </v>
      </c>
      <c r="D2158" s="308">
        <f>J2154</f>
        <v>0.75</v>
      </c>
      <c r="E2158" s="309">
        <v>30</v>
      </c>
      <c r="F2158" s="310">
        <f>ROUND(D2158*E2158,2)</f>
        <v>22.5</v>
      </c>
      <c r="G2158" s="304"/>
      <c r="H2158" s="304"/>
      <c r="I2158" s="304"/>
      <c r="J2158" s="304"/>
    </row>
    <row r="2159" spans="2:10" x14ac:dyDescent="0.3">
      <c r="B2159" s="292"/>
      <c r="C2159" s="324"/>
      <c r="D2159" s="294"/>
      <c r="E2159" s="304"/>
      <c r="F2159" s="304"/>
      <c r="G2159" s="304"/>
      <c r="H2159" s="304"/>
      <c r="I2159" s="304"/>
      <c r="J2159" s="304"/>
    </row>
    <row r="2160" spans="2:10" x14ac:dyDescent="0.3">
      <c r="B2160" s="292"/>
      <c r="C2160" s="326" t="s">
        <v>933</v>
      </c>
      <c r="D2160" s="308">
        <f>F2157+F2158</f>
        <v>49.8</v>
      </c>
      <c r="E2160" s="311">
        <v>0.22</v>
      </c>
      <c r="F2160" s="312">
        <f>ROUND(D2160*E2160,2)</f>
        <v>10.96</v>
      </c>
      <c r="G2160" s="304"/>
      <c r="H2160" s="304"/>
      <c r="I2160" s="304"/>
      <c r="J2160" s="304"/>
    </row>
    <row r="2161" spans="1:14" x14ac:dyDescent="0.3">
      <c r="B2161" s="292"/>
      <c r="C2161" s="324"/>
      <c r="D2161" s="304"/>
      <c r="E2161" s="304"/>
      <c r="F2161" s="304"/>
      <c r="G2161" s="304"/>
      <c r="H2161" s="304"/>
      <c r="I2161" s="304"/>
      <c r="J2161" s="304"/>
    </row>
    <row r="2162" spans="1:14" x14ac:dyDescent="0.3">
      <c r="B2162" s="292"/>
      <c r="C2162" s="328" t="s">
        <v>946</v>
      </c>
      <c r="D2162" s="313"/>
      <c r="E2162" s="313"/>
      <c r="F2162" s="313">
        <f>G2174</f>
        <v>12.45</v>
      </c>
      <c r="G2162" s="313" t="s">
        <v>971</v>
      </c>
      <c r="H2162" s="304"/>
      <c r="I2162" s="304"/>
      <c r="J2162" s="304"/>
    </row>
    <row r="2163" spans="1:14" x14ac:dyDescent="0.3">
      <c r="B2163" s="292"/>
      <c r="C2163" s="324"/>
      <c r="D2163" s="304"/>
      <c r="E2163" s="304"/>
      <c r="F2163" s="304"/>
      <c r="G2163" s="304"/>
      <c r="H2163" s="304"/>
      <c r="I2163" s="304"/>
      <c r="J2163" s="304"/>
    </row>
    <row r="2164" spans="1:14" s="350" customFormat="1" x14ac:dyDescent="0.3">
      <c r="A2164" s="7"/>
      <c r="B2164" s="292"/>
      <c r="C2164" s="27" t="str">
        <f t="shared" ref="C2164:F2173" si="86">C2109</f>
        <v>Рукавиці не стерильні</v>
      </c>
      <c r="D2164" s="303" t="str">
        <f t="shared" si="86"/>
        <v>шт</v>
      </c>
      <c r="E2164" s="303">
        <f t="shared" si="86"/>
        <v>0.1</v>
      </c>
      <c r="F2164" s="303">
        <f t="shared" si="86"/>
        <v>2.8</v>
      </c>
      <c r="G2164" s="337">
        <f>ROUND(F2164*E2164,2)</f>
        <v>0.28000000000000003</v>
      </c>
      <c r="H2164" s="304"/>
      <c r="I2164" s="304"/>
      <c r="J2164" s="304"/>
      <c r="K2164" s="22"/>
      <c r="L2164" s="346"/>
      <c r="M2164" s="346"/>
      <c r="N2164" s="3"/>
    </row>
    <row r="2165" spans="1:14" s="350" customFormat="1" x14ac:dyDescent="0.3">
      <c r="A2165" s="7"/>
      <c r="B2165" s="292"/>
      <c r="C2165" s="27" t="str">
        <f t="shared" si="86"/>
        <v xml:space="preserve">Септил 70% 100мл </v>
      </c>
      <c r="D2165" s="303" t="str">
        <f t="shared" si="86"/>
        <v>шт</v>
      </c>
      <c r="E2165" s="303">
        <f t="shared" si="86"/>
        <v>0.01</v>
      </c>
      <c r="F2165" s="303">
        <f t="shared" si="86"/>
        <v>24.6</v>
      </c>
      <c r="G2165" s="337">
        <f t="shared" ref="G2165:G2170" si="87">ROUND(F2165*E2165,2)</f>
        <v>0.25</v>
      </c>
      <c r="H2165" s="304"/>
      <c r="I2165" s="304"/>
      <c r="J2165" s="304"/>
      <c r="K2165" s="22"/>
      <c r="L2165" s="346"/>
      <c r="M2165" s="346"/>
      <c r="N2165" s="3"/>
    </row>
    <row r="2166" spans="1:14" s="350" customFormat="1" x14ac:dyDescent="0.3">
      <c r="A2166" s="7"/>
      <c r="B2166" s="292"/>
      <c r="C2166" s="27" t="str">
        <f t="shared" si="86"/>
        <v>Маска на резинці, стерильна.</v>
      </c>
      <c r="D2166" s="303" t="str">
        <f t="shared" si="86"/>
        <v>шт</v>
      </c>
      <c r="E2166" s="303">
        <f t="shared" si="86"/>
        <v>0.1</v>
      </c>
      <c r="F2166" s="303">
        <f t="shared" si="86"/>
        <v>2</v>
      </c>
      <c r="G2166" s="337">
        <f t="shared" si="87"/>
        <v>0.2</v>
      </c>
      <c r="H2166" s="304"/>
      <c r="I2166" s="304"/>
      <c r="J2166" s="304"/>
      <c r="K2166" s="22"/>
      <c r="L2166" s="346"/>
      <c r="M2166" s="346"/>
      <c r="N2166" s="3"/>
    </row>
    <row r="2167" spans="1:14" s="350" customFormat="1" x14ac:dyDescent="0.3">
      <c r="A2167" s="7"/>
      <c r="B2167" s="292"/>
      <c r="C2167" s="27" t="str">
        <f t="shared" si="86"/>
        <v>Мікрасепт</v>
      </c>
      <c r="D2167" s="303" t="str">
        <f t="shared" si="86"/>
        <v>мл</v>
      </c>
      <c r="E2167" s="303">
        <f t="shared" si="86"/>
        <v>1</v>
      </c>
      <c r="F2167" s="303">
        <f t="shared" si="86"/>
        <v>0.3</v>
      </c>
      <c r="G2167" s="28">
        <f>ROUND(E2167*F2167,2)</f>
        <v>0.3</v>
      </c>
      <c r="H2167" s="304"/>
      <c r="I2167" s="304"/>
      <c r="J2167" s="304"/>
      <c r="K2167" s="22"/>
      <c r="L2167" s="346"/>
      <c r="M2167" s="346"/>
      <c r="N2167" s="3"/>
    </row>
    <row r="2168" spans="1:14" s="350" customFormat="1" x14ac:dyDescent="0.3">
      <c r="A2168" s="7"/>
      <c r="B2168" s="292"/>
      <c r="C2168" s="27" t="str">
        <f t="shared" si="86"/>
        <v>Папір офісний А4</v>
      </c>
      <c r="D2168" s="303" t="str">
        <f t="shared" si="86"/>
        <v>шт</v>
      </c>
      <c r="E2168" s="303">
        <f t="shared" si="86"/>
        <v>2</v>
      </c>
      <c r="F2168" s="303">
        <f t="shared" si="86"/>
        <v>0.3</v>
      </c>
      <c r="G2168" s="337">
        <f t="shared" si="87"/>
        <v>0.6</v>
      </c>
      <c r="H2168" s="304"/>
      <c r="I2168" s="304"/>
      <c r="J2168" s="304"/>
      <c r="K2168" s="22"/>
      <c r="L2168" s="346"/>
      <c r="M2168" s="346"/>
      <c r="N2168" s="3"/>
    </row>
    <row r="2169" spans="1:14" s="350" customFormat="1" x14ac:dyDescent="0.3">
      <c r="A2169" s="7"/>
      <c r="B2169" s="292"/>
      <c r="C2169" s="27" t="str">
        <f t="shared" si="86"/>
        <v xml:space="preserve">Гель для УЗД , 1000 гр. </v>
      </c>
      <c r="D2169" s="303" t="str">
        <f t="shared" si="86"/>
        <v>пляшка</v>
      </c>
      <c r="E2169" s="303">
        <f t="shared" si="86"/>
        <v>0.1</v>
      </c>
      <c r="F2169" s="303">
        <f t="shared" si="86"/>
        <v>48</v>
      </c>
      <c r="G2169" s="337">
        <f t="shared" si="87"/>
        <v>4.8</v>
      </c>
      <c r="H2169" s="304"/>
      <c r="I2169" s="304"/>
      <c r="J2169" s="304"/>
      <c r="K2169" s="22"/>
      <c r="L2169" s="346"/>
      <c r="M2169" s="346"/>
      <c r="N2169" s="3"/>
    </row>
    <row r="2170" spans="1:14" s="350" customFormat="1" x14ac:dyDescent="0.3">
      <c r="A2170" s="7"/>
      <c r="B2170" s="292"/>
      <c r="C2170" s="27" t="str">
        <f t="shared" si="86"/>
        <v>Паперові рушники "Fesko Professional"</v>
      </c>
      <c r="D2170" s="303" t="str">
        <f t="shared" si="86"/>
        <v>рул</v>
      </c>
      <c r="E2170" s="303">
        <f t="shared" si="86"/>
        <v>0.3</v>
      </c>
      <c r="F2170" s="303">
        <f t="shared" si="86"/>
        <v>17</v>
      </c>
      <c r="G2170" s="337">
        <f t="shared" si="87"/>
        <v>5.0999999999999996</v>
      </c>
      <c r="H2170" s="304"/>
      <c r="I2170" s="304"/>
      <c r="J2170" s="304"/>
      <c r="K2170" s="22"/>
      <c r="L2170" s="346"/>
      <c r="M2170" s="346"/>
      <c r="N2170" s="3"/>
    </row>
    <row r="2171" spans="1:14" s="350" customFormat="1" x14ac:dyDescent="0.3">
      <c r="A2171" s="7"/>
      <c r="B2171" s="292"/>
      <c r="C2171" s="27" t="str">
        <f t="shared" si="86"/>
        <v>Марля медична</v>
      </c>
      <c r="D2171" s="303" t="str">
        <f t="shared" si="86"/>
        <v>метр</v>
      </c>
      <c r="E2171" s="303">
        <f t="shared" si="86"/>
        <v>0.1</v>
      </c>
      <c r="F2171" s="303">
        <f t="shared" si="86"/>
        <v>6</v>
      </c>
      <c r="G2171" s="28">
        <f>ROUND(E2171*F2171,2)</f>
        <v>0.6</v>
      </c>
      <c r="H2171" s="304"/>
      <c r="I2171" s="304"/>
      <c r="J2171" s="304"/>
      <c r="K2171" s="22"/>
      <c r="L2171" s="346"/>
      <c r="M2171" s="346"/>
      <c r="N2171" s="3"/>
    </row>
    <row r="2172" spans="1:14" s="350" customFormat="1" x14ac:dyDescent="0.3">
      <c r="A2172" s="7"/>
      <c r="B2172" s="292"/>
      <c r="C2172" s="27" t="str">
        <f t="shared" si="86"/>
        <v>Вата</v>
      </c>
      <c r="D2172" s="303" t="str">
        <f t="shared" si="86"/>
        <v>г</v>
      </c>
      <c r="E2172" s="303">
        <f t="shared" si="86"/>
        <v>1</v>
      </c>
      <c r="F2172" s="303">
        <f t="shared" si="86"/>
        <v>7.0000000000000007E-2</v>
      </c>
      <c r="G2172" s="28">
        <f>ROUND(E2172*F2172,2)</f>
        <v>7.0000000000000007E-2</v>
      </c>
      <c r="H2172" s="304"/>
      <c r="I2172" s="304"/>
      <c r="J2172" s="304"/>
      <c r="K2172" s="22"/>
      <c r="L2172" s="346"/>
      <c r="M2172" s="346"/>
      <c r="N2172" s="3"/>
    </row>
    <row r="2173" spans="1:14" s="350" customFormat="1" x14ac:dyDescent="0.3">
      <c r="A2173" s="7"/>
      <c r="B2173" s="292"/>
      <c r="C2173" s="27" t="str">
        <f t="shared" si="86"/>
        <v>Деззасоби</v>
      </c>
      <c r="D2173" s="303" t="str">
        <f t="shared" si="86"/>
        <v>г</v>
      </c>
      <c r="E2173" s="303">
        <f t="shared" si="86"/>
        <v>0.5</v>
      </c>
      <c r="F2173" s="303">
        <f t="shared" si="86"/>
        <v>0.5</v>
      </c>
      <c r="G2173" s="28">
        <f>ROUND(E2173*F2173,2)</f>
        <v>0.25</v>
      </c>
      <c r="H2173" s="304"/>
      <c r="I2173" s="304"/>
      <c r="J2173" s="304"/>
      <c r="K2173" s="22"/>
      <c r="L2173" s="346"/>
      <c r="M2173" s="346"/>
      <c r="N2173" s="3"/>
    </row>
    <row r="2174" spans="1:14" s="350" customFormat="1" x14ac:dyDescent="0.3">
      <c r="A2174" s="7"/>
      <c r="B2174" s="292"/>
      <c r="C2174" s="1063" t="s">
        <v>945</v>
      </c>
      <c r="D2174" s="1063"/>
      <c r="E2174" s="1063"/>
      <c r="F2174" s="1063"/>
      <c r="G2174" s="332">
        <f>SUM(G2164:G2173)</f>
        <v>12.45</v>
      </c>
      <c r="H2174" s="304"/>
      <c r="I2174" s="304"/>
      <c r="J2174" s="304"/>
      <c r="K2174" s="22"/>
      <c r="L2174" s="346"/>
      <c r="M2174" s="346"/>
      <c r="N2174" s="3"/>
    </row>
    <row r="2175" spans="1:14" x14ac:dyDescent="0.3">
      <c r="B2175" s="292"/>
      <c r="C2175" s="324"/>
      <c r="D2175" s="304"/>
      <c r="E2175" s="304"/>
      <c r="F2175" s="304"/>
      <c r="G2175" s="304"/>
      <c r="H2175" s="304"/>
      <c r="I2175" s="304"/>
      <c r="J2175" s="304"/>
    </row>
    <row r="2176" spans="1:14" x14ac:dyDescent="0.3">
      <c r="B2176" s="292"/>
      <c r="C2176" s="328" t="s">
        <v>968</v>
      </c>
      <c r="D2176" s="313"/>
      <c r="E2176" s="313"/>
      <c r="F2176" s="307">
        <f>H2179</f>
        <v>41.1</v>
      </c>
      <c r="G2176" s="313" t="s">
        <v>971</v>
      </c>
      <c r="H2176" s="304"/>
      <c r="I2176" s="304"/>
      <c r="J2176" s="304"/>
    </row>
    <row r="2177" spans="1:14" x14ac:dyDescent="0.3">
      <c r="B2177" s="292"/>
      <c r="C2177" s="329"/>
      <c r="D2177" s="314"/>
      <c r="E2177" s="314"/>
      <c r="F2177" s="315"/>
      <c r="G2177" s="314"/>
      <c r="H2177" s="304"/>
      <c r="I2177" s="304"/>
      <c r="J2177" s="304"/>
    </row>
    <row r="2178" spans="1:14" s="350" customFormat="1" ht="27.6" x14ac:dyDescent="0.3">
      <c r="A2178" s="7"/>
      <c r="B2178" s="292"/>
      <c r="C2178" s="330" t="s">
        <v>513</v>
      </c>
      <c r="D2178" s="293" t="s">
        <v>1108</v>
      </c>
      <c r="E2178" s="293" t="s">
        <v>516</v>
      </c>
      <c r="F2178" s="293" t="s">
        <v>970</v>
      </c>
      <c r="G2178" s="293" t="s">
        <v>930</v>
      </c>
      <c r="H2178" s="293" t="s">
        <v>961</v>
      </c>
      <c r="I2178" s="304"/>
      <c r="J2178" s="304"/>
      <c r="K2178" s="22"/>
      <c r="L2178" s="346"/>
      <c r="M2178" s="346"/>
      <c r="N2178" s="3"/>
    </row>
    <row r="2179" spans="1:14" s="350" customFormat="1" x14ac:dyDescent="0.3">
      <c r="A2179" s="7"/>
      <c r="B2179" s="292"/>
      <c r="C2179" s="27" t="str">
        <f>C2124</f>
        <v>Ультразвукова система AFFINITI 30</v>
      </c>
      <c r="D2179" s="303">
        <f>D2124</f>
        <v>136236.38</v>
      </c>
      <c r="E2179" s="309">
        <f>I2153</f>
        <v>1657.6</v>
      </c>
      <c r="F2179" s="309">
        <f>ROUND((D2179/E2179)/60,2)</f>
        <v>1.37</v>
      </c>
      <c r="G2179" s="309">
        <f>E2157</f>
        <v>30</v>
      </c>
      <c r="H2179" s="308">
        <f>ROUND(F2179*G2179,2)</f>
        <v>41.1</v>
      </c>
      <c r="I2179" s="338"/>
      <c r="J2179" s="304"/>
      <c r="K2179" s="22"/>
      <c r="L2179" s="346"/>
      <c r="M2179" s="346"/>
      <c r="N2179" s="3"/>
    </row>
    <row r="2180" spans="1:14" x14ac:dyDescent="0.3">
      <c r="B2180" s="292"/>
      <c r="C2180" s="324"/>
      <c r="D2180" s="304"/>
      <c r="E2180" s="304"/>
      <c r="F2180" s="304"/>
      <c r="G2180" s="304"/>
      <c r="H2180" s="304"/>
      <c r="I2180" s="304"/>
      <c r="J2180" s="304"/>
    </row>
    <row r="2181" spans="1:14" x14ac:dyDescent="0.3">
      <c r="B2181" s="292"/>
      <c r="C2181" s="328" t="s">
        <v>948</v>
      </c>
      <c r="D2181" s="313"/>
      <c r="E2181" s="313"/>
      <c r="F2181" s="307">
        <f>H2194</f>
        <v>7.8</v>
      </c>
      <c r="G2181" s="313" t="s">
        <v>971</v>
      </c>
      <c r="H2181" s="304"/>
      <c r="I2181" s="304"/>
      <c r="J2181" s="304"/>
    </row>
    <row r="2182" spans="1:14" x14ac:dyDescent="0.3">
      <c r="B2182" s="292"/>
      <c r="C2182" s="329"/>
      <c r="D2182" s="314"/>
      <c r="E2182" s="314"/>
      <c r="F2182" s="315"/>
      <c r="G2182" s="304"/>
      <c r="H2182" s="304"/>
      <c r="I2182" s="304"/>
      <c r="J2182" s="304"/>
    </row>
    <row r="2183" spans="1:14" ht="27.6" x14ac:dyDescent="0.3">
      <c r="B2183" s="292"/>
      <c r="C2183" s="330" t="s">
        <v>948</v>
      </c>
      <c r="D2183" s="293" t="s">
        <v>1110</v>
      </c>
      <c r="E2183" s="293" t="s">
        <v>516</v>
      </c>
      <c r="F2183" s="293" t="s">
        <v>954</v>
      </c>
      <c r="G2183" s="293" t="s">
        <v>930</v>
      </c>
      <c r="H2183" s="293" t="s">
        <v>1111</v>
      </c>
      <c r="I2183" s="304"/>
      <c r="J2183" s="304"/>
    </row>
    <row r="2184" spans="1:14" x14ac:dyDescent="0.3">
      <c r="B2184" s="292"/>
      <c r="C2184" s="1064" t="str">
        <f>C2153</f>
        <v>Лікар з ультразвукової діагностики</v>
      </c>
      <c r="D2184" s="1065"/>
      <c r="E2184" s="1065"/>
      <c r="F2184" s="1065"/>
      <c r="G2184" s="1065"/>
      <c r="H2184" s="1066"/>
      <c r="I2184" s="304"/>
      <c r="J2184" s="304"/>
    </row>
    <row r="2185" spans="1:14" x14ac:dyDescent="0.3">
      <c r="B2185" s="292"/>
      <c r="C2185" s="326" t="str">
        <f>C2130</f>
        <v>Непрямі (адміністративні)</v>
      </c>
      <c r="D2185" s="316">
        <f>D2130</f>
        <v>12188.608008565312</v>
      </c>
      <c r="E2185" s="309">
        <f>I2153</f>
        <v>1657.6</v>
      </c>
      <c r="F2185" s="309">
        <f>ROUND((D2185/E2185)/60,2)</f>
        <v>0.12</v>
      </c>
      <c r="G2185" s="309">
        <f>E2157</f>
        <v>30</v>
      </c>
      <c r="H2185" s="308">
        <f>ROUND(F2185*G2185,2)</f>
        <v>3.6</v>
      </c>
      <c r="I2185" s="304"/>
      <c r="J2185" s="304"/>
    </row>
    <row r="2186" spans="1:14" x14ac:dyDescent="0.3">
      <c r="B2186" s="292"/>
      <c r="C2186" s="326" t="str">
        <f t="shared" ref="C2186:D2188" si="88">C2131</f>
        <v>Непрямі (поточні)</v>
      </c>
      <c r="D2186" s="316">
        <f t="shared" si="88"/>
        <v>53.149721627408987</v>
      </c>
      <c r="E2186" s="309">
        <f>I2153</f>
        <v>1657.6</v>
      </c>
      <c r="F2186" s="309">
        <f>ROUND((D2186/E2186)/60,2)</f>
        <v>0</v>
      </c>
      <c r="G2186" s="309">
        <f>E2157</f>
        <v>30</v>
      </c>
      <c r="H2186" s="308">
        <f>ROUND(F2186*G2186,2)</f>
        <v>0</v>
      </c>
      <c r="I2186" s="304"/>
      <c r="J2186" s="304"/>
    </row>
    <row r="2187" spans="1:14" x14ac:dyDescent="0.3">
      <c r="B2187" s="292"/>
      <c r="C2187" s="326" t="str">
        <f t="shared" si="88"/>
        <v>Непрямі (комунальні)</v>
      </c>
      <c r="D2187" s="316">
        <f t="shared" si="88"/>
        <v>374.98368308351178</v>
      </c>
      <c r="E2187" s="309">
        <f>I2153</f>
        <v>1657.6</v>
      </c>
      <c r="F2187" s="309">
        <f>ROUND((D2187/E2187)/60,2)</f>
        <v>0</v>
      </c>
      <c r="G2187" s="309">
        <f>E2157</f>
        <v>30</v>
      </c>
      <c r="H2187" s="308">
        <f>ROUND(F2187*G2187,2)</f>
        <v>0</v>
      </c>
      <c r="I2187" s="304"/>
      <c r="J2187" s="304"/>
    </row>
    <row r="2188" spans="1:14" x14ac:dyDescent="0.3">
      <c r="B2188" s="292"/>
      <c r="C2188" s="326" t="str">
        <f t="shared" si="88"/>
        <v>Непрямі (відділення)</v>
      </c>
      <c r="D2188" s="316">
        <f t="shared" si="88"/>
        <v>1686.0389293361886</v>
      </c>
      <c r="E2188" s="309">
        <f>I2153</f>
        <v>1657.6</v>
      </c>
      <c r="F2188" s="309">
        <f>ROUND((D2188/E2188)/60,2)</f>
        <v>0.02</v>
      </c>
      <c r="G2188" s="309">
        <f>E2157</f>
        <v>30</v>
      </c>
      <c r="H2188" s="308">
        <f>ROUND(F2188*G2188,2)</f>
        <v>0.6</v>
      </c>
      <c r="I2188" s="304"/>
      <c r="J2188" s="304"/>
    </row>
    <row r="2189" spans="1:14" x14ac:dyDescent="0.3">
      <c r="B2189" s="292"/>
      <c r="C2189" s="1064" t="str">
        <f>C2154</f>
        <v xml:space="preserve">Сестра медична </v>
      </c>
      <c r="D2189" s="1065"/>
      <c r="E2189" s="1065"/>
      <c r="F2189" s="1065"/>
      <c r="G2189" s="1065"/>
      <c r="H2189" s="1066"/>
      <c r="I2189" s="304"/>
      <c r="J2189" s="304"/>
    </row>
    <row r="2190" spans="1:14" x14ac:dyDescent="0.3">
      <c r="B2190" s="292"/>
      <c r="C2190" s="326" t="str">
        <f>C2185</f>
        <v>Непрямі (адміністративні)</v>
      </c>
      <c r="D2190" s="316">
        <f>D2185</f>
        <v>12188.608008565312</v>
      </c>
      <c r="E2190" s="309">
        <f>I2154</f>
        <v>1932.7</v>
      </c>
      <c r="F2190" s="309">
        <f>ROUND((D2190/E2190)/60,2)</f>
        <v>0.11</v>
      </c>
      <c r="G2190" s="309">
        <f>E2158</f>
        <v>30</v>
      </c>
      <c r="H2190" s="308">
        <f>ROUND(F2190*G2190,2)</f>
        <v>3.3</v>
      </c>
      <c r="I2190" s="304"/>
      <c r="J2190" s="304"/>
    </row>
    <row r="2191" spans="1:14" x14ac:dyDescent="0.3">
      <c r="B2191" s="292"/>
      <c r="C2191" s="326" t="str">
        <f t="shared" ref="C2191:D2193" si="89">C2186</f>
        <v>Непрямі (поточні)</v>
      </c>
      <c r="D2191" s="316">
        <f t="shared" si="89"/>
        <v>53.149721627408987</v>
      </c>
      <c r="E2191" s="309">
        <f>I2154</f>
        <v>1932.7</v>
      </c>
      <c r="F2191" s="309">
        <f>ROUND((D2191/E2191)/60,2)</f>
        <v>0</v>
      </c>
      <c r="G2191" s="309">
        <f>E2158</f>
        <v>30</v>
      </c>
      <c r="H2191" s="308">
        <f>ROUND(F2191*G2191,2)</f>
        <v>0</v>
      </c>
      <c r="I2191" s="304"/>
      <c r="J2191" s="304"/>
    </row>
    <row r="2192" spans="1:14" x14ac:dyDescent="0.3">
      <c r="B2192" s="292"/>
      <c r="C2192" s="326" t="str">
        <f t="shared" si="89"/>
        <v>Непрямі (комунальні)</v>
      </c>
      <c r="D2192" s="316">
        <f t="shared" si="89"/>
        <v>374.98368308351178</v>
      </c>
      <c r="E2192" s="309">
        <f>I2154</f>
        <v>1932.7</v>
      </c>
      <c r="F2192" s="309">
        <f>ROUND((D2192/E2192)/60,2)</f>
        <v>0</v>
      </c>
      <c r="G2192" s="309">
        <f>E2158</f>
        <v>30</v>
      </c>
      <c r="H2192" s="308">
        <f>ROUND(F2192*G2192,2)</f>
        <v>0</v>
      </c>
      <c r="I2192" s="304"/>
      <c r="J2192" s="304"/>
    </row>
    <row r="2193" spans="2:10" x14ac:dyDescent="0.3">
      <c r="B2193" s="292"/>
      <c r="C2193" s="326" t="str">
        <f t="shared" si="89"/>
        <v>Непрямі (відділення)</v>
      </c>
      <c r="D2193" s="316">
        <f t="shared" si="89"/>
        <v>1686.0389293361886</v>
      </c>
      <c r="E2193" s="309">
        <f>I2154</f>
        <v>1932.7</v>
      </c>
      <c r="F2193" s="309">
        <f>ROUND((D2193/E2193)/60,2)</f>
        <v>0.01</v>
      </c>
      <c r="G2193" s="309">
        <f>E2158</f>
        <v>30</v>
      </c>
      <c r="H2193" s="308">
        <f>ROUND(F2193*G2193,2)</f>
        <v>0.3</v>
      </c>
      <c r="I2193" s="304"/>
      <c r="J2193" s="304"/>
    </row>
    <row r="2194" spans="2:10" x14ac:dyDescent="0.3">
      <c r="B2194" s="292"/>
      <c r="C2194" s="1056" t="s">
        <v>957</v>
      </c>
      <c r="D2194" s="1057"/>
      <c r="E2194" s="1057"/>
      <c r="F2194" s="1057"/>
      <c r="G2194" s="1058"/>
      <c r="H2194" s="310">
        <f>SUM(H2185:H2193)</f>
        <v>7.8</v>
      </c>
      <c r="I2194" s="304"/>
      <c r="J2194" s="304"/>
    </row>
    <row r="2195" spans="2:10" x14ac:dyDescent="0.3">
      <c r="B2195" s="292"/>
      <c r="C2195" s="324"/>
      <c r="D2195" s="304"/>
      <c r="E2195" s="304"/>
      <c r="F2195" s="304"/>
      <c r="G2195" s="304"/>
      <c r="H2195" s="304"/>
      <c r="I2195" s="304"/>
      <c r="J2195" s="304"/>
    </row>
    <row r="2196" spans="2:10" x14ac:dyDescent="0.3">
      <c r="B2196" s="292"/>
      <c r="C2196" s="324"/>
      <c r="D2196" s="304"/>
      <c r="E2196" s="304"/>
      <c r="F2196" s="304"/>
      <c r="G2196" s="304"/>
      <c r="H2196" s="304"/>
      <c r="I2196" s="304"/>
      <c r="J2196" s="304"/>
    </row>
    <row r="2197" spans="2:10" ht="17.399999999999999" x14ac:dyDescent="0.3">
      <c r="B2197" s="292"/>
      <c r="C2197" s="1059" t="s">
        <v>959</v>
      </c>
      <c r="D2197" s="1059"/>
      <c r="E2197" s="1059"/>
      <c r="F2197" s="1059"/>
      <c r="G2197" s="1059"/>
      <c r="H2197" s="339">
        <f>F2150+F2162+F2176+F2181</f>
        <v>122.11</v>
      </c>
      <c r="I2197" s="304"/>
      <c r="J2197" s="304"/>
    </row>
    <row r="2198" spans="2:10" ht="17.399999999999999" x14ac:dyDescent="0.3">
      <c r="B2198" s="292"/>
      <c r="C2198" s="331"/>
      <c r="D2198" s="295"/>
      <c r="E2198" s="295"/>
      <c r="F2198" s="295"/>
      <c r="G2198" s="295"/>
      <c r="H2198" s="340"/>
      <c r="I2198" s="304"/>
      <c r="J2198" s="304"/>
    </row>
    <row r="2199" spans="2:10" ht="17.399999999999999" x14ac:dyDescent="0.3">
      <c r="B2199" s="292"/>
      <c r="C2199" s="1059" t="s">
        <v>960</v>
      </c>
      <c r="D2199" s="1059"/>
      <c r="E2199" s="1059"/>
      <c r="F2199" s="1059"/>
      <c r="G2199" s="1059"/>
      <c r="H2199" s="334">
        <f>ROUND(H2197,0)</f>
        <v>122</v>
      </c>
      <c r="I2199" s="304"/>
      <c r="J2199" s="304"/>
    </row>
    <row r="2200" spans="2:10" x14ac:dyDescent="0.3">
      <c r="B2200" s="292"/>
      <c r="C2200" s="324"/>
      <c r="D2200" s="304"/>
      <c r="E2200" s="304"/>
      <c r="F2200" s="304"/>
      <c r="G2200" s="304"/>
      <c r="H2200" s="304"/>
      <c r="I2200" s="304"/>
      <c r="J2200" s="304"/>
    </row>
    <row r="2201" spans="2:10" ht="17.399999999999999" x14ac:dyDescent="0.3">
      <c r="B2201" s="1060" t="s">
        <v>958</v>
      </c>
      <c r="C2201" s="1060"/>
      <c r="D2201" s="1060"/>
      <c r="E2201" s="1060"/>
      <c r="F2201" s="1060"/>
      <c r="G2201" s="1060"/>
      <c r="H2201" s="1060"/>
      <c r="I2201" s="1060"/>
      <c r="J2201" s="1060"/>
    </row>
    <row r="2202" spans="2:10" x14ac:dyDescent="0.3">
      <c r="B2202" s="292"/>
      <c r="C2202" s="324"/>
      <c r="D2202" s="304"/>
      <c r="E2202" s="304"/>
      <c r="F2202" s="304"/>
      <c r="G2202" s="304"/>
      <c r="H2202" s="304"/>
      <c r="I2202" s="304"/>
      <c r="J2202" s="304"/>
    </row>
    <row r="2203" spans="2:10" ht="17.399999999999999" x14ac:dyDescent="0.3">
      <c r="B2203" s="356" t="s">
        <v>622</v>
      </c>
      <c r="C2203" s="1061" t="s">
        <v>605</v>
      </c>
      <c r="D2203" s="1061"/>
      <c r="E2203" s="1061"/>
      <c r="F2203" s="305">
        <f>H2254</f>
        <v>122</v>
      </c>
      <c r="G2203" s="305" t="s">
        <v>971</v>
      </c>
      <c r="H2203" s="304"/>
      <c r="I2203" s="304"/>
      <c r="J2203" s="304"/>
    </row>
    <row r="2204" spans="2:10" x14ac:dyDescent="0.3">
      <c r="B2204" s="292"/>
      <c r="C2204" s="324"/>
      <c r="D2204" s="304"/>
      <c r="E2204" s="304"/>
      <c r="F2204" s="304"/>
      <c r="G2204" s="304"/>
      <c r="H2204" s="304"/>
      <c r="I2204" s="304"/>
      <c r="J2204" s="304"/>
    </row>
    <row r="2205" spans="2:10" x14ac:dyDescent="0.3">
      <c r="B2205" s="292"/>
      <c r="C2205" s="1062" t="s">
        <v>932</v>
      </c>
      <c r="D2205" s="1062"/>
      <c r="E2205" s="306"/>
      <c r="F2205" s="307">
        <f>F2212+F2215+F2213</f>
        <v>60.760000000000005</v>
      </c>
      <c r="G2205" s="313" t="s">
        <v>971</v>
      </c>
      <c r="H2205" s="304"/>
      <c r="I2205" s="304"/>
      <c r="J2205" s="304"/>
    </row>
    <row r="2206" spans="2:10" x14ac:dyDescent="0.3">
      <c r="B2206" s="292"/>
      <c r="C2206" s="324"/>
      <c r="D2206" s="304"/>
      <c r="E2206" s="304"/>
      <c r="F2206" s="304"/>
      <c r="G2206" s="304"/>
      <c r="H2206" s="304"/>
      <c r="I2206" s="304"/>
      <c r="J2206" s="304"/>
    </row>
    <row r="2207" spans="2:10" x14ac:dyDescent="0.3">
      <c r="B2207" s="292"/>
      <c r="C2207" s="325" t="s">
        <v>929</v>
      </c>
      <c r="D2207" s="293" t="s">
        <v>928</v>
      </c>
      <c r="E2207" s="293" t="s">
        <v>514</v>
      </c>
      <c r="F2207" s="293" t="s">
        <v>515</v>
      </c>
      <c r="G2207" s="293" t="s">
        <v>962</v>
      </c>
      <c r="H2207" s="293" t="s">
        <v>926</v>
      </c>
      <c r="I2207" s="293" t="s">
        <v>516</v>
      </c>
      <c r="J2207" s="293" t="s">
        <v>961</v>
      </c>
    </row>
    <row r="2208" spans="2:10" x14ac:dyDescent="0.3">
      <c r="B2208" s="292"/>
      <c r="C2208" s="326" t="str">
        <f t="shared" ref="C2208:G2209" si="90">C2153</f>
        <v>Лікар з ультразвукової діагностики</v>
      </c>
      <c r="D2208" s="309">
        <f t="shared" si="90"/>
        <v>6660.23</v>
      </c>
      <c r="E2208" s="309">
        <f t="shared" si="90"/>
        <v>79922.759999999995</v>
      </c>
      <c r="F2208" s="309">
        <f t="shared" si="90"/>
        <v>6054.75</v>
      </c>
      <c r="G2208" s="309">
        <f t="shared" si="90"/>
        <v>4399.8999999999996</v>
      </c>
      <c r="H2208" s="308">
        <f>E2208+F2208+G2208</f>
        <v>90377.409999999989</v>
      </c>
      <c r="I2208" s="309">
        <v>1657.6</v>
      </c>
      <c r="J2208" s="308">
        <f>ROUND((H2208/I2208)/60,2)</f>
        <v>0.91</v>
      </c>
    </row>
    <row r="2209" spans="1:14" x14ac:dyDescent="0.3">
      <c r="B2209" s="292"/>
      <c r="C2209" s="326" t="str">
        <f t="shared" si="90"/>
        <v xml:space="preserve">Сестра медична </v>
      </c>
      <c r="D2209" s="309">
        <f t="shared" si="90"/>
        <v>6506.5</v>
      </c>
      <c r="E2209" s="309">
        <f t="shared" si="90"/>
        <v>78078</v>
      </c>
      <c r="F2209" s="309">
        <f t="shared" si="90"/>
        <v>5005</v>
      </c>
      <c r="G2209" s="309">
        <f t="shared" si="90"/>
        <v>3964.05</v>
      </c>
      <c r="H2209" s="308">
        <f>E2209+F2209+G2209</f>
        <v>87047.05</v>
      </c>
      <c r="I2209" s="309">
        <v>1932.7</v>
      </c>
      <c r="J2209" s="308">
        <f>ROUND((H2209/I2209)/60,2)</f>
        <v>0.75</v>
      </c>
    </row>
    <row r="2210" spans="1:14" x14ac:dyDescent="0.3">
      <c r="B2210" s="292"/>
      <c r="C2210" s="324"/>
      <c r="D2210" s="304"/>
      <c r="E2210" s="304"/>
      <c r="F2210" s="304"/>
      <c r="G2210" s="304"/>
      <c r="H2210" s="304"/>
      <c r="I2210" s="304"/>
      <c r="J2210" s="304"/>
    </row>
    <row r="2211" spans="1:14" ht="27.6" x14ac:dyDescent="0.3">
      <c r="B2211" s="292"/>
      <c r="C2211" s="325" t="s">
        <v>929</v>
      </c>
      <c r="D2211" s="293" t="s">
        <v>961</v>
      </c>
      <c r="E2211" s="293" t="s">
        <v>930</v>
      </c>
      <c r="F2211" s="293" t="s">
        <v>931</v>
      </c>
      <c r="G2211" s="304"/>
      <c r="H2211" s="304"/>
      <c r="I2211" s="304"/>
      <c r="J2211" s="304"/>
    </row>
    <row r="2212" spans="1:14" x14ac:dyDescent="0.3">
      <c r="B2212" s="292"/>
      <c r="C2212" s="327" t="str">
        <f>C2208</f>
        <v>Лікар з ультразвукової діагностики</v>
      </c>
      <c r="D2212" s="308">
        <f>J2208</f>
        <v>0.91</v>
      </c>
      <c r="E2212" s="309">
        <v>30</v>
      </c>
      <c r="F2212" s="310">
        <f>ROUND(D2212*E2212,2)</f>
        <v>27.3</v>
      </c>
      <c r="G2212" s="304"/>
      <c r="H2212" s="304"/>
      <c r="I2212" s="304"/>
      <c r="J2212" s="304"/>
    </row>
    <row r="2213" spans="1:14" x14ac:dyDescent="0.3">
      <c r="B2213" s="292"/>
      <c r="C2213" s="327" t="str">
        <f>C2209</f>
        <v xml:space="preserve">Сестра медична </v>
      </c>
      <c r="D2213" s="308">
        <f>J2209</f>
        <v>0.75</v>
      </c>
      <c r="E2213" s="309">
        <v>30</v>
      </c>
      <c r="F2213" s="310">
        <f>ROUND(D2213*E2213,2)</f>
        <v>22.5</v>
      </c>
      <c r="G2213" s="304"/>
      <c r="H2213" s="304"/>
      <c r="I2213" s="304"/>
      <c r="J2213" s="304"/>
    </row>
    <row r="2214" spans="1:14" x14ac:dyDescent="0.3">
      <c r="B2214" s="292"/>
      <c r="C2214" s="324"/>
      <c r="D2214" s="294"/>
      <c r="E2214" s="304"/>
      <c r="F2214" s="304"/>
      <c r="G2214" s="304"/>
      <c r="H2214" s="304"/>
      <c r="I2214" s="304"/>
      <c r="J2214" s="304"/>
    </row>
    <row r="2215" spans="1:14" x14ac:dyDescent="0.3">
      <c r="B2215" s="292"/>
      <c r="C2215" s="326" t="s">
        <v>933</v>
      </c>
      <c r="D2215" s="308">
        <f>F2212+F2213</f>
        <v>49.8</v>
      </c>
      <c r="E2215" s="311">
        <v>0.22</v>
      </c>
      <c r="F2215" s="312">
        <f>ROUND(D2215*E2215,2)</f>
        <v>10.96</v>
      </c>
      <c r="G2215" s="304"/>
      <c r="H2215" s="304"/>
      <c r="I2215" s="304"/>
      <c r="J2215" s="304"/>
    </row>
    <row r="2216" spans="1:14" x14ac:dyDescent="0.3">
      <c r="B2216" s="292"/>
      <c r="C2216" s="324"/>
      <c r="D2216" s="304"/>
      <c r="E2216" s="304"/>
      <c r="F2216" s="304"/>
      <c r="G2216" s="304"/>
      <c r="H2216" s="304"/>
      <c r="I2216" s="304"/>
      <c r="J2216" s="304"/>
    </row>
    <row r="2217" spans="1:14" x14ac:dyDescent="0.3">
      <c r="B2217" s="292"/>
      <c r="C2217" s="328" t="s">
        <v>946</v>
      </c>
      <c r="D2217" s="313"/>
      <c r="E2217" s="313"/>
      <c r="F2217" s="313">
        <f>G2229</f>
        <v>12.45</v>
      </c>
      <c r="G2217" s="313" t="s">
        <v>971</v>
      </c>
      <c r="H2217" s="304"/>
      <c r="I2217" s="304"/>
      <c r="J2217" s="304"/>
    </row>
    <row r="2218" spans="1:14" x14ac:dyDescent="0.3">
      <c r="B2218" s="292"/>
      <c r="C2218" s="324"/>
      <c r="D2218" s="304"/>
      <c r="E2218" s="304"/>
      <c r="F2218" s="304"/>
      <c r="G2218" s="304"/>
      <c r="H2218" s="304"/>
      <c r="I2218" s="304"/>
      <c r="J2218" s="304"/>
    </row>
    <row r="2219" spans="1:14" s="350" customFormat="1" x14ac:dyDescent="0.3">
      <c r="A2219" s="7"/>
      <c r="B2219" s="292"/>
      <c r="C2219" s="27" t="str">
        <f t="shared" ref="C2219:F2228" si="91">C2164</f>
        <v>Рукавиці не стерильні</v>
      </c>
      <c r="D2219" s="303" t="str">
        <f t="shared" si="91"/>
        <v>шт</v>
      </c>
      <c r="E2219" s="303">
        <f t="shared" si="91"/>
        <v>0.1</v>
      </c>
      <c r="F2219" s="303">
        <f t="shared" si="91"/>
        <v>2.8</v>
      </c>
      <c r="G2219" s="337">
        <f>ROUND(F2219*E2219,2)</f>
        <v>0.28000000000000003</v>
      </c>
      <c r="H2219" s="304"/>
      <c r="I2219" s="304"/>
      <c r="J2219" s="304"/>
      <c r="K2219" s="22"/>
      <c r="L2219" s="346"/>
      <c r="M2219" s="346"/>
      <c r="N2219" s="3"/>
    </row>
    <row r="2220" spans="1:14" s="350" customFormat="1" x14ac:dyDescent="0.3">
      <c r="A2220" s="7"/>
      <c r="B2220" s="292"/>
      <c r="C2220" s="27" t="str">
        <f t="shared" si="91"/>
        <v xml:space="preserve">Септил 70% 100мл </v>
      </c>
      <c r="D2220" s="303" t="str">
        <f t="shared" si="91"/>
        <v>шт</v>
      </c>
      <c r="E2220" s="303">
        <f t="shared" si="91"/>
        <v>0.01</v>
      </c>
      <c r="F2220" s="303">
        <f t="shared" si="91"/>
        <v>24.6</v>
      </c>
      <c r="G2220" s="337">
        <f t="shared" ref="G2220:G2225" si="92">ROUND(F2220*E2220,2)</f>
        <v>0.25</v>
      </c>
      <c r="H2220" s="304"/>
      <c r="I2220" s="304"/>
      <c r="J2220" s="304"/>
      <c r="K2220" s="22"/>
      <c r="L2220" s="346"/>
      <c r="M2220" s="346"/>
      <c r="N2220" s="3"/>
    </row>
    <row r="2221" spans="1:14" s="350" customFormat="1" x14ac:dyDescent="0.3">
      <c r="A2221" s="7"/>
      <c r="B2221" s="292"/>
      <c r="C2221" s="27" t="str">
        <f t="shared" si="91"/>
        <v>Маска на резинці, стерильна.</v>
      </c>
      <c r="D2221" s="303" t="str">
        <f t="shared" si="91"/>
        <v>шт</v>
      </c>
      <c r="E2221" s="303">
        <f t="shared" si="91"/>
        <v>0.1</v>
      </c>
      <c r="F2221" s="303">
        <f t="shared" si="91"/>
        <v>2</v>
      </c>
      <c r="G2221" s="337">
        <f t="shared" si="92"/>
        <v>0.2</v>
      </c>
      <c r="H2221" s="304"/>
      <c r="I2221" s="304"/>
      <c r="J2221" s="304"/>
      <c r="K2221" s="22"/>
      <c r="L2221" s="346"/>
      <c r="M2221" s="346"/>
      <c r="N2221" s="3"/>
    </row>
    <row r="2222" spans="1:14" s="350" customFormat="1" x14ac:dyDescent="0.3">
      <c r="A2222" s="7"/>
      <c r="B2222" s="292"/>
      <c r="C2222" s="27" t="str">
        <f t="shared" si="91"/>
        <v>Мікрасепт</v>
      </c>
      <c r="D2222" s="303" t="str">
        <f t="shared" si="91"/>
        <v>мл</v>
      </c>
      <c r="E2222" s="303">
        <f t="shared" si="91"/>
        <v>1</v>
      </c>
      <c r="F2222" s="303">
        <f t="shared" si="91"/>
        <v>0.3</v>
      </c>
      <c r="G2222" s="28">
        <f>ROUND(E2222*F2222,2)</f>
        <v>0.3</v>
      </c>
      <c r="H2222" s="304"/>
      <c r="I2222" s="304"/>
      <c r="J2222" s="304"/>
      <c r="K2222" s="22"/>
      <c r="L2222" s="346"/>
      <c r="M2222" s="346"/>
      <c r="N2222" s="3"/>
    </row>
    <row r="2223" spans="1:14" s="350" customFormat="1" x14ac:dyDescent="0.3">
      <c r="A2223" s="7"/>
      <c r="B2223" s="292"/>
      <c r="C2223" s="27" t="str">
        <f t="shared" si="91"/>
        <v>Папір офісний А4</v>
      </c>
      <c r="D2223" s="303" t="str">
        <f t="shared" si="91"/>
        <v>шт</v>
      </c>
      <c r="E2223" s="303">
        <f t="shared" si="91"/>
        <v>2</v>
      </c>
      <c r="F2223" s="303">
        <f t="shared" si="91"/>
        <v>0.3</v>
      </c>
      <c r="G2223" s="337">
        <f t="shared" si="92"/>
        <v>0.6</v>
      </c>
      <c r="H2223" s="304"/>
      <c r="I2223" s="304"/>
      <c r="J2223" s="304"/>
      <c r="K2223" s="22"/>
      <c r="L2223" s="346"/>
      <c r="M2223" s="346"/>
      <c r="N2223" s="3"/>
    </row>
    <row r="2224" spans="1:14" s="350" customFormat="1" x14ac:dyDescent="0.3">
      <c r="A2224" s="7"/>
      <c r="B2224" s="292"/>
      <c r="C2224" s="27" t="str">
        <f t="shared" si="91"/>
        <v xml:space="preserve">Гель для УЗД , 1000 гр. </v>
      </c>
      <c r="D2224" s="303" t="str">
        <f t="shared" si="91"/>
        <v>пляшка</v>
      </c>
      <c r="E2224" s="303">
        <f t="shared" si="91"/>
        <v>0.1</v>
      </c>
      <c r="F2224" s="303">
        <f t="shared" si="91"/>
        <v>48</v>
      </c>
      <c r="G2224" s="337">
        <f t="shared" si="92"/>
        <v>4.8</v>
      </c>
      <c r="H2224" s="304"/>
      <c r="I2224" s="304"/>
      <c r="J2224" s="304"/>
      <c r="K2224" s="22"/>
      <c r="L2224" s="346"/>
      <c r="M2224" s="346"/>
      <c r="N2224" s="3"/>
    </row>
    <row r="2225" spans="1:14" s="350" customFormat="1" x14ac:dyDescent="0.3">
      <c r="A2225" s="7"/>
      <c r="B2225" s="292"/>
      <c r="C2225" s="27" t="str">
        <f t="shared" si="91"/>
        <v>Паперові рушники "Fesko Professional"</v>
      </c>
      <c r="D2225" s="303" t="str">
        <f t="shared" si="91"/>
        <v>рул</v>
      </c>
      <c r="E2225" s="303">
        <f t="shared" si="91"/>
        <v>0.3</v>
      </c>
      <c r="F2225" s="303">
        <f t="shared" si="91"/>
        <v>17</v>
      </c>
      <c r="G2225" s="337">
        <f t="shared" si="92"/>
        <v>5.0999999999999996</v>
      </c>
      <c r="H2225" s="304"/>
      <c r="I2225" s="304"/>
      <c r="J2225" s="304"/>
      <c r="K2225" s="22"/>
      <c r="L2225" s="346"/>
      <c r="M2225" s="346"/>
      <c r="N2225" s="3"/>
    </row>
    <row r="2226" spans="1:14" s="350" customFormat="1" x14ac:dyDescent="0.3">
      <c r="A2226" s="7"/>
      <c r="B2226" s="292"/>
      <c r="C2226" s="27" t="str">
        <f t="shared" si="91"/>
        <v>Марля медична</v>
      </c>
      <c r="D2226" s="303" t="str">
        <f t="shared" si="91"/>
        <v>метр</v>
      </c>
      <c r="E2226" s="303">
        <f t="shared" si="91"/>
        <v>0.1</v>
      </c>
      <c r="F2226" s="303">
        <f t="shared" si="91"/>
        <v>6</v>
      </c>
      <c r="G2226" s="28">
        <f>ROUND(E2226*F2226,2)</f>
        <v>0.6</v>
      </c>
      <c r="H2226" s="304"/>
      <c r="I2226" s="304"/>
      <c r="J2226" s="304"/>
      <c r="K2226" s="22"/>
      <c r="L2226" s="346"/>
      <c r="M2226" s="346"/>
      <c r="N2226" s="3"/>
    </row>
    <row r="2227" spans="1:14" s="350" customFormat="1" x14ac:dyDescent="0.3">
      <c r="A2227" s="7"/>
      <c r="B2227" s="292"/>
      <c r="C2227" s="27" t="str">
        <f t="shared" si="91"/>
        <v>Вата</v>
      </c>
      <c r="D2227" s="303" t="str">
        <f t="shared" si="91"/>
        <v>г</v>
      </c>
      <c r="E2227" s="303">
        <f t="shared" si="91"/>
        <v>1</v>
      </c>
      <c r="F2227" s="303">
        <f t="shared" si="91"/>
        <v>7.0000000000000007E-2</v>
      </c>
      <c r="G2227" s="28">
        <f>ROUND(E2227*F2227,2)</f>
        <v>7.0000000000000007E-2</v>
      </c>
      <c r="H2227" s="304"/>
      <c r="I2227" s="304"/>
      <c r="J2227" s="304"/>
      <c r="K2227" s="22"/>
      <c r="L2227" s="346"/>
      <c r="M2227" s="346"/>
      <c r="N2227" s="3"/>
    </row>
    <row r="2228" spans="1:14" s="350" customFormat="1" x14ac:dyDescent="0.3">
      <c r="A2228" s="7"/>
      <c r="B2228" s="292"/>
      <c r="C2228" s="27" t="str">
        <f t="shared" si="91"/>
        <v>Деззасоби</v>
      </c>
      <c r="D2228" s="303" t="str">
        <f t="shared" si="91"/>
        <v>г</v>
      </c>
      <c r="E2228" s="303">
        <f t="shared" si="91"/>
        <v>0.5</v>
      </c>
      <c r="F2228" s="303">
        <f t="shared" si="91"/>
        <v>0.5</v>
      </c>
      <c r="G2228" s="28">
        <f>ROUND(E2228*F2228,2)</f>
        <v>0.25</v>
      </c>
      <c r="H2228" s="304"/>
      <c r="I2228" s="304"/>
      <c r="J2228" s="304"/>
      <c r="K2228" s="22"/>
      <c r="L2228" s="346"/>
      <c r="M2228" s="346"/>
      <c r="N2228" s="3"/>
    </row>
    <row r="2229" spans="1:14" s="350" customFormat="1" x14ac:dyDescent="0.3">
      <c r="A2229" s="7"/>
      <c r="B2229" s="292"/>
      <c r="C2229" s="1063" t="s">
        <v>945</v>
      </c>
      <c r="D2229" s="1063"/>
      <c r="E2229" s="1063"/>
      <c r="F2229" s="1063"/>
      <c r="G2229" s="332">
        <f>SUM(G2219:G2228)</f>
        <v>12.45</v>
      </c>
      <c r="H2229" s="304"/>
      <c r="I2229" s="304"/>
      <c r="J2229" s="304"/>
      <c r="K2229" s="22"/>
      <c r="L2229" s="346"/>
      <c r="M2229" s="346"/>
      <c r="N2229" s="3"/>
    </row>
    <row r="2230" spans="1:14" x14ac:dyDescent="0.3">
      <c r="B2230" s="292"/>
      <c r="C2230" s="324"/>
      <c r="D2230" s="304"/>
      <c r="E2230" s="304"/>
      <c r="F2230" s="304"/>
      <c r="G2230" s="304"/>
      <c r="H2230" s="304"/>
      <c r="I2230" s="304"/>
      <c r="J2230" s="304"/>
    </row>
    <row r="2231" spans="1:14" x14ac:dyDescent="0.3">
      <c r="B2231" s="292"/>
      <c r="C2231" s="328" t="s">
        <v>968</v>
      </c>
      <c r="D2231" s="313"/>
      <c r="E2231" s="313"/>
      <c r="F2231" s="307">
        <f>H2234</f>
        <v>41.1</v>
      </c>
      <c r="G2231" s="313" t="s">
        <v>971</v>
      </c>
      <c r="H2231" s="304"/>
      <c r="I2231" s="304"/>
      <c r="J2231" s="304"/>
    </row>
    <row r="2232" spans="1:14" x14ac:dyDescent="0.3">
      <c r="B2232" s="292"/>
      <c r="C2232" s="329"/>
      <c r="D2232" s="314"/>
      <c r="E2232" s="314"/>
      <c r="F2232" s="315"/>
      <c r="G2232" s="314"/>
      <c r="H2232" s="304"/>
      <c r="I2232" s="304"/>
      <c r="J2232" s="304"/>
    </row>
    <row r="2233" spans="1:14" s="350" customFormat="1" ht="27.6" x14ac:dyDescent="0.3">
      <c r="A2233" s="7"/>
      <c r="B2233" s="292"/>
      <c r="C2233" s="330" t="s">
        <v>513</v>
      </c>
      <c r="D2233" s="293" t="s">
        <v>1108</v>
      </c>
      <c r="E2233" s="293" t="s">
        <v>516</v>
      </c>
      <c r="F2233" s="293" t="s">
        <v>970</v>
      </c>
      <c r="G2233" s="293" t="s">
        <v>930</v>
      </c>
      <c r="H2233" s="293" t="s">
        <v>961</v>
      </c>
      <c r="I2233" s="304"/>
      <c r="J2233" s="304"/>
      <c r="K2233" s="22"/>
      <c r="L2233" s="346"/>
      <c r="M2233" s="346"/>
      <c r="N2233" s="3"/>
    </row>
    <row r="2234" spans="1:14" s="350" customFormat="1" x14ac:dyDescent="0.3">
      <c r="A2234" s="7"/>
      <c r="B2234" s="292"/>
      <c r="C2234" s="27" t="str">
        <f>C2179</f>
        <v>Ультразвукова система AFFINITI 30</v>
      </c>
      <c r="D2234" s="303">
        <f>D2179</f>
        <v>136236.38</v>
      </c>
      <c r="E2234" s="309">
        <f>I2208</f>
        <v>1657.6</v>
      </c>
      <c r="F2234" s="309">
        <f>ROUND((D2234/E2234)/60,2)</f>
        <v>1.37</v>
      </c>
      <c r="G2234" s="309">
        <f>E2212</f>
        <v>30</v>
      </c>
      <c r="H2234" s="308">
        <f>ROUND(F2234*G2234,2)</f>
        <v>41.1</v>
      </c>
      <c r="I2234" s="338"/>
      <c r="J2234" s="304"/>
      <c r="K2234" s="22"/>
      <c r="L2234" s="346"/>
      <c r="M2234" s="346"/>
      <c r="N2234" s="3"/>
    </row>
    <row r="2235" spans="1:14" x14ac:dyDescent="0.3">
      <c r="B2235" s="292"/>
      <c r="C2235" s="324"/>
      <c r="D2235" s="304"/>
      <c r="E2235" s="304"/>
      <c r="F2235" s="304"/>
      <c r="G2235" s="304"/>
      <c r="H2235" s="304"/>
      <c r="I2235" s="304"/>
      <c r="J2235" s="304"/>
    </row>
    <row r="2236" spans="1:14" x14ac:dyDescent="0.3">
      <c r="B2236" s="292"/>
      <c r="C2236" s="328" t="s">
        <v>948</v>
      </c>
      <c r="D2236" s="313"/>
      <c r="E2236" s="313"/>
      <c r="F2236" s="307">
        <f>H2249</f>
        <v>7.8</v>
      </c>
      <c r="G2236" s="313" t="s">
        <v>971</v>
      </c>
      <c r="H2236" s="304"/>
      <c r="I2236" s="304"/>
      <c r="J2236" s="304"/>
    </row>
    <row r="2237" spans="1:14" x14ac:dyDescent="0.3">
      <c r="B2237" s="292"/>
      <c r="C2237" s="329"/>
      <c r="D2237" s="314"/>
      <c r="E2237" s="314"/>
      <c r="F2237" s="315"/>
      <c r="G2237" s="304"/>
      <c r="H2237" s="304"/>
      <c r="I2237" s="304"/>
      <c r="J2237" s="304"/>
    </row>
    <row r="2238" spans="1:14" ht="27.6" x14ac:dyDescent="0.3">
      <c r="B2238" s="292"/>
      <c r="C2238" s="330" t="s">
        <v>948</v>
      </c>
      <c r="D2238" s="293" t="s">
        <v>1110</v>
      </c>
      <c r="E2238" s="293" t="s">
        <v>516</v>
      </c>
      <c r="F2238" s="293" t="s">
        <v>954</v>
      </c>
      <c r="G2238" s="293" t="s">
        <v>930</v>
      </c>
      <c r="H2238" s="293" t="s">
        <v>1111</v>
      </c>
      <c r="I2238" s="304"/>
      <c r="J2238" s="304"/>
    </row>
    <row r="2239" spans="1:14" x14ac:dyDescent="0.3">
      <c r="B2239" s="292"/>
      <c r="C2239" s="1064" t="str">
        <f>C2208</f>
        <v>Лікар з ультразвукової діагностики</v>
      </c>
      <c r="D2239" s="1065"/>
      <c r="E2239" s="1065"/>
      <c r="F2239" s="1065"/>
      <c r="G2239" s="1065"/>
      <c r="H2239" s="1066"/>
      <c r="I2239" s="304"/>
      <c r="J2239" s="304"/>
    </row>
    <row r="2240" spans="1:14" x14ac:dyDescent="0.3">
      <c r="B2240" s="292"/>
      <c r="C2240" s="326" t="str">
        <f>C2185</f>
        <v>Непрямі (адміністративні)</v>
      </c>
      <c r="D2240" s="316">
        <f>D2185</f>
        <v>12188.608008565312</v>
      </c>
      <c r="E2240" s="309">
        <f>I2208</f>
        <v>1657.6</v>
      </c>
      <c r="F2240" s="309">
        <f>ROUND((D2240/E2240)/60,2)</f>
        <v>0.12</v>
      </c>
      <c r="G2240" s="309">
        <f>E2212</f>
        <v>30</v>
      </c>
      <c r="H2240" s="308">
        <f>ROUND(F2240*G2240,2)</f>
        <v>3.6</v>
      </c>
      <c r="I2240" s="304"/>
      <c r="J2240" s="304"/>
    </row>
    <row r="2241" spans="2:10" x14ac:dyDescent="0.3">
      <c r="B2241" s="292"/>
      <c r="C2241" s="326" t="str">
        <f t="shared" ref="C2241:D2243" si="93">C2186</f>
        <v>Непрямі (поточні)</v>
      </c>
      <c r="D2241" s="316">
        <f t="shared" si="93"/>
        <v>53.149721627408987</v>
      </c>
      <c r="E2241" s="309">
        <f>I2208</f>
        <v>1657.6</v>
      </c>
      <c r="F2241" s="309">
        <f>ROUND((D2241/E2241)/60,2)</f>
        <v>0</v>
      </c>
      <c r="G2241" s="309">
        <f>E2212</f>
        <v>30</v>
      </c>
      <c r="H2241" s="308">
        <f>ROUND(F2241*G2241,2)</f>
        <v>0</v>
      </c>
      <c r="I2241" s="304"/>
      <c r="J2241" s="304"/>
    </row>
    <row r="2242" spans="2:10" x14ac:dyDescent="0.3">
      <c r="B2242" s="292"/>
      <c r="C2242" s="326" t="str">
        <f t="shared" si="93"/>
        <v>Непрямі (комунальні)</v>
      </c>
      <c r="D2242" s="316">
        <f t="shared" si="93"/>
        <v>374.98368308351178</v>
      </c>
      <c r="E2242" s="309">
        <f>I2208</f>
        <v>1657.6</v>
      </c>
      <c r="F2242" s="309">
        <f>ROUND((D2242/E2242)/60,2)</f>
        <v>0</v>
      </c>
      <c r="G2242" s="309">
        <f>E2212</f>
        <v>30</v>
      </c>
      <c r="H2242" s="308">
        <f>ROUND(F2242*G2242,2)</f>
        <v>0</v>
      </c>
      <c r="I2242" s="304"/>
      <c r="J2242" s="304"/>
    </row>
    <row r="2243" spans="2:10" x14ac:dyDescent="0.3">
      <c r="B2243" s="292"/>
      <c r="C2243" s="326" t="str">
        <f t="shared" si="93"/>
        <v>Непрямі (відділення)</v>
      </c>
      <c r="D2243" s="316">
        <f t="shared" si="93"/>
        <v>1686.0389293361886</v>
      </c>
      <c r="E2243" s="309">
        <f>I2208</f>
        <v>1657.6</v>
      </c>
      <c r="F2243" s="309">
        <f>ROUND((D2243/E2243)/60,2)</f>
        <v>0.02</v>
      </c>
      <c r="G2243" s="309">
        <f>E2212</f>
        <v>30</v>
      </c>
      <c r="H2243" s="308">
        <f>ROUND(F2243*G2243,2)</f>
        <v>0.6</v>
      </c>
      <c r="I2243" s="304"/>
      <c r="J2243" s="304"/>
    </row>
    <row r="2244" spans="2:10" x14ac:dyDescent="0.3">
      <c r="B2244" s="292"/>
      <c r="C2244" s="1064" t="str">
        <f>C2209</f>
        <v xml:space="preserve">Сестра медична </v>
      </c>
      <c r="D2244" s="1065"/>
      <c r="E2244" s="1065"/>
      <c r="F2244" s="1065"/>
      <c r="G2244" s="1065"/>
      <c r="H2244" s="1066"/>
      <c r="I2244" s="304"/>
      <c r="J2244" s="304"/>
    </row>
    <row r="2245" spans="2:10" x14ac:dyDescent="0.3">
      <c r="B2245" s="292"/>
      <c r="C2245" s="326" t="str">
        <f>C2240</f>
        <v>Непрямі (адміністративні)</v>
      </c>
      <c r="D2245" s="316">
        <f>D2240</f>
        <v>12188.608008565312</v>
      </c>
      <c r="E2245" s="309">
        <f>I2209</f>
        <v>1932.7</v>
      </c>
      <c r="F2245" s="309">
        <f>ROUND((D2245/E2245)/60,2)</f>
        <v>0.11</v>
      </c>
      <c r="G2245" s="309">
        <f>E2213</f>
        <v>30</v>
      </c>
      <c r="H2245" s="308">
        <f>ROUND(F2245*G2245,2)</f>
        <v>3.3</v>
      </c>
      <c r="I2245" s="304"/>
      <c r="J2245" s="304"/>
    </row>
    <row r="2246" spans="2:10" x14ac:dyDescent="0.3">
      <c r="B2246" s="292"/>
      <c r="C2246" s="326" t="str">
        <f t="shared" ref="C2246:D2248" si="94">C2241</f>
        <v>Непрямі (поточні)</v>
      </c>
      <c r="D2246" s="316">
        <f t="shared" si="94"/>
        <v>53.149721627408987</v>
      </c>
      <c r="E2246" s="309">
        <f>I2209</f>
        <v>1932.7</v>
      </c>
      <c r="F2246" s="309">
        <f>ROUND((D2246/E2246)/60,2)</f>
        <v>0</v>
      </c>
      <c r="G2246" s="309">
        <f>E2213</f>
        <v>30</v>
      </c>
      <c r="H2246" s="308">
        <f>ROUND(F2246*G2246,2)</f>
        <v>0</v>
      </c>
      <c r="I2246" s="304"/>
      <c r="J2246" s="304"/>
    </row>
    <row r="2247" spans="2:10" x14ac:dyDescent="0.3">
      <c r="B2247" s="292"/>
      <c r="C2247" s="326" t="str">
        <f t="shared" si="94"/>
        <v>Непрямі (комунальні)</v>
      </c>
      <c r="D2247" s="316">
        <f t="shared" si="94"/>
        <v>374.98368308351178</v>
      </c>
      <c r="E2247" s="309">
        <f>I2209</f>
        <v>1932.7</v>
      </c>
      <c r="F2247" s="309">
        <f>ROUND((D2247/E2247)/60,2)</f>
        <v>0</v>
      </c>
      <c r="G2247" s="309">
        <f>E2213</f>
        <v>30</v>
      </c>
      <c r="H2247" s="308">
        <f>ROUND(F2247*G2247,2)</f>
        <v>0</v>
      </c>
      <c r="I2247" s="304"/>
      <c r="J2247" s="304"/>
    </row>
    <row r="2248" spans="2:10" x14ac:dyDescent="0.3">
      <c r="B2248" s="292"/>
      <c r="C2248" s="326" t="str">
        <f t="shared" si="94"/>
        <v>Непрямі (відділення)</v>
      </c>
      <c r="D2248" s="316">
        <f t="shared" si="94"/>
        <v>1686.0389293361886</v>
      </c>
      <c r="E2248" s="309">
        <f>I2209</f>
        <v>1932.7</v>
      </c>
      <c r="F2248" s="309">
        <f>ROUND((D2248/E2248)/60,2)</f>
        <v>0.01</v>
      </c>
      <c r="G2248" s="309">
        <f>E2213</f>
        <v>30</v>
      </c>
      <c r="H2248" s="308">
        <f>ROUND(F2248*G2248,2)</f>
        <v>0.3</v>
      </c>
      <c r="I2248" s="304"/>
      <c r="J2248" s="304"/>
    </row>
    <row r="2249" spans="2:10" x14ac:dyDescent="0.3">
      <c r="B2249" s="292"/>
      <c r="C2249" s="1056" t="s">
        <v>957</v>
      </c>
      <c r="D2249" s="1057"/>
      <c r="E2249" s="1057"/>
      <c r="F2249" s="1057"/>
      <c r="G2249" s="1058"/>
      <c r="H2249" s="310">
        <f>SUM(H2240:H2248)</f>
        <v>7.8</v>
      </c>
      <c r="I2249" s="304"/>
      <c r="J2249" s="304"/>
    </row>
    <row r="2250" spans="2:10" x14ac:dyDescent="0.3">
      <c r="B2250" s="292"/>
      <c r="C2250" s="324"/>
      <c r="D2250" s="304"/>
      <c r="E2250" s="304"/>
      <c r="F2250" s="304"/>
      <c r="G2250" s="304"/>
      <c r="H2250" s="304"/>
      <c r="I2250" s="304"/>
      <c r="J2250" s="304"/>
    </row>
    <row r="2251" spans="2:10" x14ac:dyDescent="0.3">
      <c r="B2251" s="292"/>
      <c r="C2251" s="324"/>
      <c r="D2251" s="304"/>
      <c r="E2251" s="304"/>
      <c r="F2251" s="304"/>
      <c r="G2251" s="304"/>
      <c r="H2251" s="304"/>
      <c r="I2251" s="304"/>
      <c r="J2251" s="304"/>
    </row>
    <row r="2252" spans="2:10" ht="17.399999999999999" x14ac:dyDescent="0.3">
      <c r="B2252" s="292"/>
      <c r="C2252" s="1059" t="s">
        <v>959</v>
      </c>
      <c r="D2252" s="1059"/>
      <c r="E2252" s="1059"/>
      <c r="F2252" s="1059"/>
      <c r="G2252" s="1059"/>
      <c r="H2252" s="339">
        <f>F2205+F2217+F2231+F2236</f>
        <v>122.11</v>
      </c>
      <c r="I2252" s="304"/>
      <c r="J2252" s="304"/>
    </row>
    <row r="2253" spans="2:10" ht="17.399999999999999" x14ac:dyDescent="0.3">
      <c r="B2253" s="292"/>
      <c r="C2253" s="331"/>
      <c r="D2253" s="295"/>
      <c r="E2253" s="295"/>
      <c r="F2253" s="295"/>
      <c r="G2253" s="295"/>
      <c r="H2253" s="340"/>
      <c r="I2253" s="304"/>
      <c r="J2253" s="304"/>
    </row>
    <row r="2254" spans="2:10" ht="17.399999999999999" x14ac:dyDescent="0.3">
      <c r="B2254" s="292"/>
      <c r="C2254" s="1059" t="s">
        <v>960</v>
      </c>
      <c r="D2254" s="1059"/>
      <c r="E2254" s="1059"/>
      <c r="F2254" s="1059"/>
      <c r="G2254" s="1059"/>
      <c r="H2254" s="334">
        <f>ROUND(H2252,0)</f>
        <v>122</v>
      </c>
      <c r="I2254" s="304"/>
      <c r="J2254" s="304"/>
    </row>
  </sheetData>
  <mergeCells count="370">
    <mergeCell ref="C2254:G2254"/>
    <mergeCell ref="C2203:E2203"/>
    <mergeCell ref="C2205:D2205"/>
    <mergeCell ref="C2229:F2229"/>
    <mergeCell ref="C2239:H2239"/>
    <mergeCell ref="C2184:H2184"/>
    <mergeCell ref="C2189:H2189"/>
    <mergeCell ref="C2244:H2244"/>
    <mergeCell ref="C2194:G2194"/>
    <mergeCell ref="C2197:G2197"/>
    <mergeCell ref="C2199:G2199"/>
    <mergeCell ref="B2201:J2201"/>
    <mergeCell ref="C2249:G2249"/>
    <mergeCell ref="C2252:G2252"/>
    <mergeCell ref="C2150:D2150"/>
    <mergeCell ref="C2174:F2174"/>
    <mergeCell ref="C2134:H2134"/>
    <mergeCell ref="C2139:G2139"/>
    <mergeCell ref="C2095:D2095"/>
    <mergeCell ref="C2142:G2142"/>
    <mergeCell ref="C2144:G2144"/>
    <mergeCell ref="B2146:J2146"/>
    <mergeCell ref="C2148:E2148"/>
    <mergeCell ref="C2119:F2119"/>
    <mergeCell ref="C2129:H2129"/>
    <mergeCell ref="C2089:G2089"/>
    <mergeCell ref="C2074:H2074"/>
    <mergeCell ref="C2079:H2079"/>
    <mergeCell ref="C2084:G2084"/>
    <mergeCell ref="C2087:G2087"/>
    <mergeCell ref="B2036:J2036"/>
    <mergeCell ref="C2038:E2038"/>
    <mergeCell ref="B2091:J2091"/>
    <mergeCell ref="C2093:E2093"/>
    <mergeCell ref="C2040:D2040"/>
    <mergeCell ref="C2064:F2064"/>
    <mergeCell ref="C2024:H2024"/>
    <mergeCell ref="C1977:G1977"/>
    <mergeCell ref="C1979:G1979"/>
    <mergeCell ref="B1980:J1980"/>
    <mergeCell ref="C1983:E1983"/>
    <mergeCell ref="B1981:J1981"/>
    <mergeCell ref="C1985:D1985"/>
    <mergeCell ref="C2009:F2009"/>
    <mergeCell ref="C2029:G2029"/>
    <mergeCell ref="C2032:G2032"/>
    <mergeCell ref="C2034:G2034"/>
    <mergeCell ref="C2019:H2019"/>
    <mergeCell ref="C1924:G1924"/>
    <mergeCell ref="B1926:J1926"/>
    <mergeCell ref="C1928:E1928"/>
    <mergeCell ref="C1930:D1930"/>
    <mergeCell ref="C1954:F1954"/>
    <mergeCell ref="C1964:H1964"/>
    <mergeCell ref="C1969:H1969"/>
    <mergeCell ref="C1974:G1974"/>
    <mergeCell ref="C1820:D1820"/>
    <mergeCell ref="C1799:H1799"/>
    <mergeCell ref="C1759:G1759"/>
    <mergeCell ref="C1754:G1754"/>
    <mergeCell ref="C1765:D1765"/>
    <mergeCell ref="C1919:G1919"/>
    <mergeCell ref="C1922:G1922"/>
    <mergeCell ref="C1804:H1804"/>
    <mergeCell ref="C1869:G1869"/>
    <mergeCell ref="C1844:F1844"/>
    <mergeCell ref="C1854:H1854"/>
    <mergeCell ref="C1859:H1859"/>
    <mergeCell ref="C1864:G1864"/>
    <mergeCell ref="C1867:G1867"/>
    <mergeCell ref="C1818:E1818"/>
    <mergeCell ref="B1871:J1871"/>
    <mergeCell ref="C1873:E1873"/>
    <mergeCell ref="C1875:D1875"/>
    <mergeCell ref="C1899:F1899"/>
    <mergeCell ref="C1909:H1909"/>
    <mergeCell ref="C1914:H1914"/>
    <mergeCell ref="C1789:F1789"/>
    <mergeCell ref="C1757:G1757"/>
    <mergeCell ref="B1761:J1761"/>
    <mergeCell ref="C1710:D1710"/>
    <mergeCell ref="C1694:H1694"/>
    <mergeCell ref="C1812:G1812"/>
    <mergeCell ref="B1816:J1816"/>
    <mergeCell ref="C1809:G1809"/>
    <mergeCell ref="C1814:G1814"/>
    <mergeCell ref="C1744:H1744"/>
    <mergeCell ref="C1634:H1634"/>
    <mergeCell ref="C1624:F1624"/>
    <mergeCell ref="C1679:F1679"/>
    <mergeCell ref="C1702:G1702"/>
    <mergeCell ref="C1699:G1699"/>
    <mergeCell ref="C1704:G1704"/>
    <mergeCell ref="B1706:J1706"/>
    <mergeCell ref="C1600:D1600"/>
    <mergeCell ref="C1763:E1763"/>
    <mergeCell ref="C1579:H1579"/>
    <mergeCell ref="C1490:D1490"/>
    <mergeCell ref="B1486:J1486"/>
    <mergeCell ref="C1488:E1488"/>
    <mergeCell ref="C1545:D1545"/>
    <mergeCell ref="C1543:E1543"/>
    <mergeCell ref="C1539:G1539"/>
    <mergeCell ref="C1584:H1584"/>
    <mergeCell ref="C1749:H1749"/>
    <mergeCell ref="C1734:F1734"/>
    <mergeCell ref="C1708:E1708"/>
    <mergeCell ref="C1589:G1589"/>
    <mergeCell ref="C1594:G1594"/>
    <mergeCell ref="C1653:E1653"/>
    <mergeCell ref="C1639:H1639"/>
    <mergeCell ref="B1651:J1651"/>
    <mergeCell ref="C1647:G1647"/>
    <mergeCell ref="C1598:E1598"/>
    <mergeCell ref="C1592:G1592"/>
    <mergeCell ref="C1689:H1689"/>
    <mergeCell ref="C1649:G1649"/>
    <mergeCell ref="C1655:D1655"/>
    <mergeCell ref="B1596:J1596"/>
    <mergeCell ref="C1644:G1644"/>
    <mergeCell ref="C1569:F1569"/>
    <mergeCell ref="C1534:G1534"/>
    <mergeCell ref="C1524:H1524"/>
    <mergeCell ref="C1537:G1537"/>
    <mergeCell ref="C1529:H1529"/>
    <mergeCell ref="C1268:E1268"/>
    <mergeCell ref="C1309:H1309"/>
    <mergeCell ref="C1514:F1514"/>
    <mergeCell ref="B1541:J1541"/>
    <mergeCell ref="C1479:G1479"/>
    <mergeCell ref="B1376:J1376"/>
    <mergeCell ref="C1372:G1372"/>
    <mergeCell ref="C1349:F1349"/>
    <mergeCell ref="C1484:G1484"/>
    <mergeCell ref="C1482:G1482"/>
    <mergeCell ref="C1433:E1433"/>
    <mergeCell ref="C1469:H1469"/>
    <mergeCell ref="C1414:H1414"/>
    <mergeCell ref="C1270:D1270"/>
    <mergeCell ref="B1321:J1321"/>
    <mergeCell ref="C1314:G1314"/>
    <mergeCell ref="C1304:H1304"/>
    <mergeCell ref="C1429:G1429"/>
    <mergeCell ref="C1474:H1474"/>
    <mergeCell ref="C1419:H1419"/>
    <mergeCell ref="B1431:J1431"/>
    <mergeCell ref="C1435:D1435"/>
    <mergeCell ref="C1424:G1424"/>
    <mergeCell ref="C1323:E1323"/>
    <mergeCell ref="C1317:G1317"/>
    <mergeCell ref="C1369:G1369"/>
    <mergeCell ref="C1380:D1380"/>
    <mergeCell ref="C1374:G1374"/>
    <mergeCell ref="C1359:H1359"/>
    <mergeCell ref="C1364:H1364"/>
    <mergeCell ref="C1459:F1459"/>
    <mergeCell ref="C1427:G1427"/>
    <mergeCell ref="C1160:D1160"/>
    <mergeCell ref="C1154:G1154"/>
    <mergeCell ref="C1194:H1194"/>
    <mergeCell ref="C1139:H1139"/>
    <mergeCell ref="C1149:G1149"/>
    <mergeCell ref="C1184:F1184"/>
    <mergeCell ref="C1325:D1325"/>
    <mergeCell ref="C1199:H1199"/>
    <mergeCell ref="C1404:F1404"/>
    <mergeCell ref="C1378:E1378"/>
    <mergeCell ref="B1266:J1266"/>
    <mergeCell ref="C1294:F1294"/>
    <mergeCell ref="C1319:G1319"/>
    <mergeCell ref="C1264:G1264"/>
    <mergeCell ref="C1239:F1239"/>
    <mergeCell ref="C1215:D1215"/>
    <mergeCell ref="C1249:H1249"/>
    <mergeCell ref="C1254:H1254"/>
    <mergeCell ref="C1259:G1259"/>
    <mergeCell ref="C1050:D1050"/>
    <mergeCell ref="C1158:E1158"/>
    <mergeCell ref="B1156:J1156"/>
    <mergeCell ref="B1101:J1101"/>
    <mergeCell ref="C1152:G1152"/>
    <mergeCell ref="C1144:H1144"/>
    <mergeCell ref="C1105:D1105"/>
    <mergeCell ref="C1084:H1084"/>
    <mergeCell ref="C1099:G1099"/>
    <mergeCell ref="C1074:F1074"/>
    <mergeCell ref="C1262:G1262"/>
    <mergeCell ref="C987:G987"/>
    <mergeCell ref="C984:G984"/>
    <mergeCell ref="C974:H974"/>
    <mergeCell ref="C979:H979"/>
    <mergeCell ref="C1039:G1039"/>
    <mergeCell ref="C1042:G1042"/>
    <mergeCell ref="C1019:F1019"/>
    <mergeCell ref="C989:G989"/>
    <mergeCell ref="C1048:E1048"/>
    <mergeCell ref="B1046:J1046"/>
    <mergeCell ref="C993:E993"/>
    <mergeCell ref="C1029:H1029"/>
    <mergeCell ref="C995:D995"/>
    <mergeCell ref="B991:J991"/>
    <mergeCell ref="C1034:H1034"/>
    <mergeCell ref="C1044:G1044"/>
    <mergeCell ref="C1213:E1213"/>
    <mergeCell ref="C1207:G1207"/>
    <mergeCell ref="C1129:F1129"/>
    <mergeCell ref="C1089:H1089"/>
    <mergeCell ref="C1097:G1097"/>
    <mergeCell ref="C1094:G1094"/>
    <mergeCell ref="B1211:J1211"/>
    <mergeCell ref="C1204:G1204"/>
    <mergeCell ref="C909:F909"/>
    <mergeCell ref="C919:H919"/>
    <mergeCell ref="C932:G932"/>
    <mergeCell ref="C964:F964"/>
    <mergeCell ref="C940:D940"/>
    <mergeCell ref="B936:J936"/>
    <mergeCell ref="C929:G929"/>
    <mergeCell ref="C924:H924"/>
    <mergeCell ref="C934:G934"/>
    <mergeCell ref="C938:E938"/>
    <mergeCell ref="C1209:G1209"/>
    <mergeCell ref="C1103:E1103"/>
    <mergeCell ref="C744:F744"/>
    <mergeCell ref="B716:J716"/>
    <mergeCell ref="C720:D720"/>
    <mergeCell ref="C699:H699"/>
    <mergeCell ref="C885:D885"/>
    <mergeCell ref="B881:J881"/>
    <mergeCell ref="C869:H869"/>
    <mergeCell ref="C877:G877"/>
    <mergeCell ref="C874:G874"/>
    <mergeCell ref="C879:G879"/>
    <mergeCell ref="C830:D830"/>
    <mergeCell ref="C824:G824"/>
    <mergeCell ref="C828:E828"/>
    <mergeCell ref="C883:E883"/>
    <mergeCell ref="B826:J826"/>
    <mergeCell ref="C864:H864"/>
    <mergeCell ref="C854:F854"/>
    <mergeCell ref="C822:G822"/>
    <mergeCell ref="C764:G764"/>
    <mergeCell ref="C754:H754"/>
    <mergeCell ref="C769:G769"/>
    <mergeCell ref="C799:F799"/>
    <mergeCell ref="C767:G767"/>
    <mergeCell ref="C809:H809"/>
    <mergeCell ref="C819:G819"/>
    <mergeCell ref="C814:H814"/>
    <mergeCell ref="C759:H759"/>
    <mergeCell ref="C773:E773"/>
    <mergeCell ref="B771:J771"/>
    <mergeCell ref="C775:D775"/>
    <mergeCell ref="C712:G712"/>
    <mergeCell ref="C718:E718"/>
    <mergeCell ref="C689:F689"/>
    <mergeCell ref="C714:G714"/>
    <mergeCell ref="C665:D665"/>
    <mergeCell ref="C704:H704"/>
    <mergeCell ref="C709:G709"/>
    <mergeCell ref="C657:G657"/>
    <mergeCell ref="C654:G654"/>
    <mergeCell ref="C659:G659"/>
    <mergeCell ref="C663:E663"/>
    <mergeCell ref="B661:J661"/>
    <mergeCell ref="C634:F634"/>
    <mergeCell ref="C594:H594"/>
    <mergeCell ref="C649:H649"/>
    <mergeCell ref="C604:G604"/>
    <mergeCell ref="B606:J606"/>
    <mergeCell ref="C608:E608"/>
    <mergeCell ref="C610:D610"/>
    <mergeCell ref="C602:G602"/>
    <mergeCell ref="C644:H644"/>
    <mergeCell ref="C579:F579"/>
    <mergeCell ref="C599:G599"/>
    <mergeCell ref="C549:G549"/>
    <mergeCell ref="B496:J496"/>
    <mergeCell ref="C524:F524"/>
    <mergeCell ref="B551:J551"/>
    <mergeCell ref="C589:H589"/>
    <mergeCell ref="C555:D555"/>
    <mergeCell ref="C500:D500"/>
    <mergeCell ref="C379:G379"/>
    <mergeCell ref="C437:G437"/>
    <mergeCell ref="C434:G434"/>
    <mergeCell ref="C492:G492"/>
    <mergeCell ref="C439:G439"/>
    <mergeCell ref="C553:E553"/>
    <mergeCell ref="C547:G547"/>
    <mergeCell ref="C544:G544"/>
    <mergeCell ref="C534:H534"/>
    <mergeCell ref="C539:H539"/>
    <mergeCell ref="C498:E498"/>
    <mergeCell ref="C479:H479"/>
    <mergeCell ref="C445:D445"/>
    <mergeCell ref="C382:G382"/>
    <mergeCell ref="C384:G384"/>
    <mergeCell ref="C429:H429"/>
    <mergeCell ref="C390:D390"/>
    <mergeCell ref="C414:F414"/>
    <mergeCell ref="C494:G494"/>
    <mergeCell ref="B441:J441"/>
    <mergeCell ref="C424:H424"/>
    <mergeCell ref="C443:E443"/>
    <mergeCell ref="C484:H484"/>
    <mergeCell ref="C489:G489"/>
    <mergeCell ref="C469:F469"/>
    <mergeCell ref="B386:J386"/>
    <mergeCell ref="C388:E388"/>
    <mergeCell ref="B111:J111"/>
    <mergeCell ref="C115:D115"/>
    <mergeCell ref="C249:F249"/>
    <mergeCell ref="C319:H319"/>
    <mergeCell ref="B166:J166"/>
    <mergeCell ref="C209:H209"/>
    <mergeCell ref="C194:F194"/>
    <mergeCell ref="C149:H149"/>
    <mergeCell ref="C139:F139"/>
    <mergeCell ref="C168:E168"/>
    <mergeCell ref="B276:J276"/>
    <mergeCell ref="B221:J221"/>
    <mergeCell ref="C314:H314"/>
    <mergeCell ref="C272:G272"/>
    <mergeCell ref="C223:E223"/>
    <mergeCell ref="C269:G269"/>
    <mergeCell ref="C264:H264"/>
    <mergeCell ref="C259:H259"/>
    <mergeCell ref="C204:H204"/>
    <mergeCell ref="C217:G217"/>
    <mergeCell ref="C214:G214"/>
    <mergeCell ref="C374:H374"/>
    <mergeCell ref="C225:D225"/>
    <mergeCell ref="C278:E278"/>
    <mergeCell ref="C280:D280"/>
    <mergeCell ref="C304:F304"/>
    <mergeCell ref="C274:G274"/>
    <mergeCell ref="C219:G219"/>
    <mergeCell ref="C324:G324"/>
    <mergeCell ref="C335:D335"/>
    <mergeCell ref="C329:G329"/>
    <mergeCell ref="C327:G327"/>
    <mergeCell ref="B331:J331"/>
    <mergeCell ref="C333:E333"/>
    <mergeCell ref="C369:H369"/>
    <mergeCell ref="C359:F359"/>
    <mergeCell ref="C159:G159"/>
    <mergeCell ref="C162:G162"/>
    <mergeCell ref="C170:D170"/>
    <mergeCell ref="C113:E113"/>
    <mergeCell ref="C154:H154"/>
    <mergeCell ref="C164:G164"/>
    <mergeCell ref="B1:J1"/>
    <mergeCell ref="C29:F29"/>
    <mergeCell ref="C3:E3"/>
    <mergeCell ref="C52:G52"/>
    <mergeCell ref="C39:H39"/>
    <mergeCell ref="C5:D5"/>
    <mergeCell ref="C44:H44"/>
    <mergeCell ref="C49:G49"/>
    <mergeCell ref="C109:G109"/>
    <mergeCell ref="C54:G54"/>
    <mergeCell ref="B56:J56"/>
    <mergeCell ref="C94:H94"/>
    <mergeCell ref="C107:G107"/>
    <mergeCell ref="C84:F84"/>
    <mergeCell ref="C99:H99"/>
    <mergeCell ref="C60:D60"/>
    <mergeCell ref="C58:E58"/>
    <mergeCell ref="C104:G104"/>
  </mergeCells>
  <phoneticPr fontId="8" type="noConversion"/>
  <hyperlinks>
    <hyperlink ref="M3" location="'4 УЗД'!A104" display="Ультразвукове дослідження щитоподібної залози" xr:uid="{00000000-0004-0000-1700-000000000000}"/>
    <hyperlink ref="M4" location="'4 УЗД'!A154" display="Ультразвукове дослідження надниркових залоз" xr:uid="{00000000-0004-0000-1700-000001000000}"/>
    <hyperlink ref="M6" location="'4 УЗД'!A254" display="Ультразвукове визначення кількості вільної рідини у плевральних порожнинах" xr:uid="{00000000-0004-0000-1700-000002000000}"/>
    <hyperlink ref="M7" location="'4 УЗД'!A304" display="Ультразвукове дослідження грудної залози" xr:uid="{00000000-0004-0000-1700-000003000000}"/>
    <hyperlink ref="M8" location="'4 УЗД'!A354" display="Ультразвукове дослідження шлунку" xr:uid="{00000000-0004-0000-1700-000004000000}"/>
    <hyperlink ref="M9" location="'4 УЗД'!A404" display="Ультразвукове дослідження товстої кишки" xr:uid="{00000000-0004-0000-1700-000005000000}"/>
    <hyperlink ref="M10" location="'4 УЗД'!A454" display="Ультразвукове дослідження печінки" xr:uid="{00000000-0004-0000-1700-000006000000}"/>
    <hyperlink ref="M11" location="'4 УЗД'!A504" display="Ультразвукове дослідження жовчного міхура і жовчних проток" xr:uid="{00000000-0004-0000-1700-000007000000}"/>
    <hyperlink ref="M12" location="'4 УЗД'!A554" display="Ультразвукове визначення скорочувальної функції жовчного міхура" xr:uid="{00000000-0004-0000-1700-000008000000}"/>
    <hyperlink ref="M13" location="'4 УЗД'!A604" display="Ультразвукове дослідження черевної порожнини і заочеревинного простору" xr:uid="{00000000-0004-0000-1700-000009000000}"/>
    <hyperlink ref="M14" location="'4 УЗД'!A654" display="Ультразвукове визначення кількості вільної рідини у черевній порожнині" xr:uid="{00000000-0004-0000-1700-00000A000000}"/>
    <hyperlink ref="M15" location="'4 УЗД'!A704" display="Ультразвукове дослідження печінки, жовчного міхура і жовчних проток" xr:uid="{00000000-0004-0000-1700-00000B000000}"/>
    <hyperlink ref="M16" location="'4 УЗД'!A754" display="Ультразвукове дослідження печінки, жовчного міхура і підшлункової залози" xr:uid="{00000000-0004-0000-1700-00000C000000}"/>
    <hyperlink ref="M17" location="'4 УЗД'!A804" display="Ультразвукове дослідження нирок" xr:uid="{00000000-0004-0000-1700-00000D000000}"/>
    <hyperlink ref="M18" location="'4 УЗД'!A854" display="Ультразвукове дослідження сечоводів" xr:uid="{00000000-0004-0000-1700-00000E000000}"/>
    <hyperlink ref="M19" location="'4 УЗД'!A904" display="Ультразвукове дослідження сечового міхура" xr:uid="{00000000-0004-0000-1700-00000F000000}"/>
    <hyperlink ref="M20" location="'4 УЗД'!A954" display="Ультразвукове дослідження сечового міхура з визначенням залишкової сечі" xr:uid="{00000000-0004-0000-1700-000010000000}"/>
    <hyperlink ref="M21" location="'4 УЗД'!A1004" display="Ультразвукове дослідження передміхурової залози і сім'яних пухирців" xr:uid="{00000000-0004-0000-1700-000011000000}"/>
    <hyperlink ref="M22" location="'4 УЗД'!A1054" display="Ультразвукове дослідження органів калитки" xr:uid="{00000000-0004-0000-1700-000012000000}"/>
    <hyperlink ref="M23" location="'4 УЗД'!A1104" display="Ультразвукове дослідження суглобів" xr:uid="{00000000-0004-0000-1700-000013000000}"/>
    <hyperlink ref="M24" location="'4 УЗД'!A1154" display="Ультразвукове дослідження м'яких тканин" xr:uid="{00000000-0004-0000-1700-000014000000}"/>
    <hyperlink ref="M25" location="'4 УЗД'!A1204" display="Ультразвукове дослідження селезінки" xr:uid="{00000000-0004-0000-1700-000015000000}"/>
    <hyperlink ref="M26" location="'4 УЗД'!A1254" display="Ультразвукове дослідження лімфатичних вузлів" xr:uid="{00000000-0004-0000-1700-000016000000}"/>
    <hyperlink ref="M27" location="'4 УЗД'!A1554" display="Ультразвукове інтраректальне дослідження жіночих статевих органів" xr:uid="{00000000-0004-0000-1700-000017000000}"/>
    <hyperlink ref="M28" location="'4 УЗД'!A1604" display="Ультразвукове інтравагінальне дослідження жіночих статевих органів" xr:uid="{00000000-0004-0000-1700-000018000000}"/>
    <hyperlink ref="M29" location="'4 УЗД'!A1654" display="Ультразвукове дослідження матки і яєчників" xr:uid="{00000000-0004-0000-1700-000019000000}"/>
    <hyperlink ref="M30" location="'4 УЗД'!A1704" display="Ультразвукове дослідження вагітної матки з визначенням терміну вагітності" xr:uid="{00000000-0004-0000-1700-00001A000000}"/>
    <hyperlink ref="M31" location="'4 УЗД'!A1754" display="Ультразвукове дослідження вагітної матки з визначенням статі плоду" xr:uid="{00000000-0004-0000-1700-00001B000000}"/>
    <hyperlink ref="M32" location="'4 УЗД'!A1804" display="Ультразвукове дослідження вагітної матки з визначенням стану плаценти" xr:uid="{00000000-0004-0000-1700-00001C000000}"/>
    <hyperlink ref="M33" location="'4 УЗД'!A1854" display="Доплерометричне дослідження фетоплацентарного і маточно-плацентарного кровообігу" xr:uid="{00000000-0004-0000-1700-00001D000000}"/>
    <hyperlink ref="M34" location="'4 УЗД'!A1904" display="Ультразвукове дослідження патології плоду" xr:uid="{00000000-0004-0000-1700-00001E000000}"/>
    <hyperlink ref="M35" location="'4 УЗД'!A1954" display="Доплерометричне дослідження кровообігу органів малого тазу" xr:uid="{00000000-0004-0000-1700-00001F000000}"/>
    <hyperlink ref="M36" location="'4 УЗД'!A2004" display="Ультразвукові дослідження в акушерстві" xr:uid="{00000000-0004-0000-1700-000020000000}"/>
    <hyperlink ref="M5" location="'4 УЗД'!A204" display="Ехокардіографія (з колторовим доплерівським картування)" xr:uid="{00000000-0004-0000-1700-000021000000}"/>
  </hyperlinks>
  <pageMargins left="0" right="0" top="0" bottom="0" header="0.31496062992125984" footer="0.31496062992125984"/>
  <pageSetup paperSize="9" scale="70" orientation="portrait" r:id="rId1"/>
  <rowBreaks count="40" manualBreakCount="40">
    <brk id="55" min="1" max="9" man="1"/>
    <brk id="110" min="1" max="9" man="1"/>
    <brk id="165" min="1" max="9" man="1"/>
    <brk id="220" min="1" max="9" man="1"/>
    <brk id="275" min="1" max="9" man="1"/>
    <brk id="330" min="1" max="9" man="1"/>
    <brk id="385" min="1" max="9" man="1"/>
    <brk id="440" min="1" max="9" man="1"/>
    <brk id="495" min="1" max="9" man="1"/>
    <brk id="550" min="1" max="9" man="1"/>
    <brk id="605" min="1" max="9" man="1"/>
    <brk id="660" min="1" max="9" man="1"/>
    <brk id="715" min="1" max="9" man="1"/>
    <brk id="770" min="1" max="9" man="1"/>
    <brk id="825" min="1" max="9" man="1"/>
    <brk id="880" min="1" max="9" man="1"/>
    <brk id="935" min="1" max="9" man="1"/>
    <brk id="990" min="1" max="9" man="1"/>
    <brk id="1045" min="1" max="9" man="1"/>
    <brk id="1100" min="1" max="9" man="1"/>
    <brk id="1155" min="1" max="9" man="1"/>
    <brk id="1210" min="1" max="9" man="1"/>
    <brk id="1265" min="1" max="9" man="1"/>
    <brk id="1320" min="1" max="9" man="1"/>
    <brk id="1375" min="1" max="9" man="1"/>
    <brk id="1430" min="1" max="9" man="1"/>
    <brk id="1485" min="1" max="9" man="1"/>
    <brk id="1540" min="1" max="9" man="1"/>
    <brk id="1595" min="1" max="9" man="1"/>
    <brk id="1650" min="1" max="9" man="1"/>
    <brk id="1705" min="1" max="9" man="1"/>
    <brk id="1760" min="1" max="9" man="1"/>
    <brk id="1815" min="1" max="9" man="1"/>
    <brk id="1869" min="1" max="9" man="1"/>
    <brk id="1925" min="1" max="9" man="1"/>
    <brk id="1979" min="1" max="9" man="1"/>
    <brk id="2035" min="1" max="9" man="1"/>
    <brk id="2090" min="1" max="9" man="1"/>
    <brk id="2145" min="1" max="9" man="1"/>
    <brk id="2200" min="1" max="9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S160"/>
  <sheetViews>
    <sheetView view="pageBreakPreview" zoomScaleNormal="100" workbookViewId="0">
      <selection activeCell="K7" sqref="K7"/>
    </sheetView>
  </sheetViews>
  <sheetFormatPr defaultRowHeight="14.4" x14ac:dyDescent="0.3"/>
  <cols>
    <col min="1" max="1" width="4.88671875" style="7" customWidth="1"/>
    <col min="2" max="2" width="6.33203125" style="7" bestFit="1" customWidth="1"/>
    <col min="3" max="3" width="40.33203125" style="7" customWidth="1"/>
    <col min="4" max="4" width="9.33203125" style="7" bestFit="1" customWidth="1"/>
    <col min="5" max="5" width="10.44140625" style="7" bestFit="1" customWidth="1"/>
    <col min="6" max="6" width="11" style="7" customWidth="1"/>
    <col min="7" max="7" width="14.44140625" style="7" customWidth="1"/>
    <col min="8" max="8" width="10.44140625" style="7" bestFit="1" customWidth="1"/>
    <col min="9" max="9" width="11.88671875" style="7" bestFit="1" customWidth="1"/>
    <col min="10" max="10" width="12.88671875" style="7" bestFit="1" customWidth="1"/>
    <col min="11" max="11" width="9.109375" style="130"/>
    <col min="12" max="12" width="9.109375" style="105"/>
    <col min="13" max="13" width="61.88671875" style="105" customWidth="1"/>
    <col min="14" max="14" width="9.109375" style="22"/>
    <col min="15" max="19" width="9.109375" style="7"/>
  </cols>
  <sheetData>
    <row r="1" spans="1:19" ht="7.5" customHeight="1" x14ac:dyDescent="0.3"/>
    <row r="2" spans="1:19" s="54" customFormat="1" ht="19.8" x14ac:dyDescent="0.4">
      <c r="A2" s="53"/>
      <c r="B2" s="1016" t="s">
        <v>958</v>
      </c>
      <c r="C2" s="1016"/>
      <c r="D2" s="1016"/>
      <c r="E2" s="1016"/>
      <c r="F2" s="1016"/>
      <c r="G2" s="1016"/>
      <c r="H2" s="1016"/>
      <c r="I2" s="1016"/>
      <c r="J2" s="1016"/>
      <c r="K2" s="130"/>
      <c r="L2" s="107"/>
      <c r="M2" s="107"/>
      <c r="N2" s="70"/>
      <c r="O2" s="53"/>
      <c r="P2" s="53"/>
      <c r="Q2" s="53"/>
      <c r="R2" s="53"/>
      <c r="S2" s="53"/>
    </row>
    <row r="3" spans="1:19" s="54" customFormat="1" ht="11.25" customHeight="1" x14ac:dyDescent="0.4">
      <c r="A3" s="53"/>
      <c r="B3" s="53"/>
      <c r="C3" s="53"/>
      <c r="D3" s="53"/>
      <c r="E3" s="53"/>
      <c r="F3" s="53"/>
      <c r="G3" s="53"/>
      <c r="H3" s="53"/>
      <c r="I3" s="53"/>
      <c r="J3" s="53"/>
      <c r="K3" s="130"/>
      <c r="L3" s="107"/>
      <c r="M3" s="107"/>
      <c r="N3" s="70"/>
      <c r="O3" s="53"/>
      <c r="P3" s="53"/>
      <c r="Q3" s="53"/>
      <c r="R3" s="53"/>
      <c r="S3" s="53"/>
    </row>
    <row r="4" spans="1:19" s="54" customFormat="1" ht="37.5" customHeight="1" x14ac:dyDescent="0.4">
      <c r="A4" s="53"/>
      <c r="B4" s="50" t="s">
        <v>660</v>
      </c>
      <c r="C4" s="1017" t="s">
        <v>607</v>
      </c>
      <c r="D4" s="1017"/>
      <c r="E4" s="1017"/>
      <c r="F4" s="52">
        <f>H53</f>
        <v>97</v>
      </c>
      <c r="G4" s="52" t="s">
        <v>971</v>
      </c>
      <c r="H4" s="53"/>
      <c r="I4" s="53"/>
      <c r="J4" s="53"/>
      <c r="K4" s="131">
        <f>F4</f>
        <v>97</v>
      </c>
      <c r="L4" s="106" t="s">
        <v>660</v>
      </c>
      <c r="M4" s="108" t="s">
        <v>607</v>
      </c>
      <c r="N4" s="70"/>
      <c r="O4" s="53"/>
      <c r="P4" s="53"/>
      <c r="Q4" s="53"/>
      <c r="R4" s="53"/>
      <c r="S4" s="53"/>
    </row>
    <row r="5" spans="1:19" x14ac:dyDescent="0.3">
      <c r="K5" s="131">
        <f>F58</f>
        <v>103</v>
      </c>
      <c r="L5" s="106" t="s">
        <v>662</v>
      </c>
      <c r="M5" s="108" t="s">
        <v>0</v>
      </c>
    </row>
    <row r="6" spans="1:19" x14ac:dyDescent="0.3">
      <c r="C6" s="1018" t="s">
        <v>932</v>
      </c>
      <c r="D6" s="1018"/>
      <c r="E6" s="10"/>
      <c r="F6" s="11">
        <f>F13+F16+F14</f>
        <v>83.449999999999989</v>
      </c>
      <c r="G6" s="12" t="s">
        <v>971</v>
      </c>
      <c r="K6" s="131">
        <f>F111</f>
        <v>17</v>
      </c>
      <c r="L6" s="106" t="s">
        <v>664</v>
      </c>
      <c r="M6" s="109" t="s">
        <v>920</v>
      </c>
    </row>
    <row r="8" spans="1:19" x14ac:dyDescent="0.3">
      <c r="C8" s="13" t="s">
        <v>929</v>
      </c>
      <c r="D8" s="14" t="s">
        <v>928</v>
      </c>
      <c r="E8" s="14" t="s">
        <v>514</v>
      </c>
      <c r="F8" s="14" t="s">
        <v>515</v>
      </c>
      <c r="G8" s="14" t="s">
        <v>962</v>
      </c>
      <c r="H8" s="14" t="s">
        <v>926</v>
      </c>
      <c r="I8" s="14" t="s">
        <v>516</v>
      </c>
      <c r="J8" s="14" t="s">
        <v>961</v>
      </c>
    </row>
    <row r="9" spans="1:19" x14ac:dyDescent="0.3">
      <c r="C9" s="269" t="s">
        <v>149</v>
      </c>
      <c r="D9" s="16">
        <f>ЗП!C8</f>
        <v>8537.1</v>
      </c>
      <c r="E9" s="16">
        <f>ЗП!D8</f>
        <v>102445.20000000001</v>
      </c>
      <c r="F9" s="16">
        <f>ЗП!E8</f>
        <v>6567</v>
      </c>
      <c r="G9" s="16">
        <f>ЗП!F8</f>
        <v>3283.5</v>
      </c>
      <c r="H9" s="16">
        <f>E9+F9+G9</f>
        <v>112295.70000000001</v>
      </c>
      <c r="I9" s="17">
        <v>1932.7</v>
      </c>
      <c r="J9" s="16">
        <f>ROUND((H9/I9)/60,2)</f>
        <v>0.97</v>
      </c>
      <c r="L9" s="106"/>
      <c r="M9" s="109"/>
    </row>
    <row r="10" spans="1:19" x14ac:dyDescent="0.3">
      <c r="C10" s="269" t="s">
        <v>1101</v>
      </c>
      <c r="D10" s="16">
        <f>ЗП!C52</f>
        <v>6500</v>
      </c>
      <c r="E10" s="16">
        <f>ЗП!D52</f>
        <v>78000</v>
      </c>
      <c r="F10" s="16">
        <f>ЗП!E52</f>
        <v>5005</v>
      </c>
      <c r="G10" s="16">
        <f>ЗП!F52</f>
        <v>2502.5</v>
      </c>
      <c r="H10" s="16">
        <f>E10+F10+G10</f>
        <v>85507.5</v>
      </c>
      <c r="I10" s="17">
        <v>1932.7</v>
      </c>
      <c r="J10" s="16">
        <f>ROUND((H10/I10)/60,2)</f>
        <v>0.74</v>
      </c>
    </row>
    <row r="11" spans="1:19" ht="6.75" customHeight="1" x14ac:dyDescent="0.3"/>
    <row r="12" spans="1:19" ht="27.6" x14ac:dyDescent="0.3">
      <c r="C12" s="13" t="s">
        <v>929</v>
      </c>
      <c r="D12" s="14" t="s">
        <v>961</v>
      </c>
      <c r="E12" s="14" t="s">
        <v>930</v>
      </c>
      <c r="F12" s="14" t="s">
        <v>931</v>
      </c>
    </row>
    <row r="13" spans="1:19" x14ac:dyDescent="0.3">
      <c r="C13" s="15" t="str">
        <f>C9</f>
        <v>Лікар - невропатолог</v>
      </c>
      <c r="D13" s="16">
        <f>J9</f>
        <v>0.97</v>
      </c>
      <c r="E13" s="17">
        <v>40</v>
      </c>
      <c r="F13" s="18">
        <f>ROUND(D13*E13,2)</f>
        <v>38.799999999999997</v>
      </c>
    </row>
    <row r="14" spans="1:19" x14ac:dyDescent="0.3">
      <c r="C14" s="15" t="str">
        <f>C10</f>
        <v>Сестра медична</v>
      </c>
      <c r="D14" s="16">
        <f>J10</f>
        <v>0.74</v>
      </c>
      <c r="E14" s="17">
        <v>40</v>
      </c>
      <c r="F14" s="18">
        <f>ROUND(D14*E14,2)</f>
        <v>29.6</v>
      </c>
    </row>
    <row r="15" spans="1:19" ht="9" customHeight="1" x14ac:dyDescent="0.3">
      <c r="D15" s="19"/>
    </row>
    <row r="16" spans="1:19" x14ac:dyDescent="0.3">
      <c r="C16" s="17" t="s">
        <v>933</v>
      </c>
      <c r="D16" s="16">
        <f>F13+F14</f>
        <v>68.400000000000006</v>
      </c>
      <c r="E16" s="20">
        <v>0.22</v>
      </c>
      <c r="F16" s="21">
        <f>ROUND(D16*E16,2)</f>
        <v>15.05</v>
      </c>
    </row>
    <row r="17" spans="3:8" ht="7.5" customHeight="1" x14ac:dyDescent="0.3"/>
    <row r="18" spans="3:8" x14ac:dyDescent="0.3">
      <c r="C18" s="12" t="s">
        <v>946</v>
      </c>
      <c r="D18" s="12"/>
      <c r="E18" s="12"/>
      <c r="F18" s="11">
        <f>G28</f>
        <v>4.2799999999999994</v>
      </c>
      <c r="G18" s="12" t="s">
        <v>971</v>
      </c>
    </row>
    <row r="19" spans="3:8" ht="8.25" customHeight="1" x14ac:dyDescent="0.3"/>
    <row r="20" spans="3:8" x14ac:dyDescent="0.3">
      <c r="C20" s="27" t="s">
        <v>964</v>
      </c>
      <c r="D20" s="28" t="s">
        <v>941</v>
      </c>
      <c r="E20" s="45">
        <v>0.1</v>
      </c>
      <c r="F20" s="29">
        <f>'МЕДИЧНІ М'!E102</f>
        <v>2.8</v>
      </c>
      <c r="G20" s="37">
        <f>ROUND(F20*E20,2)</f>
        <v>0.28000000000000003</v>
      </c>
    </row>
    <row r="21" spans="3:8" x14ac:dyDescent="0.3">
      <c r="C21" s="27" t="s">
        <v>965</v>
      </c>
      <c r="D21" s="28" t="s">
        <v>941</v>
      </c>
      <c r="E21" s="45">
        <v>0.01</v>
      </c>
      <c r="F21" s="29">
        <f>'МЕДИЧНІ М'!E103</f>
        <v>24.6</v>
      </c>
      <c r="G21" s="37">
        <f>ROUND(F21*E21,2)</f>
        <v>0.25</v>
      </c>
    </row>
    <row r="22" spans="3:8" x14ac:dyDescent="0.3">
      <c r="C22" s="27" t="s">
        <v>940</v>
      </c>
      <c r="D22" s="28" t="s">
        <v>941</v>
      </c>
      <c r="E22" s="45">
        <v>0.1</v>
      </c>
      <c r="F22" s="29">
        <f>'МЕДИЧНІ М'!E98</f>
        <v>2</v>
      </c>
      <c r="G22" s="37">
        <f>ROUND(F22*E22,2)</f>
        <v>0.2</v>
      </c>
    </row>
    <row r="23" spans="3:8" x14ac:dyDescent="0.3">
      <c r="C23" s="27" t="s">
        <v>936</v>
      </c>
      <c r="D23" s="28" t="s">
        <v>937</v>
      </c>
      <c r="E23" s="29">
        <v>1</v>
      </c>
      <c r="F23" s="30">
        <f>'МЕДИЧНІ М'!F99</f>
        <v>0.3</v>
      </c>
      <c r="G23" s="30">
        <f>ROUND(E23*F23,2)</f>
        <v>0.3</v>
      </c>
    </row>
    <row r="24" spans="3:8" x14ac:dyDescent="0.3">
      <c r="C24" s="27" t="s">
        <v>147</v>
      </c>
      <c r="D24" s="28" t="s">
        <v>941</v>
      </c>
      <c r="E24" s="45">
        <v>2</v>
      </c>
      <c r="F24" s="29">
        <f>МАТЕРІАЛИ!E4</f>
        <v>0.3</v>
      </c>
      <c r="G24" s="37">
        <f>ROUND(F24*E24,2)</f>
        <v>0.6</v>
      </c>
    </row>
    <row r="25" spans="3:8" x14ac:dyDescent="0.3">
      <c r="C25" s="27" t="s">
        <v>151</v>
      </c>
      <c r="D25" s="28" t="s">
        <v>967</v>
      </c>
      <c r="E25" s="45">
        <v>0.05</v>
      </c>
      <c r="F25" s="29">
        <f>'МЕДИЧНІ М'!E96</f>
        <v>48</v>
      </c>
      <c r="G25" s="37">
        <f>ROUND(F25*E25,2)</f>
        <v>2.4</v>
      </c>
    </row>
    <row r="26" spans="3:8" x14ac:dyDescent="0.3">
      <c r="C26" s="27" t="s">
        <v>92</v>
      </c>
      <c r="D26" s="28" t="s">
        <v>941</v>
      </c>
      <c r="E26" s="45">
        <v>3.3E-3</v>
      </c>
      <c r="F26" s="30">
        <f>'МЕДИЧНІ М'!F104</f>
        <v>3.3E-3</v>
      </c>
      <c r="G26" s="24">
        <f>ROUND(F26*E26,2)</f>
        <v>0</v>
      </c>
    </row>
    <row r="27" spans="3:8" x14ac:dyDescent="0.3">
      <c r="C27" s="27" t="s">
        <v>1124</v>
      </c>
      <c r="D27" s="28" t="s">
        <v>944</v>
      </c>
      <c r="E27" s="29">
        <v>0.5</v>
      </c>
      <c r="F27" s="29">
        <f>'МЕДИЧНІ М'!E97</f>
        <v>0.5</v>
      </c>
      <c r="G27" s="30">
        <f>ROUND(E27*F27,2)</f>
        <v>0.25</v>
      </c>
    </row>
    <row r="28" spans="3:8" x14ac:dyDescent="0.3">
      <c r="C28" s="1019" t="s">
        <v>945</v>
      </c>
      <c r="D28" s="1019"/>
      <c r="E28" s="1019"/>
      <c r="F28" s="1019"/>
      <c r="G28" s="31">
        <f>SUM(G20:G27)</f>
        <v>4.2799999999999994</v>
      </c>
    </row>
    <row r="30" spans="3:8" x14ac:dyDescent="0.3">
      <c r="C30" s="12" t="s">
        <v>968</v>
      </c>
      <c r="D30" s="12"/>
      <c r="E30" s="12"/>
      <c r="F30" s="11">
        <f>H33</f>
        <v>0</v>
      </c>
      <c r="G30" s="12" t="s">
        <v>971</v>
      </c>
    </row>
    <row r="31" spans="3:8" x14ac:dyDescent="0.3">
      <c r="C31" s="22"/>
      <c r="D31" s="22"/>
      <c r="E31" s="22"/>
      <c r="F31" s="23"/>
      <c r="G31" s="22"/>
    </row>
    <row r="32" spans="3:8" ht="27.6" x14ac:dyDescent="0.3">
      <c r="C32" s="14" t="s">
        <v>513</v>
      </c>
      <c r="D32" s="14" t="s">
        <v>1108</v>
      </c>
      <c r="E32" s="14" t="s">
        <v>516</v>
      </c>
      <c r="F32" s="14" t="s">
        <v>970</v>
      </c>
      <c r="G32" s="14" t="s">
        <v>930</v>
      </c>
      <c r="H32" s="14" t="s">
        <v>961</v>
      </c>
    </row>
    <row r="33" spans="3:9" x14ac:dyDescent="0.3">
      <c r="C33" s="43" t="s">
        <v>1094</v>
      </c>
      <c r="D33" s="17">
        <f>АМОРТИЗАЦІЯ!C16</f>
        <v>0</v>
      </c>
      <c r="E33" s="17">
        <f>I9</f>
        <v>1932.7</v>
      </c>
      <c r="F33" s="17">
        <f>ROUND((D33/E33)/60,2)</f>
        <v>0</v>
      </c>
      <c r="G33" s="17">
        <v>20</v>
      </c>
      <c r="H33" s="16">
        <f>ROUND(F33*G33,2)</f>
        <v>0</v>
      </c>
      <c r="I33" s="38"/>
    </row>
    <row r="35" spans="3:9" x14ac:dyDescent="0.3">
      <c r="C35" s="12" t="s">
        <v>948</v>
      </c>
      <c r="D35" s="12"/>
      <c r="E35" s="12"/>
      <c r="F35" s="11">
        <f>H48</f>
        <v>9.6000000000000014</v>
      </c>
      <c r="G35" s="12" t="s">
        <v>971</v>
      </c>
    </row>
    <row r="36" spans="3:9" x14ac:dyDescent="0.3">
      <c r="C36" s="22"/>
      <c r="D36" s="22"/>
      <c r="E36" s="22"/>
      <c r="F36" s="23"/>
    </row>
    <row r="37" spans="3:9" ht="55.2" x14ac:dyDescent="0.3">
      <c r="C37" s="14" t="s">
        <v>948</v>
      </c>
      <c r="D37" s="14" t="s">
        <v>955</v>
      </c>
      <c r="E37" s="14" t="s">
        <v>516</v>
      </c>
      <c r="F37" s="14" t="s">
        <v>954</v>
      </c>
      <c r="G37" s="14" t="s">
        <v>930</v>
      </c>
      <c r="H37" s="14" t="s">
        <v>956</v>
      </c>
    </row>
    <row r="38" spans="3:9" x14ac:dyDescent="0.3">
      <c r="C38" s="1009" t="str">
        <f>C9</f>
        <v>Лікар - невропатолог</v>
      </c>
      <c r="D38" s="1010"/>
      <c r="E38" s="1010"/>
      <c r="F38" s="1010"/>
      <c r="G38" s="1010"/>
      <c r="H38" s="1011"/>
    </row>
    <row r="39" spans="3:9" x14ac:dyDescent="0.3">
      <c r="C39" s="17" t="s">
        <v>951</v>
      </c>
      <c r="D39" s="112">
        <f>НАКЛАДНІ!F4</f>
        <v>12188.608008565312</v>
      </c>
      <c r="E39" s="17">
        <f>I9</f>
        <v>1932.7</v>
      </c>
      <c r="F39" s="17">
        <f>ROUND((D39/E39)/60,2)</f>
        <v>0.11</v>
      </c>
      <c r="G39" s="17">
        <f>E13</f>
        <v>40</v>
      </c>
      <c r="H39" s="16">
        <f>ROUND(F39*G39,2)</f>
        <v>4.4000000000000004</v>
      </c>
    </row>
    <row r="40" spans="3:9" x14ac:dyDescent="0.3">
      <c r="C40" s="17" t="s">
        <v>952</v>
      </c>
      <c r="D40" s="112">
        <f>НАКЛАДНІ!F5</f>
        <v>53.149721627408987</v>
      </c>
      <c r="E40" s="17">
        <f>I9</f>
        <v>1932.7</v>
      </c>
      <c r="F40" s="17">
        <f>ROUND((D40/E40)/60,2)</f>
        <v>0</v>
      </c>
      <c r="G40" s="17">
        <f>E13</f>
        <v>40</v>
      </c>
      <c r="H40" s="16">
        <f>ROUND(F40*G40,2)</f>
        <v>0</v>
      </c>
    </row>
    <row r="41" spans="3:9" x14ac:dyDescent="0.3">
      <c r="C41" s="17" t="s">
        <v>953</v>
      </c>
      <c r="D41" s="112">
        <f>НАКЛАДНІ!F6</f>
        <v>374.98368308351178</v>
      </c>
      <c r="E41" s="17">
        <f>I9</f>
        <v>1932.7</v>
      </c>
      <c r="F41" s="17">
        <f>ROUND((D41/E41)/60,2)</f>
        <v>0</v>
      </c>
      <c r="G41" s="17">
        <f>E13</f>
        <v>40</v>
      </c>
      <c r="H41" s="16">
        <f>ROUND(F41*G41,2)</f>
        <v>0</v>
      </c>
    </row>
    <row r="42" spans="3:9" x14ac:dyDescent="0.3">
      <c r="C42" s="17" t="s">
        <v>1109</v>
      </c>
      <c r="D42" s="112">
        <f>НАКЛАДНІ!F7</f>
        <v>1686.0389293361886</v>
      </c>
      <c r="E42" s="17">
        <f>I9</f>
        <v>1932.7</v>
      </c>
      <c r="F42" s="17">
        <f>ROUND((D42/E42)/60,2)</f>
        <v>0.01</v>
      </c>
      <c r="G42" s="17">
        <f>E13</f>
        <v>40</v>
      </c>
      <c r="H42" s="16">
        <f>ROUND(F42*G42,2)</f>
        <v>0.4</v>
      </c>
    </row>
    <row r="43" spans="3:9" x14ac:dyDescent="0.3">
      <c r="C43" s="1009" t="str">
        <f>C10</f>
        <v>Сестра медична</v>
      </c>
      <c r="D43" s="1010"/>
      <c r="E43" s="1010"/>
      <c r="F43" s="1010"/>
      <c r="G43" s="1010"/>
      <c r="H43" s="1011"/>
    </row>
    <row r="44" spans="3:9" x14ac:dyDescent="0.3">
      <c r="C44" s="17" t="s">
        <v>951</v>
      </c>
      <c r="D44" s="112">
        <f>D39</f>
        <v>12188.608008565312</v>
      </c>
      <c r="E44" s="17">
        <f>I10</f>
        <v>1932.7</v>
      </c>
      <c r="F44" s="17">
        <f>ROUND((D44/E44)/60,2)</f>
        <v>0.11</v>
      </c>
      <c r="G44" s="17">
        <f>E14</f>
        <v>40</v>
      </c>
      <c r="H44" s="16">
        <f>ROUND(F44*G44,2)</f>
        <v>4.4000000000000004</v>
      </c>
    </row>
    <row r="45" spans="3:9" x14ac:dyDescent="0.3">
      <c r="C45" s="17" t="s">
        <v>952</v>
      </c>
      <c r="D45" s="112">
        <f>D40</f>
        <v>53.149721627408987</v>
      </c>
      <c r="E45" s="17">
        <f>I10</f>
        <v>1932.7</v>
      </c>
      <c r="F45" s="17">
        <f>ROUND((D45/E45)/60,2)</f>
        <v>0</v>
      </c>
      <c r="G45" s="17">
        <f>E14</f>
        <v>40</v>
      </c>
      <c r="H45" s="16">
        <f>ROUND(F45*G45,2)</f>
        <v>0</v>
      </c>
    </row>
    <row r="46" spans="3:9" x14ac:dyDescent="0.3">
      <c r="C46" s="17" t="s">
        <v>953</v>
      </c>
      <c r="D46" s="112">
        <f>D41</f>
        <v>374.98368308351178</v>
      </c>
      <c r="E46" s="17">
        <f>I10</f>
        <v>1932.7</v>
      </c>
      <c r="F46" s="17">
        <f>ROUND((D46/E46)/60,2)</f>
        <v>0</v>
      </c>
      <c r="G46" s="17">
        <f>E14</f>
        <v>40</v>
      </c>
      <c r="H46" s="16">
        <f>ROUND(F46*G46,2)</f>
        <v>0</v>
      </c>
    </row>
    <row r="47" spans="3:9" x14ac:dyDescent="0.3">
      <c r="C47" s="17" t="s">
        <v>1109</v>
      </c>
      <c r="D47" s="112">
        <f>D42</f>
        <v>1686.0389293361886</v>
      </c>
      <c r="E47" s="17">
        <f>I10</f>
        <v>1932.7</v>
      </c>
      <c r="F47" s="17">
        <f>ROUND((D47/E47)/60,2)</f>
        <v>0.01</v>
      </c>
      <c r="G47" s="17">
        <f>E14</f>
        <v>40</v>
      </c>
      <c r="H47" s="16">
        <f>ROUND(F47*G47,2)</f>
        <v>0.4</v>
      </c>
    </row>
    <row r="48" spans="3:9" x14ac:dyDescent="0.3">
      <c r="C48" s="1012" t="s">
        <v>957</v>
      </c>
      <c r="D48" s="1013"/>
      <c r="E48" s="1013"/>
      <c r="F48" s="1013"/>
      <c r="G48" s="1014"/>
      <c r="H48" s="18">
        <f>SUM(H39:H47)</f>
        <v>9.6000000000000014</v>
      </c>
    </row>
    <row r="49" spans="1:19" ht="9.75" customHeight="1" x14ac:dyDescent="0.3"/>
    <row r="50" spans="1:19" hidden="1" x14ac:dyDescent="0.3"/>
    <row r="51" spans="1:19" x14ac:dyDescent="0.3">
      <c r="C51" s="1015" t="s">
        <v>959</v>
      </c>
      <c r="D51" s="1015"/>
      <c r="E51" s="1015"/>
      <c r="F51" s="1015"/>
      <c r="G51" s="1015"/>
      <c r="H51" s="35">
        <f>F6+F18+F30+F35</f>
        <v>97.329999999999984</v>
      </c>
    </row>
    <row r="52" spans="1:19" x14ac:dyDescent="0.3">
      <c r="C52" s="33"/>
      <c r="D52" s="33"/>
      <c r="E52" s="33"/>
      <c r="F52" s="33"/>
      <c r="G52" s="33"/>
      <c r="H52" s="34"/>
    </row>
    <row r="53" spans="1:19" x14ac:dyDescent="0.3">
      <c r="C53" s="1015" t="s">
        <v>960</v>
      </c>
      <c r="D53" s="1015"/>
      <c r="E53" s="1015"/>
      <c r="F53" s="1015"/>
      <c r="G53" s="1015"/>
      <c r="H53" s="32">
        <f>ROUND(H51,0)</f>
        <v>97</v>
      </c>
    </row>
    <row r="56" spans="1:19" s="54" customFormat="1" ht="19.8" x14ac:dyDescent="0.4">
      <c r="A56" s="53"/>
      <c r="B56" s="1016" t="s">
        <v>958</v>
      </c>
      <c r="C56" s="1016"/>
      <c r="D56" s="1016"/>
      <c r="E56" s="1016"/>
      <c r="F56" s="1016"/>
      <c r="G56" s="1016"/>
      <c r="H56" s="1016"/>
      <c r="I56" s="1016"/>
      <c r="J56" s="1016"/>
      <c r="K56" s="130"/>
      <c r="L56" s="105"/>
      <c r="M56" s="105"/>
      <c r="N56" s="70"/>
      <c r="O56" s="53"/>
      <c r="P56" s="53"/>
      <c r="Q56" s="53"/>
      <c r="R56" s="53"/>
      <c r="S56" s="53"/>
    </row>
    <row r="57" spans="1:19" s="54" customFormat="1" ht="19.8" x14ac:dyDescent="0.4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130"/>
      <c r="L57" s="105"/>
      <c r="M57" s="105"/>
      <c r="N57" s="70"/>
      <c r="O57" s="53"/>
      <c r="P57" s="53"/>
      <c r="Q57" s="53"/>
      <c r="R57" s="53"/>
      <c r="S57" s="53"/>
    </row>
    <row r="58" spans="1:19" s="54" customFormat="1" ht="19.8" x14ac:dyDescent="0.4">
      <c r="A58" s="53"/>
      <c r="B58" s="50" t="s">
        <v>662</v>
      </c>
      <c r="C58" s="1017" t="s">
        <v>0</v>
      </c>
      <c r="D58" s="1017"/>
      <c r="E58" s="1017"/>
      <c r="F58" s="52">
        <f>H107</f>
        <v>103</v>
      </c>
      <c r="G58" s="52" t="s">
        <v>971</v>
      </c>
      <c r="H58" s="53"/>
      <c r="I58" s="53"/>
      <c r="J58" s="53"/>
      <c r="K58" s="130"/>
      <c r="L58" s="105"/>
      <c r="M58" s="105"/>
      <c r="N58" s="70"/>
      <c r="O58" s="53"/>
      <c r="P58" s="53"/>
      <c r="Q58" s="53"/>
      <c r="R58" s="53"/>
      <c r="S58" s="53"/>
    </row>
    <row r="60" spans="1:19" x14ac:dyDescent="0.3">
      <c r="C60" s="1018" t="s">
        <v>932</v>
      </c>
      <c r="D60" s="1018"/>
      <c r="E60" s="10"/>
      <c r="F60" s="11">
        <f>F67+F70+F68</f>
        <v>62.59</v>
      </c>
      <c r="G60" s="12" t="s">
        <v>971</v>
      </c>
    </row>
    <row r="61" spans="1:19" ht="7.5" customHeight="1" x14ac:dyDescent="0.3"/>
    <row r="62" spans="1:19" x14ac:dyDescent="0.3">
      <c r="C62" s="13" t="s">
        <v>929</v>
      </c>
      <c r="D62" s="14" t="s">
        <v>928</v>
      </c>
      <c r="E62" s="14" t="s">
        <v>514</v>
      </c>
      <c r="F62" s="14" t="s">
        <v>515</v>
      </c>
      <c r="G62" s="14" t="s">
        <v>962</v>
      </c>
      <c r="H62" s="14" t="s">
        <v>926</v>
      </c>
      <c r="I62" s="14" t="s">
        <v>516</v>
      </c>
      <c r="J62" s="14" t="s">
        <v>961</v>
      </c>
    </row>
    <row r="63" spans="1:19" x14ac:dyDescent="0.3">
      <c r="C63" s="17" t="s">
        <v>150</v>
      </c>
      <c r="D63" s="16">
        <f>ЗП!C7</f>
        <v>8537.1</v>
      </c>
      <c r="E63" s="16">
        <f>ЗП!D7</f>
        <v>102445.20000000001</v>
      </c>
      <c r="F63" s="16">
        <f>ЗП!E7</f>
        <v>6567</v>
      </c>
      <c r="G63" s="16">
        <f>ЗП!F7</f>
        <v>3283.5</v>
      </c>
      <c r="H63" s="16">
        <f>E63+F63+G63</f>
        <v>112295.70000000001</v>
      </c>
      <c r="I63" s="17">
        <v>1932.7</v>
      </c>
      <c r="J63" s="16">
        <f>ROUND((H63/I63)/60,2)</f>
        <v>0.97</v>
      </c>
    </row>
    <row r="64" spans="1:19" x14ac:dyDescent="0.3">
      <c r="C64" s="17" t="s">
        <v>1101</v>
      </c>
      <c r="D64" s="16">
        <f>D10</f>
        <v>6500</v>
      </c>
      <c r="E64" s="16">
        <f>E10</f>
        <v>78000</v>
      </c>
      <c r="F64" s="16">
        <f>F10</f>
        <v>5005</v>
      </c>
      <c r="G64" s="16">
        <f>G10</f>
        <v>2502.5</v>
      </c>
      <c r="H64" s="16">
        <f>E64+F64+G64</f>
        <v>85507.5</v>
      </c>
      <c r="I64" s="17">
        <v>1932.7</v>
      </c>
      <c r="J64" s="16">
        <f>ROUND((H64/I64)/60,2)</f>
        <v>0.74</v>
      </c>
    </row>
    <row r="66" spans="3:7" ht="27.6" x14ac:dyDescent="0.3">
      <c r="C66" s="13" t="s">
        <v>929</v>
      </c>
      <c r="D66" s="14" t="s">
        <v>961</v>
      </c>
      <c r="E66" s="14" t="s">
        <v>930</v>
      </c>
      <c r="F66" s="14" t="s">
        <v>931</v>
      </c>
    </row>
    <row r="67" spans="3:7" x14ac:dyDescent="0.3">
      <c r="C67" s="15" t="str">
        <f>C63</f>
        <v>Лікар - терапевт</v>
      </c>
      <c r="D67" s="16">
        <f>J63</f>
        <v>0.97</v>
      </c>
      <c r="E67" s="17">
        <v>30</v>
      </c>
      <c r="F67" s="18">
        <f>ROUND(D67*E67,2)</f>
        <v>29.1</v>
      </c>
    </row>
    <row r="68" spans="3:7" x14ac:dyDescent="0.3">
      <c r="C68" s="15" t="str">
        <f>C64</f>
        <v>Сестра медична</v>
      </c>
      <c r="D68" s="16">
        <f>J64</f>
        <v>0.74</v>
      </c>
      <c r="E68" s="17">
        <v>30</v>
      </c>
      <c r="F68" s="18">
        <f>ROUND(D68*E68,2)</f>
        <v>22.2</v>
      </c>
    </row>
    <row r="69" spans="3:7" x14ac:dyDescent="0.3">
      <c r="D69" s="19"/>
    </row>
    <row r="70" spans="3:7" x14ac:dyDescent="0.3">
      <c r="C70" s="17" t="s">
        <v>933</v>
      </c>
      <c r="D70" s="16">
        <f>F67+F68</f>
        <v>51.3</v>
      </c>
      <c r="E70" s="20">
        <v>0.22</v>
      </c>
      <c r="F70" s="21">
        <f>ROUND(D70*E70,2)</f>
        <v>11.29</v>
      </c>
    </row>
    <row r="71" spans="3:7" ht="7.5" customHeight="1" x14ac:dyDescent="0.3"/>
    <row r="72" spans="3:7" x14ac:dyDescent="0.3">
      <c r="C72" s="12" t="s">
        <v>946</v>
      </c>
      <c r="D72" s="12"/>
      <c r="E72" s="12"/>
      <c r="F72" s="12">
        <f>G82</f>
        <v>9.08</v>
      </c>
      <c r="G72" s="12" t="s">
        <v>971</v>
      </c>
    </row>
    <row r="73" spans="3:7" ht="9" customHeight="1" x14ac:dyDescent="0.3"/>
    <row r="74" spans="3:7" x14ac:dyDescent="0.3">
      <c r="C74" s="27" t="s">
        <v>964</v>
      </c>
      <c r="D74" s="28" t="s">
        <v>941</v>
      </c>
      <c r="E74" s="45">
        <v>0.1</v>
      </c>
      <c r="F74" s="29">
        <f>'МЕДИЧНІ М'!E102</f>
        <v>2.8</v>
      </c>
      <c r="G74" s="37">
        <f>ROUND(F74*E74,2)</f>
        <v>0.28000000000000003</v>
      </c>
    </row>
    <row r="75" spans="3:7" x14ac:dyDescent="0.3">
      <c r="C75" s="27" t="s">
        <v>965</v>
      </c>
      <c r="D75" s="28" t="s">
        <v>941</v>
      </c>
      <c r="E75" s="45">
        <v>0.01</v>
      </c>
      <c r="F75" s="29">
        <f>'МЕДИЧНІ М'!E103</f>
        <v>24.6</v>
      </c>
      <c r="G75" s="37">
        <f>ROUND(F75*E75,2)</f>
        <v>0.25</v>
      </c>
    </row>
    <row r="76" spans="3:7" x14ac:dyDescent="0.3">
      <c r="C76" s="27" t="s">
        <v>940</v>
      </c>
      <c r="D76" s="28" t="s">
        <v>941</v>
      </c>
      <c r="E76" s="45">
        <v>0.1</v>
      </c>
      <c r="F76" s="29">
        <f>'МЕДИЧНІ М'!E98</f>
        <v>2</v>
      </c>
      <c r="G76" s="37">
        <f>ROUND(F76*E76,2)</f>
        <v>0.2</v>
      </c>
    </row>
    <row r="77" spans="3:7" x14ac:dyDescent="0.3">
      <c r="C77" s="27" t="s">
        <v>936</v>
      </c>
      <c r="D77" s="28" t="s">
        <v>937</v>
      </c>
      <c r="E77" s="29">
        <v>1</v>
      </c>
      <c r="F77" s="30">
        <f>'МЕДИЧНІ М'!F99</f>
        <v>0.3</v>
      </c>
      <c r="G77" s="30">
        <f>ROUND(E77*F77,2)</f>
        <v>0.3</v>
      </c>
    </row>
    <row r="78" spans="3:7" x14ac:dyDescent="0.3">
      <c r="C78" s="27" t="s">
        <v>147</v>
      </c>
      <c r="D78" s="28" t="s">
        <v>941</v>
      </c>
      <c r="E78" s="45">
        <v>2</v>
      </c>
      <c r="F78" s="30">
        <v>0.15</v>
      </c>
      <c r="G78" s="37">
        <f>ROUND(F78*E78,2)</f>
        <v>0.3</v>
      </c>
    </row>
    <row r="79" spans="3:7" x14ac:dyDescent="0.3">
      <c r="C79" s="27" t="s">
        <v>151</v>
      </c>
      <c r="D79" s="28" t="s">
        <v>967</v>
      </c>
      <c r="E79" s="45">
        <v>0.05</v>
      </c>
      <c r="F79" s="29">
        <f>'МЕДИЧНІ М'!E96</f>
        <v>48</v>
      </c>
      <c r="G79" s="37">
        <f>ROUND(F79*E79,2)</f>
        <v>2.4</v>
      </c>
    </row>
    <row r="80" spans="3:7" x14ac:dyDescent="0.3">
      <c r="C80" s="27" t="s">
        <v>1116</v>
      </c>
      <c r="D80" s="28" t="s">
        <v>950</v>
      </c>
      <c r="E80" s="45">
        <v>0.3</v>
      </c>
      <c r="F80" s="30">
        <f>'МЕДИЧНІ М'!F100</f>
        <v>17</v>
      </c>
      <c r="G80" s="37">
        <f>ROUND(F80*E80,2)</f>
        <v>5.0999999999999996</v>
      </c>
    </row>
    <row r="81" spans="3:9" x14ac:dyDescent="0.3">
      <c r="C81" s="27" t="s">
        <v>1124</v>
      </c>
      <c r="D81" s="28" t="s">
        <v>944</v>
      </c>
      <c r="E81" s="29">
        <v>0.5</v>
      </c>
      <c r="F81" s="29">
        <f>'МЕДИЧНІ М'!E97</f>
        <v>0.5</v>
      </c>
      <c r="G81" s="30">
        <f>ROUND(E81*F81,2)</f>
        <v>0.25</v>
      </c>
    </row>
    <row r="82" spans="3:9" x14ac:dyDescent="0.3">
      <c r="C82" s="1019" t="s">
        <v>945</v>
      </c>
      <c r="D82" s="1019"/>
      <c r="E82" s="1019"/>
      <c r="F82" s="1019"/>
      <c r="G82" s="31">
        <f>SUM(G74:G81)</f>
        <v>9.08</v>
      </c>
    </row>
    <row r="84" spans="3:9" x14ac:dyDescent="0.3">
      <c r="C84" s="12" t="s">
        <v>968</v>
      </c>
      <c r="D84" s="12"/>
      <c r="E84" s="12"/>
      <c r="F84" s="11">
        <f>H87</f>
        <v>0</v>
      </c>
      <c r="G84" s="12" t="s">
        <v>971</v>
      </c>
    </row>
    <row r="85" spans="3:9" ht="6" customHeight="1" x14ac:dyDescent="0.3">
      <c r="C85" s="22"/>
      <c r="D85" s="22"/>
      <c r="E85" s="22"/>
      <c r="F85" s="23"/>
      <c r="G85" s="22"/>
    </row>
    <row r="86" spans="3:9" ht="41.4" x14ac:dyDescent="0.3">
      <c r="C86" s="14" t="s">
        <v>513</v>
      </c>
      <c r="D86" s="14" t="s">
        <v>969</v>
      </c>
      <c r="E86" s="14" t="s">
        <v>516</v>
      </c>
      <c r="F86" s="14" t="s">
        <v>970</v>
      </c>
      <c r="G86" s="14" t="s">
        <v>930</v>
      </c>
      <c r="H86" s="14" t="s">
        <v>961</v>
      </c>
    </row>
    <row r="87" spans="3:9" x14ac:dyDescent="0.3">
      <c r="C87" s="43" t="s">
        <v>152</v>
      </c>
      <c r="D87" s="17">
        <v>0</v>
      </c>
      <c r="E87" s="17">
        <f>I63</f>
        <v>1932.7</v>
      </c>
      <c r="F87" s="17">
        <f>ROUND((D87/E87)/60,2)</f>
        <v>0</v>
      </c>
      <c r="G87" s="17">
        <f>E67</f>
        <v>30</v>
      </c>
      <c r="H87" s="16">
        <f>ROUND(F87*G87,2)</f>
        <v>0</v>
      </c>
      <c r="I87" s="38"/>
    </row>
    <row r="89" spans="3:9" x14ac:dyDescent="0.3">
      <c r="C89" s="12" t="s">
        <v>948</v>
      </c>
      <c r="D89" s="12"/>
      <c r="E89" s="12"/>
      <c r="F89" s="11">
        <f>H102</f>
        <v>30.9</v>
      </c>
      <c r="G89" s="12" t="s">
        <v>971</v>
      </c>
    </row>
    <row r="90" spans="3:9" ht="6" customHeight="1" x14ac:dyDescent="0.3">
      <c r="C90" s="22"/>
      <c r="D90" s="22"/>
      <c r="E90" s="22"/>
      <c r="F90" s="23"/>
    </row>
    <row r="91" spans="3:9" ht="55.2" x14ac:dyDescent="0.3">
      <c r="C91" s="14" t="s">
        <v>948</v>
      </c>
      <c r="D91" s="14" t="s">
        <v>955</v>
      </c>
      <c r="E91" s="14" t="s">
        <v>516</v>
      </c>
      <c r="F91" s="14" t="s">
        <v>954</v>
      </c>
      <c r="G91" s="14" t="s">
        <v>930</v>
      </c>
      <c r="H91" s="14" t="s">
        <v>956</v>
      </c>
    </row>
    <row r="92" spans="3:9" x14ac:dyDescent="0.3">
      <c r="C92" s="1009" t="str">
        <f>C63</f>
        <v>Лікар - терапевт</v>
      </c>
      <c r="D92" s="1010"/>
      <c r="E92" s="1010"/>
      <c r="F92" s="1010"/>
      <c r="G92" s="1010"/>
      <c r="H92" s="1011"/>
    </row>
    <row r="93" spans="3:9" x14ac:dyDescent="0.3">
      <c r="C93" s="17" t="s">
        <v>951</v>
      </c>
      <c r="D93" s="17">
        <v>20916</v>
      </c>
      <c r="E93" s="17">
        <f>I63</f>
        <v>1932.7</v>
      </c>
      <c r="F93" s="17">
        <f>ROUND((D93/E93)/60,2)</f>
        <v>0.18</v>
      </c>
      <c r="G93" s="17">
        <f>E67</f>
        <v>30</v>
      </c>
      <c r="H93" s="16">
        <f>ROUND(F93*G93,2)</f>
        <v>5.4</v>
      </c>
    </row>
    <row r="94" spans="3:9" x14ac:dyDescent="0.3">
      <c r="C94" s="17" t="s">
        <v>952</v>
      </c>
      <c r="D94" s="17">
        <v>15003</v>
      </c>
      <c r="E94" s="17">
        <f>I63</f>
        <v>1932.7</v>
      </c>
      <c r="F94" s="17">
        <f>ROUND((D94/E94)/60,2)</f>
        <v>0.13</v>
      </c>
      <c r="G94" s="17">
        <f>E67</f>
        <v>30</v>
      </c>
      <c r="H94" s="16">
        <f>ROUND(F94*G94,2)</f>
        <v>3.9</v>
      </c>
    </row>
    <row r="95" spans="3:9" x14ac:dyDescent="0.3">
      <c r="C95" s="17" t="s">
        <v>953</v>
      </c>
      <c r="D95" s="17">
        <v>17129</v>
      </c>
      <c r="E95" s="17">
        <f>I63</f>
        <v>1932.7</v>
      </c>
      <c r="F95" s="17">
        <f>ROUND((D95/E95)/60,2)</f>
        <v>0.15</v>
      </c>
      <c r="G95" s="17">
        <f>E67</f>
        <v>30</v>
      </c>
      <c r="H95" s="16">
        <f>ROUND(F95*G95,2)</f>
        <v>4.5</v>
      </c>
    </row>
    <row r="96" spans="3:9" x14ac:dyDescent="0.3">
      <c r="C96" s="17" t="s">
        <v>1109</v>
      </c>
      <c r="D96" s="17">
        <v>8582</v>
      </c>
      <c r="E96" s="17">
        <f>I63</f>
        <v>1932.7</v>
      </c>
      <c r="F96" s="17">
        <f>ROUND((D96/E96)/60,2)</f>
        <v>7.0000000000000007E-2</v>
      </c>
      <c r="G96" s="17">
        <f>E67</f>
        <v>30</v>
      </c>
      <c r="H96" s="16">
        <f>ROUND(F96*G96,2)</f>
        <v>2.1</v>
      </c>
    </row>
    <row r="97" spans="1:19" x14ac:dyDescent="0.3">
      <c r="C97" s="1009" t="str">
        <f>C64</f>
        <v>Сестра медична</v>
      </c>
      <c r="D97" s="1010"/>
      <c r="E97" s="1010"/>
      <c r="F97" s="1010"/>
      <c r="G97" s="1010"/>
      <c r="H97" s="1011"/>
    </row>
    <row r="98" spans="1:19" x14ac:dyDescent="0.3">
      <c r="C98" s="17" t="s">
        <v>951</v>
      </c>
      <c r="D98" s="17">
        <v>20916</v>
      </c>
      <c r="E98" s="17">
        <f>I64</f>
        <v>1932.7</v>
      </c>
      <c r="F98" s="17">
        <f>ROUND((D98/E98)/60,2)</f>
        <v>0.18</v>
      </c>
      <c r="G98" s="17">
        <f>E68</f>
        <v>30</v>
      </c>
      <c r="H98" s="16">
        <f>ROUND(F98*G98,2)</f>
        <v>5.4</v>
      </c>
    </row>
    <row r="99" spans="1:19" x14ac:dyDescent="0.3">
      <c r="C99" s="17" t="s">
        <v>952</v>
      </c>
      <c r="D99" s="17">
        <v>15003</v>
      </c>
      <c r="E99" s="17">
        <f>I64</f>
        <v>1932.7</v>
      </c>
      <c r="F99" s="17">
        <f>ROUND((D99/E99)/60,2)</f>
        <v>0.13</v>
      </c>
      <c r="G99" s="17">
        <f>E68</f>
        <v>30</v>
      </c>
      <c r="H99" s="16">
        <f>ROUND(F99*G99,2)</f>
        <v>3.9</v>
      </c>
    </row>
    <row r="100" spans="1:19" x14ac:dyDescent="0.3">
      <c r="C100" s="17" t="s">
        <v>953</v>
      </c>
      <c r="D100" s="17">
        <v>17129</v>
      </c>
      <c r="E100" s="17">
        <f>I64</f>
        <v>1932.7</v>
      </c>
      <c r="F100" s="17">
        <f>ROUND((D100/E100)/60,2)</f>
        <v>0.15</v>
      </c>
      <c r="G100" s="17">
        <f>E68</f>
        <v>30</v>
      </c>
      <c r="H100" s="16">
        <f>ROUND(F100*G100,2)</f>
        <v>4.5</v>
      </c>
    </row>
    <row r="101" spans="1:19" x14ac:dyDescent="0.3">
      <c r="C101" s="17" t="s">
        <v>1109</v>
      </c>
      <c r="D101" s="17">
        <v>4653</v>
      </c>
      <c r="E101" s="17">
        <f>I64</f>
        <v>1932.7</v>
      </c>
      <c r="F101" s="17">
        <f>ROUND((D101/E101)/60,2)</f>
        <v>0.04</v>
      </c>
      <c r="G101" s="17">
        <f>E68</f>
        <v>30</v>
      </c>
      <c r="H101" s="16">
        <f>ROUND(F101*G101,2)</f>
        <v>1.2</v>
      </c>
    </row>
    <row r="102" spans="1:19" x14ac:dyDescent="0.3">
      <c r="C102" s="1012" t="s">
        <v>957</v>
      </c>
      <c r="D102" s="1013"/>
      <c r="E102" s="1013"/>
      <c r="F102" s="1013"/>
      <c r="G102" s="1014"/>
      <c r="H102" s="18">
        <f>SUM(H93:H101)</f>
        <v>30.9</v>
      </c>
    </row>
    <row r="103" spans="1:19" ht="8.25" customHeight="1" x14ac:dyDescent="0.3"/>
    <row r="104" spans="1:19" hidden="1" x14ac:dyDescent="0.3"/>
    <row r="105" spans="1:19" x14ac:dyDescent="0.3">
      <c r="C105" s="1015" t="s">
        <v>959</v>
      </c>
      <c r="D105" s="1015"/>
      <c r="E105" s="1015"/>
      <c r="F105" s="1015"/>
      <c r="G105" s="1015"/>
      <c r="H105" s="32">
        <f>F60+F72+F84+F89</f>
        <v>102.57</v>
      </c>
    </row>
    <row r="106" spans="1:19" x14ac:dyDescent="0.3">
      <c r="C106" s="33"/>
      <c r="D106" s="33"/>
      <c r="E106" s="33"/>
      <c r="F106" s="33"/>
      <c r="G106" s="33"/>
      <c r="H106" s="34"/>
    </row>
    <row r="107" spans="1:19" x14ac:dyDescent="0.3">
      <c r="C107" s="1015" t="s">
        <v>960</v>
      </c>
      <c r="D107" s="1015"/>
      <c r="E107" s="1015"/>
      <c r="F107" s="1015"/>
      <c r="G107" s="1015"/>
      <c r="H107" s="32">
        <f>ROUND(H105,0)</f>
        <v>103</v>
      </c>
    </row>
    <row r="109" spans="1:19" s="54" customFormat="1" ht="19.8" x14ac:dyDescent="0.4">
      <c r="A109" s="53"/>
      <c r="B109" s="1016" t="s">
        <v>958</v>
      </c>
      <c r="C109" s="1016"/>
      <c r="D109" s="1016"/>
      <c r="E109" s="1016"/>
      <c r="F109" s="1016"/>
      <c r="G109" s="1016"/>
      <c r="H109" s="1016"/>
      <c r="I109" s="1016"/>
      <c r="J109" s="1016"/>
      <c r="K109" s="130"/>
      <c r="L109" s="105"/>
      <c r="M109" s="105"/>
      <c r="N109" s="70"/>
      <c r="O109" s="53"/>
      <c r="P109" s="53"/>
      <c r="Q109" s="53"/>
      <c r="R109" s="53"/>
      <c r="S109" s="53"/>
    </row>
    <row r="110" spans="1:19" s="54" customFormat="1" ht="16.5" customHeight="1" x14ac:dyDescent="0.4">
      <c r="A110" s="53"/>
      <c r="B110" s="53"/>
      <c r="C110" s="53"/>
      <c r="D110" s="53"/>
      <c r="E110" s="53"/>
      <c r="F110" s="53"/>
      <c r="G110" s="53"/>
      <c r="H110" s="53"/>
      <c r="I110" s="53"/>
      <c r="J110" s="53"/>
      <c r="K110" s="130"/>
      <c r="L110" s="105"/>
      <c r="M110" s="105"/>
      <c r="N110" s="70"/>
      <c r="O110" s="53"/>
      <c r="P110" s="53"/>
      <c r="Q110" s="53"/>
      <c r="R110" s="53"/>
      <c r="S110" s="53"/>
    </row>
    <row r="111" spans="1:19" s="54" customFormat="1" ht="19.8" x14ac:dyDescent="0.4">
      <c r="A111" s="53"/>
      <c r="B111" s="50" t="s">
        <v>664</v>
      </c>
      <c r="C111" s="1017" t="s">
        <v>920</v>
      </c>
      <c r="D111" s="1017"/>
      <c r="E111" s="1017"/>
      <c r="F111" s="52">
        <f>H160</f>
        <v>17</v>
      </c>
      <c r="G111" s="52" t="s">
        <v>971</v>
      </c>
      <c r="H111" s="53"/>
      <c r="I111" s="53"/>
      <c r="J111" s="53"/>
      <c r="K111" s="130"/>
      <c r="L111" s="105"/>
      <c r="M111" s="105"/>
      <c r="N111" s="70"/>
      <c r="O111" s="53"/>
      <c r="P111" s="53"/>
      <c r="Q111" s="53"/>
      <c r="R111" s="53"/>
      <c r="S111" s="53"/>
    </row>
    <row r="113" spans="3:10" x14ac:dyDescent="0.3">
      <c r="C113" s="1018" t="s">
        <v>932</v>
      </c>
      <c r="D113" s="1018"/>
      <c r="E113" s="10"/>
      <c r="F113" s="11">
        <f>F120+F123+F121</f>
        <v>12.440000000000001</v>
      </c>
      <c r="G113" s="12" t="s">
        <v>971</v>
      </c>
    </row>
    <row r="115" spans="3:10" x14ac:dyDescent="0.3">
      <c r="C115" s="13" t="s">
        <v>929</v>
      </c>
      <c r="D115" s="14" t="s">
        <v>928</v>
      </c>
      <c r="E115" s="14" t="s">
        <v>514</v>
      </c>
      <c r="F115" s="14" t="s">
        <v>515</v>
      </c>
      <c r="G115" s="14" t="s">
        <v>962</v>
      </c>
      <c r="H115" s="14" t="s">
        <v>926</v>
      </c>
      <c r="I115" s="14" t="s">
        <v>516</v>
      </c>
      <c r="J115" s="14" t="s">
        <v>961</v>
      </c>
    </row>
    <row r="116" spans="3:10" x14ac:dyDescent="0.3">
      <c r="C116" s="17" t="str">
        <f>ЗП!B7</f>
        <v>Лікар-терапевт</v>
      </c>
      <c r="D116" s="16">
        <f>ЗП!C7</f>
        <v>8537.1</v>
      </c>
      <c r="E116" s="16">
        <f>D116*12</f>
        <v>102445.20000000001</v>
      </c>
      <c r="F116" s="16">
        <f>ЗП!E7</f>
        <v>6567</v>
      </c>
      <c r="G116" s="16">
        <f>ЗП!F7</f>
        <v>3283.5</v>
      </c>
      <c r="H116" s="16">
        <f>E116+F116+G116</f>
        <v>112295.70000000001</v>
      </c>
      <c r="I116" s="17">
        <v>1932.7</v>
      </c>
      <c r="J116" s="16">
        <f>ROUND((H116/I116)/60,2)</f>
        <v>0.97</v>
      </c>
    </row>
    <row r="117" spans="3:10" x14ac:dyDescent="0.3">
      <c r="C117" s="17" t="s">
        <v>1193</v>
      </c>
      <c r="D117" s="16">
        <f>ЗП!C52</f>
        <v>6500</v>
      </c>
      <c r="E117" s="16">
        <f>D117*12</f>
        <v>78000</v>
      </c>
      <c r="F117" s="16">
        <f>ЗП!E52</f>
        <v>5005</v>
      </c>
      <c r="G117" s="16">
        <f>ЗП!F53</f>
        <v>1707</v>
      </c>
      <c r="H117" s="16">
        <f>E117+F117+G117</f>
        <v>84712</v>
      </c>
      <c r="I117" s="17">
        <v>1932.7</v>
      </c>
      <c r="J117" s="16">
        <f>ROUND((H117/I117)/60,2)</f>
        <v>0.73</v>
      </c>
    </row>
    <row r="119" spans="3:10" ht="27.6" x14ac:dyDescent="0.3">
      <c r="C119" s="13" t="s">
        <v>929</v>
      </c>
      <c r="D119" s="14" t="s">
        <v>961</v>
      </c>
      <c r="E119" s="14" t="s">
        <v>930</v>
      </c>
      <c r="F119" s="14" t="s">
        <v>931</v>
      </c>
    </row>
    <row r="120" spans="3:10" x14ac:dyDescent="0.3">
      <c r="C120" s="15" t="str">
        <f>C116</f>
        <v>Лікар-терапевт</v>
      </c>
      <c r="D120" s="16">
        <f>J116</f>
        <v>0.97</v>
      </c>
      <c r="E120" s="17">
        <v>6</v>
      </c>
      <c r="F120" s="18">
        <f>ROUND(D120*E120,2)</f>
        <v>5.82</v>
      </c>
    </row>
    <row r="121" spans="3:10" x14ac:dyDescent="0.3">
      <c r="C121" s="15" t="str">
        <f>C117</f>
        <v xml:space="preserve">Сестра медична </v>
      </c>
      <c r="D121" s="16">
        <f>J117</f>
        <v>0.73</v>
      </c>
      <c r="E121" s="17">
        <v>6</v>
      </c>
      <c r="F121" s="18">
        <f>ROUND(D121*E121,2)</f>
        <v>4.38</v>
      </c>
    </row>
    <row r="122" spans="3:10" ht="6.75" customHeight="1" x14ac:dyDescent="0.3">
      <c r="D122" s="19"/>
    </row>
    <row r="123" spans="3:10" x14ac:dyDescent="0.3">
      <c r="C123" s="17" t="s">
        <v>933</v>
      </c>
      <c r="D123" s="16">
        <f>F120+F121</f>
        <v>10.199999999999999</v>
      </c>
      <c r="E123" s="20">
        <v>0.22</v>
      </c>
      <c r="F123" s="21">
        <f>ROUND(D123*E123,2)</f>
        <v>2.2400000000000002</v>
      </c>
    </row>
    <row r="124" spans="3:10" ht="10.5" customHeight="1" x14ac:dyDescent="0.3"/>
    <row r="125" spans="3:10" x14ac:dyDescent="0.3">
      <c r="C125" s="12" t="s">
        <v>946</v>
      </c>
      <c r="D125" s="12"/>
      <c r="E125" s="12"/>
      <c r="F125" s="11">
        <f>G135</f>
        <v>3.2</v>
      </c>
      <c r="G125" s="12" t="s">
        <v>971</v>
      </c>
    </row>
    <row r="126" spans="3:10" ht="6" customHeight="1" x14ac:dyDescent="0.3"/>
    <row r="127" spans="3:10" x14ac:dyDescent="0.3">
      <c r="C127" s="27" t="s">
        <v>964</v>
      </c>
      <c r="D127" s="28" t="s">
        <v>941</v>
      </c>
      <c r="E127" s="45">
        <v>0.1</v>
      </c>
      <c r="F127" s="29">
        <f>'МЕДИЧНІ М'!E102</f>
        <v>2.8</v>
      </c>
      <c r="G127" s="37">
        <f>ROUND(F127*E127,2)</f>
        <v>0.28000000000000003</v>
      </c>
    </row>
    <row r="128" spans="3:10" x14ac:dyDescent="0.3">
      <c r="C128" s="27" t="s">
        <v>965</v>
      </c>
      <c r="D128" s="28" t="s">
        <v>941</v>
      </c>
      <c r="E128" s="45">
        <v>0.01</v>
      </c>
      <c r="F128" s="29">
        <f>'МЕДИЧНІ М'!E103</f>
        <v>24.6</v>
      </c>
      <c r="G128" s="37">
        <f t="shared" ref="G128:G133" si="0">ROUND(F128*E128,2)</f>
        <v>0.25</v>
      </c>
    </row>
    <row r="129" spans="3:9" x14ac:dyDescent="0.3">
      <c r="C129" s="27" t="s">
        <v>940</v>
      </c>
      <c r="D129" s="28" t="s">
        <v>941</v>
      </c>
      <c r="E129" s="45">
        <v>0.1</v>
      </c>
      <c r="F129" s="29">
        <f>'МЕДИЧНІ М'!E98</f>
        <v>2</v>
      </c>
      <c r="G129" s="37">
        <f t="shared" si="0"/>
        <v>0.2</v>
      </c>
    </row>
    <row r="130" spans="3:9" x14ac:dyDescent="0.3">
      <c r="C130" s="27" t="s">
        <v>936</v>
      </c>
      <c r="D130" s="28" t="s">
        <v>937</v>
      </c>
      <c r="E130" s="29">
        <v>1</v>
      </c>
      <c r="F130" s="30">
        <f>'МЕДИЧНІ М'!F99</f>
        <v>0.3</v>
      </c>
      <c r="G130" s="30">
        <f>ROUND(E130*F130,2)</f>
        <v>0.3</v>
      </c>
    </row>
    <row r="131" spans="3:9" x14ac:dyDescent="0.3">
      <c r="C131" s="27" t="s">
        <v>147</v>
      </c>
      <c r="D131" s="28" t="s">
        <v>941</v>
      </c>
      <c r="E131" s="45">
        <v>2</v>
      </c>
      <c r="F131" s="30">
        <v>0.15</v>
      </c>
      <c r="G131" s="37">
        <f t="shared" si="0"/>
        <v>0.3</v>
      </c>
    </row>
    <row r="132" spans="3:9" x14ac:dyDescent="0.3">
      <c r="C132" s="27" t="s">
        <v>972</v>
      </c>
      <c r="D132" s="28" t="s">
        <v>941</v>
      </c>
      <c r="E132" s="45">
        <v>0.01</v>
      </c>
      <c r="F132" s="29">
        <f>'МЕДИЧНІ М'!E95</f>
        <v>7</v>
      </c>
      <c r="G132" s="37">
        <f t="shared" si="0"/>
        <v>7.0000000000000007E-2</v>
      </c>
    </row>
    <row r="133" spans="3:9" x14ac:dyDescent="0.3">
      <c r="C133" s="27" t="s">
        <v>1028</v>
      </c>
      <c r="D133" s="28" t="s">
        <v>941</v>
      </c>
      <c r="E133" s="45">
        <v>0.1</v>
      </c>
      <c r="F133" s="29">
        <f>'МЕДИЧНІ М'!E101</f>
        <v>18</v>
      </c>
      <c r="G133" s="37">
        <f t="shared" si="0"/>
        <v>1.8</v>
      </c>
    </row>
    <row r="134" spans="3:9" x14ac:dyDescent="0.3">
      <c r="C134" s="27" t="s">
        <v>1124</v>
      </c>
      <c r="D134" s="28" t="s">
        <v>944</v>
      </c>
      <c r="E134" s="29">
        <v>0.5</v>
      </c>
      <c r="F134" s="29">
        <f>'МЕДИЧНІ М'!E97</f>
        <v>0.5</v>
      </c>
      <c r="G134" s="30">
        <f>ROUND(E134*F134,2)</f>
        <v>0.25</v>
      </c>
    </row>
    <row r="135" spans="3:9" x14ac:dyDescent="0.3">
      <c r="C135" s="1019" t="s">
        <v>945</v>
      </c>
      <c r="D135" s="1019"/>
      <c r="E135" s="1019"/>
      <c r="F135" s="1019"/>
      <c r="G135" s="89">
        <f>SUM(G127:G133)</f>
        <v>3.2</v>
      </c>
    </row>
    <row r="136" spans="3:9" ht="7.5" customHeight="1" x14ac:dyDescent="0.3"/>
    <row r="137" spans="3:9" x14ac:dyDescent="0.3">
      <c r="C137" s="12" t="s">
        <v>968</v>
      </c>
      <c r="D137" s="12"/>
      <c r="E137" s="12"/>
      <c r="F137" s="11">
        <f>H140</f>
        <v>0</v>
      </c>
      <c r="G137" s="12" t="s">
        <v>971</v>
      </c>
    </row>
    <row r="138" spans="3:9" ht="9" customHeight="1" x14ac:dyDescent="0.3">
      <c r="C138" s="22"/>
      <c r="D138" s="22"/>
      <c r="E138" s="22"/>
      <c r="F138" s="23"/>
      <c r="G138" s="22"/>
    </row>
    <row r="139" spans="3:9" ht="41.4" x14ac:dyDescent="0.3">
      <c r="C139" s="14" t="s">
        <v>513</v>
      </c>
      <c r="D139" s="14" t="s">
        <v>969</v>
      </c>
      <c r="E139" s="14" t="s">
        <v>516</v>
      </c>
      <c r="F139" s="14" t="s">
        <v>970</v>
      </c>
      <c r="G139" s="14" t="s">
        <v>930</v>
      </c>
      <c r="H139" s="14" t="s">
        <v>961</v>
      </c>
    </row>
    <row r="140" spans="3:9" ht="27.6" x14ac:dyDescent="0.3">
      <c r="C140" s="27" t="s">
        <v>1091</v>
      </c>
      <c r="D140" s="17">
        <f>АМОРТИЗАЦІЯ!C16</f>
        <v>0</v>
      </c>
      <c r="E140" s="17">
        <f>I116</f>
        <v>1932.7</v>
      </c>
      <c r="F140" s="17">
        <f>ROUND((D140/E140)/60,2)</f>
        <v>0</v>
      </c>
      <c r="G140" s="17">
        <f>E120</f>
        <v>6</v>
      </c>
      <c r="H140" s="16">
        <f>ROUND(F140*G140,2)</f>
        <v>0</v>
      </c>
      <c r="I140" s="38"/>
    </row>
    <row r="142" spans="3:9" x14ac:dyDescent="0.3">
      <c r="C142" s="12" t="s">
        <v>948</v>
      </c>
      <c r="D142" s="12"/>
      <c r="E142" s="12"/>
      <c r="F142" s="11">
        <f>H155</f>
        <v>1.44</v>
      </c>
      <c r="G142" s="12" t="s">
        <v>971</v>
      </c>
    </row>
    <row r="143" spans="3:9" x14ac:dyDescent="0.3">
      <c r="C143" s="22"/>
      <c r="D143" s="22"/>
      <c r="E143" s="22"/>
      <c r="F143" s="23"/>
    </row>
    <row r="144" spans="3:9" ht="55.2" x14ac:dyDescent="0.3">
      <c r="C144" s="14" t="s">
        <v>948</v>
      </c>
      <c r="D144" s="14" t="s">
        <v>955</v>
      </c>
      <c r="E144" s="14" t="s">
        <v>516</v>
      </c>
      <c r="F144" s="14" t="s">
        <v>954</v>
      </c>
      <c r="G144" s="14" t="s">
        <v>930</v>
      </c>
      <c r="H144" s="14" t="s">
        <v>956</v>
      </c>
    </row>
    <row r="145" spans="3:8" x14ac:dyDescent="0.3">
      <c r="C145" s="1009" t="str">
        <f>C116</f>
        <v>Лікар-терапевт</v>
      </c>
      <c r="D145" s="1010"/>
      <c r="E145" s="1010"/>
      <c r="F145" s="1010"/>
      <c r="G145" s="1010"/>
      <c r="H145" s="1011"/>
    </row>
    <row r="146" spans="3:8" x14ac:dyDescent="0.3">
      <c r="C146" s="17" t="s">
        <v>951</v>
      </c>
      <c r="D146" s="112">
        <f>НАКЛАДНІ!F4</f>
        <v>12188.608008565312</v>
      </c>
      <c r="E146" s="17">
        <f>I116</f>
        <v>1932.7</v>
      </c>
      <c r="F146" s="17">
        <f>ROUND((D146/E146)/60,2)</f>
        <v>0.11</v>
      </c>
      <c r="G146" s="17">
        <f>E120</f>
        <v>6</v>
      </c>
      <c r="H146" s="16">
        <f>ROUND(F146*G146,2)</f>
        <v>0.66</v>
      </c>
    </row>
    <row r="147" spans="3:8" x14ac:dyDescent="0.3">
      <c r="C147" s="17" t="s">
        <v>952</v>
      </c>
      <c r="D147" s="112">
        <f>НАКЛАДНІ!F5</f>
        <v>53.149721627408987</v>
      </c>
      <c r="E147" s="17">
        <f>I116</f>
        <v>1932.7</v>
      </c>
      <c r="F147" s="17">
        <f>ROUND((D147/E147)/60,2)</f>
        <v>0</v>
      </c>
      <c r="G147" s="17">
        <f>E120</f>
        <v>6</v>
      </c>
      <c r="H147" s="16">
        <f>ROUND(F147*G147,2)</f>
        <v>0</v>
      </c>
    </row>
    <row r="148" spans="3:8" x14ac:dyDescent="0.3">
      <c r="C148" s="17" t="s">
        <v>953</v>
      </c>
      <c r="D148" s="112">
        <f>НАКЛАДНІ!F6</f>
        <v>374.98368308351178</v>
      </c>
      <c r="E148" s="17">
        <f>I116</f>
        <v>1932.7</v>
      </c>
      <c r="F148" s="17">
        <f>ROUND((D148/E148)/60,2)</f>
        <v>0</v>
      </c>
      <c r="G148" s="17">
        <f>E120</f>
        <v>6</v>
      </c>
      <c r="H148" s="16">
        <f>ROUND(F148*G148,2)</f>
        <v>0</v>
      </c>
    </row>
    <row r="149" spans="3:8" x14ac:dyDescent="0.3">
      <c r="C149" s="17" t="s">
        <v>1109</v>
      </c>
      <c r="D149" s="112">
        <f>НАКЛАДНІ!F7</f>
        <v>1686.0389293361886</v>
      </c>
      <c r="E149" s="17">
        <f>I116</f>
        <v>1932.7</v>
      </c>
      <c r="F149" s="17">
        <f>ROUND((D149/E149)/60,2)</f>
        <v>0.01</v>
      </c>
      <c r="G149" s="17">
        <f>E120</f>
        <v>6</v>
      </c>
      <c r="H149" s="16">
        <f>ROUND(F149*G149,2)</f>
        <v>0.06</v>
      </c>
    </row>
    <row r="150" spans="3:8" x14ac:dyDescent="0.3">
      <c r="C150" s="1009" t="str">
        <f>C117</f>
        <v xml:space="preserve">Сестра медична </v>
      </c>
      <c r="D150" s="1010"/>
      <c r="E150" s="1010"/>
      <c r="F150" s="1010"/>
      <c r="G150" s="1010"/>
      <c r="H150" s="1011"/>
    </row>
    <row r="151" spans="3:8" x14ac:dyDescent="0.3">
      <c r="C151" s="17" t="s">
        <v>951</v>
      </c>
      <c r="D151" s="112">
        <f>D146</f>
        <v>12188.608008565312</v>
      </c>
      <c r="E151" s="17">
        <f>I117</f>
        <v>1932.7</v>
      </c>
      <c r="F151" s="17">
        <f>ROUND((D151/E151)/60,2)</f>
        <v>0.11</v>
      </c>
      <c r="G151" s="17">
        <f>E121</f>
        <v>6</v>
      </c>
      <c r="H151" s="16">
        <f>ROUND(F151*G151,2)</f>
        <v>0.66</v>
      </c>
    </row>
    <row r="152" spans="3:8" x14ac:dyDescent="0.3">
      <c r="C152" s="17" t="s">
        <v>952</v>
      </c>
      <c r="D152" s="112">
        <f>D147</f>
        <v>53.149721627408987</v>
      </c>
      <c r="E152" s="17">
        <f>I117</f>
        <v>1932.7</v>
      </c>
      <c r="F152" s="17">
        <f>ROUND((D152/E152)/60,2)</f>
        <v>0</v>
      </c>
      <c r="G152" s="17">
        <f>E121</f>
        <v>6</v>
      </c>
      <c r="H152" s="16">
        <f>ROUND(F152*G152,2)</f>
        <v>0</v>
      </c>
    </row>
    <row r="153" spans="3:8" x14ac:dyDescent="0.3">
      <c r="C153" s="17" t="s">
        <v>953</v>
      </c>
      <c r="D153" s="112">
        <f>D148</f>
        <v>374.98368308351178</v>
      </c>
      <c r="E153" s="17">
        <f>I117</f>
        <v>1932.7</v>
      </c>
      <c r="F153" s="17">
        <f>ROUND((D153/E153)/60,2)</f>
        <v>0</v>
      </c>
      <c r="G153" s="17">
        <f>E121</f>
        <v>6</v>
      </c>
      <c r="H153" s="16">
        <f>ROUND(F153*G153,2)</f>
        <v>0</v>
      </c>
    </row>
    <row r="154" spans="3:8" x14ac:dyDescent="0.3">
      <c r="C154" s="17" t="s">
        <v>1109</v>
      </c>
      <c r="D154" s="112">
        <f>D149</f>
        <v>1686.0389293361886</v>
      </c>
      <c r="E154" s="17">
        <f>I117</f>
        <v>1932.7</v>
      </c>
      <c r="F154" s="17">
        <f>ROUND((D154/E154)/60,2)</f>
        <v>0.01</v>
      </c>
      <c r="G154" s="17">
        <f>E121</f>
        <v>6</v>
      </c>
      <c r="H154" s="16">
        <f>ROUND(F154*G154,2)</f>
        <v>0.06</v>
      </c>
    </row>
    <row r="155" spans="3:8" x14ac:dyDescent="0.3">
      <c r="C155" s="1012" t="s">
        <v>957</v>
      </c>
      <c r="D155" s="1013"/>
      <c r="E155" s="1013"/>
      <c r="F155" s="1013"/>
      <c r="G155" s="1014"/>
      <c r="H155" s="18">
        <f>SUM(H146:H154)</f>
        <v>1.44</v>
      </c>
    </row>
    <row r="156" spans="3:8" ht="14.25" customHeight="1" x14ac:dyDescent="0.3"/>
    <row r="157" spans="3:8" hidden="1" x14ac:dyDescent="0.3"/>
    <row r="158" spans="3:8" x14ac:dyDescent="0.3">
      <c r="C158" s="1015" t="s">
        <v>959</v>
      </c>
      <c r="D158" s="1015"/>
      <c r="E158" s="1015"/>
      <c r="F158" s="1015"/>
      <c r="G158" s="1015"/>
      <c r="H158" s="32">
        <f>F113+F125+F137+F142</f>
        <v>17.080000000000002</v>
      </c>
    </row>
    <row r="159" spans="3:8" x14ac:dyDescent="0.3">
      <c r="C159" s="33"/>
      <c r="D159" s="33"/>
      <c r="E159" s="33"/>
      <c r="F159" s="33"/>
      <c r="G159" s="33"/>
      <c r="H159" s="34"/>
    </row>
    <row r="160" spans="3:8" x14ac:dyDescent="0.3">
      <c r="C160" s="1015" t="s">
        <v>960</v>
      </c>
      <c r="D160" s="1015"/>
      <c r="E160" s="1015"/>
      <c r="F160" s="1015"/>
      <c r="G160" s="1015"/>
      <c r="H160" s="32">
        <f>ROUND(H158,0)</f>
        <v>17</v>
      </c>
    </row>
  </sheetData>
  <mergeCells count="27">
    <mergeCell ref="C48:G48"/>
    <mergeCell ref="C43:H43"/>
    <mergeCell ref="C38:H38"/>
    <mergeCell ref="B2:J2"/>
    <mergeCell ref="C4:E4"/>
    <mergeCell ref="C6:D6"/>
    <mergeCell ref="C28:F28"/>
    <mergeCell ref="C160:G160"/>
    <mergeCell ref="C113:D113"/>
    <mergeCell ref="C135:F135"/>
    <mergeCell ref="C150:H150"/>
    <mergeCell ref="C145:H145"/>
    <mergeCell ref="C158:G158"/>
    <mergeCell ref="C155:G155"/>
    <mergeCell ref="C92:H92"/>
    <mergeCell ref="C97:H97"/>
    <mergeCell ref="C60:D60"/>
    <mergeCell ref="C51:G51"/>
    <mergeCell ref="C58:E58"/>
    <mergeCell ref="B56:J56"/>
    <mergeCell ref="C53:G53"/>
    <mergeCell ref="C82:F82"/>
    <mergeCell ref="C111:E111"/>
    <mergeCell ref="C102:G102"/>
    <mergeCell ref="C105:G105"/>
    <mergeCell ref="C107:G107"/>
    <mergeCell ref="B109:J109"/>
  </mergeCells>
  <phoneticPr fontId="8" type="noConversion"/>
  <hyperlinks>
    <hyperlink ref="M4" location="'4 РЕХ'!A4" display="Електроенцефалографія (ЕЕГ головного мозку)" xr:uid="{00000000-0004-0000-1800-000000000000}"/>
    <hyperlink ref="M5" location="'4 РЕХ'!A104" display="Спінографія легень" xr:uid="{00000000-0004-0000-1800-000001000000}"/>
    <hyperlink ref="M6" location="'4 РЕХ'!A154" display="Електрокардіографі́я серця (ЕКГ)" xr:uid="{00000000-0004-0000-1800-000002000000}"/>
  </hyperlinks>
  <pageMargins left="0" right="0" top="0" bottom="0" header="0.31496062992125984" footer="0.31496062992125984"/>
  <pageSetup paperSize="9" scale="79" orientation="portrait" r:id="rId1"/>
  <rowBreaks count="2" manualBreakCount="2">
    <brk id="55" min="1" max="9" man="1"/>
    <brk id="108" min="1" max="9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P223"/>
  <sheetViews>
    <sheetView view="pageBreakPreview" zoomScaleNormal="100" workbookViewId="0">
      <selection activeCell="H55" sqref="H55"/>
    </sheetView>
  </sheetViews>
  <sheetFormatPr defaultRowHeight="14.4" x14ac:dyDescent="0.3"/>
  <cols>
    <col min="1" max="1" width="3.6640625" style="22" customWidth="1"/>
    <col min="2" max="2" width="5.6640625" style="7" customWidth="1"/>
    <col min="3" max="3" width="36.5546875" style="7" customWidth="1"/>
    <col min="4" max="4" width="19.109375" style="7" customWidth="1"/>
    <col min="5" max="5" width="10.44140625" style="7" bestFit="1" customWidth="1"/>
    <col min="6" max="6" width="11" style="7" customWidth="1"/>
    <col min="7" max="7" width="15" style="7" customWidth="1"/>
    <col min="8" max="8" width="10.44140625" style="7" bestFit="1" customWidth="1"/>
    <col min="9" max="10" width="9.33203125" style="7" bestFit="1" customWidth="1"/>
    <col min="11" max="11" width="8.109375" style="7" customWidth="1"/>
    <col min="12" max="12" width="10.109375" style="101" customWidth="1"/>
    <col min="13" max="13" width="74.88671875" style="101" customWidth="1"/>
    <col min="14" max="16" width="9.109375" style="7"/>
  </cols>
  <sheetData>
    <row r="1" spans="1:16" ht="6.75" customHeight="1" x14ac:dyDescent="0.3"/>
    <row r="2" spans="1:16" s="54" customFormat="1" ht="19.8" x14ac:dyDescent="0.4">
      <c r="A2" s="70"/>
      <c r="B2" s="1016" t="s">
        <v>958</v>
      </c>
      <c r="C2" s="1016"/>
      <c r="D2" s="1016"/>
      <c r="E2" s="1016"/>
      <c r="F2" s="1016"/>
      <c r="G2" s="1016"/>
      <c r="H2" s="1016"/>
      <c r="I2" s="1016"/>
      <c r="J2" s="1016"/>
      <c r="K2" s="53"/>
      <c r="L2" s="104"/>
      <c r="M2" s="104"/>
      <c r="N2" s="53"/>
      <c r="O2" s="53"/>
      <c r="P2" s="53"/>
    </row>
    <row r="3" spans="1:16" s="54" customFormat="1" ht="19.8" x14ac:dyDescent="0.4">
      <c r="A3" s="70"/>
      <c r="B3" s="53"/>
      <c r="C3" s="53"/>
      <c r="D3" s="53"/>
      <c r="E3" s="53"/>
      <c r="F3" s="53"/>
      <c r="G3" s="53"/>
      <c r="H3" s="53"/>
      <c r="I3" s="53"/>
      <c r="J3" s="53"/>
      <c r="K3" s="53"/>
      <c r="L3" s="104"/>
      <c r="M3" s="104"/>
      <c r="N3" s="53"/>
      <c r="O3" s="53"/>
      <c r="P3" s="53"/>
    </row>
    <row r="4" spans="1:16" s="54" customFormat="1" ht="36.75" customHeight="1" x14ac:dyDescent="0.4">
      <c r="A4" s="70"/>
      <c r="B4" s="50" t="s">
        <v>666</v>
      </c>
      <c r="C4" s="1017" t="s">
        <v>617</v>
      </c>
      <c r="D4" s="1017"/>
      <c r="E4" s="1017"/>
      <c r="F4" s="52">
        <f>H55</f>
        <v>97</v>
      </c>
      <c r="G4" s="52" t="s">
        <v>971</v>
      </c>
      <c r="H4" s="53"/>
      <c r="I4" s="53"/>
      <c r="J4" s="53"/>
      <c r="K4" s="53"/>
      <c r="L4" s="144" t="s">
        <v>666</v>
      </c>
      <c r="M4" s="147" t="s">
        <v>617</v>
      </c>
      <c r="N4" s="53" t="str">
        <f>C4</f>
        <v>Ендоскопічне видалення стороннього тіла з езофагогастродуоденальної зони</v>
      </c>
      <c r="O4" s="53"/>
      <c r="P4" s="53"/>
    </row>
    <row r="5" spans="1:16" ht="28.2" x14ac:dyDescent="0.3">
      <c r="L5" s="144" t="s">
        <v>668</v>
      </c>
      <c r="M5" s="147" t="s">
        <v>625</v>
      </c>
      <c r="N5" s="7" t="str">
        <f>C61</f>
        <v>Ендоскопічна зупинка кровотечі при езофагогастродуоденоскопії (ін'єкцією засобів, що коагулюють)</v>
      </c>
    </row>
    <row r="6" spans="1:16" x14ac:dyDescent="0.3">
      <c r="C6" s="1018" t="s">
        <v>932</v>
      </c>
      <c r="D6" s="1018"/>
      <c r="E6" s="10"/>
      <c r="F6" s="11">
        <f>F13+F16+F14</f>
        <v>64.05</v>
      </c>
      <c r="G6" s="12" t="s">
        <v>971</v>
      </c>
      <c r="L6" s="144" t="s">
        <v>670</v>
      </c>
      <c r="M6" s="147" t="s">
        <v>633</v>
      </c>
      <c r="N6" s="7" t="str">
        <f>C117</f>
        <v>Введення з допомогою ендоскопа зонда для ентерального харчування</v>
      </c>
    </row>
    <row r="7" spans="1:16" x14ac:dyDescent="0.3">
      <c r="L7" s="106" t="s">
        <v>672</v>
      </c>
      <c r="M7" s="109" t="s">
        <v>1218</v>
      </c>
      <c r="N7" s="7" t="str">
        <f>C172</f>
        <v>Фіброезофагогастродуеденоскопія</v>
      </c>
    </row>
    <row r="8" spans="1:16" ht="27.6" x14ac:dyDescent="0.3">
      <c r="C8" s="13" t="s">
        <v>929</v>
      </c>
      <c r="D8" s="14" t="s">
        <v>928</v>
      </c>
      <c r="E8" s="14" t="s">
        <v>514</v>
      </c>
      <c r="F8" s="14" t="s">
        <v>515</v>
      </c>
      <c r="G8" s="14" t="s">
        <v>962</v>
      </c>
      <c r="H8" s="14" t="s">
        <v>926</v>
      </c>
      <c r="I8" s="14" t="s">
        <v>516</v>
      </c>
      <c r="J8" s="14" t="s">
        <v>961</v>
      </c>
    </row>
    <row r="9" spans="1:16" x14ac:dyDescent="0.3">
      <c r="C9" s="16" t="str">
        <f>ЗП!B23</f>
        <v>Лікар-ендоскопіст</v>
      </c>
      <c r="D9" s="16">
        <v>7605.07</v>
      </c>
      <c r="E9" s="16">
        <f>D9*12</f>
        <v>91260.84</v>
      </c>
      <c r="F9" s="16">
        <v>5850.05</v>
      </c>
      <c r="G9" s="16">
        <f>F9*0.5</f>
        <v>2925.0250000000001</v>
      </c>
      <c r="H9" s="16">
        <f>E9+F9+G9</f>
        <v>100035.91499999999</v>
      </c>
      <c r="I9" s="17">
        <v>1656.6</v>
      </c>
      <c r="J9" s="16">
        <f>ROUND((H9/I9)/60,2)</f>
        <v>1.01</v>
      </c>
      <c r="L9" s="102"/>
      <c r="M9" s="145"/>
    </row>
    <row r="10" spans="1:16" x14ac:dyDescent="0.3">
      <c r="C10" s="16" t="str">
        <f>ЗП!B35</f>
        <v>Сестра медична ендоскопічний</v>
      </c>
      <c r="D10" s="16">
        <f>ЗП!C35</f>
        <v>6506.5</v>
      </c>
      <c r="E10" s="16">
        <f>D10*12</f>
        <v>78078</v>
      </c>
      <c r="F10" s="16">
        <f>ЗП!E35</f>
        <v>5005</v>
      </c>
      <c r="G10" s="16">
        <f>F10*0.5</f>
        <v>2502.5</v>
      </c>
      <c r="H10" s="16">
        <f>E10+F10+G10</f>
        <v>85585.5</v>
      </c>
      <c r="I10" s="17">
        <v>1932.7</v>
      </c>
      <c r="J10" s="16">
        <f>ROUND((H10/I10)/60,2)</f>
        <v>0.74</v>
      </c>
      <c r="L10" s="102"/>
      <c r="M10" s="145"/>
    </row>
    <row r="11" spans="1:16" x14ac:dyDescent="0.3">
      <c r="L11" s="102"/>
      <c r="M11" s="145"/>
    </row>
    <row r="12" spans="1:16" ht="27.6" x14ac:dyDescent="0.3">
      <c r="C12" s="13" t="s">
        <v>929</v>
      </c>
      <c r="D12" s="14" t="s">
        <v>961</v>
      </c>
      <c r="E12" s="14" t="s">
        <v>930</v>
      </c>
      <c r="F12" s="14" t="s">
        <v>931</v>
      </c>
    </row>
    <row r="13" spans="1:16" x14ac:dyDescent="0.3">
      <c r="C13" s="15" t="str">
        <f>C9</f>
        <v>Лікар-ендоскопіст</v>
      </c>
      <c r="D13" s="16">
        <f>J9</f>
        <v>1.01</v>
      </c>
      <c r="E13" s="17">
        <v>30</v>
      </c>
      <c r="F13" s="18">
        <f>ROUND(D13*E13,2)</f>
        <v>30.3</v>
      </c>
      <c r="L13" s="102"/>
      <c r="M13" s="103"/>
    </row>
    <row r="14" spans="1:16" x14ac:dyDescent="0.3">
      <c r="C14" s="15" t="str">
        <f>C10</f>
        <v>Сестра медична ендоскопічний</v>
      </c>
      <c r="D14" s="16">
        <f>J10</f>
        <v>0.74</v>
      </c>
      <c r="E14" s="17">
        <v>30</v>
      </c>
      <c r="F14" s="18">
        <f>ROUND(D14*E14,2)</f>
        <v>22.2</v>
      </c>
      <c r="L14" s="102"/>
      <c r="M14" s="145"/>
    </row>
    <row r="15" spans="1:16" x14ac:dyDescent="0.3">
      <c r="D15" s="19"/>
      <c r="L15" s="102"/>
      <c r="M15" s="145"/>
    </row>
    <row r="16" spans="1:16" x14ac:dyDescent="0.3">
      <c r="C16" s="17" t="s">
        <v>933</v>
      </c>
      <c r="D16" s="16">
        <f>F13+F14</f>
        <v>52.5</v>
      </c>
      <c r="E16" s="20">
        <v>0.22</v>
      </c>
      <c r="F16" s="21">
        <f>ROUND(D16*E16,2)</f>
        <v>11.55</v>
      </c>
      <c r="L16" s="102"/>
      <c r="M16" s="145"/>
    </row>
    <row r="17" spans="3:13" ht="8.25" customHeight="1" x14ac:dyDescent="0.3">
      <c r="L17" s="102"/>
      <c r="M17" s="103"/>
    </row>
    <row r="18" spans="3:13" x14ac:dyDescent="0.3">
      <c r="C18" s="12" t="s">
        <v>946</v>
      </c>
      <c r="D18" s="12"/>
      <c r="E18" s="12"/>
      <c r="F18" s="12">
        <f>G30</f>
        <v>25.320000000000004</v>
      </c>
      <c r="G18" s="12" t="s">
        <v>971</v>
      </c>
      <c r="L18" s="102"/>
      <c r="M18" s="145"/>
    </row>
    <row r="19" spans="3:13" ht="6.75" customHeight="1" x14ac:dyDescent="0.3">
      <c r="L19" s="102"/>
      <c r="M19" s="103"/>
    </row>
    <row r="20" spans="3:13" x14ac:dyDescent="0.3">
      <c r="C20" s="27" t="s">
        <v>964</v>
      </c>
      <c r="D20" s="28" t="s">
        <v>941</v>
      </c>
      <c r="E20" s="45">
        <v>2</v>
      </c>
      <c r="F20" s="29">
        <f>'МЕДИЧНІ М'!E111</f>
        <v>2.8</v>
      </c>
      <c r="G20" s="24">
        <f>ROUND(F20*E20,2)</f>
        <v>5.6</v>
      </c>
      <c r="L20" s="146"/>
      <c r="M20" s="146"/>
    </row>
    <row r="21" spans="3:13" x14ac:dyDescent="0.3">
      <c r="C21" s="27" t="s">
        <v>965</v>
      </c>
      <c r="D21" s="28" t="s">
        <v>941</v>
      </c>
      <c r="E21" s="45">
        <v>0.2</v>
      </c>
      <c r="F21" s="29">
        <f>'МЕДИЧНІ М'!E112</f>
        <v>24.6</v>
      </c>
      <c r="G21" s="24">
        <f t="shared" ref="G21:G29" si="0">ROUND(F21*E21,2)</f>
        <v>4.92</v>
      </c>
      <c r="L21" s="146"/>
      <c r="M21" s="146"/>
    </row>
    <row r="22" spans="3:13" x14ac:dyDescent="0.3">
      <c r="C22" s="27" t="s">
        <v>940</v>
      </c>
      <c r="D22" s="28" t="s">
        <v>941</v>
      </c>
      <c r="E22" s="45">
        <v>0.1</v>
      </c>
      <c r="F22" s="29">
        <f>'МЕДИЧНІ М'!E108</f>
        <v>2</v>
      </c>
      <c r="G22" s="24">
        <f t="shared" si="0"/>
        <v>0.2</v>
      </c>
      <c r="L22" s="146"/>
      <c r="M22" s="146"/>
    </row>
    <row r="23" spans="3:13" x14ac:dyDescent="0.3">
      <c r="C23" s="27" t="s">
        <v>936</v>
      </c>
      <c r="D23" s="28" t="s">
        <v>937</v>
      </c>
      <c r="E23" s="29">
        <v>1</v>
      </c>
      <c r="F23" s="30">
        <f>'МЕДИЧНІ М'!F109</f>
        <v>0.3</v>
      </c>
      <c r="G23" s="29">
        <f>ROUND(E23*F23,2)</f>
        <v>0.3</v>
      </c>
    </row>
    <row r="24" spans="3:13" x14ac:dyDescent="0.3">
      <c r="C24" s="27" t="s">
        <v>147</v>
      </c>
      <c r="D24" s="28" t="s">
        <v>941</v>
      </c>
      <c r="E24" s="45">
        <v>2</v>
      </c>
      <c r="F24" s="30">
        <v>0.15</v>
      </c>
      <c r="G24" s="24">
        <f t="shared" si="0"/>
        <v>0.3</v>
      </c>
    </row>
    <row r="25" spans="3:13" x14ac:dyDescent="0.3">
      <c r="C25" s="27" t="s">
        <v>972</v>
      </c>
      <c r="D25" s="28" t="s">
        <v>941</v>
      </c>
      <c r="E25" s="45">
        <v>0.01</v>
      </c>
      <c r="F25" s="29">
        <f>'МЕДИЧНІ М'!E106</f>
        <v>7</v>
      </c>
      <c r="G25" s="24">
        <f t="shared" si="0"/>
        <v>7.0000000000000007E-2</v>
      </c>
    </row>
    <row r="26" spans="3:13" x14ac:dyDescent="0.3">
      <c r="C26" s="27" t="s">
        <v>154</v>
      </c>
      <c r="D26" s="28" t="s">
        <v>941</v>
      </c>
      <c r="E26" s="45">
        <v>1</v>
      </c>
      <c r="F26" s="30">
        <v>1</v>
      </c>
      <c r="G26" s="24">
        <f t="shared" si="0"/>
        <v>1</v>
      </c>
    </row>
    <row r="27" spans="3:13" x14ac:dyDescent="0.3">
      <c r="C27" s="27" t="s">
        <v>1174</v>
      </c>
      <c r="D27" s="28" t="s">
        <v>941</v>
      </c>
      <c r="E27" s="45">
        <v>1</v>
      </c>
      <c r="F27" s="29">
        <f>'МЕДИЧНІ М'!E110</f>
        <v>11.31</v>
      </c>
      <c r="G27" s="24">
        <f t="shared" si="0"/>
        <v>11.31</v>
      </c>
    </row>
    <row r="28" spans="3:13" x14ac:dyDescent="0.3">
      <c r="C28" s="27" t="s">
        <v>1029</v>
      </c>
      <c r="D28" s="28" t="s">
        <v>941</v>
      </c>
      <c r="E28" s="45">
        <v>1</v>
      </c>
      <c r="F28" s="16">
        <f>'МЕДИЧНІ М'!F107</f>
        <v>0.90800000000000003</v>
      </c>
      <c r="G28" s="24">
        <f t="shared" si="0"/>
        <v>0.91</v>
      </c>
    </row>
    <row r="29" spans="3:13" x14ac:dyDescent="0.3">
      <c r="C29" s="27" t="s">
        <v>1030</v>
      </c>
      <c r="D29" s="28" t="s">
        <v>941</v>
      </c>
      <c r="E29" s="45">
        <v>1</v>
      </c>
      <c r="F29" s="30">
        <f>'МЕДИЧНІ М'!F105</f>
        <v>0.71299999999999997</v>
      </c>
      <c r="G29" s="24">
        <f t="shared" si="0"/>
        <v>0.71</v>
      </c>
    </row>
    <row r="30" spans="3:13" x14ac:dyDescent="0.3">
      <c r="C30" s="1019" t="s">
        <v>945</v>
      </c>
      <c r="D30" s="1019"/>
      <c r="E30" s="1019"/>
      <c r="F30" s="1019"/>
      <c r="G30" s="31">
        <f>SUM(G20:G29)</f>
        <v>25.320000000000004</v>
      </c>
    </row>
    <row r="31" spans="3:13" ht="7.5" customHeight="1" x14ac:dyDescent="0.3"/>
    <row r="32" spans="3:13" x14ac:dyDescent="0.3">
      <c r="C32" s="12" t="s">
        <v>968</v>
      </c>
      <c r="D32" s="12"/>
      <c r="E32" s="12"/>
      <c r="F32" s="11">
        <f>H35</f>
        <v>0.3</v>
      </c>
      <c r="G32" s="12" t="s">
        <v>971</v>
      </c>
    </row>
    <row r="33" spans="3:9" ht="9.75" customHeight="1" x14ac:dyDescent="0.3">
      <c r="C33" s="22"/>
      <c r="D33" s="22"/>
      <c r="E33" s="22"/>
      <c r="F33" s="23"/>
      <c r="G33" s="22"/>
    </row>
    <row r="34" spans="3:9" ht="27.6" x14ac:dyDescent="0.3">
      <c r="C34" s="14" t="s">
        <v>513</v>
      </c>
      <c r="D34" s="14" t="s">
        <v>969</v>
      </c>
      <c r="E34" s="14" t="s">
        <v>516</v>
      </c>
      <c r="F34" s="14" t="s">
        <v>970</v>
      </c>
      <c r="G34" s="14" t="s">
        <v>930</v>
      </c>
      <c r="H34" s="14" t="s">
        <v>961</v>
      </c>
    </row>
    <row r="35" spans="3:9" x14ac:dyDescent="0.3">
      <c r="C35" s="165" t="s">
        <v>91</v>
      </c>
      <c r="D35" s="17">
        <f>АМОРТИЗАЦІЯ!C19</f>
        <v>815.88</v>
      </c>
      <c r="E35" s="17">
        <f>I9</f>
        <v>1656.6</v>
      </c>
      <c r="F35" s="17">
        <f>ROUND((D35/E35)/60,2)</f>
        <v>0.01</v>
      </c>
      <c r="G35" s="17">
        <f>E13</f>
        <v>30</v>
      </c>
      <c r="H35" s="16">
        <f>ROUND(F35*G35,2)</f>
        <v>0.3</v>
      </c>
      <c r="I35" s="38"/>
    </row>
    <row r="37" spans="3:9" x14ac:dyDescent="0.3">
      <c r="C37" s="12" t="s">
        <v>948</v>
      </c>
      <c r="D37" s="12"/>
      <c r="E37" s="12"/>
      <c r="F37" s="11">
        <f>H50</f>
        <v>7.8</v>
      </c>
      <c r="G37" s="12" t="s">
        <v>971</v>
      </c>
    </row>
    <row r="38" spans="3:9" x14ac:dyDescent="0.3">
      <c r="C38" s="22"/>
      <c r="D38" s="22"/>
      <c r="E38" s="22"/>
      <c r="F38" s="23"/>
    </row>
    <row r="39" spans="3:9" ht="41.4" x14ac:dyDescent="0.3">
      <c r="C39" s="14" t="s">
        <v>948</v>
      </c>
      <c r="D39" s="14" t="s">
        <v>955</v>
      </c>
      <c r="E39" s="14" t="s">
        <v>516</v>
      </c>
      <c r="F39" s="14" t="s">
        <v>954</v>
      </c>
      <c r="G39" s="14" t="s">
        <v>930</v>
      </c>
      <c r="H39" s="14" t="s">
        <v>956</v>
      </c>
    </row>
    <row r="40" spans="3:9" x14ac:dyDescent="0.3">
      <c r="C40" s="1009" t="str">
        <f>C9</f>
        <v>Лікар-ендоскопіст</v>
      </c>
      <c r="D40" s="1010"/>
      <c r="E40" s="1010"/>
      <c r="F40" s="1010"/>
      <c r="G40" s="1010"/>
      <c r="H40" s="1011"/>
    </row>
    <row r="41" spans="3:9" x14ac:dyDescent="0.3">
      <c r="C41" s="17" t="s">
        <v>951</v>
      </c>
      <c r="D41" s="112">
        <f>НАКЛАДНІ!F4</f>
        <v>12188.608008565312</v>
      </c>
      <c r="E41" s="17">
        <f>I9</f>
        <v>1656.6</v>
      </c>
      <c r="F41" s="17">
        <f>ROUND((D41/E41)/60,2)</f>
        <v>0.12</v>
      </c>
      <c r="G41" s="17">
        <f>E13</f>
        <v>30</v>
      </c>
      <c r="H41" s="16">
        <f>ROUND(F41*G41,2)</f>
        <v>3.6</v>
      </c>
    </row>
    <row r="42" spans="3:9" x14ac:dyDescent="0.3">
      <c r="C42" s="17" t="s">
        <v>952</v>
      </c>
      <c r="D42" s="112">
        <f>НАКЛАДНІ!F5</f>
        <v>53.149721627408987</v>
      </c>
      <c r="E42" s="17">
        <f>I9</f>
        <v>1656.6</v>
      </c>
      <c r="F42" s="17">
        <f>ROUND((D42/E42)/60,2)</f>
        <v>0</v>
      </c>
      <c r="G42" s="17">
        <f>E13</f>
        <v>30</v>
      </c>
      <c r="H42" s="16">
        <f>ROUND(F42*G42,2)</f>
        <v>0</v>
      </c>
    </row>
    <row r="43" spans="3:9" x14ac:dyDescent="0.3">
      <c r="C43" s="17" t="s">
        <v>953</v>
      </c>
      <c r="D43" s="112">
        <f>НАКЛАДНІ!F6</f>
        <v>374.98368308351178</v>
      </c>
      <c r="E43" s="17">
        <f>I9</f>
        <v>1656.6</v>
      </c>
      <c r="F43" s="17">
        <f>ROUND((D43/E43)/60,2)</f>
        <v>0</v>
      </c>
      <c r="G43" s="17">
        <f>E13</f>
        <v>30</v>
      </c>
      <c r="H43" s="16">
        <f>ROUND(F43*G43,2)</f>
        <v>0</v>
      </c>
    </row>
    <row r="44" spans="3:9" x14ac:dyDescent="0.3">
      <c r="C44" s="17" t="s">
        <v>1109</v>
      </c>
      <c r="D44" s="112">
        <f>НАКЛАДНІ!F7</f>
        <v>1686.0389293361886</v>
      </c>
      <c r="E44" s="17">
        <f>I9</f>
        <v>1656.6</v>
      </c>
      <c r="F44" s="17">
        <f>ROUND((D44/E44)/60,2)</f>
        <v>0.02</v>
      </c>
      <c r="G44" s="17">
        <f>E13</f>
        <v>30</v>
      </c>
      <c r="H44" s="16">
        <f>ROUND(F44*G44,2)</f>
        <v>0.6</v>
      </c>
    </row>
    <row r="45" spans="3:9" x14ac:dyDescent="0.3">
      <c r="C45" s="1009" t="str">
        <f>C10</f>
        <v>Сестра медична ендоскопічний</v>
      </c>
      <c r="D45" s="1010"/>
      <c r="E45" s="1010"/>
      <c r="F45" s="1010"/>
      <c r="G45" s="1010"/>
      <c r="H45" s="1011"/>
    </row>
    <row r="46" spans="3:9" x14ac:dyDescent="0.3">
      <c r="C46" s="17" t="s">
        <v>951</v>
      </c>
      <c r="D46" s="112">
        <f>D41</f>
        <v>12188.608008565312</v>
      </c>
      <c r="E46" s="17">
        <f>I10</f>
        <v>1932.7</v>
      </c>
      <c r="F46" s="17">
        <f>ROUND((D46/E46)/60,2)</f>
        <v>0.11</v>
      </c>
      <c r="G46" s="17">
        <f>E14</f>
        <v>30</v>
      </c>
      <c r="H46" s="16">
        <f>ROUND(F46*G46,2)</f>
        <v>3.3</v>
      </c>
    </row>
    <row r="47" spans="3:9" x14ac:dyDescent="0.3">
      <c r="C47" s="17" t="s">
        <v>952</v>
      </c>
      <c r="D47" s="112">
        <f>D42</f>
        <v>53.149721627408987</v>
      </c>
      <c r="E47" s="17">
        <f>I10</f>
        <v>1932.7</v>
      </c>
      <c r="F47" s="17">
        <f>ROUND((D47/E47)/60,2)</f>
        <v>0</v>
      </c>
      <c r="G47" s="17">
        <f>E14</f>
        <v>30</v>
      </c>
      <c r="H47" s="16">
        <f>ROUND(F47*G47,2)</f>
        <v>0</v>
      </c>
    </row>
    <row r="48" spans="3:9" x14ac:dyDescent="0.3">
      <c r="C48" s="17" t="s">
        <v>953</v>
      </c>
      <c r="D48" s="112">
        <f>D43</f>
        <v>374.98368308351178</v>
      </c>
      <c r="E48" s="17">
        <f>I10</f>
        <v>1932.7</v>
      </c>
      <c r="F48" s="17">
        <f>ROUND((D48/E48)/60,2)</f>
        <v>0</v>
      </c>
      <c r="G48" s="17">
        <f>E14</f>
        <v>30</v>
      </c>
      <c r="H48" s="16">
        <f>ROUND(F48*G48,2)</f>
        <v>0</v>
      </c>
    </row>
    <row r="49" spans="1:16" x14ac:dyDescent="0.3">
      <c r="C49" s="17" t="s">
        <v>1109</v>
      </c>
      <c r="D49" s="112">
        <f>D44</f>
        <v>1686.0389293361886</v>
      </c>
      <c r="E49" s="17">
        <f>I10</f>
        <v>1932.7</v>
      </c>
      <c r="F49" s="17">
        <f>ROUND((D49/E49)/60,2)</f>
        <v>0.01</v>
      </c>
      <c r="G49" s="17">
        <f>E14</f>
        <v>30</v>
      </c>
      <c r="H49" s="16">
        <f>ROUND(F49*G49,2)</f>
        <v>0.3</v>
      </c>
    </row>
    <row r="50" spans="1:16" x14ac:dyDescent="0.3">
      <c r="C50" s="1012" t="s">
        <v>957</v>
      </c>
      <c r="D50" s="1013"/>
      <c r="E50" s="1013"/>
      <c r="F50" s="1013"/>
      <c r="G50" s="1014"/>
      <c r="H50" s="18">
        <f>SUM(H41:H49)</f>
        <v>7.8</v>
      </c>
    </row>
    <row r="51" spans="1:16" ht="14.25" customHeight="1" x14ac:dyDescent="0.3"/>
    <row r="52" spans="1:16" hidden="1" x14ac:dyDescent="0.3"/>
    <row r="53" spans="1:16" x14ac:dyDescent="0.3">
      <c r="C53" s="1015" t="s">
        <v>959</v>
      </c>
      <c r="D53" s="1015"/>
      <c r="E53" s="1015"/>
      <c r="F53" s="1015"/>
      <c r="G53" s="1015"/>
      <c r="H53" s="32">
        <f>F6+F18+F32+F37</f>
        <v>97.47</v>
      </c>
    </row>
    <row r="54" spans="1:16" x14ac:dyDescent="0.3">
      <c r="C54" s="33"/>
      <c r="D54" s="33"/>
      <c r="E54" s="33"/>
      <c r="F54" s="33"/>
      <c r="G54" s="33"/>
      <c r="H54" s="34"/>
    </row>
    <row r="55" spans="1:16" x14ac:dyDescent="0.3">
      <c r="C55" s="1015" t="s">
        <v>960</v>
      </c>
      <c r="D55" s="1015"/>
      <c r="E55" s="1015"/>
      <c r="F55" s="1015"/>
      <c r="G55" s="1015"/>
      <c r="H55" s="32">
        <f>ROUND(H53,0)</f>
        <v>97</v>
      </c>
    </row>
    <row r="59" spans="1:16" s="54" customFormat="1" ht="19.8" x14ac:dyDescent="0.4">
      <c r="A59" s="70"/>
      <c r="B59" s="1016" t="s">
        <v>958</v>
      </c>
      <c r="C59" s="1016"/>
      <c r="D59" s="1016"/>
      <c r="E59" s="1016"/>
      <c r="F59" s="1016"/>
      <c r="G59" s="1016"/>
      <c r="H59" s="1016"/>
      <c r="I59" s="1016"/>
      <c r="J59" s="1016"/>
      <c r="K59" s="53"/>
      <c r="L59" s="104"/>
      <c r="M59" s="104"/>
      <c r="N59" s="53"/>
      <c r="O59" s="53"/>
      <c r="P59" s="53"/>
    </row>
    <row r="60" spans="1:16" s="54" customFormat="1" ht="19.8" x14ac:dyDescent="0.4">
      <c r="A60" s="70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104"/>
      <c r="M60" s="104"/>
      <c r="N60" s="53"/>
      <c r="O60" s="53"/>
      <c r="P60" s="53"/>
    </row>
    <row r="61" spans="1:16" s="54" customFormat="1" ht="53.25" customHeight="1" x14ac:dyDescent="0.4">
      <c r="A61" s="70"/>
      <c r="B61" s="50" t="s">
        <v>668</v>
      </c>
      <c r="C61" s="1017" t="s">
        <v>625</v>
      </c>
      <c r="D61" s="1017"/>
      <c r="E61" s="1017"/>
      <c r="F61" s="52">
        <f>H112</f>
        <v>122</v>
      </c>
      <c r="G61" s="52" t="s">
        <v>971</v>
      </c>
      <c r="H61" s="53"/>
      <c r="I61" s="53"/>
      <c r="J61" s="53"/>
      <c r="K61" s="53"/>
      <c r="L61" s="104"/>
      <c r="M61" s="104"/>
      <c r="N61" s="53"/>
      <c r="O61" s="53"/>
      <c r="P61" s="53"/>
    </row>
    <row r="63" spans="1:16" x14ac:dyDescent="0.3">
      <c r="C63" s="1018" t="s">
        <v>932</v>
      </c>
      <c r="D63" s="1018"/>
      <c r="E63" s="10"/>
      <c r="F63" s="11">
        <f>F70+F73+F71</f>
        <v>85.4</v>
      </c>
      <c r="G63" s="12" t="s">
        <v>971</v>
      </c>
    </row>
    <row r="65" spans="3:10" ht="27.6" x14ac:dyDescent="0.3">
      <c r="C65" s="13" t="s">
        <v>929</v>
      </c>
      <c r="D65" s="14" t="s">
        <v>928</v>
      </c>
      <c r="E65" s="14" t="s">
        <v>514</v>
      </c>
      <c r="F65" s="14" t="s">
        <v>515</v>
      </c>
      <c r="G65" s="14" t="s">
        <v>962</v>
      </c>
      <c r="H65" s="14" t="s">
        <v>926</v>
      </c>
      <c r="I65" s="14" t="s">
        <v>516</v>
      </c>
      <c r="J65" s="14" t="s">
        <v>961</v>
      </c>
    </row>
    <row r="66" spans="3:10" x14ac:dyDescent="0.3">
      <c r="C66" s="16" t="str">
        <f>C9</f>
        <v>Лікар-ендоскопіст</v>
      </c>
      <c r="D66" s="16">
        <f>D9</f>
        <v>7605.07</v>
      </c>
      <c r="E66" s="16">
        <f>D66*12</f>
        <v>91260.84</v>
      </c>
      <c r="F66" s="16">
        <f>F9</f>
        <v>5850.05</v>
      </c>
      <c r="G66" s="16">
        <f>G9</f>
        <v>2925.0250000000001</v>
      </c>
      <c r="H66" s="16">
        <f>E66+F66+G66</f>
        <v>100035.91499999999</v>
      </c>
      <c r="I66" s="17">
        <v>1656.6</v>
      </c>
      <c r="J66" s="16">
        <f>ROUND((H66/I66)/60,2)</f>
        <v>1.01</v>
      </c>
    </row>
    <row r="67" spans="3:10" x14ac:dyDescent="0.3">
      <c r="C67" s="16" t="str">
        <f>C10</f>
        <v>Сестра медична ендоскопічний</v>
      </c>
      <c r="D67" s="16">
        <f>D10</f>
        <v>6506.5</v>
      </c>
      <c r="E67" s="16">
        <f>D67*12</f>
        <v>78078</v>
      </c>
      <c r="F67" s="16">
        <f>F10</f>
        <v>5005</v>
      </c>
      <c r="G67" s="16">
        <f>G10</f>
        <v>2502.5</v>
      </c>
      <c r="H67" s="16">
        <f>E67+F67+G67</f>
        <v>85585.5</v>
      </c>
      <c r="I67" s="17">
        <v>1932.7</v>
      </c>
      <c r="J67" s="16">
        <f>ROUND((H67/I67)/60,2)</f>
        <v>0.74</v>
      </c>
    </row>
    <row r="68" spans="3:10" ht="6.75" customHeight="1" x14ac:dyDescent="0.3"/>
    <row r="69" spans="3:10" ht="27.6" x14ac:dyDescent="0.3">
      <c r="C69" s="13" t="s">
        <v>929</v>
      </c>
      <c r="D69" s="14" t="s">
        <v>961</v>
      </c>
      <c r="E69" s="14" t="s">
        <v>930</v>
      </c>
      <c r="F69" s="14" t="s">
        <v>931</v>
      </c>
    </row>
    <row r="70" spans="3:10" x14ac:dyDescent="0.3">
      <c r="C70" s="15" t="str">
        <f>C66</f>
        <v>Лікар-ендоскопіст</v>
      </c>
      <c r="D70" s="16">
        <f>J66</f>
        <v>1.01</v>
      </c>
      <c r="E70" s="17">
        <v>40</v>
      </c>
      <c r="F70" s="18">
        <f>ROUND(D70*E70,2)</f>
        <v>40.4</v>
      </c>
    </row>
    <row r="71" spans="3:10" x14ac:dyDescent="0.3">
      <c r="C71" s="15" t="str">
        <f>C67</f>
        <v>Сестра медична ендоскопічний</v>
      </c>
      <c r="D71" s="16">
        <f>J67</f>
        <v>0.74</v>
      </c>
      <c r="E71" s="17">
        <v>40</v>
      </c>
      <c r="F71" s="18">
        <f>ROUND(D71*E71,2)</f>
        <v>29.6</v>
      </c>
    </row>
    <row r="72" spans="3:10" x14ac:dyDescent="0.3">
      <c r="D72" s="19"/>
    </row>
    <row r="73" spans="3:10" x14ac:dyDescent="0.3">
      <c r="C73" s="17" t="s">
        <v>933</v>
      </c>
      <c r="D73" s="16">
        <f>F70+F71</f>
        <v>70</v>
      </c>
      <c r="E73" s="20">
        <v>0.22</v>
      </c>
      <c r="F73" s="21">
        <f>ROUND(D73*E73,2)</f>
        <v>15.4</v>
      </c>
    </row>
    <row r="75" spans="3:10" x14ac:dyDescent="0.3">
      <c r="C75" s="12" t="s">
        <v>946</v>
      </c>
      <c r="D75" s="12"/>
      <c r="E75" s="12"/>
      <c r="F75" s="12">
        <f>G87</f>
        <v>25.320000000000004</v>
      </c>
      <c r="G75" s="12" t="s">
        <v>971</v>
      </c>
    </row>
    <row r="76" spans="3:10" ht="4.5" customHeight="1" x14ac:dyDescent="0.3"/>
    <row r="77" spans="3:10" x14ac:dyDescent="0.3">
      <c r="C77" s="27" t="s">
        <v>964</v>
      </c>
      <c r="D77" s="28" t="s">
        <v>941</v>
      </c>
      <c r="E77" s="45">
        <v>2</v>
      </c>
      <c r="F77" s="29">
        <f>'МЕДИЧНІ М'!E111</f>
        <v>2.8</v>
      </c>
      <c r="G77" s="37">
        <f>ROUND(F77*E77,2)</f>
        <v>5.6</v>
      </c>
    </row>
    <row r="78" spans="3:10" x14ac:dyDescent="0.3">
      <c r="C78" s="27" t="s">
        <v>965</v>
      </c>
      <c r="D78" s="28" t="s">
        <v>941</v>
      </c>
      <c r="E78" s="45">
        <v>0.2</v>
      </c>
      <c r="F78" s="29">
        <f>'МЕДИЧНІ М'!E112</f>
        <v>24.6</v>
      </c>
      <c r="G78" s="37">
        <f t="shared" ref="G78:G86" si="1">ROUND(F78*E78,2)</f>
        <v>4.92</v>
      </c>
    </row>
    <row r="79" spans="3:10" x14ac:dyDescent="0.3">
      <c r="C79" s="27" t="s">
        <v>940</v>
      </c>
      <c r="D79" s="28" t="s">
        <v>941</v>
      </c>
      <c r="E79" s="45">
        <v>0.1</v>
      </c>
      <c r="F79" s="29">
        <f>'МЕДИЧНІ М'!E108</f>
        <v>2</v>
      </c>
      <c r="G79" s="37">
        <f t="shared" si="1"/>
        <v>0.2</v>
      </c>
    </row>
    <row r="80" spans="3:10" x14ac:dyDescent="0.3">
      <c r="C80" s="27" t="s">
        <v>936</v>
      </c>
      <c r="D80" s="28" t="s">
        <v>937</v>
      </c>
      <c r="E80" s="29">
        <v>1</v>
      </c>
      <c r="F80" s="30">
        <f>'МЕДИЧНІ М'!F109</f>
        <v>0.3</v>
      </c>
      <c r="G80" s="30">
        <f>ROUND(E80*F80,2)</f>
        <v>0.3</v>
      </c>
    </row>
    <row r="81" spans="3:9" x14ac:dyDescent="0.3">
      <c r="C81" s="27" t="s">
        <v>147</v>
      </c>
      <c r="D81" s="28" t="s">
        <v>941</v>
      </c>
      <c r="E81" s="45">
        <v>2</v>
      </c>
      <c r="F81" s="30">
        <v>0.15</v>
      </c>
      <c r="G81" s="37">
        <f t="shared" si="1"/>
        <v>0.3</v>
      </c>
    </row>
    <row r="82" spans="3:9" x14ac:dyDescent="0.3">
      <c r="C82" s="27" t="s">
        <v>972</v>
      </c>
      <c r="D82" s="28" t="s">
        <v>941</v>
      </c>
      <c r="E82" s="45">
        <v>0.01</v>
      </c>
      <c r="F82" s="29">
        <f>'МЕДИЧНІ М'!E106</f>
        <v>7</v>
      </c>
      <c r="G82" s="37">
        <f t="shared" si="1"/>
        <v>7.0000000000000007E-2</v>
      </c>
    </row>
    <row r="83" spans="3:9" x14ac:dyDescent="0.3">
      <c r="C83" s="27" t="s">
        <v>154</v>
      </c>
      <c r="D83" s="28" t="s">
        <v>941</v>
      </c>
      <c r="E83" s="45">
        <v>1</v>
      </c>
      <c r="F83" s="30">
        <v>1</v>
      </c>
      <c r="G83" s="24">
        <f t="shared" si="1"/>
        <v>1</v>
      </c>
    </row>
    <row r="84" spans="3:9" x14ac:dyDescent="0.3">
      <c r="C84" s="27" t="s">
        <v>1174</v>
      </c>
      <c r="D84" s="28" t="s">
        <v>941</v>
      </c>
      <c r="E84" s="45">
        <v>1</v>
      </c>
      <c r="F84" s="29">
        <f>'МЕДИЧНІ М'!E110</f>
        <v>11.31</v>
      </c>
      <c r="G84" s="24">
        <f t="shared" si="1"/>
        <v>11.31</v>
      </c>
    </row>
    <row r="85" spans="3:9" x14ac:dyDescent="0.3">
      <c r="C85" s="27" t="s">
        <v>1029</v>
      </c>
      <c r="D85" s="28" t="s">
        <v>941</v>
      </c>
      <c r="E85" s="45">
        <v>1</v>
      </c>
      <c r="F85" s="17">
        <f>'МЕДИЧНІ М'!F107</f>
        <v>0.90800000000000003</v>
      </c>
      <c r="G85" s="37">
        <f t="shared" si="1"/>
        <v>0.91</v>
      </c>
    </row>
    <row r="86" spans="3:9" x14ac:dyDescent="0.3">
      <c r="C86" s="27" t="s">
        <v>1030</v>
      </c>
      <c r="D86" s="28" t="s">
        <v>941</v>
      </c>
      <c r="E86" s="45">
        <v>1</v>
      </c>
      <c r="F86" s="30">
        <f>'МЕДИЧНІ М'!F105</f>
        <v>0.71299999999999997</v>
      </c>
      <c r="G86" s="37">
        <f t="shared" si="1"/>
        <v>0.71</v>
      </c>
    </row>
    <row r="87" spans="3:9" x14ac:dyDescent="0.3">
      <c r="C87" s="1019" t="s">
        <v>945</v>
      </c>
      <c r="D87" s="1019"/>
      <c r="E87" s="1019"/>
      <c r="F87" s="1019"/>
      <c r="G87" s="31">
        <f>SUM(G77:G86)</f>
        <v>25.320000000000004</v>
      </c>
    </row>
    <row r="88" spans="3:9" ht="8.25" customHeight="1" x14ac:dyDescent="0.3"/>
    <row r="89" spans="3:9" x14ac:dyDescent="0.3">
      <c r="C89" s="12" t="s">
        <v>968</v>
      </c>
      <c r="D89" s="12"/>
      <c r="E89" s="12"/>
      <c r="F89" s="11">
        <f>H92</f>
        <v>0.4</v>
      </c>
      <c r="G89" s="12" t="s">
        <v>971</v>
      </c>
    </row>
    <row r="90" spans="3:9" ht="7.5" customHeight="1" x14ac:dyDescent="0.3">
      <c r="C90" s="22"/>
      <c r="D90" s="22"/>
      <c r="E90" s="22"/>
      <c r="F90" s="23"/>
      <c r="G90" s="22"/>
    </row>
    <row r="91" spans="3:9" ht="27.6" x14ac:dyDescent="0.3">
      <c r="C91" s="14" t="s">
        <v>513</v>
      </c>
      <c r="D91" s="14" t="s">
        <v>969</v>
      </c>
      <c r="E91" s="14" t="s">
        <v>516</v>
      </c>
      <c r="F91" s="14" t="s">
        <v>970</v>
      </c>
      <c r="G91" s="14" t="s">
        <v>930</v>
      </c>
      <c r="H91" s="14" t="s">
        <v>961</v>
      </c>
    </row>
    <row r="92" spans="3:9" x14ac:dyDescent="0.3">
      <c r="C92" s="43" t="str">
        <f>C35</f>
        <v>Гастрофіброскоп FG - 29W "Pentax", ПК</v>
      </c>
      <c r="D92" s="17">
        <f>D35</f>
        <v>815.88</v>
      </c>
      <c r="E92" s="17">
        <f>I66</f>
        <v>1656.6</v>
      </c>
      <c r="F92" s="17">
        <f>ROUND((D92/E92)/60,2)</f>
        <v>0.01</v>
      </c>
      <c r="G92" s="17">
        <f>E70</f>
        <v>40</v>
      </c>
      <c r="H92" s="16">
        <f>ROUND(F92*G92,2)</f>
        <v>0.4</v>
      </c>
      <c r="I92" s="38"/>
    </row>
    <row r="93" spans="3:9" ht="9.75" customHeight="1" x14ac:dyDescent="0.3"/>
    <row r="94" spans="3:9" x14ac:dyDescent="0.3">
      <c r="C94" s="12" t="s">
        <v>948</v>
      </c>
      <c r="D94" s="12"/>
      <c r="E94" s="12"/>
      <c r="F94" s="11">
        <f>H107</f>
        <v>10.4</v>
      </c>
      <c r="G94" s="12" t="s">
        <v>971</v>
      </c>
    </row>
    <row r="95" spans="3:9" x14ac:dyDescent="0.3">
      <c r="C95" s="22"/>
      <c r="D95" s="22"/>
      <c r="E95" s="22"/>
      <c r="F95" s="23"/>
    </row>
    <row r="96" spans="3:9" ht="41.4" x14ac:dyDescent="0.3">
      <c r="C96" s="14" t="s">
        <v>948</v>
      </c>
      <c r="D96" s="14" t="s">
        <v>955</v>
      </c>
      <c r="E96" s="14" t="s">
        <v>516</v>
      </c>
      <c r="F96" s="14" t="s">
        <v>954</v>
      </c>
      <c r="G96" s="14" t="s">
        <v>930</v>
      </c>
      <c r="H96" s="14" t="s">
        <v>956</v>
      </c>
    </row>
    <row r="97" spans="3:8" x14ac:dyDescent="0.3">
      <c r="C97" s="1009" t="str">
        <f>C66</f>
        <v>Лікар-ендоскопіст</v>
      </c>
      <c r="D97" s="1010"/>
      <c r="E97" s="1010"/>
      <c r="F97" s="1010"/>
      <c r="G97" s="1010"/>
      <c r="H97" s="1011"/>
    </row>
    <row r="98" spans="3:8" x14ac:dyDescent="0.3">
      <c r="C98" s="17" t="s">
        <v>951</v>
      </c>
      <c r="D98" s="112">
        <f>D41</f>
        <v>12188.608008565312</v>
      </c>
      <c r="E98" s="17">
        <f>I66</f>
        <v>1656.6</v>
      </c>
      <c r="F98" s="17">
        <f>ROUND((D98/E98)/60,2)</f>
        <v>0.12</v>
      </c>
      <c r="G98" s="17">
        <f>E70</f>
        <v>40</v>
      </c>
      <c r="H98" s="16">
        <f>ROUND(F98*G98,2)</f>
        <v>4.8</v>
      </c>
    </row>
    <row r="99" spans="3:8" x14ac:dyDescent="0.3">
      <c r="C99" s="17" t="s">
        <v>952</v>
      </c>
      <c r="D99" s="112">
        <f>D42</f>
        <v>53.149721627408987</v>
      </c>
      <c r="E99" s="17">
        <f>I66</f>
        <v>1656.6</v>
      </c>
      <c r="F99" s="17">
        <f>ROUND((D99/E99)/60,2)</f>
        <v>0</v>
      </c>
      <c r="G99" s="17">
        <f>E70</f>
        <v>40</v>
      </c>
      <c r="H99" s="16">
        <f>ROUND(F99*G99,2)</f>
        <v>0</v>
      </c>
    </row>
    <row r="100" spans="3:8" x14ac:dyDescent="0.3">
      <c r="C100" s="17" t="s">
        <v>953</v>
      </c>
      <c r="D100" s="112">
        <f>D43</f>
        <v>374.98368308351178</v>
      </c>
      <c r="E100" s="17">
        <f>I66</f>
        <v>1656.6</v>
      </c>
      <c r="F100" s="17">
        <f>ROUND((D100/E100)/60,2)</f>
        <v>0</v>
      </c>
      <c r="G100" s="17">
        <f>E70</f>
        <v>40</v>
      </c>
      <c r="H100" s="16">
        <f>ROUND(F100*G100,2)</f>
        <v>0</v>
      </c>
    </row>
    <row r="101" spans="3:8" x14ac:dyDescent="0.3">
      <c r="C101" s="17" t="s">
        <v>1109</v>
      </c>
      <c r="D101" s="112">
        <f>D44</f>
        <v>1686.0389293361886</v>
      </c>
      <c r="E101" s="17">
        <f>I66</f>
        <v>1656.6</v>
      </c>
      <c r="F101" s="17">
        <f>ROUND((D101/E101)/60,2)</f>
        <v>0.02</v>
      </c>
      <c r="G101" s="17">
        <f>E70</f>
        <v>40</v>
      </c>
      <c r="H101" s="16">
        <f>ROUND(F101*G101,2)</f>
        <v>0.8</v>
      </c>
    </row>
    <row r="102" spans="3:8" x14ac:dyDescent="0.3">
      <c r="C102" s="1009" t="str">
        <f>C67</f>
        <v>Сестра медична ендоскопічний</v>
      </c>
      <c r="D102" s="1010"/>
      <c r="E102" s="1010"/>
      <c r="F102" s="1010"/>
      <c r="G102" s="1010"/>
      <c r="H102" s="1011"/>
    </row>
    <row r="103" spans="3:8" x14ac:dyDescent="0.3">
      <c r="C103" s="17" t="s">
        <v>951</v>
      </c>
      <c r="D103" s="112">
        <f>D98</f>
        <v>12188.608008565312</v>
      </c>
      <c r="E103" s="17">
        <f>I67</f>
        <v>1932.7</v>
      </c>
      <c r="F103" s="17">
        <f>ROUND((D103/E103)/60,2)</f>
        <v>0.11</v>
      </c>
      <c r="G103" s="17">
        <f>E71</f>
        <v>40</v>
      </c>
      <c r="H103" s="16">
        <f>ROUND(F103*G103,2)</f>
        <v>4.4000000000000004</v>
      </c>
    </row>
    <row r="104" spans="3:8" x14ac:dyDescent="0.3">
      <c r="C104" s="17" t="s">
        <v>952</v>
      </c>
      <c r="D104" s="112">
        <f>D99</f>
        <v>53.149721627408987</v>
      </c>
      <c r="E104" s="17">
        <f>I67</f>
        <v>1932.7</v>
      </c>
      <c r="F104" s="17">
        <f>ROUND((D104/E104)/60,2)</f>
        <v>0</v>
      </c>
      <c r="G104" s="17">
        <f>E71</f>
        <v>40</v>
      </c>
      <c r="H104" s="16">
        <f>ROUND(F104*G104,2)</f>
        <v>0</v>
      </c>
    </row>
    <row r="105" spans="3:8" x14ac:dyDescent="0.3">
      <c r="C105" s="17" t="s">
        <v>953</v>
      </c>
      <c r="D105" s="112">
        <f>D100</f>
        <v>374.98368308351178</v>
      </c>
      <c r="E105" s="17">
        <f>I67</f>
        <v>1932.7</v>
      </c>
      <c r="F105" s="17">
        <f>ROUND((D105/E105)/60,2)</f>
        <v>0</v>
      </c>
      <c r="G105" s="17">
        <f>E71</f>
        <v>40</v>
      </c>
      <c r="H105" s="16">
        <f>ROUND(F105*G105,2)</f>
        <v>0</v>
      </c>
    </row>
    <row r="106" spans="3:8" x14ac:dyDescent="0.3">
      <c r="C106" s="17" t="s">
        <v>1109</v>
      </c>
      <c r="D106" s="112">
        <f>D101</f>
        <v>1686.0389293361886</v>
      </c>
      <c r="E106" s="17">
        <f>I67</f>
        <v>1932.7</v>
      </c>
      <c r="F106" s="17">
        <f>ROUND((D106/E106)/60,2)</f>
        <v>0.01</v>
      </c>
      <c r="G106" s="17">
        <f>E71</f>
        <v>40</v>
      </c>
      <c r="H106" s="16">
        <f>ROUND(F106*G106,2)</f>
        <v>0.4</v>
      </c>
    </row>
    <row r="107" spans="3:8" x14ac:dyDescent="0.3">
      <c r="C107" s="1012" t="s">
        <v>957</v>
      </c>
      <c r="D107" s="1013"/>
      <c r="E107" s="1013"/>
      <c r="F107" s="1013"/>
      <c r="G107" s="1014"/>
      <c r="H107" s="18">
        <f>SUM(H98:H106)</f>
        <v>10.4</v>
      </c>
    </row>
    <row r="109" spans="3:8" hidden="1" x14ac:dyDescent="0.3"/>
    <row r="110" spans="3:8" x14ac:dyDescent="0.3">
      <c r="C110" s="1015" t="s">
        <v>959</v>
      </c>
      <c r="D110" s="1015"/>
      <c r="E110" s="1015"/>
      <c r="F110" s="1015"/>
      <c r="G110" s="1015"/>
      <c r="H110" s="32">
        <f>F63+F75+F89+F94</f>
        <v>121.52000000000002</v>
      </c>
    </row>
    <row r="111" spans="3:8" x14ac:dyDescent="0.3">
      <c r="C111" s="33"/>
      <c r="D111" s="33"/>
      <c r="E111" s="33"/>
      <c r="F111" s="33"/>
      <c r="G111" s="33"/>
      <c r="H111" s="34"/>
    </row>
    <row r="112" spans="3:8" x14ac:dyDescent="0.3">
      <c r="C112" s="1015" t="s">
        <v>960</v>
      </c>
      <c r="D112" s="1015"/>
      <c r="E112" s="1015"/>
      <c r="F112" s="1015"/>
      <c r="G112" s="1015"/>
      <c r="H112" s="32">
        <f>ROUND(H110,0)</f>
        <v>122</v>
      </c>
    </row>
    <row r="115" spans="1:16" s="54" customFormat="1" ht="19.8" x14ac:dyDescent="0.4">
      <c r="A115" s="70"/>
      <c r="B115" s="1016" t="s">
        <v>958</v>
      </c>
      <c r="C115" s="1016"/>
      <c r="D115" s="1016"/>
      <c r="E115" s="1016"/>
      <c r="F115" s="1016"/>
      <c r="G115" s="1016"/>
      <c r="H115" s="1016"/>
      <c r="I115" s="1016"/>
      <c r="J115" s="1016"/>
      <c r="K115" s="53"/>
      <c r="L115" s="104"/>
      <c r="M115" s="104"/>
      <c r="N115" s="53"/>
      <c r="O115" s="53"/>
      <c r="P115" s="53"/>
    </row>
    <row r="116" spans="1:16" s="54" customFormat="1" ht="19.8" x14ac:dyDescent="0.4">
      <c r="A116" s="70"/>
      <c r="B116" s="53"/>
      <c r="C116" s="53"/>
      <c r="D116" s="53"/>
      <c r="E116" s="53"/>
      <c r="F116" s="53"/>
      <c r="G116" s="53"/>
      <c r="H116" s="53"/>
      <c r="I116" s="53"/>
      <c r="J116" s="53"/>
      <c r="K116" s="53"/>
      <c r="L116" s="104"/>
      <c r="M116" s="104"/>
      <c r="N116" s="53"/>
      <c r="O116" s="53"/>
      <c r="P116" s="53"/>
    </row>
    <row r="117" spans="1:16" s="54" customFormat="1" ht="34.5" customHeight="1" x14ac:dyDescent="0.4">
      <c r="A117" s="70"/>
      <c r="B117" s="50" t="s">
        <v>670</v>
      </c>
      <c r="C117" s="1017" t="s">
        <v>633</v>
      </c>
      <c r="D117" s="1017"/>
      <c r="E117" s="1017"/>
      <c r="F117" s="52">
        <f>H168</f>
        <v>122</v>
      </c>
      <c r="G117" s="52" t="s">
        <v>971</v>
      </c>
      <c r="H117" s="53"/>
      <c r="I117" s="53"/>
      <c r="J117" s="53"/>
      <c r="K117" s="53"/>
      <c r="L117" s="104"/>
      <c r="M117" s="104"/>
      <c r="N117" s="53"/>
      <c r="O117" s="53"/>
      <c r="P117" s="53"/>
    </row>
    <row r="119" spans="1:16" x14ac:dyDescent="0.3">
      <c r="C119" s="1018" t="s">
        <v>932</v>
      </c>
      <c r="D119" s="1018"/>
      <c r="E119" s="10"/>
      <c r="F119" s="11">
        <f>F126+F129+F127</f>
        <v>85.4</v>
      </c>
      <c r="G119" s="12" t="s">
        <v>971</v>
      </c>
    </row>
    <row r="120" spans="1:16" ht="7.5" customHeight="1" x14ac:dyDescent="0.3"/>
    <row r="121" spans="1:16" ht="27.6" x14ac:dyDescent="0.3">
      <c r="C121" s="13" t="s">
        <v>929</v>
      </c>
      <c r="D121" s="14" t="s">
        <v>928</v>
      </c>
      <c r="E121" s="14" t="s">
        <v>514</v>
      </c>
      <c r="F121" s="14" t="s">
        <v>515</v>
      </c>
      <c r="G121" s="14" t="s">
        <v>962</v>
      </c>
      <c r="H121" s="14" t="s">
        <v>926</v>
      </c>
      <c r="I121" s="14" t="s">
        <v>516</v>
      </c>
      <c r="J121" s="14" t="s">
        <v>961</v>
      </c>
    </row>
    <row r="122" spans="1:16" x14ac:dyDescent="0.3">
      <c r="C122" s="16" t="str">
        <f>C66</f>
        <v>Лікар-ендоскопіст</v>
      </c>
      <c r="D122" s="16">
        <f>D66</f>
        <v>7605.07</v>
      </c>
      <c r="E122" s="16">
        <f>D122*12</f>
        <v>91260.84</v>
      </c>
      <c r="F122" s="16">
        <f>F66</f>
        <v>5850.05</v>
      </c>
      <c r="G122" s="16">
        <f>G66</f>
        <v>2925.0250000000001</v>
      </c>
      <c r="H122" s="16">
        <f>E122+F122+G122</f>
        <v>100035.91499999999</v>
      </c>
      <c r="I122" s="17">
        <v>1656.6</v>
      </c>
      <c r="J122" s="16">
        <f>ROUND((H122/I122)/60,2)</f>
        <v>1.01</v>
      </c>
    </row>
    <row r="123" spans="1:16" x14ac:dyDescent="0.3">
      <c r="C123" s="16" t="str">
        <f>C67</f>
        <v>Сестра медична ендоскопічний</v>
      </c>
      <c r="D123" s="16">
        <f>D67</f>
        <v>6506.5</v>
      </c>
      <c r="E123" s="16">
        <f>D123*12</f>
        <v>78078</v>
      </c>
      <c r="F123" s="16">
        <f>F67</f>
        <v>5005</v>
      </c>
      <c r="G123" s="16">
        <f>G67</f>
        <v>2502.5</v>
      </c>
      <c r="H123" s="16">
        <f>E123+F123+G123</f>
        <v>85585.5</v>
      </c>
      <c r="I123" s="17">
        <v>1932.7</v>
      </c>
      <c r="J123" s="16">
        <f>ROUND((H123/I123)/60,2)</f>
        <v>0.74</v>
      </c>
    </row>
    <row r="125" spans="1:16" ht="27.6" x14ac:dyDescent="0.3">
      <c r="C125" s="13" t="s">
        <v>929</v>
      </c>
      <c r="D125" s="14" t="s">
        <v>961</v>
      </c>
      <c r="E125" s="14" t="s">
        <v>930</v>
      </c>
      <c r="F125" s="14" t="s">
        <v>931</v>
      </c>
    </row>
    <row r="126" spans="1:16" x14ac:dyDescent="0.3">
      <c r="C126" s="15" t="str">
        <f>C122</f>
        <v>Лікар-ендоскопіст</v>
      </c>
      <c r="D126" s="16">
        <f>J122</f>
        <v>1.01</v>
      </c>
      <c r="E126" s="17">
        <v>40</v>
      </c>
      <c r="F126" s="18">
        <f>ROUND(D126*E126,2)</f>
        <v>40.4</v>
      </c>
    </row>
    <row r="127" spans="1:16" x14ac:dyDescent="0.3">
      <c r="C127" s="15" t="str">
        <f>C123</f>
        <v>Сестра медична ендоскопічний</v>
      </c>
      <c r="D127" s="16">
        <f>J123</f>
        <v>0.74</v>
      </c>
      <c r="E127" s="17">
        <v>40</v>
      </c>
      <c r="F127" s="18">
        <f>ROUND(D127*E127,2)</f>
        <v>29.6</v>
      </c>
    </row>
    <row r="128" spans="1:16" x14ac:dyDescent="0.3">
      <c r="D128" s="19"/>
    </row>
    <row r="129" spans="3:7" x14ac:dyDescent="0.3">
      <c r="C129" s="17" t="s">
        <v>933</v>
      </c>
      <c r="D129" s="16">
        <f>F126+F127</f>
        <v>70</v>
      </c>
      <c r="E129" s="20">
        <v>0.22</v>
      </c>
      <c r="F129" s="21">
        <f>ROUND(D129*E129,2)</f>
        <v>15.4</v>
      </c>
    </row>
    <row r="131" spans="3:7" x14ac:dyDescent="0.3">
      <c r="C131" s="12" t="s">
        <v>946</v>
      </c>
      <c r="D131" s="12"/>
      <c r="E131" s="12"/>
      <c r="F131" s="12">
        <f>G143</f>
        <v>25.320000000000004</v>
      </c>
      <c r="G131" s="12" t="s">
        <v>971</v>
      </c>
    </row>
    <row r="133" spans="3:7" x14ac:dyDescent="0.3">
      <c r="C133" s="27" t="s">
        <v>964</v>
      </c>
      <c r="D133" s="28" t="s">
        <v>941</v>
      </c>
      <c r="E133" s="45">
        <v>2</v>
      </c>
      <c r="F133" s="29">
        <f>'МЕДИЧНІ М'!E111</f>
        <v>2.8</v>
      </c>
      <c r="G133" s="37">
        <f>ROUND(F133*E133,2)</f>
        <v>5.6</v>
      </c>
    </row>
    <row r="134" spans="3:7" x14ac:dyDescent="0.3">
      <c r="C134" s="27" t="s">
        <v>965</v>
      </c>
      <c r="D134" s="28" t="s">
        <v>941</v>
      </c>
      <c r="E134" s="45">
        <v>0.2</v>
      </c>
      <c r="F134" s="29">
        <f>'МЕДИЧНІ М'!E112</f>
        <v>24.6</v>
      </c>
      <c r="G134" s="37">
        <f t="shared" ref="G134:G142" si="2">ROUND(F134*E134,2)</f>
        <v>4.92</v>
      </c>
    </row>
    <row r="135" spans="3:7" x14ac:dyDescent="0.3">
      <c r="C135" s="27" t="s">
        <v>940</v>
      </c>
      <c r="D135" s="28" t="s">
        <v>941</v>
      </c>
      <c r="E135" s="45">
        <v>0.1</v>
      </c>
      <c r="F135" s="29">
        <f>'МЕДИЧНІ М'!E108</f>
        <v>2</v>
      </c>
      <c r="G135" s="37">
        <f t="shared" si="2"/>
        <v>0.2</v>
      </c>
    </row>
    <row r="136" spans="3:7" x14ac:dyDescent="0.3">
      <c r="C136" s="27" t="s">
        <v>936</v>
      </c>
      <c r="D136" s="28" t="s">
        <v>937</v>
      </c>
      <c r="E136" s="29">
        <v>1</v>
      </c>
      <c r="F136" s="30">
        <f>'МЕДИЧНІ М'!F109</f>
        <v>0.3</v>
      </c>
      <c r="G136" s="30">
        <f>ROUND(E136*F136,2)</f>
        <v>0.3</v>
      </c>
    </row>
    <row r="137" spans="3:7" x14ac:dyDescent="0.3">
      <c r="C137" s="27" t="s">
        <v>147</v>
      </c>
      <c r="D137" s="28" t="s">
        <v>941</v>
      </c>
      <c r="E137" s="45">
        <v>2</v>
      </c>
      <c r="F137" s="30">
        <v>0.15</v>
      </c>
      <c r="G137" s="37">
        <f t="shared" si="2"/>
        <v>0.3</v>
      </c>
    </row>
    <row r="138" spans="3:7" x14ac:dyDescent="0.3">
      <c r="C138" s="27" t="s">
        <v>972</v>
      </c>
      <c r="D138" s="28" t="s">
        <v>941</v>
      </c>
      <c r="E138" s="45">
        <v>0.01</v>
      </c>
      <c r="F138" s="29">
        <f>'МЕДИЧНІ М'!E106</f>
        <v>7</v>
      </c>
      <c r="G138" s="37">
        <f t="shared" si="2"/>
        <v>7.0000000000000007E-2</v>
      </c>
    </row>
    <row r="139" spans="3:7" x14ac:dyDescent="0.3">
      <c r="C139" s="27" t="s">
        <v>154</v>
      </c>
      <c r="D139" s="28" t="s">
        <v>941</v>
      </c>
      <c r="E139" s="45">
        <v>1</v>
      </c>
      <c r="F139" s="30">
        <v>1</v>
      </c>
      <c r="G139" s="24">
        <f t="shared" si="2"/>
        <v>1</v>
      </c>
    </row>
    <row r="140" spans="3:7" x14ac:dyDescent="0.3">
      <c r="C140" s="27" t="s">
        <v>1174</v>
      </c>
      <c r="D140" s="28" t="s">
        <v>941</v>
      </c>
      <c r="E140" s="45">
        <v>1</v>
      </c>
      <c r="F140" s="29">
        <f>'МЕДИЧНІ М'!E110</f>
        <v>11.31</v>
      </c>
      <c r="G140" s="24">
        <f t="shared" si="2"/>
        <v>11.31</v>
      </c>
    </row>
    <row r="141" spans="3:7" x14ac:dyDescent="0.3">
      <c r="C141" s="27" t="s">
        <v>1029</v>
      </c>
      <c r="D141" s="28" t="s">
        <v>941</v>
      </c>
      <c r="E141" s="45">
        <v>1</v>
      </c>
      <c r="F141" s="17">
        <f>'МЕДИЧНІ М'!F107</f>
        <v>0.90800000000000003</v>
      </c>
      <c r="G141" s="37">
        <f t="shared" si="2"/>
        <v>0.91</v>
      </c>
    </row>
    <row r="142" spans="3:7" x14ac:dyDescent="0.3">
      <c r="C142" s="27" t="s">
        <v>1030</v>
      </c>
      <c r="D142" s="28" t="s">
        <v>941</v>
      </c>
      <c r="E142" s="45">
        <v>1</v>
      </c>
      <c r="F142" s="30">
        <f>'МЕДИЧНІ М'!F105</f>
        <v>0.71299999999999997</v>
      </c>
      <c r="G142" s="37">
        <f t="shared" si="2"/>
        <v>0.71</v>
      </c>
    </row>
    <row r="143" spans="3:7" x14ac:dyDescent="0.3">
      <c r="C143" s="1019" t="s">
        <v>945</v>
      </c>
      <c r="D143" s="1019"/>
      <c r="E143" s="1019"/>
      <c r="F143" s="1019"/>
      <c r="G143" s="31">
        <f>SUM(G133:G142)</f>
        <v>25.320000000000004</v>
      </c>
    </row>
    <row r="145" spans="3:9" x14ac:dyDescent="0.3">
      <c r="C145" s="12" t="s">
        <v>968</v>
      </c>
      <c r="D145" s="12"/>
      <c r="E145" s="12"/>
      <c r="F145" s="11">
        <f>H148</f>
        <v>0.4</v>
      </c>
      <c r="G145" s="12" t="s">
        <v>971</v>
      </c>
    </row>
    <row r="146" spans="3:9" x14ac:dyDescent="0.3">
      <c r="C146" s="22"/>
      <c r="D146" s="22"/>
      <c r="E146" s="22"/>
      <c r="F146" s="23"/>
      <c r="G146" s="22"/>
    </row>
    <row r="147" spans="3:9" ht="27.6" x14ac:dyDescent="0.3">
      <c r="C147" s="14" t="s">
        <v>513</v>
      </c>
      <c r="D147" s="14" t="s">
        <v>969</v>
      </c>
      <c r="E147" s="14" t="s">
        <v>516</v>
      </c>
      <c r="F147" s="14" t="s">
        <v>970</v>
      </c>
      <c r="G147" s="14" t="s">
        <v>930</v>
      </c>
      <c r="H147" s="14" t="s">
        <v>961</v>
      </c>
    </row>
    <row r="148" spans="3:9" x14ac:dyDescent="0.3">
      <c r="C148" s="43" t="str">
        <f>C92</f>
        <v>Гастрофіброскоп FG - 29W "Pentax", ПК</v>
      </c>
      <c r="D148" s="43">
        <f>D92</f>
        <v>815.88</v>
      </c>
      <c r="E148" s="17">
        <f>I122</f>
        <v>1656.6</v>
      </c>
      <c r="F148" s="17">
        <f>ROUND((D148/E148)/60,2)</f>
        <v>0.01</v>
      </c>
      <c r="G148" s="17">
        <f>E126</f>
        <v>40</v>
      </c>
      <c r="H148" s="16">
        <f>ROUND(F148*G148,2)</f>
        <v>0.4</v>
      </c>
      <c r="I148" s="38"/>
    </row>
    <row r="150" spans="3:9" x14ac:dyDescent="0.3">
      <c r="C150" s="12" t="s">
        <v>948</v>
      </c>
      <c r="D150" s="12"/>
      <c r="E150" s="12"/>
      <c r="F150" s="11">
        <f>H163</f>
        <v>10.4</v>
      </c>
      <c r="G150" s="12" t="s">
        <v>971</v>
      </c>
    </row>
    <row r="151" spans="3:9" x14ac:dyDescent="0.3">
      <c r="C151" s="22"/>
      <c r="D151" s="22"/>
      <c r="E151" s="22"/>
      <c r="F151" s="23"/>
    </row>
    <row r="152" spans="3:9" ht="41.4" x14ac:dyDescent="0.3">
      <c r="C152" s="14" t="s">
        <v>948</v>
      </c>
      <c r="D152" s="14" t="s">
        <v>955</v>
      </c>
      <c r="E152" s="14" t="s">
        <v>516</v>
      </c>
      <c r="F152" s="14" t="s">
        <v>954</v>
      </c>
      <c r="G152" s="14" t="s">
        <v>930</v>
      </c>
      <c r="H152" s="14" t="s">
        <v>956</v>
      </c>
    </row>
    <row r="153" spans="3:9" x14ac:dyDescent="0.3">
      <c r="C153" s="1009" t="str">
        <f>C122</f>
        <v>Лікар-ендоскопіст</v>
      </c>
      <c r="D153" s="1010"/>
      <c r="E153" s="1010"/>
      <c r="F153" s="1010"/>
      <c r="G153" s="1010"/>
      <c r="H153" s="1011"/>
    </row>
    <row r="154" spans="3:9" x14ac:dyDescent="0.3">
      <c r="C154" s="17" t="s">
        <v>951</v>
      </c>
      <c r="D154" s="112">
        <f>D98</f>
        <v>12188.608008565312</v>
      </c>
      <c r="E154" s="17">
        <f>I122</f>
        <v>1656.6</v>
      </c>
      <c r="F154" s="17">
        <f>ROUND((D154/E154)/60,2)</f>
        <v>0.12</v>
      </c>
      <c r="G154" s="17">
        <f>E126</f>
        <v>40</v>
      </c>
      <c r="H154" s="16">
        <f>ROUND(F154*G154,2)</f>
        <v>4.8</v>
      </c>
    </row>
    <row r="155" spans="3:9" x14ac:dyDescent="0.3">
      <c r="C155" s="17" t="s">
        <v>952</v>
      </c>
      <c r="D155" s="112">
        <f>D99</f>
        <v>53.149721627408987</v>
      </c>
      <c r="E155" s="17">
        <f>I122</f>
        <v>1656.6</v>
      </c>
      <c r="F155" s="17">
        <f>ROUND((D155/E155)/60,2)</f>
        <v>0</v>
      </c>
      <c r="G155" s="17">
        <f>E126</f>
        <v>40</v>
      </c>
      <c r="H155" s="16">
        <f>ROUND(F155*G155,2)</f>
        <v>0</v>
      </c>
    </row>
    <row r="156" spans="3:9" x14ac:dyDescent="0.3">
      <c r="C156" s="17" t="s">
        <v>953</v>
      </c>
      <c r="D156" s="112">
        <f>D100</f>
        <v>374.98368308351178</v>
      </c>
      <c r="E156" s="17">
        <f>I122</f>
        <v>1656.6</v>
      </c>
      <c r="F156" s="17">
        <f>ROUND((D156/E156)/60,2)</f>
        <v>0</v>
      </c>
      <c r="G156" s="17">
        <f>E126</f>
        <v>40</v>
      </c>
      <c r="H156" s="16">
        <f>ROUND(F156*G156,2)</f>
        <v>0</v>
      </c>
    </row>
    <row r="157" spans="3:9" x14ac:dyDescent="0.3">
      <c r="C157" s="17" t="s">
        <v>1109</v>
      </c>
      <c r="D157" s="112">
        <f>D101</f>
        <v>1686.0389293361886</v>
      </c>
      <c r="E157" s="17">
        <f>I122</f>
        <v>1656.6</v>
      </c>
      <c r="F157" s="17">
        <f>ROUND((D157/E157)/60,2)</f>
        <v>0.02</v>
      </c>
      <c r="G157" s="17">
        <f>E126</f>
        <v>40</v>
      </c>
      <c r="H157" s="16">
        <f>ROUND(F157*G157,2)</f>
        <v>0.8</v>
      </c>
    </row>
    <row r="158" spans="3:9" x14ac:dyDescent="0.3">
      <c r="C158" s="1009" t="str">
        <f>C123</f>
        <v>Сестра медична ендоскопічний</v>
      </c>
      <c r="D158" s="1010"/>
      <c r="E158" s="1010"/>
      <c r="F158" s="1010"/>
      <c r="G158" s="1010"/>
      <c r="H158" s="1011"/>
    </row>
    <row r="159" spans="3:9" x14ac:dyDescent="0.3">
      <c r="C159" s="17" t="s">
        <v>951</v>
      </c>
      <c r="D159" s="112">
        <f>D154</f>
        <v>12188.608008565312</v>
      </c>
      <c r="E159" s="17">
        <f>I123</f>
        <v>1932.7</v>
      </c>
      <c r="F159" s="17">
        <f>ROUND((D159/E159)/60,2)</f>
        <v>0.11</v>
      </c>
      <c r="G159" s="17">
        <f>E127</f>
        <v>40</v>
      </c>
      <c r="H159" s="16">
        <f>ROUND(F159*G159,2)</f>
        <v>4.4000000000000004</v>
      </c>
    </row>
    <row r="160" spans="3:9" x14ac:dyDescent="0.3">
      <c r="C160" s="17" t="s">
        <v>952</v>
      </c>
      <c r="D160" s="112">
        <f>D155</f>
        <v>53.149721627408987</v>
      </c>
      <c r="E160" s="17">
        <f>I123</f>
        <v>1932.7</v>
      </c>
      <c r="F160" s="17">
        <f>ROUND((D160/E160)/60,2)</f>
        <v>0</v>
      </c>
      <c r="G160" s="17">
        <f>E127</f>
        <v>40</v>
      </c>
      <c r="H160" s="16">
        <f>ROUND(F160*G160,2)</f>
        <v>0</v>
      </c>
    </row>
    <row r="161" spans="1:16" x14ac:dyDescent="0.3">
      <c r="C161" s="17" t="s">
        <v>953</v>
      </c>
      <c r="D161" s="112">
        <f>D156</f>
        <v>374.98368308351178</v>
      </c>
      <c r="E161" s="17">
        <f>I123</f>
        <v>1932.7</v>
      </c>
      <c r="F161" s="17">
        <f>ROUND((D161/E161)/60,2)</f>
        <v>0</v>
      </c>
      <c r="G161" s="17">
        <f>E127</f>
        <v>40</v>
      </c>
      <c r="H161" s="16">
        <f>ROUND(F161*G161,2)</f>
        <v>0</v>
      </c>
    </row>
    <row r="162" spans="1:16" x14ac:dyDescent="0.3">
      <c r="C162" s="17" t="s">
        <v>1109</v>
      </c>
      <c r="D162" s="112">
        <f>D157</f>
        <v>1686.0389293361886</v>
      </c>
      <c r="E162" s="17">
        <f>I123</f>
        <v>1932.7</v>
      </c>
      <c r="F162" s="17">
        <f>ROUND((D162/E162)/60,2)</f>
        <v>0.01</v>
      </c>
      <c r="G162" s="17">
        <f>E127</f>
        <v>40</v>
      </c>
      <c r="H162" s="16">
        <f>ROUND(F162*G162,2)</f>
        <v>0.4</v>
      </c>
    </row>
    <row r="163" spans="1:16" x14ac:dyDescent="0.3">
      <c r="C163" s="1012" t="s">
        <v>957</v>
      </c>
      <c r="D163" s="1013"/>
      <c r="E163" s="1013"/>
      <c r="F163" s="1013"/>
      <c r="G163" s="1014"/>
      <c r="H163" s="18">
        <f>SUM(H154:H162)</f>
        <v>10.4</v>
      </c>
    </row>
    <row r="164" spans="1:16" ht="8.25" customHeight="1" x14ac:dyDescent="0.3"/>
    <row r="165" spans="1:16" ht="1.5" customHeight="1" x14ac:dyDescent="0.3"/>
    <row r="166" spans="1:16" x14ac:dyDescent="0.3">
      <c r="C166" s="1015" t="s">
        <v>959</v>
      </c>
      <c r="D166" s="1015"/>
      <c r="E166" s="1015"/>
      <c r="F166" s="1015"/>
      <c r="G166" s="1015"/>
      <c r="H166" s="32">
        <f>F119+F131+F145+F150</f>
        <v>121.52000000000002</v>
      </c>
    </row>
    <row r="167" spans="1:16" x14ac:dyDescent="0.3">
      <c r="C167" s="33"/>
      <c r="D167" s="33"/>
      <c r="E167" s="33"/>
      <c r="F167" s="33"/>
      <c r="G167" s="33"/>
      <c r="H167" s="34"/>
    </row>
    <row r="168" spans="1:16" x14ac:dyDescent="0.3">
      <c r="C168" s="1015" t="s">
        <v>960</v>
      </c>
      <c r="D168" s="1015"/>
      <c r="E168" s="1015"/>
      <c r="F168" s="1015"/>
      <c r="G168" s="1015"/>
      <c r="H168" s="32">
        <f>ROUND(H166,0)</f>
        <v>122</v>
      </c>
    </row>
    <row r="170" spans="1:16" s="54" customFormat="1" ht="19.8" x14ac:dyDescent="0.4">
      <c r="A170" s="70"/>
      <c r="B170" s="1016" t="s">
        <v>958</v>
      </c>
      <c r="C170" s="1016"/>
      <c r="D170" s="1016"/>
      <c r="E170" s="1016"/>
      <c r="F170" s="1016"/>
      <c r="G170" s="1016"/>
      <c r="H170" s="1016"/>
      <c r="I170" s="1016"/>
      <c r="J170" s="1016"/>
      <c r="K170" s="53"/>
      <c r="L170" s="104"/>
      <c r="M170" s="104"/>
      <c r="N170" s="53"/>
      <c r="O170" s="53"/>
      <c r="P170" s="53"/>
    </row>
    <row r="171" spans="1:16" s="54" customFormat="1" ht="19.8" x14ac:dyDescent="0.4">
      <c r="A171" s="70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104"/>
      <c r="M171" s="104"/>
      <c r="N171" s="53"/>
      <c r="O171" s="53"/>
      <c r="P171" s="53"/>
    </row>
    <row r="172" spans="1:16" s="54" customFormat="1" ht="34.5" customHeight="1" x14ac:dyDescent="0.4">
      <c r="A172" s="70"/>
      <c r="B172" s="50" t="s">
        <v>672</v>
      </c>
      <c r="C172" s="1017" t="s">
        <v>1218</v>
      </c>
      <c r="D172" s="1017"/>
      <c r="E172" s="1017"/>
      <c r="F172" s="52">
        <f>H223</f>
        <v>122</v>
      </c>
      <c r="G172" s="52" t="s">
        <v>971</v>
      </c>
      <c r="H172" s="53"/>
      <c r="I172" s="53"/>
      <c r="J172" s="53"/>
      <c r="K172" s="53"/>
      <c r="L172" s="104"/>
      <c r="M172" s="104"/>
      <c r="N172" s="53"/>
      <c r="O172" s="53"/>
      <c r="P172" s="53"/>
    </row>
    <row r="174" spans="1:16" x14ac:dyDescent="0.3">
      <c r="C174" s="1018" t="s">
        <v>932</v>
      </c>
      <c r="D174" s="1018"/>
      <c r="E174" s="10"/>
      <c r="F174" s="11">
        <f>F181+F184+F182</f>
        <v>85.4</v>
      </c>
      <c r="G174" s="12" t="s">
        <v>971</v>
      </c>
    </row>
    <row r="175" spans="1:16" ht="7.5" customHeight="1" x14ac:dyDescent="0.3"/>
    <row r="176" spans="1:16" ht="27.6" x14ac:dyDescent="0.3">
      <c r="C176" s="13" t="s">
        <v>929</v>
      </c>
      <c r="D176" s="14" t="s">
        <v>928</v>
      </c>
      <c r="E176" s="14" t="s">
        <v>514</v>
      </c>
      <c r="F176" s="14" t="s">
        <v>515</v>
      </c>
      <c r="G176" s="14" t="s">
        <v>962</v>
      </c>
      <c r="H176" s="14" t="s">
        <v>926</v>
      </c>
      <c r="I176" s="14" t="s">
        <v>516</v>
      </c>
      <c r="J176" s="14" t="s">
        <v>961</v>
      </c>
    </row>
    <row r="177" spans="3:10" x14ac:dyDescent="0.3">
      <c r="C177" s="16" t="str">
        <f>C122</f>
        <v>Лікар-ендоскопіст</v>
      </c>
      <c r="D177" s="16">
        <f>D122</f>
        <v>7605.07</v>
      </c>
      <c r="E177" s="16">
        <f>D177*12</f>
        <v>91260.84</v>
      </c>
      <c r="F177" s="16">
        <f>F122</f>
        <v>5850.05</v>
      </c>
      <c r="G177" s="16">
        <f>G122</f>
        <v>2925.0250000000001</v>
      </c>
      <c r="H177" s="16">
        <f>E177+F177+G177</f>
        <v>100035.91499999999</v>
      </c>
      <c r="I177" s="17">
        <v>1656.6</v>
      </c>
      <c r="J177" s="16">
        <f>ROUND((H177/I177)/60,2)</f>
        <v>1.01</v>
      </c>
    </row>
    <row r="178" spans="3:10" x14ac:dyDescent="0.3">
      <c r="C178" s="16" t="str">
        <f>C123</f>
        <v>Сестра медична ендоскопічний</v>
      </c>
      <c r="D178" s="16">
        <f>D123</f>
        <v>6506.5</v>
      </c>
      <c r="E178" s="16">
        <f>D178*12</f>
        <v>78078</v>
      </c>
      <c r="F178" s="16">
        <f>F123</f>
        <v>5005</v>
      </c>
      <c r="G178" s="16">
        <f>G123</f>
        <v>2502.5</v>
      </c>
      <c r="H178" s="16">
        <f>E178+F178+G178</f>
        <v>85585.5</v>
      </c>
      <c r="I178" s="17">
        <v>1932.7</v>
      </c>
      <c r="J178" s="16">
        <f>ROUND((H178/I178)/60,2)</f>
        <v>0.74</v>
      </c>
    </row>
    <row r="180" spans="3:10" ht="27.6" x14ac:dyDescent="0.3">
      <c r="C180" s="13" t="s">
        <v>929</v>
      </c>
      <c r="D180" s="14" t="s">
        <v>961</v>
      </c>
      <c r="E180" s="14" t="s">
        <v>930</v>
      </c>
      <c r="F180" s="14" t="s">
        <v>931</v>
      </c>
    </row>
    <row r="181" spans="3:10" x14ac:dyDescent="0.3">
      <c r="C181" s="15" t="str">
        <f>C177</f>
        <v>Лікар-ендоскопіст</v>
      </c>
      <c r="D181" s="16">
        <f>J177</f>
        <v>1.01</v>
      </c>
      <c r="E181" s="17">
        <v>40</v>
      </c>
      <c r="F181" s="18">
        <f>ROUND(D181*E181,2)</f>
        <v>40.4</v>
      </c>
    </row>
    <row r="182" spans="3:10" x14ac:dyDescent="0.3">
      <c r="C182" s="15" t="str">
        <f>C178</f>
        <v>Сестра медична ендоскопічний</v>
      </c>
      <c r="D182" s="16">
        <f>J178</f>
        <v>0.74</v>
      </c>
      <c r="E182" s="17">
        <v>40</v>
      </c>
      <c r="F182" s="18">
        <f>ROUND(D182*E182,2)</f>
        <v>29.6</v>
      </c>
    </row>
    <row r="183" spans="3:10" x14ac:dyDescent="0.3">
      <c r="D183" s="19"/>
    </row>
    <row r="184" spans="3:10" x14ac:dyDescent="0.3">
      <c r="C184" s="17" t="s">
        <v>933</v>
      </c>
      <c r="D184" s="16">
        <f>F181+F182</f>
        <v>70</v>
      </c>
      <c r="E184" s="20">
        <v>0.22</v>
      </c>
      <c r="F184" s="21">
        <f>ROUND(D184*E184,2)</f>
        <v>15.4</v>
      </c>
    </row>
    <row r="186" spans="3:10" x14ac:dyDescent="0.3">
      <c r="C186" s="12" t="s">
        <v>946</v>
      </c>
      <c r="D186" s="12"/>
      <c r="E186" s="12"/>
      <c r="F186" s="12">
        <f>G198</f>
        <v>25.320000000000004</v>
      </c>
      <c r="G186" s="12" t="s">
        <v>971</v>
      </c>
    </row>
    <row r="188" spans="3:10" x14ac:dyDescent="0.3">
      <c r="C188" s="27" t="s">
        <v>964</v>
      </c>
      <c r="D188" s="28" t="s">
        <v>941</v>
      </c>
      <c r="E188" s="45">
        <v>2</v>
      </c>
      <c r="F188" s="29">
        <f>'МЕДИЧНІ М'!E111</f>
        <v>2.8</v>
      </c>
      <c r="G188" s="37">
        <f>ROUND(F188*E188,2)</f>
        <v>5.6</v>
      </c>
    </row>
    <row r="189" spans="3:10" x14ac:dyDescent="0.3">
      <c r="C189" s="27" t="s">
        <v>965</v>
      </c>
      <c r="D189" s="28" t="s">
        <v>941</v>
      </c>
      <c r="E189" s="45">
        <v>0.2</v>
      </c>
      <c r="F189" s="29">
        <f>'МЕДИЧНІ М'!E112</f>
        <v>24.6</v>
      </c>
      <c r="G189" s="37">
        <f>ROUND(F189*E189,2)</f>
        <v>4.92</v>
      </c>
    </row>
    <row r="190" spans="3:10" x14ac:dyDescent="0.3">
      <c r="C190" s="27" t="s">
        <v>940</v>
      </c>
      <c r="D190" s="28" t="s">
        <v>941</v>
      </c>
      <c r="E190" s="45">
        <v>0.1</v>
      </c>
      <c r="F190" s="29">
        <f>'МЕДИЧНІ М'!E108</f>
        <v>2</v>
      </c>
      <c r="G190" s="37">
        <f>ROUND(F190*E190,2)</f>
        <v>0.2</v>
      </c>
    </row>
    <row r="191" spans="3:10" x14ac:dyDescent="0.3">
      <c r="C191" s="27" t="s">
        <v>936</v>
      </c>
      <c r="D191" s="28" t="s">
        <v>937</v>
      </c>
      <c r="E191" s="29">
        <v>1</v>
      </c>
      <c r="F191" s="30">
        <f>'МЕДИЧНІ М'!F109</f>
        <v>0.3</v>
      </c>
      <c r="G191" s="30">
        <f>ROUND(E191*F191,2)</f>
        <v>0.3</v>
      </c>
    </row>
    <row r="192" spans="3:10" x14ac:dyDescent="0.3">
      <c r="C192" s="27" t="s">
        <v>147</v>
      </c>
      <c r="D192" s="28" t="s">
        <v>941</v>
      </c>
      <c r="E192" s="45">
        <v>2</v>
      </c>
      <c r="F192" s="30">
        <v>0.15</v>
      </c>
      <c r="G192" s="37">
        <f t="shared" ref="G192:G197" si="3">ROUND(F192*E192,2)</f>
        <v>0.3</v>
      </c>
    </row>
    <row r="193" spans="3:9" x14ac:dyDescent="0.3">
      <c r="C193" s="27" t="s">
        <v>972</v>
      </c>
      <c r="D193" s="28" t="s">
        <v>941</v>
      </c>
      <c r="E193" s="45">
        <v>0.01</v>
      </c>
      <c r="F193" s="29">
        <f>'МЕДИЧНІ М'!E106</f>
        <v>7</v>
      </c>
      <c r="G193" s="37">
        <f t="shared" si="3"/>
        <v>7.0000000000000007E-2</v>
      </c>
    </row>
    <row r="194" spans="3:9" x14ac:dyDescent="0.3">
      <c r="C194" s="27" t="s">
        <v>154</v>
      </c>
      <c r="D194" s="28" t="s">
        <v>941</v>
      </c>
      <c r="E194" s="45">
        <v>1</v>
      </c>
      <c r="F194" s="30">
        <v>1</v>
      </c>
      <c r="G194" s="24">
        <f t="shared" si="3"/>
        <v>1</v>
      </c>
    </row>
    <row r="195" spans="3:9" x14ac:dyDescent="0.3">
      <c r="C195" s="27" t="s">
        <v>1174</v>
      </c>
      <c r="D195" s="28" t="s">
        <v>941</v>
      </c>
      <c r="E195" s="45">
        <v>1</v>
      </c>
      <c r="F195" s="29">
        <f>'МЕДИЧНІ М'!E110</f>
        <v>11.31</v>
      </c>
      <c r="G195" s="24">
        <f t="shared" si="3"/>
        <v>11.31</v>
      </c>
    </row>
    <row r="196" spans="3:9" x14ac:dyDescent="0.3">
      <c r="C196" s="27" t="s">
        <v>1029</v>
      </c>
      <c r="D196" s="28" t="s">
        <v>941</v>
      </c>
      <c r="E196" s="45">
        <v>1</v>
      </c>
      <c r="F196" s="17">
        <f>'МЕДИЧНІ М'!F107</f>
        <v>0.90800000000000003</v>
      </c>
      <c r="G196" s="37">
        <f t="shared" si="3"/>
        <v>0.91</v>
      </c>
    </row>
    <row r="197" spans="3:9" x14ac:dyDescent="0.3">
      <c r="C197" s="27" t="s">
        <v>1030</v>
      </c>
      <c r="D197" s="28" t="s">
        <v>941</v>
      </c>
      <c r="E197" s="45">
        <v>1</v>
      </c>
      <c r="F197" s="30">
        <f>'МЕДИЧНІ М'!F105</f>
        <v>0.71299999999999997</v>
      </c>
      <c r="G197" s="37">
        <f t="shared" si="3"/>
        <v>0.71</v>
      </c>
    </row>
    <row r="198" spans="3:9" x14ac:dyDescent="0.3">
      <c r="C198" s="1019" t="s">
        <v>945</v>
      </c>
      <c r="D198" s="1019"/>
      <c r="E198" s="1019"/>
      <c r="F198" s="1019"/>
      <c r="G198" s="31">
        <f>SUM(G188:G197)</f>
        <v>25.320000000000004</v>
      </c>
    </row>
    <row r="200" spans="3:9" x14ac:dyDescent="0.3">
      <c r="C200" s="12" t="s">
        <v>968</v>
      </c>
      <c r="D200" s="12"/>
      <c r="E200" s="12"/>
      <c r="F200" s="11">
        <f>H203</f>
        <v>0.4</v>
      </c>
      <c r="G200" s="12" t="s">
        <v>971</v>
      </c>
    </row>
    <row r="201" spans="3:9" x14ac:dyDescent="0.3">
      <c r="C201" s="22"/>
      <c r="D201" s="22"/>
      <c r="E201" s="22"/>
      <c r="F201" s="23"/>
      <c r="G201" s="22"/>
    </row>
    <row r="202" spans="3:9" ht="27.6" x14ac:dyDescent="0.3">
      <c r="C202" s="14" t="s">
        <v>513</v>
      </c>
      <c r="D202" s="14" t="s">
        <v>969</v>
      </c>
      <c r="E202" s="14" t="s">
        <v>516</v>
      </c>
      <c r="F202" s="14" t="s">
        <v>970</v>
      </c>
      <c r="G202" s="14" t="s">
        <v>930</v>
      </c>
      <c r="H202" s="14" t="s">
        <v>961</v>
      </c>
    </row>
    <row r="203" spans="3:9" x14ac:dyDescent="0.3">
      <c r="C203" s="43" t="str">
        <f>C148</f>
        <v>Гастрофіброскоп FG - 29W "Pentax", ПК</v>
      </c>
      <c r="D203" s="17">
        <f>D148</f>
        <v>815.88</v>
      </c>
      <c r="E203" s="17">
        <f>I177</f>
        <v>1656.6</v>
      </c>
      <c r="F203" s="17">
        <f>ROUND((D203/E203)/60,2)</f>
        <v>0.01</v>
      </c>
      <c r="G203" s="17">
        <f>E181</f>
        <v>40</v>
      </c>
      <c r="H203" s="16">
        <f>ROUND(F203*G203,2)</f>
        <v>0.4</v>
      </c>
      <c r="I203" s="38"/>
    </row>
    <row r="205" spans="3:9" x14ac:dyDescent="0.3">
      <c r="C205" s="12" t="s">
        <v>948</v>
      </c>
      <c r="D205" s="12"/>
      <c r="E205" s="12"/>
      <c r="F205" s="11">
        <f>H218</f>
        <v>10.4</v>
      </c>
      <c r="G205" s="12" t="s">
        <v>971</v>
      </c>
    </row>
    <row r="206" spans="3:9" x14ac:dyDescent="0.3">
      <c r="C206" s="22"/>
      <c r="D206" s="22"/>
      <c r="E206" s="22"/>
      <c r="F206" s="23"/>
    </row>
    <row r="207" spans="3:9" ht="41.4" x14ac:dyDescent="0.3">
      <c r="C207" s="14" t="s">
        <v>948</v>
      </c>
      <c r="D207" s="14" t="s">
        <v>955</v>
      </c>
      <c r="E207" s="14" t="s">
        <v>516</v>
      </c>
      <c r="F207" s="14" t="s">
        <v>954</v>
      </c>
      <c r="G207" s="14" t="s">
        <v>930</v>
      </c>
      <c r="H207" s="14" t="s">
        <v>956</v>
      </c>
    </row>
    <row r="208" spans="3:9" x14ac:dyDescent="0.3">
      <c r="C208" s="1009" t="str">
        <f>C177</f>
        <v>Лікар-ендоскопіст</v>
      </c>
      <c r="D208" s="1010"/>
      <c r="E208" s="1010"/>
      <c r="F208" s="1010"/>
      <c r="G208" s="1010"/>
      <c r="H208" s="1011"/>
    </row>
    <row r="209" spans="3:8" x14ac:dyDescent="0.3">
      <c r="C209" s="17" t="s">
        <v>951</v>
      </c>
      <c r="D209" s="112">
        <f>D154</f>
        <v>12188.608008565312</v>
      </c>
      <c r="E209" s="17">
        <f>I177</f>
        <v>1656.6</v>
      </c>
      <c r="F209" s="17">
        <f>ROUND((D209/E209)/60,2)</f>
        <v>0.12</v>
      </c>
      <c r="G209" s="17">
        <f>E181</f>
        <v>40</v>
      </c>
      <c r="H209" s="16">
        <f>ROUND(F209*G209,2)</f>
        <v>4.8</v>
      </c>
    </row>
    <row r="210" spans="3:8" x14ac:dyDescent="0.3">
      <c r="C210" s="17" t="s">
        <v>952</v>
      </c>
      <c r="D210" s="112">
        <f>D155</f>
        <v>53.149721627408987</v>
      </c>
      <c r="E210" s="17">
        <f>I177</f>
        <v>1656.6</v>
      </c>
      <c r="F210" s="17">
        <f>ROUND((D210/E210)/60,2)</f>
        <v>0</v>
      </c>
      <c r="G210" s="17">
        <f>E181</f>
        <v>40</v>
      </c>
      <c r="H210" s="16">
        <f>ROUND(F210*G210,2)</f>
        <v>0</v>
      </c>
    </row>
    <row r="211" spans="3:8" x14ac:dyDescent="0.3">
      <c r="C211" s="17" t="s">
        <v>953</v>
      </c>
      <c r="D211" s="112">
        <f>D156</f>
        <v>374.98368308351178</v>
      </c>
      <c r="E211" s="17">
        <f>I177</f>
        <v>1656.6</v>
      </c>
      <c r="F211" s="17">
        <f>ROUND((D211/E211)/60,2)</f>
        <v>0</v>
      </c>
      <c r="G211" s="17">
        <f>E181</f>
        <v>40</v>
      </c>
      <c r="H211" s="16">
        <f>ROUND(F211*G211,2)</f>
        <v>0</v>
      </c>
    </row>
    <row r="212" spans="3:8" x14ac:dyDescent="0.3">
      <c r="C212" s="17" t="s">
        <v>1109</v>
      </c>
      <c r="D212" s="112">
        <f>D157</f>
        <v>1686.0389293361886</v>
      </c>
      <c r="E212" s="17">
        <f>I177</f>
        <v>1656.6</v>
      </c>
      <c r="F212" s="17">
        <f>ROUND((D212/E212)/60,2)</f>
        <v>0.02</v>
      </c>
      <c r="G212" s="17">
        <f>E181</f>
        <v>40</v>
      </c>
      <c r="H212" s="16">
        <f>ROUND(F212*G212,2)</f>
        <v>0.8</v>
      </c>
    </row>
    <row r="213" spans="3:8" x14ac:dyDescent="0.3">
      <c r="C213" s="1009" t="str">
        <f>C178</f>
        <v>Сестра медична ендоскопічний</v>
      </c>
      <c r="D213" s="1010"/>
      <c r="E213" s="1010"/>
      <c r="F213" s="1010"/>
      <c r="G213" s="1010"/>
      <c r="H213" s="1011"/>
    </row>
    <row r="214" spans="3:8" x14ac:dyDescent="0.3">
      <c r="C214" s="17" t="s">
        <v>951</v>
      </c>
      <c r="D214" s="112">
        <f>D209</f>
        <v>12188.608008565312</v>
      </c>
      <c r="E214" s="17">
        <f>I178</f>
        <v>1932.7</v>
      </c>
      <c r="F214" s="17">
        <f>ROUND((D214/E214)/60,2)</f>
        <v>0.11</v>
      </c>
      <c r="G214" s="17">
        <f>E182</f>
        <v>40</v>
      </c>
      <c r="H214" s="16">
        <f>ROUND(F214*G214,2)</f>
        <v>4.4000000000000004</v>
      </c>
    </row>
    <row r="215" spans="3:8" x14ac:dyDescent="0.3">
      <c r="C215" s="17" t="s">
        <v>952</v>
      </c>
      <c r="D215" s="112">
        <f>D210</f>
        <v>53.149721627408987</v>
      </c>
      <c r="E215" s="17">
        <f>I178</f>
        <v>1932.7</v>
      </c>
      <c r="F215" s="17">
        <f>ROUND((D215/E215)/60,2)</f>
        <v>0</v>
      </c>
      <c r="G215" s="17">
        <f>E182</f>
        <v>40</v>
      </c>
      <c r="H215" s="16">
        <f>ROUND(F215*G215,2)</f>
        <v>0</v>
      </c>
    </row>
    <row r="216" spans="3:8" x14ac:dyDescent="0.3">
      <c r="C216" s="17" t="s">
        <v>953</v>
      </c>
      <c r="D216" s="112">
        <f>D211</f>
        <v>374.98368308351178</v>
      </c>
      <c r="E216" s="17">
        <f>I178</f>
        <v>1932.7</v>
      </c>
      <c r="F216" s="17">
        <f>ROUND((D216/E216)/60,2)</f>
        <v>0</v>
      </c>
      <c r="G216" s="17">
        <f>E182</f>
        <v>40</v>
      </c>
      <c r="H216" s="16">
        <f>ROUND(F216*G216,2)</f>
        <v>0</v>
      </c>
    </row>
    <row r="217" spans="3:8" x14ac:dyDescent="0.3">
      <c r="C217" s="17" t="s">
        <v>1109</v>
      </c>
      <c r="D217" s="112">
        <f>D212</f>
        <v>1686.0389293361886</v>
      </c>
      <c r="E217" s="17">
        <f>I178</f>
        <v>1932.7</v>
      </c>
      <c r="F217" s="17">
        <f>ROUND((D217/E217)/60,2)</f>
        <v>0.01</v>
      </c>
      <c r="G217" s="17">
        <f>E182</f>
        <v>40</v>
      </c>
      <c r="H217" s="16">
        <f>ROUND(F217*G217,2)</f>
        <v>0.4</v>
      </c>
    </row>
    <row r="218" spans="3:8" x14ac:dyDescent="0.3">
      <c r="C218" s="1012" t="s">
        <v>957</v>
      </c>
      <c r="D218" s="1013"/>
      <c r="E218" s="1013"/>
      <c r="F218" s="1013"/>
      <c r="G218" s="1014"/>
      <c r="H218" s="18">
        <f>SUM(H209:H217)</f>
        <v>10.4</v>
      </c>
    </row>
    <row r="219" spans="3:8" ht="8.25" customHeight="1" x14ac:dyDescent="0.3"/>
    <row r="220" spans="3:8" ht="1.5" customHeight="1" x14ac:dyDescent="0.3"/>
    <row r="221" spans="3:8" x14ac:dyDescent="0.3">
      <c r="C221" s="1015" t="s">
        <v>959</v>
      </c>
      <c r="D221" s="1015"/>
      <c r="E221" s="1015"/>
      <c r="F221" s="1015"/>
      <c r="G221" s="1015"/>
      <c r="H221" s="32">
        <f>F174+F186+F200+F205</f>
        <v>121.52000000000002</v>
      </c>
    </row>
    <row r="222" spans="3:8" x14ac:dyDescent="0.3">
      <c r="C222" s="33"/>
      <c r="D222" s="33"/>
      <c r="E222" s="33"/>
      <c r="F222" s="33"/>
      <c r="G222" s="33"/>
      <c r="H222" s="34"/>
    </row>
    <row r="223" spans="3:8" x14ac:dyDescent="0.3">
      <c r="C223" s="1015" t="s">
        <v>960</v>
      </c>
      <c r="D223" s="1015"/>
      <c r="E223" s="1015"/>
      <c r="F223" s="1015"/>
      <c r="G223" s="1015"/>
      <c r="H223" s="32">
        <f>ROUND(H221,0)</f>
        <v>122</v>
      </c>
    </row>
  </sheetData>
  <mergeCells count="36">
    <mergeCell ref="B2:J2"/>
    <mergeCell ref="C40:H40"/>
    <mergeCell ref="C30:F30"/>
    <mergeCell ref="C61:E61"/>
    <mergeCell ref="B59:J59"/>
    <mergeCell ref="C4:E4"/>
    <mergeCell ref="C6:D6"/>
    <mergeCell ref="B115:J115"/>
    <mergeCell ref="C45:H45"/>
    <mergeCell ref="C50:G50"/>
    <mergeCell ref="C53:G53"/>
    <mergeCell ref="C102:H102"/>
    <mergeCell ref="C107:G107"/>
    <mergeCell ref="C112:G112"/>
    <mergeCell ref="C110:G110"/>
    <mergeCell ref="C55:G55"/>
    <mergeCell ref="C63:D63"/>
    <mergeCell ref="C87:F87"/>
    <mergeCell ref="C97:H97"/>
    <mergeCell ref="C168:G168"/>
    <mergeCell ref="B170:J170"/>
    <mergeCell ref="C117:E117"/>
    <mergeCell ref="C143:F143"/>
    <mergeCell ref="C119:D119"/>
    <mergeCell ref="C163:G163"/>
    <mergeCell ref="C158:H158"/>
    <mergeCell ref="C166:G166"/>
    <mergeCell ref="C153:H153"/>
    <mergeCell ref="C223:G223"/>
    <mergeCell ref="C172:E172"/>
    <mergeCell ref="C198:F198"/>
    <mergeCell ref="C208:H208"/>
    <mergeCell ref="C213:H213"/>
    <mergeCell ref="C174:D174"/>
    <mergeCell ref="C218:G218"/>
    <mergeCell ref="C221:G221"/>
  </mergeCells>
  <phoneticPr fontId="8" type="noConversion"/>
  <hyperlinks>
    <hyperlink ref="M7" location="'4 РЕХ'!A154" display="Електрокардіографі́я серця (ЕКГ)" xr:uid="{00000000-0004-0000-1900-000000000000}"/>
  </hyperlinks>
  <pageMargins left="0" right="0" top="0" bottom="0" header="0.31496062992125984" footer="0.31496062992125984"/>
  <pageSetup paperSize="9" scale="74" orientation="portrait" r:id="rId1"/>
  <rowBreaks count="3" manualBreakCount="3">
    <brk id="58" min="1" max="10" man="1"/>
    <brk id="114" min="1" max="10" man="1"/>
    <brk id="169" min="1" max="10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S584"/>
  <sheetViews>
    <sheetView view="pageBreakPreview" zoomScaleNormal="100" zoomScaleSheetLayoutView="100" workbookViewId="0">
      <selection activeCell="J3" sqref="J3"/>
    </sheetView>
  </sheetViews>
  <sheetFormatPr defaultRowHeight="14.4" x14ac:dyDescent="0.3"/>
  <cols>
    <col min="1" max="1" width="6.33203125" style="7" bestFit="1" customWidth="1"/>
    <col min="2" max="2" width="48.5546875" style="7" customWidth="1"/>
    <col min="3" max="3" width="9.33203125" style="7" customWidth="1"/>
    <col min="4" max="4" width="10.44140625" style="7" bestFit="1" customWidth="1"/>
    <col min="5" max="5" width="11" style="7" customWidth="1"/>
    <col min="6" max="6" width="14.109375" style="7" customWidth="1"/>
    <col min="7" max="7" width="11.109375" style="7" customWidth="1"/>
    <col min="8" max="9" width="9.33203125" style="7" bestFit="1" customWidth="1"/>
    <col min="10" max="10" width="9.109375" style="105"/>
    <col min="11" max="11" width="71.5546875" style="105" customWidth="1"/>
    <col min="12" max="19" width="9.109375" style="7"/>
  </cols>
  <sheetData>
    <row r="2" spans="1:11" ht="18.600000000000001" x14ac:dyDescent="0.3">
      <c r="A2" s="1016" t="s">
        <v>958</v>
      </c>
      <c r="B2" s="1016"/>
      <c r="C2" s="1016"/>
      <c r="D2" s="1016"/>
      <c r="E2" s="1016"/>
      <c r="F2" s="1016"/>
      <c r="G2" s="1016"/>
      <c r="H2" s="1016"/>
      <c r="I2" s="1016"/>
    </row>
    <row r="3" spans="1:11" ht="19.2" x14ac:dyDescent="0.35">
      <c r="A3" s="53"/>
      <c r="B3" s="53"/>
      <c r="C3" s="53"/>
      <c r="D3" s="53"/>
      <c r="E3" s="53"/>
      <c r="F3" s="53"/>
      <c r="G3" s="53"/>
      <c r="H3" s="53"/>
      <c r="I3" s="53"/>
    </row>
    <row r="4" spans="1:11" ht="37.5" customHeight="1" x14ac:dyDescent="0.35">
      <c r="A4" s="50" t="s">
        <v>703</v>
      </c>
      <c r="B4" s="1017" t="s">
        <v>704</v>
      </c>
      <c r="C4" s="1017"/>
      <c r="D4" s="1017"/>
      <c r="E4" s="52">
        <f>G53</f>
        <v>57</v>
      </c>
      <c r="F4" s="52" t="s">
        <v>971</v>
      </c>
      <c r="G4" s="53"/>
      <c r="H4" s="53"/>
      <c r="I4" s="53"/>
      <c r="J4" s="106" t="s">
        <v>703</v>
      </c>
      <c r="K4" s="116" t="s">
        <v>704</v>
      </c>
    </row>
    <row r="5" spans="1:11" x14ac:dyDescent="0.3">
      <c r="J5" s="106" t="s">
        <v>705</v>
      </c>
      <c r="K5" s="116" t="s">
        <v>706</v>
      </c>
    </row>
    <row r="6" spans="1:11" x14ac:dyDescent="0.3">
      <c r="B6" s="1018" t="s">
        <v>932</v>
      </c>
      <c r="C6" s="1018"/>
      <c r="D6" s="10"/>
      <c r="E6" s="11">
        <f>E13+E16+E14</f>
        <v>47.64</v>
      </c>
      <c r="F6" s="12" t="s">
        <v>971</v>
      </c>
      <c r="J6" s="106" t="s">
        <v>707</v>
      </c>
      <c r="K6" s="116" t="s">
        <v>708</v>
      </c>
    </row>
    <row r="7" spans="1:11" x14ac:dyDescent="0.3">
      <c r="J7" s="106" t="s">
        <v>709</v>
      </c>
      <c r="K7" s="116" t="s">
        <v>1190</v>
      </c>
    </row>
    <row r="8" spans="1:11" ht="27.6" x14ac:dyDescent="0.3">
      <c r="B8" s="13" t="s">
        <v>929</v>
      </c>
      <c r="C8" s="14" t="s">
        <v>928</v>
      </c>
      <c r="D8" s="14" t="s">
        <v>514</v>
      </c>
      <c r="E8" s="14" t="s">
        <v>515</v>
      </c>
      <c r="F8" s="14" t="s">
        <v>962</v>
      </c>
      <c r="G8" s="14" t="s">
        <v>926</v>
      </c>
      <c r="H8" s="14" t="s">
        <v>516</v>
      </c>
      <c r="I8" s="14" t="s">
        <v>961</v>
      </c>
      <c r="J8" s="106" t="s">
        <v>711</v>
      </c>
      <c r="K8" s="119" t="s">
        <v>1196</v>
      </c>
    </row>
    <row r="9" spans="1:11" x14ac:dyDescent="0.3">
      <c r="B9" s="15" t="s">
        <v>517</v>
      </c>
      <c r="C9" s="16">
        <f>ЗП!C7</f>
        <v>8537.1</v>
      </c>
      <c r="D9" s="16">
        <f>C9*12</f>
        <v>102445.20000000001</v>
      </c>
      <c r="E9" s="16">
        <f>ЗП!E7</f>
        <v>6567</v>
      </c>
      <c r="F9" s="16">
        <f>E9*0.5</f>
        <v>3283.5</v>
      </c>
      <c r="G9" s="16">
        <f>D9+E9+F9</f>
        <v>112295.70000000001</v>
      </c>
      <c r="H9" s="17">
        <v>1932.7</v>
      </c>
      <c r="I9" s="16">
        <f>ROUND((G9/H9)/60,2)</f>
        <v>0.97</v>
      </c>
      <c r="J9" s="106" t="s">
        <v>712</v>
      </c>
      <c r="K9" s="119" t="s">
        <v>713</v>
      </c>
    </row>
    <row r="10" spans="1:11" x14ac:dyDescent="0.3">
      <c r="B10" s="17" t="s">
        <v>539</v>
      </c>
      <c r="C10" s="16">
        <f>ЗП!C42</f>
        <v>6506.5</v>
      </c>
      <c r="D10" s="16">
        <f>C10*12</f>
        <v>78078</v>
      </c>
      <c r="E10" s="16">
        <f>ЗП!E42</f>
        <v>5005</v>
      </c>
      <c r="F10" s="16">
        <f>E10*0.5</f>
        <v>2502.5</v>
      </c>
      <c r="G10" s="16">
        <f>D10+E10+F10</f>
        <v>85585.5</v>
      </c>
      <c r="H10" s="17">
        <v>1932.7</v>
      </c>
      <c r="I10" s="16">
        <f>ROUND((G10/H10)/60,2)</f>
        <v>0.74</v>
      </c>
      <c r="J10" s="106" t="s">
        <v>714</v>
      </c>
      <c r="K10" s="119" t="s">
        <v>717</v>
      </c>
    </row>
    <row r="11" spans="1:11" x14ac:dyDescent="0.3">
      <c r="J11" s="106" t="s">
        <v>716</v>
      </c>
      <c r="K11" s="119" t="s">
        <v>719</v>
      </c>
    </row>
    <row r="12" spans="1:11" ht="27.6" x14ac:dyDescent="0.3">
      <c r="B12" s="13" t="s">
        <v>929</v>
      </c>
      <c r="C12" s="14" t="s">
        <v>961</v>
      </c>
      <c r="D12" s="14" t="s">
        <v>930</v>
      </c>
      <c r="E12" s="14" t="s">
        <v>931</v>
      </c>
      <c r="J12" s="106" t="s">
        <v>718</v>
      </c>
      <c r="K12" s="116" t="s">
        <v>1189</v>
      </c>
    </row>
    <row r="13" spans="1:11" x14ac:dyDescent="0.3">
      <c r="B13" s="15" t="str">
        <f>B9</f>
        <v>Лікар-терапевт</v>
      </c>
      <c r="C13" s="16">
        <f>I9</f>
        <v>0.97</v>
      </c>
      <c r="D13" s="17">
        <v>25</v>
      </c>
      <c r="E13" s="18">
        <f>ROUND(C13*D13,2)</f>
        <v>24.25</v>
      </c>
      <c r="J13" s="106" t="s">
        <v>720</v>
      </c>
      <c r="K13" s="116" t="s">
        <v>725</v>
      </c>
    </row>
    <row r="14" spans="1:11" x14ac:dyDescent="0.3">
      <c r="B14" s="15" t="str">
        <f>B10</f>
        <v>Сестра медична поліклініки</v>
      </c>
      <c r="C14" s="16">
        <f>I10</f>
        <v>0.74</v>
      </c>
      <c r="D14" s="17">
        <v>20</v>
      </c>
      <c r="E14" s="18">
        <f>ROUND(C14*D14,2)</f>
        <v>14.8</v>
      </c>
      <c r="J14" s="106" t="s">
        <v>722</v>
      </c>
      <c r="K14" s="116" t="s">
        <v>1206</v>
      </c>
    </row>
    <row r="15" spans="1:11" x14ac:dyDescent="0.3">
      <c r="C15" s="19"/>
    </row>
    <row r="16" spans="1:11" x14ac:dyDescent="0.3">
      <c r="B16" s="17" t="s">
        <v>933</v>
      </c>
      <c r="C16" s="16">
        <f>E13+E14</f>
        <v>39.049999999999997</v>
      </c>
      <c r="D16" s="20">
        <v>0.22</v>
      </c>
      <c r="E16" s="21">
        <f>ROUND(C16*D16,2)</f>
        <v>8.59</v>
      </c>
      <c r="J16" s="106"/>
      <c r="K16" s="116"/>
    </row>
    <row r="18" spans="2:7" x14ac:dyDescent="0.3">
      <c r="B18" s="12" t="s">
        <v>946</v>
      </c>
      <c r="C18" s="12"/>
      <c r="D18" s="12"/>
      <c r="E18" s="12">
        <f>F28</f>
        <v>3.5</v>
      </c>
      <c r="F18" s="12" t="s">
        <v>971</v>
      </c>
    </row>
    <row r="20" spans="2:7" x14ac:dyDescent="0.3">
      <c r="B20" s="27" t="s">
        <v>934</v>
      </c>
      <c r="C20" s="28" t="s">
        <v>935</v>
      </c>
      <c r="D20" s="29">
        <v>0.1</v>
      </c>
      <c r="E20" s="29">
        <f>'МЕДИЧНІ М'!E127</f>
        <v>2.8</v>
      </c>
      <c r="F20" s="30">
        <f t="shared" ref="F20:F27" si="0">ROUND(D20*E20,2)</f>
        <v>0.28000000000000003</v>
      </c>
    </row>
    <row r="21" spans="2:7" x14ac:dyDescent="0.3">
      <c r="B21" s="27" t="s">
        <v>936</v>
      </c>
      <c r="C21" s="28" t="s">
        <v>937</v>
      </c>
      <c r="D21" s="29">
        <v>1</v>
      </c>
      <c r="E21" s="30">
        <f>'МЕДИЧНІ М'!F126</f>
        <v>0.3</v>
      </c>
      <c r="F21" s="30">
        <f t="shared" si="0"/>
        <v>0.3</v>
      </c>
    </row>
    <row r="22" spans="2:7" x14ac:dyDescent="0.3">
      <c r="B22" s="27" t="s">
        <v>938</v>
      </c>
      <c r="C22" s="28" t="s">
        <v>939</v>
      </c>
      <c r="D22" s="29">
        <v>0.1</v>
      </c>
      <c r="E22" s="30">
        <f>'МЕДИЧНІ М'!F124</f>
        <v>6</v>
      </c>
      <c r="F22" s="30">
        <f t="shared" si="0"/>
        <v>0.6</v>
      </c>
    </row>
    <row r="23" spans="2:7" x14ac:dyDescent="0.3">
      <c r="B23" s="27" t="s">
        <v>940</v>
      </c>
      <c r="C23" s="28" t="s">
        <v>941</v>
      </c>
      <c r="D23" s="29">
        <v>0.5</v>
      </c>
      <c r="E23" s="29">
        <f>'МЕДИЧНІ М'!E125</f>
        <v>2</v>
      </c>
      <c r="F23" s="30">
        <f t="shared" si="0"/>
        <v>1</v>
      </c>
    </row>
    <row r="24" spans="2:7" x14ac:dyDescent="0.3">
      <c r="B24" s="27" t="s">
        <v>942</v>
      </c>
      <c r="C24" s="28" t="s">
        <v>941</v>
      </c>
      <c r="D24" s="29">
        <v>0.01</v>
      </c>
      <c r="E24" s="29">
        <f>'МЕДИЧНІ М'!E128</f>
        <v>24.6</v>
      </c>
      <c r="F24" s="30">
        <f t="shared" si="0"/>
        <v>0.25</v>
      </c>
    </row>
    <row r="25" spans="2:7" x14ac:dyDescent="0.3">
      <c r="B25" s="27" t="s">
        <v>943</v>
      </c>
      <c r="C25" s="28" t="s">
        <v>944</v>
      </c>
      <c r="D25" s="29">
        <v>1</v>
      </c>
      <c r="E25" s="30">
        <f>'МЕДИЧНІ М'!F122</f>
        <v>7.0000000000000007E-2</v>
      </c>
      <c r="F25" s="30">
        <f t="shared" si="0"/>
        <v>7.0000000000000007E-2</v>
      </c>
    </row>
    <row r="26" spans="2:7" x14ac:dyDescent="0.3">
      <c r="B26" s="27" t="s">
        <v>1124</v>
      </c>
      <c r="C26" s="28" t="s">
        <v>944</v>
      </c>
      <c r="D26" s="29">
        <v>0.5</v>
      </c>
      <c r="E26" s="29">
        <f>'МЕДИЧНІ М'!E123</f>
        <v>0.5</v>
      </c>
      <c r="F26" s="30">
        <f t="shared" si="0"/>
        <v>0.25</v>
      </c>
    </row>
    <row r="27" spans="2:7" x14ac:dyDescent="0.3">
      <c r="B27" s="27" t="s">
        <v>1159</v>
      </c>
      <c r="C27" s="28" t="s">
        <v>1160</v>
      </c>
      <c r="D27" s="29">
        <f>D13</f>
        <v>25</v>
      </c>
      <c r="E27" s="29">
        <f>ROUND(3389/H9/60,2)</f>
        <v>0.03</v>
      </c>
      <c r="F27" s="30">
        <f t="shared" si="0"/>
        <v>0.75</v>
      </c>
    </row>
    <row r="28" spans="2:7" x14ac:dyDescent="0.3">
      <c r="B28" s="1019" t="s">
        <v>945</v>
      </c>
      <c r="C28" s="1019"/>
      <c r="D28" s="1019"/>
      <c r="E28" s="1019"/>
      <c r="F28" s="31">
        <f>SUM(F20:F27)</f>
        <v>3.5</v>
      </c>
    </row>
    <row r="30" spans="2:7" x14ac:dyDescent="0.3">
      <c r="B30" s="12" t="s">
        <v>968</v>
      </c>
      <c r="C30" s="12"/>
      <c r="D30" s="12"/>
      <c r="E30" s="11">
        <f>G33</f>
        <v>0.2</v>
      </c>
      <c r="F30" s="12" t="s">
        <v>971</v>
      </c>
    </row>
    <row r="31" spans="2:7" x14ac:dyDescent="0.3">
      <c r="B31" s="22"/>
      <c r="C31" s="22"/>
      <c r="D31" s="22"/>
      <c r="E31" s="23"/>
      <c r="F31" s="22"/>
    </row>
    <row r="32" spans="2:7" ht="27.6" x14ac:dyDescent="0.3">
      <c r="B32" s="14" t="s">
        <v>513</v>
      </c>
      <c r="C32" s="14" t="s">
        <v>1108</v>
      </c>
      <c r="D32" s="14" t="s">
        <v>516</v>
      </c>
      <c r="E32" s="14" t="s">
        <v>970</v>
      </c>
      <c r="F32" s="14" t="s">
        <v>930</v>
      </c>
      <c r="G32" s="14" t="s">
        <v>961</v>
      </c>
    </row>
    <row r="33" spans="2:7" x14ac:dyDescent="0.3">
      <c r="B33" s="27" t="s">
        <v>1117</v>
      </c>
      <c r="C33" s="17">
        <f>АМОРТИЗАЦІЯ!C3</f>
        <v>815.88</v>
      </c>
      <c r="D33" s="17">
        <f>H9</f>
        <v>1932.7</v>
      </c>
      <c r="E33" s="17">
        <f>ROUND((C33/D33)/60,2)</f>
        <v>0.01</v>
      </c>
      <c r="F33" s="17">
        <f>D14</f>
        <v>20</v>
      </c>
      <c r="G33" s="16">
        <f>ROUND(E33*F33,2)</f>
        <v>0.2</v>
      </c>
    </row>
    <row r="35" spans="2:7" x14ac:dyDescent="0.3">
      <c r="B35" s="12" t="s">
        <v>948</v>
      </c>
      <c r="C35" s="12"/>
      <c r="D35" s="12"/>
      <c r="E35" s="11">
        <f>G48</f>
        <v>5.4</v>
      </c>
      <c r="F35" s="12" t="s">
        <v>971</v>
      </c>
    </row>
    <row r="36" spans="2:7" ht="6.75" customHeight="1" x14ac:dyDescent="0.3">
      <c r="B36" s="22"/>
      <c r="C36" s="22"/>
      <c r="D36" s="22"/>
      <c r="E36" s="23"/>
    </row>
    <row r="37" spans="2:7" ht="55.2" x14ac:dyDescent="0.3">
      <c r="B37" s="14" t="s">
        <v>948</v>
      </c>
      <c r="C37" s="14" t="s">
        <v>955</v>
      </c>
      <c r="D37" s="14" t="s">
        <v>516</v>
      </c>
      <c r="E37" s="14" t="s">
        <v>954</v>
      </c>
      <c r="F37" s="14" t="s">
        <v>930</v>
      </c>
      <c r="G37" s="14" t="s">
        <v>956</v>
      </c>
    </row>
    <row r="38" spans="2:7" x14ac:dyDescent="0.3">
      <c r="B38" s="1009" t="str">
        <f>B9</f>
        <v>Лікар-терапевт</v>
      </c>
      <c r="C38" s="1010"/>
      <c r="D38" s="1010"/>
      <c r="E38" s="1010"/>
      <c r="F38" s="1010"/>
      <c r="G38" s="1011"/>
    </row>
    <row r="39" spans="2:7" x14ac:dyDescent="0.3">
      <c r="B39" s="17" t="s">
        <v>951</v>
      </c>
      <c r="C39" s="112">
        <f>НАКЛАДНІ!F4</f>
        <v>12188.608008565312</v>
      </c>
      <c r="D39" s="17">
        <f>H9</f>
        <v>1932.7</v>
      </c>
      <c r="E39" s="17">
        <f>ROUND((C39/D39)/60,2)</f>
        <v>0.11</v>
      </c>
      <c r="F39" s="17">
        <f>D13</f>
        <v>25</v>
      </c>
      <c r="G39" s="16">
        <f>ROUND(E39*F39,2)</f>
        <v>2.75</v>
      </c>
    </row>
    <row r="40" spans="2:7" x14ac:dyDescent="0.3">
      <c r="B40" s="17" t="s">
        <v>952</v>
      </c>
      <c r="C40" s="112">
        <f>НАКЛАДНІ!F5</f>
        <v>53.149721627408987</v>
      </c>
      <c r="D40" s="17">
        <f>H9</f>
        <v>1932.7</v>
      </c>
      <c r="E40" s="17">
        <f>ROUND((C40/D40)/60,2)</f>
        <v>0</v>
      </c>
      <c r="F40" s="17">
        <f>D13</f>
        <v>25</v>
      </c>
      <c r="G40" s="16">
        <f>ROUND(E40*F40,2)</f>
        <v>0</v>
      </c>
    </row>
    <row r="41" spans="2:7" x14ac:dyDescent="0.3">
      <c r="B41" s="17" t="s">
        <v>953</v>
      </c>
      <c r="C41" s="112">
        <f>НАКЛАДНІ!F6</f>
        <v>374.98368308351178</v>
      </c>
      <c r="D41" s="17">
        <f>H9</f>
        <v>1932.7</v>
      </c>
      <c r="E41" s="17">
        <f>ROUND((C41/D41)/60,2)</f>
        <v>0</v>
      </c>
      <c r="F41" s="17">
        <f>D13</f>
        <v>25</v>
      </c>
      <c r="G41" s="16">
        <f>ROUND(E41*F41,2)</f>
        <v>0</v>
      </c>
    </row>
    <row r="42" spans="2:7" x14ac:dyDescent="0.3">
      <c r="B42" s="17" t="s">
        <v>1109</v>
      </c>
      <c r="C42" s="112">
        <f>НАКЛАДНІ!F7</f>
        <v>1686.0389293361886</v>
      </c>
      <c r="D42" s="17">
        <f>H9</f>
        <v>1932.7</v>
      </c>
      <c r="E42" s="17">
        <f>ROUND((C42/D42)/60,2)</f>
        <v>0.01</v>
      </c>
      <c r="F42" s="17">
        <f>D13</f>
        <v>25</v>
      </c>
      <c r="G42" s="16">
        <f>ROUND(E42*F42,2)</f>
        <v>0.25</v>
      </c>
    </row>
    <row r="43" spans="2:7" x14ac:dyDescent="0.3">
      <c r="B43" s="1009" t="str">
        <f>B10</f>
        <v>Сестра медична поліклініки</v>
      </c>
      <c r="C43" s="1010"/>
      <c r="D43" s="1010"/>
      <c r="E43" s="1010"/>
      <c r="F43" s="1010"/>
      <c r="G43" s="1011"/>
    </row>
    <row r="44" spans="2:7" x14ac:dyDescent="0.3">
      <c r="B44" s="17" t="s">
        <v>951</v>
      </c>
      <c r="C44" s="112">
        <f>C39</f>
        <v>12188.608008565312</v>
      </c>
      <c r="D44" s="17">
        <f>H10</f>
        <v>1932.7</v>
      </c>
      <c r="E44" s="17">
        <f>ROUND((C44/D44)/60,2)</f>
        <v>0.11</v>
      </c>
      <c r="F44" s="17">
        <f>D14</f>
        <v>20</v>
      </c>
      <c r="G44" s="16">
        <f>ROUND(E44*F44,2)</f>
        <v>2.2000000000000002</v>
      </c>
    </row>
    <row r="45" spans="2:7" x14ac:dyDescent="0.3">
      <c r="B45" s="17" t="s">
        <v>952</v>
      </c>
      <c r="C45" s="112">
        <f>C40</f>
        <v>53.149721627408987</v>
      </c>
      <c r="D45" s="17">
        <f>H10</f>
        <v>1932.7</v>
      </c>
      <c r="E45" s="17">
        <f>ROUND((C45/D45)/60,2)</f>
        <v>0</v>
      </c>
      <c r="F45" s="17">
        <f>D14</f>
        <v>20</v>
      </c>
      <c r="G45" s="16">
        <f>ROUND(E45*F45,2)</f>
        <v>0</v>
      </c>
    </row>
    <row r="46" spans="2:7" x14ac:dyDescent="0.3">
      <c r="B46" s="17" t="s">
        <v>953</v>
      </c>
      <c r="C46" s="112">
        <f>C41</f>
        <v>374.98368308351178</v>
      </c>
      <c r="D46" s="17">
        <f>H10</f>
        <v>1932.7</v>
      </c>
      <c r="E46" s="17">
        <f>ROUND((C46/D46)/60,2)</f>
        <v>0</v>
      </c>
      <c r="F46" s="17">
        <f>D14</f>
        <v>20</v>
      </c>
      <c r="G46" s="16">
        <f>ROUND(E46*F46,2)</f>
        <v>0</v>
      </c>
    </row>
    <row r="47" spans="2:7" x14ac:dyDescent="0.3">
      <c r="B47" s="17" t="s">
        <v>1109</v>
      </c>
      <c r="C47" s="112">
        <f>C42</f>
        <v>1686.0389293361886</v>
      </c>
      <c r="D47" s="17">
        <f>H10</f>
        <v>1932.7</v>
      </c>
      <c r="E47" s="17">
        <f>ROUND((C47/D47)/60,2)</f>
        <v>0.01</v>
      </c>
      <c r="F47" s="17">
        <f>D14</f>
        <v>20</v>
      </c>
      <c r="G47" s="16">
        <f>ROUND(E47*F47,2)</f>
        <v>0.2</v>
      </c>
    </row>
    <row r="48" spans="2:7" x14ac:dyDescent="0.3">
      <c r="B48" s="1012" t="s">
        <v>957</v>
      </c>
      <c r="C48" s="1013"/>
      <c r="D48" s="1013"/>
      <c r="E48" s="1013"/>
      <c r="F48" s="1014"/>
      <c r="G48" s="18">
        <f>SUM(G39:G47)</f>
        <v>5.4</v>
      </c>
    </row>
    <row r="49" spans="1:19" ht="14.25" customHeight="1" x14ac:dyDescent="0.3"/>
    <row r="50" spans="1:19" hidden="1" x14ac:dyDescent="0.3"/>
    <row r="51" spans="1:19" x14ac:dyDescent="0.3">
      <c r="B51" s="1015" t="s">
        <v>959</v>
      </c>
      <c r="C51" s="1015"/>
      <c r="D51" s="1015"/>
      <c r="E51" s="1015"/>
      <c r="F51" s="1015"/>
      <c r="G51" s="35">
        <f>E6+E18+E35+E30</f>
        <v>56.74</v>
      </c>
    </row>
    <row r="52" spans="1:19" x14ac:dyDescent="0.3">
      <c r="B52" s="33"/>
      <c r="C52" s="33"/>
      <c r="D52" s="33"/>
      <c r="E52" s="33"/>
      <c r="F52" s="33"/>
      <c r="G52" s="34"/>
    </row>
    <row r="53" spans="1:19" x14ac:dyDescent="0.3">
      <c r="B53" s="1015" t="s">
        <v>960</v>
      </c>
      <c r="C53" s="1015"/>
      <c r="D53" s="1015"/>
      <c r="E53" s="1015"/>
      <c r="F53" s="1015"/>
      <c r="G53" s="32">
        <f>ROUND(G51,0)</f>
        <v>57</v>
      </c>
    </row>
    <row r="55" spans="1:19" s="54" customFormat="1" ht="19.8" x14ac:dyDescent="0.4">
      <c r="A55" s="1016" t="s">
        <v>958</v>
      </c>
      <c r="B55" s="1016"/>
      <c r="C55" s="1016"/>
      <c r="D55" s="1016"/>
      <c r="E55" s="1016"/>
      <c r="F55" s="1016"/>
      <c r="G55" s="1016"/>
      <c r="H55" s="1016"/>
      <c r="I55" s="1016"/>
      <c r="J55" s="110"/>
      <c r="K55" s="110"/>
      <c r="L55" s="53"/>
      <c r="M55" s="53"/>
      <c r="N55" s="53"/>
      <c r="O55" s="53"/>
      <c r="P55" s="53"/>
      <c r="Q55" s="53"/>
      <c r="R55" s="53"/>
      <c r="S55" s="53"/>
    </row>
    <row r="56" spans="1:19" s="54" customFormat="1" ht="19.8" x14ac:dyDescent="0.4">
      <c r="A56" s="53"/>
      <c r="B56" s="53"/>
      <c r="C56" s="53"/>
      <c r="D56" s="53"/>
      <c r="E56" s="53"/>
      <c r="F56" s="53"/>
      <c r="G56" s="53"/>
      <c r="H56" s="53"/>
      <c r="I56" s="53"/>
      <c r="J56" s="110"/>
      <c r="K56" s="110"/>
      <c r="L56" s="53"/>
      <c r="M56" s="53"/>
      <c r="N56" s="53"/>
      <c r="O56" s="53"/>
      <c r="P56" s="53"/>
      <c r="Q56" s="53"/>
      <c r="R56" s="53"/>
      <c r="S56" s="53"/>
    </row>
    <row r="57" spans="1:19" s="54" customFormat="1" ht="37.5" customHeight="1" x14ac:dyDescent="0.4">
      <c r="A57" s="50" t="s">
        <v>705</v>
      </c>
      <c r="B57" s="1017" t="s">
        <v>706</v>
      </c>
      <c r="C57" s="1017"/>
      <c r="D57" s="1017"/>
      <c r="E57" s="52">
        <f>G106</f>
        <v>52</v>
      </c>
      <c r="F57" s="52" t="s">
        <v>971</v>
      </c>
      <c r="G57" s="53"/>
      <c r="H57" s="53"/>
      <c r="I57" s="53"/>
      <c r="J57" s="110"/>
      <c r="K57" s="110"/>
      <c r="L57" s="53"/>
      <c r="M57" s="53"/>
      <c r="N57" s="53"/>
      <c r="O57" s="53"/>
      <c r="P57" s="53"/>
      <c r="Q57" s="53"/>
      <c r="R57" s="53"/>
      <c r="S57" s="53"/>
    </row>
    <row r="59" spans="1:19" ht="15" customHeight="1" x14ac:dyDescent="0.3">
      <c r="B59" s="1018" t="s">
        <v>932</v>
      </c>
      <c r="C59" s="1018"/>
      <c r="D59" s="10"/>
      <c r="E59" s="11">
        <f>E66+E69+E67</f>
        <v>42.88</v>
      </c>
      <c r="F59" s="12" t="s">
        <v>971</v>
      </c>
    </row>
    <row r="61" spans="1:19" ht="27.6" x14ac:dyDescent="0.3">
      <c r="B61" s="13" t="s">
        <v>929</v>
      </c>
      <c r="C61" s="14" t="s">
        <v>928</v>
      </c>
      <c r="D61" s="14" t="s">
        <v>514</v>
      </c>
      <c r="E61" s="14" t="s">
        <v>515</v>
      </c>
      <c r="F61" s="14" t="s">
        <v>962</v>
      </c>
      <c r="G61" s="14" t="s">
        <v>926</v>
      </c>
      <c r="H61" s="14" t="s">
        <v>516</v>
      </c>
      <c r="I61" s="14" t="s">
        <v>961</v>
      </c>
    </row>
    <row r="62" spans="1:19" x14ac:dyDescent="0.3">
      <c r="B62" s="17" t="s">
        <v>518</v>
      </c>
      <c r="C62" s="16">
        <f>ЗП!C8</f>
        <v>8537.1</v>
      </c>
      <c r="D62" s="16">
        <f>C62*12</f>
        <v>102445.20000000001</v>
      </c>
      <c r="E62" s="16">
        <v>4772</v>
      </c>
      <c r="F62" s="16">
        <f>E62*0.5</f>
        <v>2386</v>
      </c>
      <c r="G62" s="16">
        <f>D62+E62+F62</f>
        <v>109603.20000000001</v>
      </c>
      <c r="H62" s="17">
        <v>1932.7</v>
      </c>
      <c r="I62" s="16">
        <f>ROUND((G62/H62)/60,2)</f>
        <v>0.95</v>
      </c>
    </row>
    <row r="63" spans="1:19" x14ac:dyDescent="0.3">
      <c r="B63" s="17" t="s">
        <v>539</v>
      </c>
      <c r="C63" s="16">
        <v>4726.8</v>
      </c>
      <c r="D63" s="16">
        <f>C63*12</f>
        <v>56721.600000000006</v>
      </c>
      <c r="E63" s="16">
        <f>ЗП!E8</f>
        <v>6567</v>
      </c>
      <c r="F63" s="16">
        <f>E63*0.5</f>
        <v>3283.5</v>
      </c>
      <c r="G63" s="16">
        <f>D63+E63+F63</f>
        <v>66572.100000000006</v>
      </c>
      <c r="H63" s="17">
        <v>1932.7</v>
      </c>
      <c r="I63" s="16">
        <f>ROUND((G63/H63)/60,2)</f>
        <v>0.56999999999999995</v>
      </c>
    </row>
    <row r="65" spans="2:6" ht="27.6" x14ac:dyDescent="0.3">
      <c r="B65" s="13" t="s">
        <v>929</v>
      </c>
      <c r="C65" s="14" t="s">
        <v>961</v>
      </c>
      <c r="D65" s="14" t="s">
        <v>930</v>
      </c>
      <c r="E65" s="14" t="s">
        <v>931</v>
      </c>
    </row>
    <row r="66" spans="2:6" x14ac:dyDescent="0.3">
      <c r="B66" s="15" t="str">
        <f>B62</f>
        <v>Лікар-невропатолог</v>
      </c>
      <c r="C66" s="16">
        <f>I62</f>
        <v>0.95</v>
      </c>
      <c r="D66" s="17">
        <v>25</v>
      </c>
      <c r="E66" s="18">
        <f>ROUND(C66*D66,2)</f>
        <v>23.75</v>
      </c>
    </row>
    <row r="67" spans="2:6" x14ac:dyDescent="0.3">
      <c r="B67" s="15" t="str">
        <f>B63</f>
        <v>Сестра медична поліклініки</v>
      </c>
      <c r="C67" s="16">
        <f>I63</f>
        <v>0.56999999999999995</v>
      </c>
      <c r="D67" s="17">
        <v>20</v>
      </c>
      <c r="E67" s="18">
        <f>ROUND(C67*D67,2)</f>
        <v>11.4</v>
      </c>
    </row>
    <row r="68" spans="2:6" x14ac:dyDescent="0.3">
      <c r="C68" s="19"/>
    </row>
    <row r="69" spans="2:6" x14ac:dyDescent="0.3">
      <c r="B69" s="17" t="s">
        <v>933</v>
      </c>
      <c r="C69" s="16">
        <f>E66+E67</f>
        <v>35.15</v>
      </c>
      <c r="D69" s="20">
        <v>0.22</v>
      </c>
      <c r="E69" s="21">
        <f>ROUND(C69*D69,2)</f>
        <v>7.73</v>
      </c>
    </row>
    <row r="71" spans="2:6" x14ac:dyDescent="0.3">
      <c r="B71" s="12" t="s">
        <v>946</v>
      </c>
      <c r="C71" s="12"/>
      <c r="D71" s="12"/>
      <c r="E71" s="12">
        <f>F81</f>
        <v>3.5</v>
      </c>
      <c r="F71" s="12" t="s">
        <v>971</v>
      </c>
    </row>
    <row r="73" spans="2:6" x14ac:dyDescent="0.3">
      <c r="B73" s="27" t="s">
        <v>934</v>
      </c>
      <c r="C73" s="28" t="s">
        <v>935</v>
      </c>
      <c r="D73" s="29">
        <v>0.1</v>
      </c>
      <c r="E73" s="29">
        <f>'МЕДИЧНІ М'!E127</f>
        <v>2.8</v>
      </c>
      <c r="F73" s="30">
        <f t="shared" ref="F73:F80" si="1">ROUND(D73*E73,2)</f>
        <v>0.28000000000000003</v>
      </c>
    </row>
    <row r="74" spans="2:6" x14ac:dyDescent="0.3">
      <c r="B74" s="27" t="s">
        <v>936</v>
      </c>
      <c r="C74" s="28" t="s">
        <v>937</v>
      </c>
      <c r="D74" s="29">
        <v>1</v>
      </c>
      <c r="E74" s="30">
        <f>'МЕДИЧНІ М'!F126</f>
        <v>0.3</v>
      </c>
      <c r="F74" s="30">
        <f t="shared" si="1"/>
        <v>0.3</v>
      </c>
    </row>
    <row r="75" spans="2:6" x14ac:dyDescent="0.3">
      <c r="B75" s="27" t="s">
        <v>938</v>
      </c>
      <c r="C75" s="28" t="s">
        <v>939</v>
      </c>
      <c r="D75" s="29">
        <v>0.1</v>
      </c>
      <c r="E75" s="30">
        <f>'МЕДИЧНІ М'!F124</f>
        <v>6</v>
      </c>
      <c r="F75" s="30">
        <f t="shared" si="1"/>
        <v>0.6</v>
      </c>
    </row>
    <row r="76" spans="2:6" x14ac:dyDescent="0.3">
      <c r="B76" s="27" t="s">
        <v>940</v>
      </c>
      <c r="C76" s="28" t="s">
        <v>941</v>
      </c>
      <c r="D76" s="29">
        <v>0.5</v>
      </c>
      <c r="E76" s="29">
        <f>'МЕДИЧНІ М'!E125</f>
        <v>2</v>
      </c>
      <c r="F76" s="30">
        <f t="shared" si="1"/>
        <v>1</v>
      </c>
    </row>
    <row r="77" spans="2:6" x14ac:dyDescent="0.3">
      <c r="B77" s="27" t="s">
        <v>942</v>
      </c>
      <c r="C77" s="28" t="s">
        <v>941</v>
      </c>
      <c r="D77" s="29">
        <v>0.01</v>
      </c>
      <c r="E77" s="29">
        <f>'МЕДИЧНІ М'!E128</f>
        <v>24.6</v>
      </c>
      <c r="F77" s="30">
        <f t="shared" si="1"/>
        <v>0.25</v>
      </c>
    </row>
    <row r="78" spans="2:6" x14ac:dyDescent="0.3">
      <c r="B78" s="27" t="s">
        <v>943</v>
      </c>
      <c r="C78" s="28" t="s">
        <v>944</v>
      </c>
      <c r="D78" s="29">
        <v>1</v>
      </c>
      <c r="E78" s="30">
        <f>'МЕДИЧНІ М'!F122</f>
        <v>7.0000000000000007E-2</v>
      </c>
      <c r="F78" s="30">
        <f t="shared" si="1"/>
        <v>7.0000000000000007E-2</v>
      </c>
    </row>
    <row r="79" spans="2:6" x14ac:dyDescent="0.3">
      <c r="B79" s="27" t="s">
        <v>1124</v>
      </c>
      <c r="C79" s="28" t="s">
        <v>944</v>
      </c>
      <c r="D79" s="29">
        <v>0.5</v>
      </c>
      <c r="E79" s="29">
        <f>'МЕДИЧНІ М'!E123</f>
        <v>0.5</v>
      </c>
      <c r="F79" s="30">
        <f t="shared" si="1"/>
        <v>0.25</v>
      </c>
    </row>
    <row r="80" spans="2:6" x14ac:dyDescent="0.3">
      <c r="B80" s="27" t="s">
        <v>1159</v>
      </c>
      <c r="C80" s="28" t="s">
        <v>1160</v>
      </c>
      <c r="D80" s="29">
        <f>D66</f>
        <v>25</v>
      </c>
      <c r="E80" s="29">
        <f>ROUND(3389/H62/60,2)</f>
        <v>0.03</v>
      </c>
      <c r="F80" s="30">
        <f t="shared" si="1"/>
        <v>0.75</v>
      </c>
    </row>
    <row r="81" spans="2:7" x14ac:dyDescent="0.3">
      <c r="B81" s="1019" t="s">
        <v>945</v>
      </c>
      <c r="C81" s="1019"/>
      <c r="D81" s="1019"/>
      <c r="E81" s="1019"/>
      <c r="F81" s="31">
        <f>SUM(F73:F80)</f>
        <v>3.5</v>
      </c>
    </row>
    <row r="82" spans="2:7" ht="8.25" customHeight="1" x14ac:dyDescent="0.3"/>
    <row r="83" spans="2:7" x14ac:dyDescent="0.3">
      <c r="B83" s="12" t="s">
        <v>968</v>
      </c>
      <c r="C83" s="12"/>
      <c r="D83" s="12"/>
      <c r="E83" s="11">
        <f>G86</f>
        <v>0.2</v>
      </c>
      <c r="F83" s="12" t="s">
        <v>971</v>
      </c>
    </row>
    <row r="84" spans="2:7" x14ac:dyDescent="0.3">
      <c r="B84" s="22"/>
      <c r="C84" s="22"/>
      <c r="D84" s="22"/>
      <c r="E84" s="23"/>
      <c r="F84" s="22"/>
    </row>
    <row r="85" spans="2:7" ht="27.6" x14ac:dyDescent="0.3">
      <c r="B85" s="14" t="s">
        <v>513</v>
      </c>
      <c r="C85" s="14" t="s">
        <v>1108</v>
      </c>
      <c r="D85" s="14" t="s">
        <v>516</v>
      </c>
      <c r="E85" s="14" t="s">
        <v>970</v>
      </c>
      <c r="F85" s="14" t="s">
        <v>930</v>
      </c>
      <c r="G85" s="14" t="s">
        <v>961</v>
      </c>
    </row>
    <row r="86" spans="2:7" x14ac:dyDescent="0.3">
      <c r="B86" s="27" t="s">
        <v>1117</v>
      </c>
      <c r="C86" s="17">
        <f>АМОРТИЗАЦІЯ!C3</f>
        <v>815.88</v>
      </c>
      <c r="D86" s="17">
        <f>H62</f>
        <v>1932.7</v>
      </c>
      <c r="E86" s="17">
        <f>ROUND((C86/D86)/60,2)</f>
        <v>0.01</v>
      </c>
      <c r="F86" s="17">
        <f>D67</f>
        <v>20</v>
      </c>
      <c r="G86" s="16">
        <f>ROUND(E86*F86,2)</f>
        <v>0.2</v>
      </c>
    </row>
    <row r="88" spans="2:7" x14ac:dyDescent="0.3">
      <c r="B88" s="12" t="s">
        <v>948</v>
      </c>
      <c r="C88" s="12"/>
      <c r="D88" s="12"/>
      <c r="E88" s="11">
        <f>G101</f>
        <v>5.4</v>
      </c>
      <c r="F88" s="12" t="s">
        <v>971</v>
      </c>
    </row>
    <row r="89" spans="2:7" ht="6.75" customHeight="1" x14ac:dyDescent="0.3">
      <c r="B89" s="22"/>
      <c r="C89" s="22"/>
      <c r="D89" s="22"/>
      <c r="E89" s="23"/>
    </row>
    <row r="90" spans="2:7" ht="55.2" x14ac:dyDescent="0.3">
      <c r="B90" s="14" t="s">
        <v>948</v>
      </c>
      <c r="C90" s="14" t="s">
        <v>955</v>
      </c>
      <c r="D90" s="14" t="s">
        <v>516</v>
      </c>
      <c r="E90" s="14" t="s">
        <v>954</v>
      </c>
      <c r="F90" s="14" t="s">
        <v>930</v>
      </c>
      <c r="G90" s="14" t="s">
        <v>956</v>
      </c>
    </row>
    <row r="91" spans="2:7" x14ac:dyDescent="0.3">
      <c r="B91" s="1009" t="str">
        <f>B62</f>
        <v>Лікар-невропатолог</v>
      </c>
      <c r="C91" s="1010"/>
      <c r="D91" s="1010"/>
      <c r="E91" s="1010"/>
      <c r="F91" s="1010"/>
      <c r="G91" s="1011"/>
    </row>
    <row r="92" spans="2:7" x14ac:dyDescent="0.3">
      <c r="B92" s="17" t="s">
        <v>951</v>
      </c>
      <c r="C92" s="112">
        <f>C39</f>
        <v>12188.608008565312</v>
      </c>
      <c r="D92" s="17">
        <f>H62</f>
        <v>1932.7</v>
      </c>
      <c r="E92" s="17">
        <f>ROUND((C92/D92)/60,2)</f>
        <v>0.11</v>
      </c>
      <c r="F92" s="17">
        <f>D66</f>
        <v>25</v>
      </c>
      <c r="G92" s="16">
        <f>ROUND(E92*F92,2)</f>
        <v>2.75</v>
      </c>
    </row>
    <row r="93" spans="2:7" x14ac:dyDescent="0.3">
      <c r="B93" s="17" t="s">
        <v>952</v>
      </c>
      <c r="C93" s="112">
        <f>C40</f>
        <v>53.149721627408987</v>
      </c>
      <c r="D93" s="17">
        <f>H62</f>
        <v>1932.7</v>
      </c>
      <c r="E93" s="17">
        <f>ROUND((C93/D93)/60,2)</f>
        <v>0</v>
      </c>
      <c r="F93" s="17">
        <f>D66</f>
        <v>25</v>
      </c>
      <c r="G93" s="16">
        <f>ROUND(E93*F93,2)</f>
        <v>0</v>
      </c>
    </row>
    <row r="94" spans="2:7" ht="15.75" customHeight="1" x14ac:dyDescent="0.3">
      <c r="B94" s="17" t="s">
        <v>953</v>
      </c>
      <c r="C94" s="112">
        <f>C41</f>
        <v>374.98368308351178</v>
      </c>
      <c r="D94" s="17">
        <f>H62</f>
        <v>1932.7</v>
      </c>
      <c r="E94" s="17">
        <f>ROUND((C94/D94)/60,2)</f>
        <v>0</v>
      </c>
      <c r="F94" s="17">
        <f>D66</f>
        <v>25</v>
      </c>
      <c r="G94" s="16">
        <f>ROUND(E94*F94,2)</f>
        <v>0</v>
      </c>
    </row>
    <row r="95" spans="2:7" ht="15.75" customHeight="1" x14ac:dyDescent="0.3">
      <c r="B95" s="17" t="s">
        <v>1109</v>
      </c>
      <c r="C95" s="112">
        <f>C42</f>
        <v>1686.0389293361886</v>
      </c>
      <c r="D95" s="17">
        <f>H62</f>
        <v>1932.7</v>
      </c>
      <c r="E95" s="17">
        <f>ROUND((C95/D95)/60,2)</f>
        <v>0.01</v>
      </c>
      <c r="F95" s="17">
        <f>D66</f>
        <v>25</v>
      </c>
      <c r="G95" s="16">
        <f>ROUND(E95*F95,2)</f>
        <v>0.25</v>
      </c>
    </row>
    <row r="96" spans="2:7" x14ac:dyDescent="0.3">
      <c r="B96" s="1009" t="str">
        <f>B63</f>
        <v>Сестра медична поліклініки</v>
      </c>
      <c r="C96" s="1010"/>
      <c r="D96" s="1010"/>
      <c r="E96" s="1010"/>
      <c r="F96" s="1010"/>
      <c r="G96" s="1011"/>
    </row>
    <row r="97" spans="1:19" x14ac:dyDescent="0.3">
      <c r="B97" s="17" t="s">
        <v>951</v>
      </c>
      <c r="C97" s="112">
        <f>C92</f>
        <v>12188.608008565312</v>
      </c>
      <c r="D97" s="17">
        <f>H63</f>
        <v>1932.7</v>
      </c>
      <c r="E97" s="17">
        <f>ROUND((C97/D97)/60,2)</f>
        <v>0.11</v>
      </c>
      <c r="F97" s="17">
        <f>D67</f>
        <v>20</v>
      </c>
      <c r="G97" s="16">
        <f>ROUND(E97*F97,2)</f>
        <v>2.2000000000000002</v>
      </c>
    </row>
    <row r="98" spans="1:19" x14ac:dyDescent="0.3">
      <c r="B98" s="17" t="s">
        <v>952</v>
      </c>
      <c r="C98" s="112">
        <f>C93</f>
        <v>53.149721627408987</v>
      </c>
      <c r="D98" s="17">
        <f>H63</f>
        <v>1932.7</v>
      </c>
      <c r="E98" s="17">
        <f>ROUND((C98/D98)/60,2)</f>
        <v>0</v>
      </c>
      <c r="F98" s="17">
        <f>D67</f>
        <v>20</v>
      </c>
      <c r="G98" s="16">
        <f>ROUND(E98*F98,2)</f>
        <v>0</v>
      </c>
    </row>
    <row r="99" spans="1:19" x14ac:dyDescent="0.3">
      <c r="B99" s="17" t="s">
        <v>953</v>
      </c>
      <c r="C99" s="112">
        <f>C94</f>
        <v>374.98368308351178</v>
      </c>
      <c r="D99" s="17">
        <f>H63</f>
        <v>1932.7</v>
      </c>
      <c r="E99" s="17">
        <f>ROUND((C99/D99)/60,2)</f>
        <v>0</v>
      </c>
      <c r="F99" s="17">
        <f>D67</f>
        <v>20</v>
      </c>
      <c r="G99" s="16">
        <f>ROUND(E99*F99,2)</f>
        <v>0</v>
      </c>
    </row>
    <row r="100" spans="1:19" x14ac:dyDescent="0.3">
      <c r="B100" s="17" t="s">
        <v>1109</v>
      </c>
      <c r="C100" s="112">
        <f>C95</f>
        <v>1686.0389293361886</v>
      </c>
      <c r="D100" s="17">
        <f>H63</f>
        <v>1932.7</v>
      </c>
      <c r="E100" s="17">
        <f>ROUND((C100/D100)/60,2)</f>
        <v>0.01</v>
      </c>
      <c r="F100" s="17">
        <f>D67</f>
        <v>20</v>
      </c>
      <c r="G100" s="16">
        <f>ROUND(E100*F100,2)</f>
        <v>0.2</v>
      </c>
    </row>
    <row r="101" spans="1:19" x14ac:dyDescent="0.3">
      <c r="B101" s="1012" t="s">
        <v>957</v>
      </c>
      <c r="C101" s="1013"/>
      <c r="D101" s="1013"/>
      <c r="E101" s="1013"/>
      <c r="F101" s="1014"/>
      <c r="G101" s="18">
        <f>SUM(G92:G100)</f>
        <v>5.4</v>
      </c>
    </row>
    <row r="102" spans="1:19" ht="14.25" customHeight="1" x14ac:dyDescent="0.3"/>
    <row r="103" spans="1:19" hidden="1" x14ac:dyDescent="0.3"/>
    <row r="104" spans="1:19" x14ac:dyDescent="0.3">
      <c r="B104" s="1015" t="s">
        <v>959</v>
      </c>
      <c r="C104" s="1015"/>
      <c r="D104" s="1015"/>
      <c r="E104" s="1015"/>
      <c r="F104" s="1015"/>
      <c r="G104" s="32">
        <f>E59+E71+E88+E83</f>
        <v>51.980000000000004</v>
      </c>
    </row>
    <row r="105" spans="1:19" x14ac:dyDescent="0.3">
      <c r="B105" s="33"/>
      <c r="C105" s="33"/>
      <c r="D105" s="33"/>
      <c r="E105" s="33"/>
      <c r="F105" s="33"/>
      <c r="G105" s="34"/>
    </row>
    <row r="106" spans="1:19" x14ac:dyDescent="0.3">
      <c r="B106" s="1015" t="s">
        <v>960</v>
      </c>
      <c r="C106" s="1015"/>
      <c r="D106" s="1015"/>
      <c r="E106" s="1015"/>
      <c r="F106" s="1015"/>
      <c r="G106" s="32">
        <f>ROUND(G104,0)</f>
        <v>52</v>
      </c>
    </row>
    <row r="108" spans="1:19" s="54" customFormat="1" ht="19.8" x14ac:dyDescent="0.4">
      <c r="A108" s="1016" t="s">
        <v>958</v>
      </c>
      <c r="B108" s="1016"/>
      <c r="C108" s="1016"/>
      <c r="D108" s="1016"/>
      <c r="E108" s="1016"/>
      <c r="F108" s="1016"/>
      <c r="G108" s="1016"/>
      <c r="H108" s="1016"/>
      <c r="I108" s="1016"/>
      <c r="J108" s="110"/>
      <c r="K108" s="110"/>
      <c r="L108" s="53"/>
      <c r="M108" s="53"/>
      <c r="N108" s="53"/>
      <c r="O108" s="53"/>
      <c r="P108" s="53"/>
      <c r="Q108" s="53"/>
      <c r="R108" s="53"/>
      <c r="S108" s="53"/>
    </row>
    <row r="109" spans="1:19" s="54" customFormat="1" ht="19.8" x14ac:dyDescent="0.4">
      <c r="A109" s="53"/>
      <c r="B109" s="53"/>
      <c r="C109" s="53"/>
      <c r="D109" s="53"/>
      <c r="E109" s="53"/>
      <c r="F109" s="53"/>
      <c r="G109" s="53"/>
      <c r="H109" s="53"/>
      <c r="I109" s="53"/>
      <c r="J109" s="110"/>
      <c r="K109" s="110"/>
      <c r="L109" s="53"/>
      <c r="M109" s="53"/>
      <c r="N109" s="53"/>
      <c r="O109" s="53"/>
      <c r="P109" s="53"/>
      <c r="Q109" s="53"/>
      <c r="R109" s="53"/>
      <c r="S109" s="53"/>
    </row>
    <row r="110" spans="1:19" s="54" customFormat="1" ht="45" customHeight="1" x14ac:dyDescent="0.4">
      <c r="A110" s="50" t="s">
        <v>707</v>
      </c>
      <c r="B110" s="1017" t="s">
        <v>708</v>
      </c>
      <c r="C110" s="1017"/>
      <c r="D110" s="1017"/>
      <c r="E110" s="52">
        <f>G159</f>
        <v>70</v>
      </c>
      <c r="F110" s="52" t="s">
        <v>971</v>
      </c>
      <c r="G110" s="53"/>
      <c r="H110" s="53"/>
      <c r="I110" s="53"/>
      <c r="J110" s="110"/>
      <c r="K110" s="110"/>
      <c r="L110" s="53"/>
      <c r="M110" s="53"/>
      <c r="N110" s="53"/>
      <c r="O110" s="53"/>
      <c r="P110" s="53"/>
      <c r="Q110" s="53"/>
      <c r="R110" s="53"/>
      <c r="S110" s="53"/>
    </row>
    <row r="111" spans="1:19" ht="18.75" customHeight="1" x14ac:dyDescent="0.3"/>
    <row r="112" spans="1:19" x14ac:dyDescent="0.3">
      <c r="B112" s="1018" t="s">
        <v>932</v>
      </c>
      <c r="C112" s="1018"/>
      <c r="D112" s="10"/>
      <c r="E112" s="11">
        <f>E119+E122+E120</f>
        <v>60.39</v>
      </c>
      <c r="F112" s="12" t="s">
        <v>971</v>
      </c>
    </row>
    <row r="113" spans="2:9" ht="15" customHeight="1" x14ac:dyDescent="0.3"/>
    <row r="114" spans="2:9" ht="27.6" x14ac:dyDescent="0.3">
      <c r="B114" s="13" t="s">
        <v>929</v>
      </c>
      <c r="C114" s="14" t="s">
        <v>928</v>
      </c>
      <c r="D114" s="14" t="s">
        <v>514</v>
      </c>
      <c r="E114" s="14" t="s">
        <v>515</v>
      </c>
      <c r="F114" s="14" t="s">
        <v>962</v>
      </c>
      <c r="G114" s="14" t="s">
        <v>926</v>
      </c>
      <c r="H114" s="14" t="s">
        <v>516</v>
      </c>
      <c r="I114" s="14" t="s">
        <v>961</v>
      </c>
    </row>
    <row r="115" spans="2:9" x14ac:dyDescent="0.3">
      <c r="B115" s="17" t="s">
        <v>519</v>
      </c>
      <c r="C115" s="17">
        <f>ЗП!C9</f>
        <v>9817.68</v>
      </c>
      <c r="D115" s="16">
        <f>C115*12</f>
        <v>117812.16</v>
      </c>
      <c r="E115" s="16">
        <f>ЗП!E9</f>
        <v>7552.05</v>
      </c>
      <c r="F115" s="16">
        <f>E115*0.5</f>
        <v>3776.0250000000001</v>
      </c>
      <c r="G115" s="16">
        <f>D115+E115+F115</f>
        <v>129140.235</v>
      </c>
      <c r="H115" s="17">
        <v>1656.6</v>
      </c>
      <c r="I115" s="16">
        <f>ROUND((G115/H115)/60,2)</f>
        <v>1.3</v>
      </c>
    </row>
    <row r="116" spans="2:9" x14ac:dyDescent="0.3">
      <c r="B116" s="17" t="s">
        <v>539</v>
      </c>
      <c r="C116" s="16">
        <f>ЗП!C39</f>
        <v>7482.48</v>
      </c>
      <c r="D116" s="16">
        <f>C116*12</f>
        <v>89789.759999999995</v>
      </c>
      <c r="E116" s="16">
        <f>ЗП!E39</f>
        <v>5755.75</v>
      </c>
      <c r="F116" s="16">
        <f>E116*0.5</f>
        <v>2877.875</v>
      </c>
      <c r="G116" s="16">
        <f>D116+E116+F116</f>
        <v>98423.384999999995</v>
      </c>
      <c r="H116" s="17">
        <v>1932.7</v>
      </c>
      <c r="I116" s="16">
        <f>ROUND((G116/H116)/60,2)</f>
        <v>0.85</v>
      </c>
    </row>
    <row r="118" spans="2:9" ht="27.6" x14ac:dyDescent="0.3">
      <c r="B118" s="13" t="s">
        <v>929</v>
      </c>
      <c r="C118" s="14" t="s">
        <v>961</v>
      </c>
      <c r="D118" s="14" t="s">
        <v>930</v>
      </c>
      <c r="E118" s="14" t="s">
        <v>931</v>
      </c>
    </row>
    <row r="119" spans="2:9" x14ac:dyDescent="0.3">
      <c r="B119" s="15" t="str">
        <f>B115</f>
        <v>Лікар-дерматовенеролог</v>
      </c>
      <c r="C119" s="16">
        <f>I115</f>
        <v>1.3</v>
      </c>
      <c r="D119" s="17">
        <v>25</v>
      </c>
      <c r="E119" s="18">
        <f>ROUND(C119*D119,2)</f>
        <v>32.5</v>
      </c>
    </row>
    <row r="120" spans="2:9" x14ac:dyDescent="0.3">
      <c r="B120" s="15" t="str">
        <f>B116</f>
        <v>Сестра медична поліклініки</v>
      </c>
      <c r="C120" s="16">
        <f>I116</f>
        <v>0.85</v>
      </c>
      <c r="D120" s="17">
        <v>20</v>
      </c>
      <c r="E120" s="18">
        <f>ROUND(C120*D120,2)</f>
        <v>17</v>
      </c>
    </row>
    <row r="121" spans="2:9" x14ac:dyDescent="0.3">
      <c r="C121" s="19"/>
    </row>
    <row r="122" spans="2:9" x14ac:dyDescent="0.3">
      <c r="B122" s="17" t="s">
        <v>933</v>
      </c>
      <c r="C122" s="16">
        <f>E119+E120</f>
        <v>49.5</v>
      </c>
      <c r="D122" s="20">
        <v>0.22</v>
      </c>
      <c r="E122" s="21">
        <f>ROUND(C122*D122,2)</f>
        <v>10.89</v>
      </c>
    </row>
    <row r="124" spans="2:9" x14ac:dyDescent="0.3">
      <c r="B124" s="12" t="s">
        <v>946</v>
      </c>
      <c r="C124" s="12"/>
      <c r="D124" s="12"/>
      <c r="E124" s="12">
        <f>F134</f>
        <v>3.14</v>
      </c>
      <c r="F124" s="12" t="s">
        <v>971</v>
      </c>
    </row>
    <row r="125" spans="2:9" ht="6" customHeight="1" x14ac:dyDescent="0.3"/>
    <row r="126" spans="2:9" x14ac:dyDescent="0.3">
      <c r="B126" s="27" t="s">
        <v>934</v>
      </c>
      <c r="C126" s="28" t="s">
        <v>935</v>
      </c>
      <c r="D126" s="29">
        <v>0.1</v>
      </c>
      <c r="E126" s="29">
        <f>'МЕДИЧНІ М'!E127</f>
        <v>2.8</v>
      </c>
      <c r="F126" s="30">
        <f t="shared" ref="F126:F133" si="2">ROUND(D126*E126,2)</f>
        <v>0.28000000000000003</v>
      </c>
    </row>
    <row r="127" spans="2:9" x14ac:dyDescent="0.3">
      <c r="B127" s="27" t="s">
        <v>936</v>
      </c>
      <c r="C127" s="28" t="s">
        <v>937</v>
      </c>
      <c r="D127" s="29">
        <v>1</v>
      </c>
      <c r="E127" s="30">
        <f>'МЕДИЧНІ М'!F126</f>
        <v>0.3</v>
      </c>
      <c r="F127" s="30">
        <f t="shared" si="2"/>
        <v>0.3</v>
      </c>
    </row>
    <row r="128" spans="2:9" x14ac:dyDescent="0.3">
      <c r="B128" s="27" t="s">
        <v>938</v>
      </c>
      <c r="C128" s="28" t="s">
        <v>939</v>
      </c>
      <c r="D128" s="29">
        <v>0.04</v>
      </c>
      <c r="E128" s="30">
        <f>'МЕДИЧНІ М'!F124</f>
        <v>6</v>
      </c>
      <c r="F128" s="30">
        <f t="shared" si="2"/>
        <v>0.24</v>
      </c>
    </row>
    <row r="129" spans="2:7" x14ac:dyDescent="0.3">
      <c r="B129" s="27" t="s">
        <v>940</v>
      </c>
      <c r="C129" s="28" t="s">
        <v>941</v>
      </c>
      <c r="D129" s="29">
        <v>0.5</v>
      </c>
      <c r="E129" s="29">
        <f>'МЕДИЧНІ М'!E125</f>
        <v>2</v>
      </c>
      <c r="F129" s="30">
        <f t="shared" si="2"/>
        <v>1</v>
      </c>
    </row>
    <row r="130" spans="2:7" x14ac:dyDescent="0.3">
      <c r="B130" s="27" t="s">
        <v>942</v>
      </c>
      <c r="C130" s="28" t="s">
        <v>941</v>
      </c>
      <c r="D130" s="29">
        <v>0.01</v>
      </c>
      <c r="E130" s="29">
        <f>'МЕДИЧНІ М'!E128</f>
        <v>24.6</v>
      </c>
      <c r="F130" s="30">
        <f t="shared" si="2"/>
        <v>0.25</v>
      </c>
    </row>
    <row r="131" spans="2:7" x14ac:dyDescent="0.3">
      <c r="B131" s="27" t="s">
        <v>943</v>
      </c>
      <c r="C131" s="28" t="s">
        <v>944</v>
      </c>
      <c r="D131" s="29">
        <v>1</v>
      </c>
      <c r="E131" s="30">
        <f>'МЕДИЧНІ М'!F122</f>
        <v>7.0000000000000007E-2</v>
      </c>
      <c r="F131" s="30">
        <f t="shared" si="2"/>
        <v>7.0000000000000007E-2</v>
      </c>
    </row>
    <row r="132" spans="2:7" x14ac:dyDescent="0.3">
      <c r="B132" s="27" t="s">
        <v>1124</v>
      </c>
      <c r="C132" s="28" t="s">
        <v>944</v>
      </c>
      <c r="D132" s="29">
        <v>0.5</v>
      </c>
      <c r="E132" s="29">
        <f>'МЕДИЧНІ М'!E123</f>
        <v>0.5</v>
      </c>
      <c r="F132" s="30">
        <f t="shared" si="2"/>
        <v>0.25</v>
      </c>
    </row>
    <row r="133" spans="2:7" x14ac:dyDescent="0.3">
      <c r="B133" s="27" t="s">
        <v>1159</v>
      </c>
      <c r="C133" s="28" t="s">
        <v>1160</v>
      </c>
      <c r="D133" s="29">
        <f>D119</f>
        <v>25</v>
      </c>
      <c r="E133" s="29">
        <f>ROUND(3389/H115/60,2)</f>
        <v>0.03</v>
      </c>
      <c r="F133" s="30">
        <f t="shared" si="2"/>
        <v>0.75</v>
      </c>
    </row>
    <row r="134" spans="2:7" x14ac:dyDescent="0.3">
      <c r="B134" s="1019" t="s">
        <v>945</v>
      </c>
      <c r="C134" s="1019"/>
      <c r="D134" s="1019"/>
      <c r="E134" s="1019"/>
      <c r="F134" s="31">
        <f>SUM(F126:F133)</f>
        <v>3.14</v>
      </c>
    </row>
    <row r="136" spans="2:7" x14ac:dyDescent="0.3">
      <c r="B136" s="12" t="s">
        <v>968</v>
      </c>
      <c r="C136" s="12"/>
      <c r="D136" s="12"/>
      <c r="E136" s="11">
        <f>G139</f>
        <v>0.2</v>
      </c>
      <c r="F136" s="12" t="s">
        <v>971</v>
      </c>
    </row>
    <row r="137" spans="2:7" ht="10.5" customHeight="1" x14ac:dyDescent="0.3">
      <c r="B137" s="22"/>
      <c r="C137" s="22"/>
      <c r="D137" s="22"/>
      <c r="E137" s="23"/>
      <c r="F137" s="22"/>
    </row>
    <row r="138" spans="2:7" ht="27.6" x14ac:dyDescent="0.3">
      <c r="B138" s="14" t="s">
        <v>513</v>
      </c>
      <c r="C138" s="14" t="s">
        <v>1108</v>
      </c>
      <c r="D138" s="14" t="s">
        <v>516</v>
      </c>
      <c r="E138" s="14" t="s">
        <v>970</v>
      </c>
      <c r="F138" s="14" t="s">
        <v>930</v>
      </c>
      <c r="G138" s="14" t="s">
        <v>961</v>
      </c>
    </row>
    <row r="139" spans="2:7" x14ac:dyDescent="0.3">
      <c r="B139" s="27" t="s">
        <v>1117</v>
      </c>
      <c r="C139" s="17">
        <f>АМОРТИЗАЦІЯ!C3</f>
        <v>815.88</v>
      </c>
      <c r="D139" s="17">
        <f>H115</f>
        <v>1656.6</v>
      </c>
      <c r="E139" s="17">
        <f>ROUND((C139/D139)/60,2)</f>
        <v>0.01</v>
      </c>
      <c r="F139" s="17">
        <f>D120</f>
        <v>20</v>
      </c>
      <c r="G139" s="16">
        <f>ROUND(E139*F139,2)</f>
        <v>0.2</v>
      </c>
    </row>
    <row r="141" spans="2:7" x14ac:dyDescent="0.3">
      <c r="B141" s="12" t="s">
        <v>948</v>
      </c>
      <c r="C141" s="12"/>
      <c r="D141" s="12"/>
      <c r="E141" s="11">
        <f>G154</f>
        <v>5.9</v>
      </c>
      <c r="F141" s="12" t="s">
        <v>971</v>
      </c>
    </row>
    <row r="142" spans="2:7" ht="6" customHeight="1" x14ac:dyDescent="0.3">
      <c r="B142" s="22"/>
      <c r="C142" s="22"/>
      <c r="D142" s="22"/>
      <c r="E142" s="23"/>
    </row>
    <row r="143" spans="2:7" ht="55.2" x14ac:dyDescent="0.3">
      <c r="B143" s="14" t="s">
        <v>948</v>
      </c>
      <c r="C143" s="14" t="s">
        <v>955</v>
      </c>
      <c r="D143" s="14" t="s">
        <v>516</v>
      </c>
      <c r="E143" s="14" t="s">
        <v>954</v>
      </c>
      <c r="F143" s="14" t="s">
        <v>930</v>
      </c>
      <c r="G143" s="14" t="s">
        <v>956</v>
      </c>
    </row>
    <row r="144" spans="2:7" x14ac:dyDescent="0.3">
      <c r="B144" s="1009" t="str">
        <f>B115</f>
        <v>Лікар-дерматовенеролог</v>
      </c>
      <c r="C144" s="1010"/>
      <c r="D144" s="1010"/>
      <c r="E144" s="1010"/>
      <c r="F144" s="1010"/>
      <c r="G144" s="1011"/>
    </row>
    <row r="145" spans="2:7" x14ac:dyDescent="0.3">
      <c r="B145" s="17" t="s">
        <v>951</v>
      </c>
      <c r="C145" s="112">
        <f>C92</f>
        <v>12188.608008565312</v>
      </c>
      <c r="D145" s="17">
        <f>H115</f>
        <v>1656.6</v>
      </c>
      <c r="E145" s="17">
        <f>ROUND((C145/D145)/60,2)</f>
        <v>0.12</v>
      </c>
      <c r="F145" s="17">
        <f>D119</f>
        <v>25</v>
      </c>
      <c r="G145" s="16">
        <f>ROUND(E145*F145,2)</f>
        <v>3</v>
      </c>
    </row>
    <row r="146" spans="2:7" x14ac:dyDescent="0.3">
      <c r="B146" s="17" t="s">
        <v>952</v>
      </c>
      <c r="C146" s="112">
        <f>C93</f>
        <v>53.149721627408987</v>
      </c>
      <c r="D146" s="17">
        <f>H115</f>
        <v>1656.6</v>
      </c>
      <c r="E146" s="17">
        <f>ROUND((C146/D146)/60,2)</f>
        <v>0</v>
      </c>
      <c r="F146" s="17">
        <f>D119</f>
        <v>25</v>
      </c>
      <c r="G146" s="16">
        <f>ROUND(E146*F146,2)</f>
        <v>0</v>
      </c>
    </row>
    <row r="147" spans="2:7" x14ac:dyDescent="0.3">
      <c r="B147" s="17" t="s">
        <v>953</v>
      </c>
      <c r="C147" s="112">
        <f>C94</f>
        <v>374.98368308351178</v>
      </c>
      <c r="D147" s="17">
        <f>H115</f>
        <v>1656.6</v>
      </c>
      <c r="E147" s="17">
        <f>ROUND((C147/D147)/60,2)</f>
        <v>0</v>
      </c>
      <c r="F147" s="17">
        <f>D119</f>
        <v>25</v>
      </c>
      <c r="G147" s="16">
        <f>ROUND(E147*F147,2)</f>
        <v>0</v>
      </c>
    </row>
    <row r="148" spans="2:7" x14ac:dyDescent="0.3">
      <c r="B148" s="17" t="s">
        <v>1109</v>
      </c>
      <c r="C148" s="112">
        <f>C95</f>
        <v>1686.0389293361886</v>
      </c>
      <c r="D148" s="17">
        <f>H115</f>
        <v>1656.6</v>
      </c>
      <c r="E148" s="17">
        <f>ROUND((C148/D148)/60,2)</f>
        <v>0.02</v>
      </c>
      <c r="F148" s="17">
        <f>D119</f>
        <v>25</v>
      </c>
      <c r="G148" s="16">
        <f>ROUND(E148*F148,2)</f>
        <v>0.5</v>
      </c>
    </row>
    <row r="149" spans="2:7" x14ac:dyDescent="0.3">
      <c r="B149" s="1009" t="str">
        <f>B116</f>
        <v>Сестра медична поліклініки</v>
      </c>
      <c r="C149" s="1010"/>
      <c r="D149" s="1010"/>
      <c r="E149" s="1010"/>
      <c r="F149" s="1010"/>
      <c r="G149" s="1011"/>
    </row>
    <row r="150" spans="2:7" x14ac:dyDescent="0.3">
      <c r="B150" s="17" t="s">
        <v>951</v>
      </c>
      <c r="C150" s="112">
        <f>C145</f>
        <v>12188.608008565312</v>
      </c>
      <c r="D150" s="17">
        <f>H116</f>
        <v>1932.7</v>
      </c>
      <c r="E150" s="17">
        <f>ROUND((C150/D150)/60,2)</f>
        <v>0.11</v>
      </c>
      <c r="F150" s="17">
        <f>D120</f>
        <v>20</v>
      </c>
      <c r="G150" s="16">
        <f>ROUND(E150*F150,2)</f>
        <v>2.2000000000000002</v>
      </c>
    </row>
    <row r="151" spans="2:7" x14ac:dyDescent="0.3">
      <c r="B151" s="17" t="s">
        <v>952</v>
      </c>
      <c r="C151" s="112">
        <f>C146</f>
        <v>53.149721627408987</v>
      </c>
      <c r="D151" s="17">
        <f>H116</f>
        <v>1932.7</v>
      </c>
      <c r="E151" s="17">
        <f>ROUND((C151/D151)/60,2)</f>
        <v>0</v>
      </c>
      <c r="F151" s="17">
        <f>D120</f>
        <v>20</v>
      </c>
      <c r="G151" s="16">
        <f>ROUND(E151*F151,2)</f>
        <v>0</v>
      </c>
    </row>
    <row r="152" spans="2:7" x14ac:dyDescent="0.3">
      <c r="B152" s="17" t="s">
        <v>953</v>
      </c>
      <c r="C152" s="112">
        <f>C147</f>
        <v>374.98368308351178</v>
      </c>
      <c r="D152" s="17">
        <f>H116</f>
        <v>1932.7</v>
      </c>
      <c r="E152" s="17">
        <f>ROUND((C152/D152)/60,2)</f>
        <v>0</v>
      </c>
      <c r="F152" s="17">
        <f>D120</f>
        <v>20</v>
      </c>
      <c r="G152" s="16">
        <f>ROUND(E152*F152,2)</f>
        <v>0</v>
      </c>
    </row>
    <row r="153" spans="2:7" x14ac:dyDescent="0.3">
      <c r="B153" s="17" t="s">
        <v>1109</v>
      </c>
      <c r="C153" s="112">
        <f>C148</f>
        <v>1686.0389293361886</v>
      </c>
      <c r="D153" s="17">
        <f>H116</f>
        <v>1932.7</v>
      </c>
      <c r="E153" s="17">
        <f>ROUND((C153/D153)/60,2)</f>
        <v>0.01</v>
      </c>
      <c r="F153" s="17">
        <f>D120</f>
        <v>20</v>
      </c>
      <c r="G153" s="16">
        <f>ROUND(E153*F153,2)</f>
        <v>0.2</v>
      </c>
    </row>
    <row r="154" spans="2:7" x14ac:dyDescent="0.3">
      <c r="B154" s="1012" t="s">
        <v>957</v>
      </c>
      <c r="C154" s="1013"/>
      <c r="D154" s="1013"/>
      <c r="E154" s="1013"/>
      <c r="F154" s="1014"/>
      <c r="G154" s="18">
        <f>SUM(G145:G153)</f>
        <v>5.9</v>
      </c>
    </row>
    <row r="155" spans="2:7" ht="13.5" customHeight="1" x14ac:dyDescent="0.3"/>
    <row r="156" spans="2:7" hidden="1" x14ac:dyDescent="0.3"/>
    <row r="157" spans="2:7" x14ac:dyDescent="0.3">
      <c r="B157" s="1015" t="s">
        <v>959</v>
      </c>
      <c r="C157" s="1015"/>
      <c r="D157" s="1015"/>
      <c r="E157" s="1015"/>
      <c r="F157" s="1015"/>
      <c r="G157" s="32">
        <f>E112+E124+E141+E136</f>
        <v>69.63000000000001</v>
      </c>
    </row>
    <row r="158" spans="2:7" x14ac:dyDescent="0.3">
      <c r="B158" s="33"/>
      <c r="C158" s="33"/>
      <c r="D158" s="33"/>
      <c r="E158" s="33"/>
      <c r="F158" s="33"/>
      <c r="G158" s="34"/>
    </row>
    <row r="159" spans="2:7" x14ac:dyDescent="0.3">
      <c r="B159" s="1015" t="s">
        <v>960</v>
      </c>
      <c r="C159" s="1015"/>
      <c r="D159" s="1015"/>
      <c r="E159" s="1015"/>
      <c r="F159" s="1015"/>
      <c r="G159" s="32">
        <f>ROUND(G157,0)</f>
        <v>70</v>
      </c>
    </row>
    <row r="161" spans="1:19" s="54" customFormat="1" ht="19.8" x14ac:dyDescent="0.4">
      <c r="A161" s="1016" t="s">
        <v>958</v>
      </c>
      <c r="B161" s="1016"/>
      <c r="C161" s="1016"/>
      <c r="D161" s="1016"/>
      <c r="E161" s="1016"/>
      <c r="F161" s="1016"/>
      <c r="G161" s="1016"/>
      <c r="H161" s="1016"/>
      <c r="I161" s="1016"/>
      <c r="J161" s="110"/>
      <c r="K161" s="110"/>
      <c r="L161" s="53"/>
      <c r="M161" s="53"/>
      <c r="N161" s="53"/>
      <c r="O161" s="53"/>
      <c r="P161" s="53"/>
      <c r="Q161" s="53"/>
      <c r="R161" s="53"/>
      <c r="S161" s="53"/>
    </row>
    <row r="162" spans="1:19" s="54" customFormat="1" ht="19.8" x14ac:dyDescent="0.4">
      <c r="A162" s="53"/>
      <c r="B162" s="53"/>
      <c r="C162" s="53"/>
      <c r="D162" s="53"/>
      <c r="E162" s="53"/>
      <c r="F162" s="53"/>
      <c r="G162" s="53"/>
      <c r="H162" s="53"/>
      <c r="I162" s="53"/>
      <c r="J162" s="110"/>
      <c r="K162" s="110"/>
      <c r="L162" s="53"/>
      <c r="M162" s="53"/>
      <c r="N162" s="53"/>
      <c r="O162" s="53"/>
      <c r="P162" s="53"/>
      <c r="Q162" s="53"/>
      <c r="R162" s="53"/>
      <c r="S162" s="53"/>
    </row>
    <row r="163" spans="1:19" s="54" customFormat="1" ht="37.5" customHeight="1" x14ac:dyDescent="0.4">
      <c r="A163" s="50" t="s">
        <v>709</v>
      </c>
      <c r="B163" s="1017" t="s">
        <v>1190</v>
      </c>
      <c r="C163" s="1017"/>
      <c r="D163" s="1017"/>
      <c r="E163" s="52">
        <f>G212</f>
        <v>54</v>
      </c>
      <c r="F163" s="52" t="s">
        <v>971</v>
      </c>
      <c r="G163" s="53"/>
      <c r="H163" s="53"/>
      <c r="I163" s="53"/>
      <c r="J163" s="110"/>
      <c r="K163" s="110"/>
      <c r="L163" s="53"/>
      <c r="M163" s="53"/>
      <c r="N163" s="53"/>
      <c r="O163" s="53"/>
      <c r="P163" s="53"/>
      <c r="Q163" s="53"/>
      <c r="R163" s="53"/>
      <c r="S163" s="53"/>
    </row>
    <row r="164" spans="1:19" ht="18.75" customHeight="1" x14ac:dyDescent="0.3"/>
    <row r="165" spans="1:19" x14ac:dyDescent="0.3">
      <c r="B165" s="1018" t="s">
        <v>932</v>
      </c>
      <c r="C165" s="1018"/>
      <c r="D165" s="10"/>
      <c r="E165" s="11">
        <f>E172+E175+E173</f>
        <v>45.510000000000005</v>
      </c>
      <c r="F165" s="12" t="s">
        <v>971</v>
      </c>
    </row>
    <row r="166" spans="1:19" ht="15" customHeight="1" x14ac:dyDescent="0.3"/>
    <row r="167" spans="1:19" ht="27.6" x14ac:dyDescent="0.3">
      <c r="B167" s="13" t="s">
        <v>929</v>
      </c>
      <c r="C167" s="14" t="s">
        <v>928</v>
      </c>
      <c r="D167" s="14" t="s">
        <v>514</v>
      </c>
      <c r="E167" s="14" t="s">
        <v>515</v>
      </c>
      <c r="F167" s="14" t="s">
        <v>962</v>
      </c>
      <c r="G167" s="14" t="s">
        <v>926</v>
      </c>
      <c r="H167" s="14" t="s">
        <v>516</v>
      </c>
      <c r="I167" s="14" t="s">
        <v>961</v>
      </c>
    </row>
    <row r="168" spans="1:19" x14ac:dyDescent="0.3">
      <c r="B168" s="17" t="s">
        <v>520</v>
      </c>
      <c r="C168" s="16">
        <f>ЗП!C10</f>
        <v>7972.9</v>
      </c>
      <c r="D168" s="16">
        <f>C168*12</f>
        <v>95674.799999999988</v>
      </c>
      <c r="E168" s="16">
        <f>ЗП!E10</f>
        <v>6133</v>
      </c>
      <c r="F168" s="16">
        <f>E168*0.5</f>
        <v>3066.5</v>
      </c>
      <c r="G168" s="16">
        <f>D168+E168+F168</f>
        <v>104874.29999999999</v>
      </c>
      <c r="H168" s="17">
        <v>1932.7</v>
      </c>
      <c r="I168" s="16">
        <f>ROUND((G168/H168)/60,2)</f>
        <v>0.9</v>
      </c>
    </row>
    <row r="169" spans="1:19" x14ac:dyDescent="0.3">
      <c r="B169" s="17" t="s">
        <v>539</v>
      </c>
      <c r="C169" s="16">
        <f>ЗП!C35</f>
        <v>6506.5</v>
      </c>
      <c r="D169" s="16">
        <f>C169*12</f>
        <v>78078</v>
      </c>
      <c r="E169" s="16">
        <f>ЗП!E35</f>
        <v>5005</v>
      </c>
      <c r="F169" s="16">
        <f>E169*0.5</f>
        <v>2502.5</v>
      </c>
      <c r="G169" s="16">
        <f>D169+E169+F169</f>
        <v>85585.5</v>
      </c>
      <c r="H169" s="17">
        <v>1932.7</v>
      </c>
      <c r="I169" s="16">
        <f>ROUND((G169/H169)/60,2)</f>
        <v>0.74</v>
      </c>
    </row>
    <row r="171" spans="1:19" ht="27.6" x14ac:dyDescent="0.3">
      <c r="B171" s="13" t="s">
        <v>929</v>
      </c>
      <c r="C171" s="14" t="s">
        <v>961</v>
      </c>
      <c r="D171" s="14" t="s">
        <v>930</v>
      </c>
      <c r="E171" s="14" t="s">
        <v>931</v>
      </c>
    </row>
    <row r="172" spans="1:19" x14ac:dyDescent="0.3">
      <c r="B172" s="15" t="str">
        <f>B168</f>
        <v>Лікар-ендокринолог</v>
      </c>
      <c r="C172" s="16">
        <f>I168</f>
        <v>0.9</v>
      </c>
      <c r="D172" s="17">
        <v>25</v>
      </c>
      <c r="E172" s="18">
        <f>ROUND(C172*D172,2)</f>
        <v>22.5</v>
      </c>
    </row>
    <row r="173" spans="1:19" x14ac:dyDescent="0.3">
      <c r="B173" s="15" t="str">
        <f>B169</f>
        <v>Сестра медична поліклініки</v>
      </c>
      <c r="C173" s="16">
        <f>I169</f>
        <v>0.74</v>
      </c>
      <c r="D173" s="17">
        <v>20</v>
      </c>
      <c r="E173" s="18">
        <f>ROUND(C173*D173,2)</f>
        <v>14.8</v>
      </c>
    </row>
    <row r="174" spans="1:19" x14ac:dyDescent="0.3">
      <c r="C174" s="19"/>
    </row>
    <row r="175" spans="1:19" x14ac:dyDescent="0.3">
      <c r="B175" s="17" t="s">
        <v>933</v>
      </c>
      <c r="C175" s="16">
        <f>E172+E173</f>
        <v>37.299999999999997</v>
      </c>
      <c r="D175" s="20">
        <v>0.22</v>
      </c>
      <c r="E175" s="21">
        <f>ROUND(C175*D175,2)</f>
        <v>8.2100000000000009</v>
      </c>
    </row>
    <row r="177" spans="2:7" x14ac:dyDescent="0.3">
      <c r="B177" s="12" t="s">
        <v>946</v>
      </c>
      <c r="C177" s="12"/>
      <c r="D177" s="12"/>
      <c r="E177" s="12">
        <f>F187</f>
        <v>3.32</v>
      </c>
      <c r="F177" s="12" t="s">
        <v>971</v>
      </c>
    </row>
    <row r="178" spans="2:7" ht="8.25" customHeight="1" x14ac:dyDescent="0.3"/>
    <row r="179" spans="2:7" x14ac:dyDescent="0.3">
      <c r="B179" s="27" t="s">
        <v>934</v>
      </c>
      <c r="C179" s="28" t="s">
        <v>935</v>
      </c>
      <c r="D179" s="29">
        <v>0.1</v>
      </c>
      <c r="E179" s="29">
        <f>'МЕДИЧНІ М'!E127</f>
        <v>2.8</v>
      </c>
      <c r="F179" s="30">
        <f t="shared" ref="F179:F186" si="3">ROUND(D179*E179,2)</f>
        <v>0.28000000000000003</v>
      </c>
    </row>
    <row r="180" spans="2:7" x14ac:dyDescent="0.3">
      <c r="B180" s="27" t="s">
        <v>936</v>
      </c>
      <c r="C180" s="28" t="s">
        <v>937</v>
      </c>
      <c r="D180" s="29">
        <v>1</v>
      </c>
      <c r="E180" s="30">
        <f>'МЕДИЧНІ М'!F126</f>
        <v>0.3</v>
      </c>
      <c r="F180" s="30">
        <f t="shared" si="3"/>
        <v>0.3</v>
      </c>
    </row>
    <row r="181" spans="2:7" x14ac:dyDescent="0.3">
      <c r="B181" s="27" t="s">
        <v>938</v>
      </c>
      <c r="C181" s="28" t="s">
        <v>939</v>
      </c>
      <c r="D181" s="29">
        <v>7.0000000000000007E-2</v>
      </c>
      <c r="E181" s="30">
        <f>'МЕДИЧНІ М'!F124</f>
        <v>6</v>
      </c>
      <c r="F181" s="30">
        <f t="shared" si="3"/>
        <v>0.42</v>
      </c>
    </row>
    <row r="182" spans="2:7" x14ac:dyDescent="0.3">
      <c r="B182" s="27" t="s">
        <v>940</v>
      </c>
      <c r="C182" s="28" t="s">
        <v>941</v>
      </c>
      <c r="D182" s="29">
        <v>0.5</v>
      </c>
      <c r="E182" s="29">
        <f>'МЕДИЧНІ М'!E125</f>
        <v>2</v>
      </c>
      <c r="F182" s="30">
        <f t="shared" si="3"/>
        <v>1</v>
      </c>
    </row>
    <row r="183" spans="2:7" x14ac:dyDescent="0.3">
      <c r="B183" s="27" t="s">
        <v>942</v>
      </c>
      <c r="C183" s="28" t="s">
        <v>941</v>
      </c>
      <c r="D183" s="29">
        <v>0.01</v>
      </c>
      <c r="E183" s="29">
        <f>'МЕДИЧНІ М'!E128</f>
        <v>24.6</v>
      </c>
      <c r="F183" s="30">
        <f t="shared" si="3"/>
        <v>0.25</v>
      </c>
    </row>
    <row r="184" spans="2:7" x14ac:dyDescent="0.3">
      <c r="B184" s="27" t="s">
        <v>943</v>
      </c>
      <c r="C184" s="28" t="s">
        <v>944</v>
      </c>
      <c r="D184" s="29">
        <v>1</v>
      </c>
      <c r="E184" s="30">
        <f>'МЕДИЧНІ М'!F122</f>
        <v>7.0000000000000007E-2</v>
      </c>
      <c r="F184" s="30">
        <f t="shared" si="3"/>
        <v>7.0000000000000007E-2</v>
      </c>
    </row>
    <row r="185" spans="2:7" x14ac:dyDescent="0.3">
      <c r="B185" s="27" t="s">
        <v>1124</v>
      </c>
      <c r="C185" s="28" t="s">
        <v>944</v>
      </c>
      <c r="D185" s="29">
        <v>0.5</v>
      </c>
      <c r="E185" s="29">
        <f>'МЕДИЧНІ М'!E123</f>
        <v>0.5</v>
      </c>
      <c r="F185" s="30">
        <f t="shared" si="3"/>
        <v>0.25</v>
      </c>
    </row>
    <row r="186" spans="2:7" x14ac:dyDescent="0.3">
      <c r="B186" s="27" t="s">
        <v>1159</v>
      </c>
      <c r="C186" s="28" t="s">
        <v>1160</v>
      </c>
      <c r="D186" s="29">
        <f>D172</f>
        <v>25</v>
      </c>
      <c r="E186" s="29">
        <f>ROUND(3389/H168/60,2)</f>
        <v>0.03</v>
      </c>
      <c r="F186" s="30">
        <f t="shared" si="3"/>
        <v>0.75</v>
      </c>
    </row>
    <row r="187" spans="2:7" x14ac:dyDescent="0.3">
      <c r="B187" s="1019" t="s">
        <v>945</v>
      </c>
      <c r="C187" s="1019"/>
      <c r="D187" s="1019"/>
      <c r="E187" s="1019"/>
      <c r="F187" s="31">
        <f>SUM(F179:F186)</f>
        <v>3.32</v>
      </c>
    </row>
    <row r="189" spans="2:7" x14ac:dyDescent="0.3">
      <c r="B189" s="12" t="s">
        <v>968</v>
      </c>
      <c r="C189" s="12"/>
      <c r="D189" s="12"/>
      <c r="E189" s="11">
        <f>G192</f>
        <v>0.2</v>
      </c>
      <c r="F189" s="12" t="s">
        <v>971</v>
      </c>
    </row>
    <row r="190" spans="2:7" ht="9" customHeight="1" x14ac:dyDescent="0.3">
      <c r="B190" s="22"/>
      <c r="C190" s="22"/>
      <c r="D190" s="22"/>
      <c r="E190" s="23"/>
      <c r="F190" s="22"/>
    </row>
    <row r="191" spans="2:7" ht="27.6" x14ac:dyDescent="0.3">
      <c r="B191" s="14" t="s">
        <v>513</v>
      </c>
      <c r="C191" s="14" t="s">
        <v>1108</v>
      </c>
      <c r="D191" s="14" t="s">
        <v>516</v>
      </c>
      <c r="E191" s="14" t="s">
        <v>970</v>
      </c>
      <c r="F191" s="14" t="s">
        <v>930</v>
      </c>
      <c r="G191" s="14" t="s">
        <v>961</v>
      </c>
    </row>
    <row r="192" spans="2:7" x14ac:dyDescent="0.3">
      <c r="B192" s="27" t="s">
        <v>1117</v>
      </c>
      <c r="C192" s="17">
        <f>АМОРТИЗАЦІЯ!C3</f>
        <v>815.88</v>
      </c>
      <c r="D192" s="17">
        <f>H168</f>
        <v>1932.7</v>
      </c>
      <c r="E192" s="17">
        <f>ROUND((C192/D192)/60,2)</f>
        <v>0.01</v>
      </c>
      <c r="F192" s="17">
        <f>D173</f>
        <v>20</v>
      </c>
      <c r="G192" s="16">
        <f>ROUND(E192*F192,2)</f>
        <v>0.2</v>
      </c>
    </row>
    <row r="194" spans="2:7" x14ac:dyDescent="0.3">
      <c r="B194" s="12" t="s">
        <v>948</v>
      </c>
      <c r="C194" s="12"/>
      <c r="D194" s="12"/>
      <c r="E194" s="11">
        <f>G207</f>
        <v>5.4</v>
      </c>
      <c r="F194" s="12" t="s">
        <v>971</v>
      </c>
    </row>
    <row r="195" spans="2:7" x14ac:dyDescent="0.3">
      <c r="B195" s="22"/>
      <c r="C195" s="22"/>
      <c r="D195" s="22"/>
      <c r="E195" s="23"/>
    </row>
    <row r="196" spans="2:7" ht="55.2" x14ac:dyDescent="0.3">
      <c r="B196" s="14" t="s">
        <v>948</v>
      </c>
      <c r="C196" s="14" t="s">
        <v>955</v>
      </c>
      <c r="D196" s="14" t="s">
        <v>516</v>
      </c>
      <c r="E196" s="14" t="s">
        <v>954</v>
      </c>
      <c r="F196" s="14" t="s">
        <v>930</v>
      </c>
      <c r="G196" s="14" t="s">
        <v>956</v>
      </c>
    </row>
    <row r="197" spans="2:7" x14ac:dyDescent="0.3">
      <c r="B197" s="1009" t="str">
        <f>B168</f>
        <v>Лікар-ендокринолог</v>
      </c>
      <c r="C197" s="1010"/>
      <c r="D197" s="1010"/>
      <c r="E197" s="1010"/>
      <c r="F197" s="1010"/>
      <c r="G197" s="1011"/>
    </row>
    <row r="198" spans="2:7" x14ac:dyDescent="0.3">
      <c r="B198" s="17" t="s">
        <v>951</v>
      </c>
      <c r="C198" s="112">
        <f>C145</f>
        <v>12188.608008565312</v>
      </c>
      <c r="D198" s="17">
        <f>H168</f>
        <v>1932.7</v>
      </c>
      <c r="E198" s="17">
        <f>ROUND((C198/D198)/60,2)</f>
        <v>0.11</v>
      </c>
      <c r="F198" s="17">
        <f>D172</f>
        <v>25</v>
      </c>
      <c r="G198" s="16">
        <f>ROUND(E198*F198,2)</f>
        <v>2.75</v>
      </c>
    </row>
    <row r="199" spans="2:7" x14ac:dyDescent="0.3">
      <c r="B199" s="17" t="s">
        <v>952</v>
      </c>
      <c r="C199" s="112">
        <f>C146</f>
        <v>53.149721627408987</v>
      </c>
      <c r="D199" s="17">
        <f>H168</f>
        <v>1932.7</v>
      </c>
      <c r="E199" s="17">
        <f>ROUND((C199/D199)/60,2)</f>
        <v>0</v>
      </c>
      <c r="F199" s="17">
        <f>D172</f>
        <v>25</v>
      </c>
      <c r="G199" s="16">
        <f>ROUND(E199*F199,2)</f>
        <v>0</v>
      </c>
    </row>
    <row r="200" spans="2:7" x14ac:dyDescent="0.3">
      <c r="B200" s="17" t="s">
        <v>953</v>
      </c>
      <c r="C200" s="112">
        <f>C147</f>
        <v>374.98368308351178</v>
      </c>
      <c r="D200" s="17">
        <f>H168</f>
        <v>1932.7</v>
      </c>
      <c r="E200" s="17">
        <f>ROUND((C200/D200)/60,2)</f>
        <v>0</v>
      </c>
      <c r="F200" s="17">
        <f>D172</f>
        <v>25</v>
      </c>
      <c r="G200" s="16">
        <f>ROUND(E200*F200,2)</f>
        <v>0</v>
      </c>
    </row>
    <row r="201" spans="2:7" x14ac:dyDescent="0.3">
      <c r="B201" s="17" t="s">
        <v>1109</v>
      </c>
      <c r="C201" s="112">
        <f>C148</f>
        <v>1686.0389293361886</v>
      </c>
      <c r="D201" s="17">
        <f>H168</f>
        <v>1932.7</v>
      </c>
      <c r="E201" s="17">
        <f>ROUND((C201/D201)/60,2)</f>
        <v>0.01</v>
      </c>
      <c r="F201" s="17">
        <f>D172</f>
        <v>25</v>
      </c>
      <c r="G201" s="16">
        <f>ROUND(E201*F201,2)</f>
        <v>0.25</v>
      </c>
    </row>
    <row r="202" spans="2:7" x14ac:dyDescent="0.3">
      <c r="B202" s="1009" t="str">
        <f>B169</f>
        <v>Сестра медична поліклініки</v>
      </c>
      <c r="C202" s="1010"/>
      <c r="D202" s="1010"/>
      <c r="E202" s="1010"/>
      <c r="F202" s="1010"/>
      <c r="G202" s="1011"/>
    </row>
    <row r="203" spans="2:7" x14ac:dyDescent="0.3">
      <c r="B203" s="17" t="s">
        <v>951</v>
      </c>
      <c r="C203" s="112">
        <f>C198</f>
        <v>12188.608008565312</v>
      </c>
      <c r="D203" s="17">
        <f>H169</f>
        <v>1932.7</v>
      </c>
      <c r="E203" s="17">
        <f>ROUND((C203/D203)/60,2)</f>
        <v>0.11</v>
      </c>
      <c r="F203" s="17">
        <f>D173</f>
        <v>20</v>
      </c>
      <c r="G203" s="16">
        <f>ROUND(E203*F203,2)</f>
        <v>2.2000000000000002</v>
      </c>
    </row>
    <row r="204" spans="2:7" x14ac:dyDescent="0.3">
      <c r="B204" s="17" t="s">
        <v>952</v>
      </c>
      <c r="C204" s="112">
        <f>C199</f>
        <v>53.149721627408987</v>
      </c>
      <c r="D204" s="17">
        <f>H169</f>
        <v>1932.7</v>
      </c>
      <c r="E204" s="17">
        <f>ROUND((C204/D204)/60,2)</f>
        <v>0</v>
      </c>
      <c r="F204" s="17">
        <f>D173</f>
        <v>20</v>
      </c>
      <c r="G204" s="16">
        <f>ROUND(E204*F204,2)</f>
        <v>0</v>
      </c>
    </row>
    <row r="205" spans="2:7" x14ac:dyDescent="0.3">
      <c r="B205" s="17" t="s">
        <v>953</v>
      </c>
      <c r="C205" s="112">
        <f>C200</f>
        <v>374.98368308351178</v>
      </c>
      <c r="D205" s="17">
        <f>H169</f>
        <v>1932.7</v>
      </c>
      <c r="E205" s="17">
        <f>ROUND((C205/D205)/60,2)</f>
        <v>0</v>
      </c>
      <c r="F205" s="17">
        <f>D173</f>
        <v>20</v>
      </c>
      <c r="G205" s="16">
        <f>ROUND(E205*F205,2)</f>
        <v>0</v>
      </c>
    </row>
    <row r="206" spans="2:7" x14ac:dyDescent="0.3">
      <c r="B206" s="17" t="s">
        <v>1109</v>
      </c>
      <c r="C206" s="112">
        <f>C201</f>
        <v>1686.0389293361886</v>
      </c>
      <c r="D206" s="17">
        <f>H169</f>
        <v>1932.7</v>
      </c>
      <c r="E206" s="17">
        <f>ROUND((C206/D206)/60,2)</f>
        <v>0.01</v>
      </c>
      <c r="F206" s="17">
        <f>D173</f>
        <v>20</v>
      </c>
      <c r="G206" s="16">
        <f>ROUND(E206*F206,2)</f>
        <v>0.2</v>
      </c>
    </row>
    <row r="207" spans="2:7" x14ac:dyDescent="0.3">
      <c r="B207" s="1012" t="s">
        <v>957</v>
      </c>
      <c r="C207" s="1013"/>
      <c r="D207" s="1013"/>
      <c r="E207" s="1013"/>
      <c r="F207" s="1014"/>
      <c r="G207" s="18">
        <f>SUM(G198:G206)</f>
        <v>5.4</v>
      </c>
    </row>
    <row r="208" spans="2:7" ht="12" customHeight="1" x14ac:dyDescent="0.3"/>
    <row r="209" spans="1:19" hidden="1" x14ac:dyDescent="0.3"/>
    <row r="210" spans="1:19" x14ac:dyDescent="0.3">
      <c r="B210" s="1015" t="s">
        <v>959</v>
      </c>
      <c r="C210" s="1015"/>
      <c r="D210" s="1015"/>
      <c r="E210" s="1015"/>
      <c r="F210" s="1015"/>
      <c r="G210" s="32">
        <f>E165+E177+E194+E189</f>
        <v>54.430000000000007</v>
      </c>
    </row>
    <row r="211" spans="1:19" x14ac:dyDescent="0.3">
      <c r="B211" s="33"/>
      <c r="C211" s="33"/>
      <c r="D211" s="33"/>
      <c r="E211" s="33"/>
      <c r="F211" s="33"/>
      <c r="G211" s="34"/>
    </row>
    <row r="212" spans="1:19" x14ac:dyDescent="0.3">
      <c r="B212" s="1015" t="s">
        <v>960</v>
      </c>
      <c r="C212" s="1015"/>
      <c r="D212" s="1015"/>
      <c r="E212" s="1015"/>
      <c r="F212" s="1015"/>
      <c r="G212" s="32">
        <f>ROUND(G210,0)</f>
        <v>54</v>
      </c>
    </row>
    <row r="214" spans="1:19" s="54" customFormat="1" ht="19.8" x14ac:dyDescent="0.4">
      <c r="A214" s="1016" t="s">
        <v>958</v>
      </c>
      <c r="B214" s="1016"/>
      <c r="C214" s="1016"/>
      <c r="D214" s="1016"/>
      <c r="E214" s="1016"/>
      <c r="F214" s="1016"/>
      <c r="G214" s="1016"/>
      <c r="H214" s="1016"/>
      <c r="I214" s="1016"/>
      <c r="J214" s="110"/>
      <c r="K214" s="110"/>
      <c r="L214" s="53"/>
      <c r="M214" s="53"/>
      <c r="N214" s="53"/>
      <c r="O214" s="53"/>
      <c r="P214" s="53"/>
      <c r="Q214" s="53"/>
      <c r="R214" s="53"/>
      <c r="S214" s="53"/>
    </row>
    <row r="215" spans="1:19" s="54" customFormat="1" ht="19.8" x14ac:dyDescent="0.4">
      <c r="A215" s="53"/>
      <c r="B215" s="53"/>
      <c r="C215" s="53"/>
      <c r="D215" s="53"/>
      <c r="E215" s="53"/>
      <c r="F215" s="53"/>
      <c r="G215" s="53"/>
      <c r="H215" s="53"/>
      <c r="I215" s="53"/>
      <c r="J215" s="110"/>
      <c r="K215" s="110"/>
      <c r="L215" s="53"/>
      <c r="M215" s="53"/>
      <c r="N215" s="53"/>
      <c r="O215" s="53"/>
      <c r="P215" s="53"/>
      <c r="Q215" s="53"/>
      <c r="R215" s="53"/>
      <c r="S215" s="53"/>
    </row>
    <row r="216" spans="1:19" s="54" customFormat="1" ht="37.5" customHeight="1" x14ac:dyDescent="0.4">
      <c r="A216" s="50" t="s">
        <v>711</v>
      </c>
      <c r="B216" s="1017" t="s">
        <v>1196</v>
      </c>
      <c r="C216" s="1017"/>
      <c r="D216" s="1017"/>
      <c r="E216" s="52">
        <f>G265</f>
        <v>61</v>
      </c>
      <c r="F216" s="52" t="s">
        <v>971</v>
      </c>
      <c r="G216" s="53"/>
      <c r="H216" s="53"/>
      <c r="I216" s="53"/>
      <c r="J216" s="110"/>
      <c r="K216" s="110"/>
      <c r="L216" s="53"/>
      <c r="M216" s="53"/>
      <c r="N216" s="53"/>
      <c r="O216" s="53"/>
      <c r="P216" s="53"/>
      <c r="Q216" s="53"/>
      <c r="R216" s="53"/>
      <c r="S216" s="53"/>
    </row>
    <row r="217" spans="1:19" ht="18.75" customHeight="1" x14ac:dyDescent="0.3"/>
    <row r="218" spans="1:19" x14ac:dyDescent="0.3">
      <c r="B218" s="1018" t="s">
        <v>932</v>
      </c>
      <c r="C218" s="1018"/>
      <c r="D218" s="10"/>
      <c r="E218" s="11">
        <f>E225+E228+E226</f>
        <v>51.91</v>
      </c>
      <c r="F218" s="12" t="s">
        <v>971</v>
      </c>
    </row>
    <row r="219" spans="1:19" ht="15" customHeight="1" x14ac:dyDescent="0.3"/>
    <row r="220" spans="1:19" ht="27.6" x14ac:dyDescent="0.3">
      <c r="B220" s="13" t="s">
        <v>929</v>
      </c>
      <c r="C220" s="14" t="s">
        <v>928</v>
      </c>
      <c r="D220" s="14" t="s">
        <v>514</v>
      </c>
      <c r="E220" s="14" t="s">
        <v>515</v>
      </c>
      <c r="F220" s="14" t="s">
        <v>962</v>
      </c>
      <c r="G220" s="14" t="s">
        <v>926</v>
      </c>
      <c r="H220" s="14" t="s">
        <v>516</v>
      </c>
      <c r="I220" s="14" t="s">
        <v>961</v>
      </c>
    </row>
    <row r="221" spans="1:19" x14ac:dyDescent="0.3">
      <c r="B221" s="17" t="s">
        <v>521</v>
      </c>
      <c r="C221" s="16">
        <f>ЗП!C11</f>
        <v>9817.67</v>
      </c>
      <c r="D221" s="16">
        <f>C221*12</f>
        <v>117812.04000000001</v>
      </c>
      <c r="E221" s="16">
        <f>ЗП!E11</f>
        <v>7552.05</v>
      </c>
      <c r="F221" s="16">
        <f>E221*0.5</f>
        <v>3776.0250000000001</v>
      </c>
      <c r="G221" s="16">
        <f>D221+E221+F221</f>
        <v>129140.11500000001</v>
      </c>
      <c r="H221" s="17">
        <v>1932.7</v>
      </c>
      <c r="I221" s="16">
        <f>ROUND((G221/H221)/60,2)</f>
        <v>1.1100000000000001</v>
      </c>
    </row>
    <row r="222" spans="1:19" x14ac:dyDescent="0.3">
      <c r="B222" s="17" t="s">
        <v>539</v>
      </c>
      <c r="C222" s="16">
        <f>ЗП!C42</f>
        <v>6506.5</v>
      </c>
      <c r="D222" s="16">
        <f>C222*12</f>
        <v>78078</v>
      </c>
      <c r="E222" s="16">
        <f>ЗП!E42</f>
        <v>5005</v>
      </c>
      <c r="F222" s="16">
        <f>E222*0.5</f>
        <v>2502.5</v>
      </c>
      <c r="G222" s="16">
        <f>D222+E222+F222</f>
        <v>85585.5</v>
      </c>
      <c r="H222" s="17">
        <v>1932.7</v>
      </c>
      <c r="I222" s="16">
        <f>ROUND((G222/H222)/60,2)</f>
        <v>0.74</v>
      </c>
    </row>
    <row r="224" spans="1:19" ht="27.6" x14ac:dyDescent="0.3">
      <c r="B224" s="13" t="s">
        <v>929</v>
      </c>
      <c r="C224" s="14" t="s">
        <v>961</v>
      </c>
      <c r="D224" s="14" t="s">
        <v>930</v>
      </c>
      <c r="E224" s="14" t="s">
        <v>931</v>
      </c>
    </row>
    <row r="225" spans="2:6" x14ac:dyDescent="0.3">
      <c r="B225" s="15" t="str">
        <f>B221</f>
        <v>Лікар-отоларинголог</v>
      </c>
      <c r="C225" s="16">
        <f>I221</f>
        <v>1.1100000000000001</v>
      </c>
      <c r="D225" s="17">
        <v>25</v>
      </c>
      <c r="E225" s="18">
        <f>ROUND(C225*D225,2)</f>
        <v>27.75</v>
      </c>
    </row>
    <row r="226" spans="2:6" x14ac:dyDescent="0.3">
      <c r="B226" s="15" t="str">
        <f>B222</f>
        <v>Сестра медична поліклініки</v>
      </c>
      <c r="C226" s="16">
        <f>I222</f>
        <v>0.74</v>
      </c>
      <c r="D226" s="17">
        <v>20</v>
      </c>
      <c r="E226" s="18">
        <f>ROUND(C226*D226,2)</f>
        <v>14.8</v>
      </c>
    </row>
    <row r="227" spans="2:6" x14ac:dyDescent="0.3">
      <c r="C227" s="19"/>
    </row>
    <row r="228" spans="2:6" x14ac:dyDescent="0.3">
      <c r="B228" s="17" t="s">
        <v>933</v>
      </c>
      <c r="C228" s="16">
        <f>E225+E226</f>
        <v>42.55</v>
      </c>
      <c r="D228" s="20">
        <v>0.22</v>
      </c>
      <c r="E228" s="21">
        <f>ROUND(C228*D228,2)</f>
        <v>9.36</v>
      </c>
    </row>
    <row r="230" spans="2:6" x14ac:dyDescent="0.3">
      <c r="B230" s="12" t="s">
        <v>946</v>
      </c>
      <c r="C230" s="12"/>
      <c r="D230" s="12"/>
      <c r="E230" s="12">
        <f>F240</f>
        <v>3.26</v>
      </c>
      <c r="F230" s="12" t="s">
        <v>971</v>
      </c>
    </row>
    <row r="231" spans="2:6" ht="9.75" customHeight="1" x14ac:dyDescent="0.3"/>
    <row r="232" spans="2:6" x14ac:dyDescent="0.3">
      <c r="B232" s="27" t="s">
        <v>934</v>
      </c>
      <c r="C232" s="28" t="s">
        <v>935</v>
      </c>
      <c r="D232" s="29">
        <v>0.1</v>
      </c>
      <c r="E232" s="29">
        <f>'МЕДИЧНІ М'!E127</f>
        <v>2.8</v>
      </c>
      <c r="F232" s="30">
        <f t="shared" ref="F232:F239" si="4">ROUND(D232*E232,2)</f>
        <v>0.28000000000000003</v>
      </c>
    </row>
    <row r="233" spans="2:6" x14ac:dyDescent="0.3">
      <c r="B233" s="27" t="s">
        <v>936</v>
      </c>
      <c r="C233" s="28" t="s">
        <v>937</v>
      </c>
      <c r="D233" s="29">
        <v>1</v>
      </c>
      <c r="E233" s="30">
        <f>'МЕДИЧНІ М'!F126</f>
        <v>0.3</v>
      </c>
      <c r="F233" s="30">
        <f t="shared" si="4"/>
        <v>0.3</v>
      </c>
    </row>
    <row r="234" spans="2:6" x14ac:dyDescent="0.3">
      <c r="B234" s="27" t="s">
        <v>938</v>
      </c>
      <c r="C234" s="28" t="s">
        <v>939</v>
      </c>
      <c r="D234" s="29">
        <v>0.06</v>
      </c>
      <c r="E234" s="30">
        <f>'МЕДИЧНІ М'!F124</f>
        <v>6</v>
      </c>
      <c r="F234" s="30">
        <f t="shared" si="4"/>
        <v>0.36</v>
      </c>
    </row>
    <row r="235" spans="2:6" x14ac:dyDescent="0.3">
      <c r="B235" s="27" t="s">
        <v>940</v>
      </c>
      <c r="C235" s="28" t="s">
        <v>941</v>
      </c>
      <c r="D235" s="29">
        <v>0.5</v>
      </c>
      <c r="E235" s="29">
        <f>'МЕДИЧНІ М'!E125</f>
        <v>2</v>
      </c>
      <c r="F235" s="30">
        <f t="shared" si="4"/>
        <v>1</v>
      </c>
    </row>
    <row r="236" spans="2:6" x14ac:dyDescent="0.3">
      <c r="B236" s="27" t="s">
        <v>942</v>
      </c>
      <c r="C236" s="28" t="s">
        <v>941</v>
      </c>
      <c r="D236" s="29">
        <v>0.01</v>
      </c>
      <c r="E236" s="29">
        <f>'МЕДИЧНІ М'!E128</f>
        <v>24.6</v>
      </c>
      <c r="F236" s="30">
        <f t="shared" si="4"/>
        <v>0.25</v>
      </c>
    </row>
    <row r="237" spans="2:6" x14ac:dyDescent="0.3">
      <c r="B237" s="27" t="s">
        <v>943</v>
      </c>
      <c r="C237" s="28" t="s">
        <v>944</v>
      </c>
      <c r="D237" s="29">
        <v>1</v>
      </c>
      <c r="E237" s="30">
        <f>'МЕДИЧНІ М'!F122</f>
        <v>7.0000000000000007E-2</v>
      </c>
      <c r="F237" s="30">
        <f t="shared" si="4"/>
        <v>7.0000000000000007E-2</v>
      </c>
    </row>
    <row r="238" spans="2:6" x14ac:dyDescent="0.3">
      <c r="B238" s="27" t="s">
        <v>1124</v>
      </c>
      <c r="C238" s="28" t="s">
        <v>944</v>
      </c>
      <c r="D238" s="29">
        <v>0.5</v>
      </c>
      <c r="E238" s="29">
        <f>'МЕДИЧНІ М'!E123</f>
        <v>0.5</v>
      </c>
      <c r="F238" s="30">
        <f t="shared" si="4"/>
        <v>0.25</v>
      </c>
    </row>
    <row r="239" spans="2:6" x14ac:dyDescent="0.3">
      <c r="B239" s="27" t="s">
        <v>1159</v>
      </c>
      <c r="C239" s="28" t="s">
        <v>1160</v>
      </c>
      <c r="D239" s="29">
        <f>D225</f>
        <v>25</v>
      </c>
      <c r="E239" s="29">
        <f>ROUND(3389/H221/60,2)</f>
        <v>0.03</v>
      </c>
      <c r="F239" s="30">
        <f t="shared" si="4"/>
        <v>0.75</v>
      </c>
    </row>
    <row r="240" spans="2:6" x14ac:dyDescent="0.3">
      <c r="B240" s="1019" t="s">
        <v>945</v>
      </c>
      <c r="C240" s="1019"/>
      <c r="D240" s="1019"/>
      <c r="E240" s="1019"/>
      <c r="F240" s="31">
        <f>SUM(F232:F239)</f>
        <v>3.26</v>
      </c>
    </row>
    <row r="242" spans="2:7" x14ac:dyDescent="0.3">
      <c r="B242" s="12" t="s">
        <v>968</v>
      </c>
      <c r="C242" s="12"/>
      <c r="D242" s="12"/>
      <c r="E242" s="11">
        <f>G245</f>
        <v>0.2</v>
      </c>
      <c r="F242" s="12" t="s">
        <v>971</v>
      </c>
    </row>
    <row r="243" spans="2:7" ht="9" customHeight="1" x14ac:dyDescent="0.3">
      <c r="B243" s="22"/>
      <c r="C243" s="22"/>
      <c r="D243" s="22"/>
      <c r="E243" s="23"/>
      <c r="F243" s="22"/>
    </row>
    <row r="244" spans="2:7" ht="27.6" x14ac:dyDescent="0.3">
      <c r="B244" s="14" t="s">
        <v>513</v>
      </c>
      <c r="C244" s="14" t="s">
        <v>1108</v>
      </c>
      <c r="D244" s="14" t="s">
        <v>516</v>
      </c>
      <c r="E244" s="14" t="s">
        <v>970</v>
      </c>
      <c r="F244" s="14" t="s">
        <v>930</v>
      </c>
      <c r="G244" s="14" t="s">
        <v>961</v>
      </c>
    </row>
    <row r="245" spans="2:7" x14ac:dyDescent="0.3">
      <c r="B245" s="27" t="s">
        <v>1117</v>
      </c>
      <c r="C245" s="17">
        <f>АМОРТИЗАЦІЯ!C3</f>
        <v>815.88</v>
      </c>
      <c r="D245" s="17">
        <f>H221</f>
        <v>1932.7</v>
      </c>
      <c r="E245" s="17">
        <f>ROUND((C245/D245)/60,2)</f>
        <v>0.01</v>
      </c>
      <c r="F245" s="17">
        <f>D226</f>
        <v>20</v>
      </c>
      <c r="G245" s="16">
        <f>ROUND(E245*F245,2)</f>
        <v>0.2</v>
      </c>
    </row>
    <row r="247" spans="2:7" x14ac:dyDescent="0.3">
      <c r="B247" s="12" t="s">
        <v>948</v>
      </c>
      <c r="C247" s="12"/>
      <c r="D247" s="12"/>
      <c r="E247" s="11">
        <f>G260</f>
        <v>5.4</v>
      </c>
      <c r="F247" s="12" t="s">
        <v>971</v>
      </c>
    </row>
    <row r="248" spans="2:7" ht="12" customHeight="1" x14ac:dyDescent="0.3">
      <c r="B248" s="22"/>
      <c r="C248" s="22"/>
      <c r="D248" s="22"/>
      <c r="E248" s="23"/>
    </row>
    <row r="249" spans="2:7" ht="55.2" x14ac:dyDescent="0.3">
      <c r="B249" s="14" t="s">
        <v>948</v>
      </c>
      <c r="C249" s="14" t="s">
        <v>955</v>
      </c>
      <c r="D249" s="14" t="s">
        <v>516</v>
      </c>
      <c r="E249" s="14" t="s">
        <v>954</v>
      </c>
      <c r="F249" s="14" t="s">
        <v>930</v>
      </c>
      <c r="G249" s="14" t="s">
        <v>956</v>
      </c>
    </row>
    <row r="250" spans="2:7" x14ac:dyDescent="0.3">
      <c r="B250" s="1009" t="str">
        <f>B221</f>
        <v>Лікар-отоларинголог</v>
      </c>
      <c r="C250" s="1010"/>
      <c r="D250" s="1010"/>
      <c r="E250" s="1010"/>
      <c r="F250" s="1010"/>
      <c r="G250" s="1011"/>
    </row>
    <row r="251" spans="2:7" x14ac:dyDescent="0.3">
      <c r="B251" s="17" t="s">
        <v>951</v>
      </c>
      <c r="C251" s="112">
        <f>C198</f>
        <v>12188.608008565312</v>
      </c>
      <c r="D251" s="17">
        <f>H221</f>
        <v>1932.7</v>
      </c>
      <c r="E251" s="17">
        <f>ROUND((C251/D251)/60,2)</f>
        <v>0.11</v>
      </c>
      <c r="F251" s="17">
        <f>D225</f>
        <v>25</v>
      </c>
      <c r="G251" s="16">
        <f>ROUND(E251*F251,2)</f>
        <v>2.75</v>
      </c>
    </row>
    <row r="252" spans="2:7" x14ac:dyDescent="0.3">
      <c r="B252" s="17" t="s">
        <v>952</v>
      </c>
      <c r="C252" s="112">
        <f>C199</f>
        <v>53.149721627408987</v>
      </c>
      <c r="D252" s="17">
        <f>H221</f>
        <v>1932.7</v>
      </c>
      <c r="E252" s="17">
        <f>ROUND((C252/D252)/60,2)</f>
        <v>0</v>
      </c>
      <c r="F252" s="17">
        <f>D225</f>
        <v>25</v>
      </c>
      <c r="G252" s="16">
        <f>ROUND(E252*F252,2)</f>
        <v>0</v>
      </c>
    </row>
    <row r="253" spans="2:7" x14ac:dyDescent="0.3">
      <c r="B253" s="17" t="s">
        <v>953</v>
      </c>
      <c r="C253" s="112">
        <f>C200</f>
        <v>374.98368308351178</v>
      </c>
      <c r="D253" s="17">
        <f>H221</f>
        <v>1932.7</v>
      </c>
      <c r="E253" s="17">
        <f>ROUND((C253/D253)/60,2)</f>
        <v>0</v>
      </c>
      <c r="F253" s="17">
        <f>D225</f>
        <v>25</v>
      </c>
      <c r="G253" s="16">
        <f>ROUND(E253*F253,2)</f>
        <v>0</v>
      </c>
    </row>
    <row r="254" spans="2:7" x14ac:dyDescent="0.3">
      <c r="B254" s="17" t="s">
        <v>1109</v>
      </c>
      <c r="C254" s="112">
        <f>C201</f>
        <v>1686.0389293361886</v>
      </c>
      <c r="D254" s="17">
        <f>H221</f>
        <v>1932.7</v>
      </c>
      <c r="E254" s="17">
        <f>ROUND((C254/D254)/60,2)</f>
        <v>0.01</v>
      </c>
      <c r="F254" s="17">
        <f>D225</f>
        <v>25</v>
      </c>
      <c r="G254" s="16">
        <f>ROUND(E254*F254,2)</f>
        <v>0.25</v>
      </c>
    </row>
    <row r="255" spans="2:7" x14ac:dyDescent="0.3">
      <c r="B255" s="1009" t="str">
        <f>B222</f>
        <v>Сестра медична поліклініки</v>
      </c>
      <c r="C255" s="1010"/>
      <c r="D255" s="1010"/>
      <c r="E255" s="1010"/>
      <c r="F255" s="1010"/>
      <c r="G255" s="1011"/>
    </row>
    <row r="256" spans="2:7" x14ac:dyDescent="0.3">
      <c r="B256" s="17" t="s">
        <v>951</v>
      </c>
      <c r="C256" s="112">
        <f>C251</f>
        <v>12188.608008565312</v>
      </c>
      <c r="D256" s="17">
        <f>H222</f>
        <v>1932.7</v>
      </c>
      <c r="E256" s="17">
        <f>ROUND((C256/D256)/60,2)</f>
        <v>0.11</v>
      </c>
      <c r="F256" s="17">
        <f>D226</f>
        <v>20</v>
      </c>
      <c r="G256" s="16">
        <f>ROUND(E256*F256,2)</f>
        <v>2.2000000000000002</v>
      </c>
    </row>
    <row r="257" spans="1:19" x14ac:dyDescent="0.3">
      <c r="B257" s="17" t="s">
        <v>952</v>
      </c>
      <c r="C257" s="112">
        <f>C252</f>
        <v>53.149721627408987</v>
      </c>
      <c r="D257" s="17">
        <f>H222</f>
        <v>1932.7</v>
      </c>
      <c r="E257" s="17">
        <f>ROUND((C257/D257)/60,2)</f>
        <v>0</v>
      </c>
      <c r="F257" s="17">
        <f>D226</f>
        <v>20</v>
      </c>
      <c r="G257" s="16">
        <f>ROUND(E257*F257,2)</f>
        <v>0</v>
      </c>
    </row>
    <row r="258" spans="1:19" x14ac:dyDescent="0.3">
      <c r="B258" s="17" t="s">
        <v>953</v>
      </c>
      <c r="C258" s="112">
        <f>C253</f>
        <v>374.98368308351178</v>
      </c>
      <c r="D258" s="17">
        <f>H222</f>
        <v>1932.7</v>
      </c>
      <c r="E258" s="17">
        <f>ROUND((C258/D258)/60,2)</f>
        <v>0</v>
      </c>
      <c r="F258" s="17">
        <f>D226</f>
        <v>20</v>
      </c>
      <c r="G258" s="16">
        <f>ROUND(E258*F258,2)</f>
        <v>0</v>
      </c>
    </row>
    <row r="259" spans="1:19" x14ac:dyDescent="0.3">
      <c r="B259" s="17" t="s">
        <v>1109</v>
      </c>
      <c r="C259" s="112">
        <f>C254</f>
        <v>1686.0389293361886</v>
      </c>
      <c r="D259" s="17">
        <f>H222</f>
        <v>1932.7</v>
      </c>
      <c r="E259" s="17">
        <f>ROUND((C259/D259)/60,2)</f>
        <v>0.01</v>
      </c>
      <c r="F259" s="17">
        <f>D226</f>
        <v>20</v>
      </c>
      <c r="G259" s="16">
        <f>ROUND(E259*F259,2)</f>
        <v>0.2</v>
      </c>
    </row>
    <row r="260" spans="1:19" x14ac:dyDescent="0.3">
      <c r="B260" s="1012" t="s">
        <v>957</v>
      </c>
      <c r="C260" s="1013"/>
      <c r="D260" s="1013"/>
      <c r="E260" s="1013"/>
      <c r="F260" s="1014"/>
      <c r="G260" s="18">
        <f>SUM(G251:G259)</f>
        <v>5.4</v>
      </c>
    </row>
    <row r="262" spans="1:19" hidden="1" x14ac:dyDescent="0.3"/>
    <row r="263" spans="1:19" x14ac:dyDescent="0.3">
      <c r="B263" s="1015" t="s">
        <v>959</v>
      </c>
      <c r="C263" s="1015"/>
      <c r="D263" s="1015"/>
      <c r="E263" s="1015"/>
      <c r="F263" s="1015"/>
      <c r="G263" s="32">
        <f>E218+E230+E247+E242</f>
        <v>60.769999999999996</v>
      </c>
    </row>
    <row r="264" spans="1:19" x14ac:dyDescent="0.3">
      <c r="B264" s="33"/>
      <c r="C264" s="33"/>
      <c r="D264" s="33"/>
      <c r="E264" s="33"/>
      <c r="F264" s="33"/>
      <c r="G264" s="34"/>
    </row>
    <row r="265" spans="1:19" x14ac:dyDescent="0.3">
      <c r="B265" s="1015" t="s">
        <v>960</v>
      </c>
      <c r="C265" s="1015"/>
      <c r="D265" s="1015"/>
      <c r="E265" s="1015"/>
      <c r="F265" s="1015"/>
      <c r="G265" s="32">
        <f>ROUND(G263,0)</f>
        <v>61</v>
      </c>
    </row>
    <row r="267" spans="1:19" s="54" customFormat="1" ht="19.8" x14ac:dyDescent="0.4">
      <c r="A267" s="1016" t="s">
        <v>958</v>
      </c>
      <c r="B267" s="1016"/>
      <c r="C267" s="1016"/>
      <c r="D267" s="1016"/>
      <c r="E267" s="1016"/>
      <c r="F267" s="1016"/>
      <c r="G267" s="1016"/>
      <c r="H267" s="1016"/>
      <c r="I267" s="1016"/>
      <c r="J267" s="110"/>
      <c r="K267" s="110"/>
      <c r="L267" s="53"/>
      <c r="M267" s="53"/>
      <c r="N267" s="53"/>
      <c r="O267" s="53"/>
      <c r="P267" s="53"/>
      <c r="Q267" s="53"/>
      <c r="R267" s="53"/>
      <c r="S267" s="53"/>
    </row>
    <row r="268" spans="1:19" s="54" customFormat="1" ht="19.8" x14ac:dyDescent="0.4">
      <c r="A268" s="53"/>
      <c r="B268" s="53"/>
      <c r="C268" s="53"/>
      <c r="D268" s="53"/>
      <c r="E268" s="53"/>
      <c r="F268" s="53"/>
      <c r="G268" s="53"/>
      <c r="H268" s="53"/>
      <c r="I268" s="53"/>
      <c r="J268" s="110"/>
      <c r="K268" s="110"/>
      <c r="L268" s="53"/>
      <c r="M268" s="53"/>
      <c r="N268" s="53"/>
      <c r="O268" s="53"/>
      <c r="P268" s="53"/>
      <c r="Q268" s="53"/>
      <c r="R268" s="53"/>
      <c r="S268" s="53"/>
    </row>
    <row r="269" spans="1:19" s="54" customFormat="1" ht="36" customHeight="1" x14ac:dyDescent="0.4">
      <c r="A269" s="50" t="s">
        <v>712</v>
      </c>
      <c r="B269" s="1017" t="s">
        <v>713</v>
      </c>
      <c r="C269" s="1017"/>
      <c r="D269" s="1017"/>
      <c r="E269" s="52">
        <f>G318</f>
        <v>59</v>
      </c>
      <c r="F269" s="52" t="s">
        <v>971</v>
      </c>
      <c r="G269" s="53"/>
      <c r="H269" s="53"/>
      <c r="I269" s="53"/>
      <c r="J269" s="110"/>
      <c r="K269" s="110"/>
      <c r="L269" s="53"/>
      <c r="M269" s="53"/>
      <c r="N269" s="53"/>
      <c r="O269" s="53"/>
      <c r="P269" s="53"/>
      <c r="Q269" s="53"/>
      <c r="R269" s="53"/>
      <c r="S269" s="53"/>
    </row>
    <row r="271" spans="1:19" x14ac:dyDescent="0.3">
      <c r="B271" s="1018" t="s">
        <v>932</v>
      </c>
      <c r="C271" s="1018"/>
      <c r="D271" s="10"/>
      <c r="E271" s="11">
        <f>E278+E281+E279</f>
        <v>49.47</v>
      </c>
      <c r="F271" s="12" t="s">
        <v>971</v>
      </c>
    </row>
    <row r="273" spans="2:9" ht="27.6" x14ac:dyDescent="0.3">
      <c r="B273" s="13" t="s">
        <v>929</v>
      </c>
      <c r="C273" s="14" t="s">
        <v>928</v>
      </c>
      <c r="D273" s="14" t="s">
        <v>514</v>
      </c>
      <c r="E273" s="14" t="s">
        <v>515</v>
      </c>
      <c r="F273" s="14" t="s">
        <v>962</v>
      </c>
      <c r="G273" s="14" t="s">
        <v>926</v>
      </c>
      <c r="H273" s="14" t="s">
        <v>516</v>
      </c>
      <c r="I273" s="14" t="s">
        <v>961</v>
      </c>
    </row>
    <row r="274" spans="2:9" x14ac:dyDescent="0.3">
      <c r="B274" s="17" t="s">
        <v>1199</v>
      </c>
      <c r="C274" s="16">
        <f>ЗП!C12</f>
        <v>9101.2999999999993</v>
      </c>
      <c r="D274" s="16">
        <f>C274*12</f>
        <v>109215.59999999999</v>
      </c>
      <c r="E274" s="16">
        <f>ЗП!E12</f>
        <v>7001</v>
      </c>
      <c r="F274" s="16">
        <f>E274*0.5</f>
        <v>3500.5</v>
      </c>
      <c r="G274" s="16">
        <f>D274+E274+F274</f>
        <v>119717.09999999999</v>
      </c>
      <c r="H274" s="17">
        <v>1932.7</v>
      </c>
      <c r="I274" s="16">
        <f>ROUND((G274/H274)/60,2)</f>
        <v>1.03</v>
      </c>
    </row>
    <row r="275" spans="2:9" x14ac:dyDescent="0.3">
      <c r="B275" s="17" t="s">
        <v>539</v>
      </c>
      <c r="C275" s="16">
        <f>ЗП!C42</f>
        <v>6506.5</v>
      </c>
      <c r="D275" s="16">
        <f>C275*12</f>
        <v>78078</v>
      </c>
      <c r="E275" s="16">
        <f>ЗП!E42</f>
        <v>5005</v>
      </c>
      <c r="F275" s="16">
        <f>E275*0.5</f>
        <v>2502.5</v>
      </c>
      <c r="G275" s="16">
        <f>D275+E275+F275</f>
        <v>85585.5</v>
      </c>
      <c r="H275" s="17">
        <v>1932.7</v>
      </c>
      <c r="I275" s="16">
        <f>ROUND((G275/H275)/60,2)</f>
        <v>0.74</v>
      </c>
    </row>
    <row r="277" spans="2:9" ht="27.6" x14ac:dyDescent="0.3">
      <c r="B277" s="13" t="s">
        <v>929</v>
      </c>
      <c r="C277" s="14" t="s">
        <v>961</v>
      </c>
      <c r="D277" s="14" t="s">
        <v>930</v>
      </c>
      <c r="E277" s="14" t="s">
        <v>931</v>
      </c>
    </row>
    <row r="278" spans="2:9" x14ac:dyDescent="0.3">
      <c r="B278" s="15" t="str">
        <f>B274</f>
        <v>Лікар-офтальмолог</v>
      </c>
      <c r="C278" s="16">
        <f>I274</f>
        <v>1.03</v>
      </c>
      <c r="D278" s="17">
        <v>25</v>
      </c>
      <c r="E278" s="18">
        <f>ROUND(C278*D278,2)</f>
        <v>25.75</v>
      </c>
    </row>
    <row r="279" spans="2:9" x14ac:dyDescent="0.3">
      <c r="B279" s="15" t="str">
        <f>B275</f>
        <v>Сестра медична поліклініки</v>
      </c>
      <c r="C279" s="16">
        <f>I275</f>
        <v>0.74</v>
      </c>
      <c r="D279" s="17">
        <v>20</v>
      </c>
      <c r="E279" s="18">
        <f>ROUND(C279*D279,2)</f>
        <v>14.8</v>
      </c>
    </row>
    <row r="280" spans="2:9" x14ac:dyDescent="0.3">
      <c r="C280" s="19"/>
    </row>
    <row r="281" spans="2:9" x14ac:dyDescent="0.3">
      <c r="B281" s="17" t="s">
        <v>933</v>
      </c>
      <c r="C281" s="16">
        <f>E278+E279</f>
        <v>40.549999999999997</v>
      </c>
      <c r="D281" s="20">
        <v>0.22</v>
      </c>
      <c r="E281" s="21">
        <f>ROUND(C281*D281,2)</f>
        <v>8.92</v>
      </c>
    </row>
    <row r="283" spans="2:9" x14ac:dyDescent="0.3">
      <c r="B283" s="12" t="s">
        <v>946</v>
      </c>
      <c r="C283" s="12"/>
      <c r="D283" s="12"/>
      <c r="E283" s="12">
        <f>F293</f>
        <v>3.6199999999999997</v>
      </c>
      <c r="F283" s="12" t="s">
        <v>971</v>
      </c>
    </row>
    <row r="285" spans="2:9" x14ac:dyDescent="0.3">
      <c r="B285" s="27" t="s">
        <v>934</v>
      </c>
      <c r="C285" s="28" t="s">
        <v>935</v>
      </c>
      <c r="D285" s="29">
        <v>0.1</v>
      </c>
      <c r="E285" s="29">
        <f>'МЕДИЧНІ М'!E127</f>
        <v>2.8</v>
      </c>
      <c r="F285" s="30">
        <f t="shared" ref="F285:F292" si="5">ROUND(D285*E285,2)</f>
        <v>0.28000000000000003</v>
      </c>
    </row>
    <row r="286" spans="2:9" x14ac:dyDescent="0.3">
      <c r="B286" s="27" t="s">
        <v>936</v>
      </c>
      <c r="C286" s="28" t="s">
        <v>937</v>
      </c>
      <c r="D286" s="29">
        <v>1</v>
      </c>
      <c r="E286" s="30">
        <f>'МЕДИЧНІ М'!F126</f>
        <v>0.3</v>
      </c>
      <c r="F286" s="30">
        <f t="shared" si="5"/>
        <v>0.3</v>
      </c>
    </row>
    <row r="287" spans="2:9" x14ac:dyDescent="0.3">
      <c r="B287" s="27" t="s">
        <v>938</v>
      </c>
      <c r="C287" s="28" t="s">
        <v>939</v>
      </c>
      <c r="D287" s="58">
        <v>0.12</v>
      </c>
      <c r="E287" s="30">
        <f>'МЕДИЧНІ М'!F124</f>
        <v>6</v>
      </c>
      <c r="F287" s="30">
        <f t="shared" si="5"/>
        <v>0.72</v>
      </c>
    </row>
    <row r="288" spans="2:9" x14ac:dyDescent="0.3">
      <c r="B288" s="27" t="s">
        <v>940</v>
      </c>
      <c r="C288" s="28" t="s">
        <v>941</v>
      </c>
      <c r="D288" s="29">
        <v>0.5</v>
      </c>
      <c r="E288" s="29">
        <f>'МЕДИЧНІ М'!E125</f>
        <v>2</v>
      </c>
      <c r="F288" s="30">
        <f t="shared" si="5"/>
        <v>1</v>
      </c>
    </row>
    <row r="289" spans="2:7" x14ac:dyDescent="0.3">
      <c r="B289" s="27" t="s">
        <v>942</v>
      </c>
      <c r="C289" s="28" t="s">
        <v>941</v>
      </c>
      <c r="D289" s="29">
        <v>0.01</v>
      </c>
      <c r="E289" s="29">
        <f>'МЕДИЧНІ М'!E128</f>
        <v>24.6</v>
      </c>
      <c r="F289" s="30">
        <f t="shared" si="5"/>
        <v>0.25</v>
      </c>
    </row>
    <row r="290" spans="2:7" x14ac:dyDescent="0.3">
      <c r="B290" s="27" t="s">
        <v>943</v>
      </c>
      <c r="C290" s="28" t="s">
        <v>944</v>
      </c>
      <c r="D290" s="29">
        <v>1</v>
      </c>
      <c r="E290" s="30">
        <f>'МЕДИЧНІ М'!F122</f>
        <v>7.0000000000000007E-2</v>
      </c>
      <c r="F290" s="30">
        <f t="shared" si="5"/>
        <v>7.0000000000000007E-2</v>
      </c>
    </row>
    <row r="291" spans="2:7" x14ac:dyDescent="0.3">
      <c r="B291" s="27" t="s">
        <v>1124</v>
      </c>
      <c r="C291" s="28" t="s">
        <v>944</v>
      </c>
      <c r="D291" s="29">
        <v>0.5</v>
      </c>
      <c r="E291" s="29">
        <f>'МЕДИЧНІ М'!E123</f>
        <v>0.5</v>
      </c>
      <c r="F291" s="30">
        <f t="shared" si="5"/>
        <v>0.25</v>
      </c>
    </row>
    <row r="292" spans="2:7" x14ac:dyDescent="0.3">
      <c r="B292" s="27" t="s">
        <v>1159</v>
      </c>
      <c r="C292" s="28" t="s">
        <v>1160</v>
      </c>
      <c r="D292" s="29">
        <f>D278</f>
        <v>25</v>
      </c>
      <c r="E292" s="29">
        <f>ROUND(3389/H274/60,2)</f>
        <v>0.03</v>
      </c>
      <c r="F292" s="30">
        <f t="shared" si="5"/>
        <v>0.75</v>
      </c>
    </row>
    <row r="293" spans="2:7" x14ac:dyDescent="0.3">
      <c r="B293" s="1019" t="s">
        <v>945</v>
      </c>
      <c r="C293" s="1019"/>
      <c r="D293" s="1019"/>
      <c r="E293" s="1019"/>
      <c r="F293" s="31">
        <f>SUM(F285:F292)</f>
        <v>3.6199999999999997</v>
      </c>
    </row>
    <row r="295" spans="2:7" x14ac:dyDescent="0.3">
      <c r="B295" s="12" t="s">
        <v>968</v>
      </c>
      <c r="C295" s="12"/>
      <c r="D295" s="12"/>
      <c r="E295" s="11">
        <f>G298</f>
        <v>0.2</v>
      </c>
      <c r="F295" s="12" t="s">
        <v>971</v>
      </c>
    </row>
    <row r="296" spans="2:7" x14ac:dyDescent="0.3">
      <c r="B296" s="22"/>
      <c r="C296" s="22"/>
      <c r="D296" s="22"/>
      <c r="E296" s="23"/>
      <c r="F296" s="22"/>
    </row>
    <row r="297" spans="2:7" ht="27.6" x14ac:dyDescent="0.3">
      <c r="B297" s="14" t="s">
        <v>513</v>
      </c>
      <c r="C297" s="14" t="s">
        <v>1108</v>
      </c>
      <c r="D297" s="14" t="s">
        <v>516</v>
      </c>
      <c r="E297" s="14" t="s">
        <v>970</v>
      </c>
      <c r="F297" s="14" t="s">
        <v>930</v>
      </c>
      <c r="G297" s="14" t="s">
        <v>961</v>
      </c>
    </row>
    <row r="298" spans="2:7" x14ac:dyDescent="0.3">
      <c r="B298" s="27" t="s">
        <v>1117</v>
      </c>
      <c r="C298" s="17">
        <f>АМОРТИЗАЦІЯ!C3</f>
        <v>815.88</v>
      </c>
      <c r="D298" s="17">
        <f>H274</f>
        <v>1932.7</v>
      </c>
      <c r="E298" s="17">
        <f>ROUND((C298/D298)/60,2)</f>
        <v>0.01</v>
      </c>
      <c r="F298" s="17">
        <f>D279</f>
        <v>20</v>
      </c>
      <c r="G298" s="16">
        <f>ROUND(E298*F298,2)</f>
        <v>0.2</v>
      </c>
    </row>
    <row r="300" spans="2:7" x14ac:dyDescent="0.3">
      <c r="B300" s="22" t="s">
        <v>948</v>
      </c>
      <c r="C300" s="22"/>
      <c r="D300" s="22"/>
      <c r="E300" s="23">
        <f>G313</f>
        <v>5.4</v>
      </c>
      <c r="F300" s="22" t="s">
        <v>971</v>
      </c>
    </row>
    <row r="301" spans="2:7" ht="6.75" customHeight="1" x14ac:dyDescent="0.3">
      <c r="B301" s="22"/>
      <c r="C301" s="22"/>
      <c r="D301" s="22"/>
      <c r="E301" s="23"/>
    </row>
    <row r="302" spans="2:7" ht="55.2" x14ac:dyDescent="0.3">
      <c r="B302" s="14" t="s">
        <v>948</v>
      </c>
      <c r="C302" s="14" t="s">
        <v>955</v>
      </c>
      <c r="D302" s="14" t="s">
        <v>516</v>
      </c>
      <c r="E302" s="14" t="s">
        <v>954</v>
      </c>
      <c r="F302" s="14" t="s">
        <v>930</v>
      </c>
      <c r="G302" s="14" t="s">
        <v>956</v>
      </c>
    </row>
    <row r="303" spans="2:7" x14ac:dyDescent="0.3">
      <c r="B303" s="1009" t="str">
        <f>B274</f>
        <v>Лікар-офтальмолог</v>
      </c>
      <c r="C303" s="1010"/>
      <c r="D303" s="1010"/>
      <c r="E303" s="1010"/>
      <c r="F303" s="1010"/>
      <c r="G303" s="1011"/>
    </row>
    <row r="304" spans="2:7" x14ac:dyDescent="0.3">
      <c r="B304" s="17" t="s">
        <v>951</v>
      </c>
      <c r="C304" s="112">
        <f>C251</f>
        <v>12188.608008565312</v>
      </c>
      <c r="D304" s="17">
        <f>H274</f>
        <v>1932.7</v>
      </c>
      <c r="E304" s="17">
        <f>ROUND((C304/D304)/60,2)</f>
        <v>0.11</v>
      </c>
      <c r="F304" s="17">
        <f>D278</f>
        <v>25</v>
      </c>
      <c r="G304" s="16">
        <f>ROUND(E304*F304,2)</f>
        <v>2.75</v>
      </c>
    </row>
    <row r="305" spans="2:7" x14ac:dyDescent="0.3">
      <c r="B305" s="17" t="s">
        <v>952</v>
      </c>
      <c r="C305" s="112">
        <f>C252</f>
        <v>53.149721627408987</v>
      </c>
      <c r="D305" s="17">
        <f>H274</f>
        <v>1932.7</v>
      </c>
      <c r="E305" s="17">
        <f>ROUND((C305/D305)/60,2)</f>
        <v>0</v>
      </c>
      <c r="F305" s="17">
        <f>D278</f>
        <v>25</v>
      </c>
      <c r="G305" s="16">
        <f>ROUND(E305*F305,2)</f>
        <v>0</v>
      </c>
    </row>
    <row r="306" spans="2:7" x14ac:dyDescent="0.3">
      <c r="B306" s="17" t="s">
        <v>953</v>
      </c>
      <c r="C306" s="112">
        <f>C253</f>
        <v>374.98368308351178</v>
      </c>
      <c r="D306" s="17">
        <f>H274</f>
        <v>1932.7</v>
      </c>
      <c r="E306" s="17">
        <f>ROUND((C306/D306)/60,2)</f>
        <v>0</v>
      </c>
      <c r="F306" s="17">
        <f>D278</f>
        <v>25</v>
      </c>
      <c r="G306" s="16">
        <f>ROUND(E306*F306,2)</f>
        <v>0</v>
      </c>
    </row>
    <row r="307" spans="2:7" x14ac:dyDescent="0.3">
      <c r="B307" s="17" t="s">
        <v>1109</v>
      </c>
      <c r="C307" s="112">
        <f>C254</f>
        <v>1686.0389293361886</v>
      </c>
      <c r="D307" s="17">
        <f>H274</f>
        <v>1932.7</v>
      </c>
      <c r="E307" s="17">
        <f>ROUND((C307/D307)/60,2)</f>
        <v>0.01</v>
      </c>
      <c r="F307" s="17">
        <f>D278</f>
        <v>25</v>
      </c>
      <c r="G307" s="16">
        <f>ROUND(E307*F307,2)</f>
        <v>0.25</v>
      </c>
    </row>
    <row r="308" spans="2:7" x14ac:dyDescent="0.3">
      <c r="B308" s="1009" t="str">
        <f>B275</f>
        <v>Сестра медична поліклініки</v>
      </c>
      <c r="C308" s="1010"/>
      <c r="D308" s="1010"/>
      <c r="E308" s="1010"/>
      <c r="F308" s="1010"/>
      <c r="G308" s="1011"/>
    </row>
    <row r="309" spans="2:7" x14ac:dyDescent="0.3">
      <c r="B309" s="17" t="s">
        <v>951</v>
      </c>
      <c r="C309" s="112">
        <f>C304</f>
        <v>12188.608008565312</v>
      </c>
      <c r="D309" s="17">
        <f>H275</f>
        <v>1932.7</v>
      </c>
      <c r="E309" s="17">
        <f>ROUND((C309/D309)/60,2)</f>
        <v>0.11</v>
      </c>
      <c r="F309" s="17">
        <f>D279</f>
        <v>20</v>
      </c>
      <c r="G309" s="16">
        <f>ROUND(E309*F309,2)</f>
        <v>2.2000000000000002</v>
      </c>
    </row>
    <row r="310" spans="2:7" x14ac:dyDescent="0.3">
      <c r="B310" s="17" t="s">
        <v>952</v>
      </c>
      <c r="C310" s="112">
        <f>C305</f>
        <v>53.149721627408987</v>
      </c>
      <c r="D310" s="17">
        <f>H275</f>
        <v>1932.7</v>
      </c>
      <c r="E310" s="17">
        <f>ROUND((C310/D310)/60,2)</f>
        <v>0</v>
      </c>
      <c r="F310" s="17">
        <f>D279</f>
        <v>20</v>
      </c>
      <c r="G310" s="16">
        <f>ROUND(E310*F310,2)</f>
        <v>0</v>
      </c>
    </row>
    <row r="311" spans="2:7" x14ac:dyDescent="0.3">
      <c r="B311" s="17" t="s">
        <v>953</v>
      </c>
      <c r="C311" s="112">
        <f>C306</f>
        <v>374.98368308351178</v>
      </c>
      <c r="D311" s="17">
        <f>H275</f>
        <v>1932.7</v>
      </c>
      <c r="E311" s="17">
        <f>ROUND((C311/D311)/60,2)</f>
        <v>0</v>
      </c>
      <c r="F311" s="17">
        <f>D279</f>
        <v>20</v>
      </c>
      <c r="G311" s="16">
        <f>ROUND(E311*F311,2)</f>
        <v>0</v>
      </c>
    </row>
    <row r="312" spans="2:7" x14ac:dyDescent="0.3">
      <c r="B312" s="17" t="s">
        <v>1109</v>
      </c>
      <c r="C312" s="112">
        <f>C307</f>
        <v>1686.0389293361886</v>
      </c>
      <c r="D312" s="17">
        <f>H275</f>
        <v>1932.7</v>
      </c>
      <c r="E312" s="17">
        <f>ROUND((C312/D312)/60,2)</f>
        <v>0.01</v>
      </c>
      <c r="F312" s="17">
        <f>D279</f>
        <v>20</v>
      </c>
      <c r="G312" s="16">
        <f>ROUND(E312*F312,2)</f>
        <v>0.2</v>
      </c>
    </row>
    <row r="313" spans="2:7" x14ac:dyDescent="0.3">
      <c r="B313" s="1012" t="s">
        <v>957</v>
      </c>
      <c r="C313" s="1013"/>
      <c r="D313" s="1013"/>
      <c r="E313" s="1013"/>
      <c r="F313" s="1014"/>
      <c r="G313" s="18">
        <f>SUM(G304:G312)</f>
        <v>5.4</v>
      </c>
    </row>
    <row r="314" spans="2:7" ht="13.5" customHeight="1" x14ac:dyDescent="0.3"/>
    <row r="315" spans="2:7" hidden="1" x14ac:dyDescent="0.3"/>
    <row r="316" spans="2:7" x14ac:dyDescent="0.3">
      <c r="B316" s="1015" t="s">
        <v>959</v>
      </c>
      <c r="C316" s="1015"/>
      <c r="D316" s="1015"/>
      <c r="E316" s="1015"/>
      <c r="F316" s="1015"/>
      <c r="G316" s="32">
        <f>E271+E283+E300+E295</f>
        <v>58.69</v>
      </c>
    </row>
    <row r="317" spans="2:7" x14ac:dyDescent="0.3">
      <c r="B317" s="33"/>
      <c r="C317" s="33"/>
      <c r="D317" s="33"/>
      <c r="E317" s="33"/>
      <c r="F317" s="33"/>
      <c r="G317" s="34"/>
    </row>
    <row r="318" spans="2:7" x14ac:dyDescent="0.3">
      <c r="B318" s="1015" t="s">
        <v>960</v>
      </c>
      <c r="C318" s="1015"/>
      <c r="D318" s="1015"/>
      <c r="E318" s="1015"/>
      <c r="F318" s="1015"/>
      <c r="G318" s="32">
        <f>ROUND(G316,0)</f>
        <v>59</v>
      </c>
    </row>
    <row r="321" spans="1:19" s="54" customFormat="1" ht="19.8" x14ac:dyDescent="0.4">
      <c r="A321" s="1016" t="s">
        <v>958</v>
      </c>
      <c r="B321" s="1016"/>
      <c r="C321" s="1016"/>
      <c r="D321" s="1016"/>
      <c r="E321" s="1016"/>
      <c r="F321" s="1016"/>
      <c r="G321" s="1016"/>
      <c r="H321" s="1016"/>
      <c r="I321" s="1016"/>
      <c r="J321" s="110"/>
      <c r="K321" s="110"/>
      <c r="L321" s="53"/>
      <c r="M321" s="53"/>
      <c r="N321" s="53"/>
      <c r="O321" s="53"/>
      <c r="P321" s="53"/>
      <c r="Q321" s="53"/>
      <c r="R321" s="53"/>
      <c r="S321" s="53"/>
    </row>
    <row r="322" spans="1:19" s="54" customFormat="1" ht="19.8" x14ac:dyDescent="0.4">
      <c r="A322" s="53"/>
      <c r="B322" s="53"/>
      <c r="C322" s="53"/>
      <c r="D322" s="53"/>
      <c r="E322" s="53"/>
      <c r="F322" s="53"/>
      <c r="G322" s="53"/>
      <c r="H322" s="53"/>
      <c r="I322" s="53"/>
      <c r="J322" s="110"/>
      <c r="K322" s="110"/>
      <c r="L322" s="53"/>
      <c r="M322" s="53"/>
      <c r="N322" s="53"/>
      <c r="O322" s="53"/>
      <c r="P322" s="53"/>
      <c r="Q322" s="53"/>
      <c r="R322" s="53"/>
      <c r="S322" s="53"/>
    </row>
    <row r="323" spans="1:19" s="54" customFormat="1" ht="35.25" customHeight="1" x14ac:dyDescent="0.4">
      <c r="A323" s="50" t="s">
        <v>714</v>
      </c>
      <c r="B323" s="1017" t="s">
        <v>717</v>
      </c>
      <c r="C323" s="1017"/>
      <c r="D323" s="1017"/>
      <c r="E323" s="52">
        <f>G372</f>
        <v>73</v>
      </c>
      <c r="F323" s="52" t="s">
        <v>971</v>
      </c>
      <c r="G323" s="53"/>
      <c r="H323" s="53"/>
      <c r="I323" s="53"/>
      <c r="J323" s="110"/>
      <c r="K323" s="110"/>
      <c r="L323" s="53"/>
      <c r="M323" s="53"/>
      <c r="N323" s="53"/>
      <c r="O323" s="53"/>
      <c r="P323" s="53"/>
      <c r="Q323" s="53"/>
      <c r="R323" s="53"/>
      <c r="S323" s="53"/>
    </row>
    <row r="325" spans="1:19" x14ac:dyDescent="0.3">
      <c r="B325" s="1018" t="s">
        <v>932</v>
      </c>
      <c r="C325" s="1018"/>
      <c r="D325" s="10"/>
      <c r="E325" s="11">
        <f>E332+E335+E333</f>
        <v>63.5</v>
      </c>
      <c r="F325" s="12" t="s">
        <v>971</v>
      </c>
    </row>
    <row r="327" spans="1:19" ht="27.6" x14ac:dyDescent="0.3">
      <c r="B327" s="13" t="s">
        <v>929</v>
      </c>
      <c r="C327" s="14" t="s">
        <v>928</v>
      </c>
      <c r="D327" s="14" t="s">
        <v>514</v>
      </c>
      <c r="E327" s="14" t="s">
        <v>515</v>
      </c>
      <c r="F327" s="14" t="s">
        <v>962</v>
      </c>
      <c r="G327" s="14" t="s">
        <v>926</v>
      </c>
      <c r="H327" s="14" t="s">
        <v>516</v>
      </c>
      <c r="I327" s="14" t="s">
        <v>961</v>
      </c>
    </row>
    <row r="328" spans="1:19" x14ac:dyDescent="0.3">
      <c r="B328" s="17" t="s">
        <v>524</v>
      </c>
      <c r="C328" s="16">
        <f>ЗП!C13</f>
        <v>11951.94</v>
      </c>
      <c r="D328" s="16">
        <f>C328*12</f>
        <v>143423.28</v>
      </c>
      <c r="E328" s="16">
        <f>ЗП!E13</f>
        <v>9193.7999999999993</v>
      </c>
      <c r="F328" s="16">
        <f>E328*0.5</f>
        <v>4596.8999999999996</v>
      </c>
      <c r="G328" s="16">
        <f>D328+E328+F328</f>
        <v>157213.97999999998</v>
      </c>
      <c r="H328" s="17">
        <v>1807.2</v>
      </c>
      <c r="I328" s="16">
        <f>ROUND((G328/H328)/60,2)</f>
        <v>1.45</v>
      </c>
    </row>
    <row r="329" spans="1:19" x14ac:dyDescent="0.3">
      <c r="B329" s="17" t="s">
        <v>1193</v>
      </c>
      <c r="C329" s="16">
        <f>ЗП!C42</f>
        <v>6506.5</v>
      </c>
      <c r="D329" s="16">
        <f>C329*12</f>
        <v>78078</v>
      </c>
      <c r="E329" s="16">
        <f>ЗП!E42</f>
        <v>5005</v>
      </c>
      <c r="F329" s="16">
        <f>E329*0.5</f>
        <v>2502.5</v>
      </c>
      <c r="G329" s="16">
        <f>D329+E329+F329</f>
        <v>85585.5</v>
      </c>
      <c r="H329" s="17">
        <v>1807.2</v>
      </c>
      <c r="I329" s="16">
        <f>ROUND((G329/H329)/60,2)</f>
        <v>0.79</v>
      </c>
    </row>
    <row r="331" spans="1:19" ht="27.6" x14ac:dyDescent="0.3">
      <c r="B331" s="13" t="s">
        <v>929</v>
      </c>
      <c r="C331" s="14" t="s">
        <v>961</v>
      </c>
      <c r="D331" s="14" t="s">
        <v>930</v>
      </c>
      <c r="E331" s="14" t="s">
        <v>931</v>
      </c>
    </row>
    <row r="332" spans="1:19" x14ac:dyDescent="0.3">
      <c r="B332" s="15" t="str">
        <f>B328</f>
        <v>Лікар-інфекціоніст</v>
      </c>
      <c r="C332" s="16">
        <f>I328</f>
        <v>1.45</v>
      </c>
      <c r="D332" s="17">
        <v>25</v>
      </c>
      <c r="E332" s="18">
        <f>ROUND(C332*D332,2)</f>
        <v>36.25</v>
      </c>
    </row>
    <row r="333" spans="1:19" x14ac:dyDescent="0.3">
      <c r="B333" s="15" t="str">
        <f>B329</f>
        <v xml:space="preserve">Сестра медична </v>
      </c>
      <c r="C333" s="16">
        <f>I329</f>
        <v>0.79</v>
      </c>
      <c r="D333" s="17">
        <v>20</v>
      </c>
      <c r="E333" s="18">
        <f>ROUND(C333*D333,2)</f>
        <v>15.8</v>
      </c>
    </row>
    <row r="334" spans="1:19" x14ac:dyDescent="0.3">
      <c r="C334" s="19"/>
    </row>
    <row r="335" spans="1:19" x14ac:dyDescent="0.3">
      <c r="B335" s="17" t="s">
        <v>933</v>
      </c>
      <c r="C335" s="16">
        <f>E332+E333</f>
        <v>52.05</v>
      </c>
      <c r="D335" s="20">
        <v>0.22</v>
      </c>
      <c r="E335" s="21">
        <f>ROUND(C335*D335,2)</f>
        <v>11.45</v>
      </c>
    </row>
    <row r="337" spans="2:7" x14ac:dyDescent="0.3">
      <c r="B337" s="12" t="s">
        <v>946</v>
      </c>
      <c r="C337" s="12"/>
      <c r="D337" s="12"/>
      <c r="E337" s="12">
        <f>F347</f>
        <v>3.38</v>
      </c>
      <c r="F337" s="12" t="s">
        <v>971</v>
      </c>
    </row>
    <row r="339" spans="2:7" x14ac:dyDescent="0.3">
      <c r="B339" s="27" t="s">
        <v>934</v>
      </c>
      <c r="C339" s="28" t="s">
        <v>935</v>
      </c>
      <c r="D339" s="29">
        <v>0.1</v>
      </c>
      <c r="E339" s="29">
        <f>'МЕДИЧНІ М'!E127</f>
        <v>2.8</v>
      </c>
      <c r="F339" s="30">
        <f t="shared" ref="F339:F346" si="6">ROUND(D339*E339,2)</f>
        <v>0.28000000000000003</v>
      </c>
    </row>
    <row r="340" spans="2:7" x14ac:dyDescent="0.3">
      <c r="B340" s="27" t="s">
        <v>936</v>
      </c>
      <c r="C340" s="28" t="s">
        <v>937</v>
      </c>
      <c r="D340" s="29">
        <v>1</v>
      </c>
      <c r="E340" s="30">
        <f>'МЕДИЧНІ М'!F126</f>
        <v>0.3</v>
      </c>
      <c r="F340" s="30">
        <f t="shared" si="6"/>
        <v>0.3</v>
      </c>
    </row>
    <row r="341" spans="2:7" x14ac:dyDescent="0.3">
      <c r="B341" s="27" t="s">
        <v>938</v>
      </c>
      <c r="C341" s="28" t="s">
        <v>939</v>
      </c>
      <c r="D341" s="58">
        <v>0.08</v>
      </c>
      <c r="E341" s="30">
        <f>'МЕДИЧНІ М'!F124</f>
        <v>6</v>
      </c>
      <c r="F341" s="30">
        <f t="shared" si="6"/>
        <v>0.48</v>
      </c>
    </row>
    <row r="342" spans="2:7" x14ac:dyDescent="0.3">
      <c r="B342" s="27" t="s">
        <v>940</v>
      </c>
      <c r="C342" s="28" t="s">
        <v>941</v>
      </c>
      <c r="D342" s="29">
        <v>0.5</v>
      </c>
      <c r="E342" s="29">
        <f>'МЕДИЧНІ М'!E125</f>
        <v>2</v>
      </c>
      <c r="F342" s="30">
        <f t="shared" si="6"/>
        <v>1</v>
      </c>
    </row>
    <row r="343" spans="2:7" x14ac:dyDescent="0.3">
      <c r="B343" s="27" t="s">
        <v>942</v>
      </c>
      <c r="C343" s="28" t="s">
        <v>941</v>
      </c>
      <c r="D343" s="29">
        <v>0.01</v>
      </c>
      <c r="E343" s="29">
        <f>'МЕДИЧНІ М'!E128</f>
        <v>24.6</v>
      </c>
      <c r="F343" s="30">
        <f t="shared" si="6"/>
        <v>0.25</v>
      </c>
    </row>
    <row r="344" spans="2:7" x14ac:dyDescent="0.3">
      <c r="B344" s="27" t="s">
        <v>943</v>
      </c>
      <c r="C344" s="28" t="s">
        <v>944</v>
      </c>
      <c r="D344" s="29">
        <v>1</v>
      </c>
      <c r="E344" s="30">
        <f>'МЕДИЧНІ М'!F122</f>
        <v>7.0000000000000007E-2</v>
      </c>
      <c r="F344" s="30">
        <f t="shared" si="6"/>
        <v>7.0000000000000007E-2</v>
      </c>
    </row>
    <row r="345" spans="2:7" x14ac:dyDescent="0.3">
      <c r="B345" s="27" t="s">
        <v>1124</v>
      </c>
      <c r="C345" s="28" t="s">
        <v>944</v>
      </c>
      <c r="D345" s="29">
        <v>0.5</v>
      </c>
      <c r="E345" s="29">
        <f>'МЕДИЧНІ М'!E123</f>
        <v>0.5</v>
      </c>
      <c r="F345" s="30">
        <f t="shared" si="6"/>
        <v>0.25</v>
      </c>
    </row>
    <row r="346" spans="2:7" x14ac:dyDescent="0.3">
      <c r="B346" s="27" t="s">
        <v>1159</v>
      </c>
      <c r="C346" s="28" t="s">
        <v>1160</v>
      </c>
      <c r="D346" s="29">
        <f>D332</f>
        <v>25</v>
      </c>
      <c r="E346" s="29">
        <f>ROUND(3389/H328/60,2)</f>
        <v>0.03</v>
      </c>
      <c r="F346" s="30">
        <f t="shared" si="6"/>
        <v>0.75</v>
      </c>
    </row>
    <row r="347" spans="2:7" x14ac:dyDescent="0.3">
      <c r="B347" s="1019" t="s">
        <v>945</v>
      </c>
      <c r="C347" s="1019"/>
      <c r="D347" s="1019"/>
      <c r="E347" s="1019"/>
      <c r="F347" s="31">
        <f>SUM(F339:F346)</f>
        <v>3.38</v>
      </c>
    </row>
    <row r="349" spans="2:7" x14ac:dyDescent="0.3">
      <c r="B349" s="12" t="s">
        <v>968</v>
      </c>
      <c r="C349" s="12"/>
      <c r="D349" s="12"/>
      <c r="E349" s="11">
        <f>G352</f>
        <v>0.2</v>
      </c>
      <c r="F349" s="12" t="s">
        <v>971</v>
      </c>
    </row>
    <row r="350" spans="2:7" ht="10.5" customHeight="1" x14ac:dyDescent="0.3">
      <c r="B350" s="22"/>
      <c r="C350" s="22"/>
      <c r="D350" s="22"/>
      <c r="E350" s="23"/>
      <c r="F350" s="22"/>
    </row>
    <row r="351" spans="2:7" ht="27.6" x14ac:dyDescent="0.3">
      <c r="B351" s="14" t="s">
        <v>513</v>
      </c>
      <c r="C351" s="14" t="s">
        <v>1108</v>
      </c>
      <c r="D351" s="14" t="s">
        <v>516</v>
      </c>
      <c r="E351" s="14" t="s">
        <v>970</v>
      </c>
      <c r="F351" s="14" t="s">
        <v>930</v>
      </c>
      <c r="G351" s="14" t="s">
        <v>961</v>
      </c>
    </row>
    <row r="352" spans="2:7" x14ac:dyDescent="0.3">
      <c r="B352" s="27" t="s">
        <v>1117</v>
      </c>
      <c r="C352" s="17">
        <f>АМОРТИЗАЦІЯ!C3</f>
        <v>815.88</v>
      </c>
      <c r="D352" s="17">
        <f>H328</f>
        <v>1807.2</v>
      </c>
      <c r="E352" s="17">
        <f>ROUND((C352/D352)/60,2)</f>
        <v>0.01</v>
      </c>
      <c r="F352" s="17">
        <f>D333</f>
        <v>20</v>
      </c>
      <c r="G352" s="16">
        <f>ROUND(E352*F352,2)</f>
        <v>0.2</v>
      </c>
    </row>
    <row r="354" spans="2:7" x14ac:dyDescent="0.3">
      <c r="B354" s="12" t="s">
        <v>948</v>
      </c>
      <c r="C354" s="12"/>
      <c r="D354" s="12"/>
      <c r="E354" s="11">
        <f>G367</f>
        <v>5.8500000000000005</v>
      </c>
      <c r="F354" s="12" t="s">
        <v>971</v>
      </c>
    </row>
    <row r="355" spans="2:7" ht="9" customHeight="1" x14ac:dyDescent="0.3">
      <c r="B355" s="22"/>
      <c r="C355" s="22"/>
      <c r="D355" s="22"/>
      <c r="E355" s="23"/>
    </row>
    <row r="356" spans="2:7" ht="55.2" x14ac:dyDescent="0.3">
      <c r="B356" s="14" t="s">
        <v>948</v>
      </c>
      <c r="C356" s="14" t="s">
        <v>955</v>
      </c>
      <c r="D356" s="14" t="s">
        <v>516</v>
      </c>
      <c r="E356" s="14" t="s">
        <v>954</v>
      </c>
      <c r="F356" s="14" t="s">
        <v>930</v>
      </c>
      <c r="G356" s="14" t="s">
        <v>956</v>
      </c>
    </row>
    <row r="357" spans="2:7" x14ac:dyDescent="0.3">
      <c r="B357" s="1009" t="str">
        <f>B328</f>
        <v>Лікар-інфекціоніст</v>
      </c>
      <c r="C357" s="1010"/>
      <c r="D357" s="1010"/>
      <c r="E357" s="1010"/>
      <c r="F357" s="1010"/>
      <c r="G357" s="1011"/>
    </row>
    <row r="358" spans="2:7" x14ac:dyDescent="0.3">
      <c r="B358" s="17" t="s">
        <v>951</v>
      </c>
      <c r="C358" s="112">
        <f>C304</f>
        <v>12188.608008565312</v>
      </c>
      <c r="D358" s="17">
        <f>H328</f>
        <v>1807.2</v>
      </c>
      <c r="E358" s="17">
        <f>ROUND((C358/D358)/60,2)</f>
        <v>0.11</v>
      </c>
      <c r="F358" s="17">
        <f>D332</f>
        <v>25</v>
      </c>
      <c r="G358" s="16">
        <f>ROUND(E358*F358,2)</f>
        <v>2.75</v>
      </c>
    </row>
    <row r="359" spans="2:7" x14ac:dyDescent="0.3">
      <c r="B359" s="17" t="s">
        <v>952</v>
      </c>
      <c r="C359" s="112">
        <f>C305</f>
        <v>53.149721627408987</v>
      </c>
      <c r="D359" s="17">
        <f>H328</f>
        <v>1807.2</v>
      </c>
      <c r="E359" s="17">
        <f>ROUND((C359/D359)/60,2)</f>
        <v>0</v>
      </c>
      <c r="F359" s="17">
        <f>D332</f>
        <v>25</v>
      </c>
      <c r="G359" s="16">
        <f>ROUND(E359*F359,2)</f>
        <v>0</v>
      </c>
    </row>
    <row r="360" spans="2:7" x14ac:dyDescent="0.3">
      <c r="B360" s="17" t="s">
        <v>953</v>
      </c>
      <c r="C360" s="112">
        <f>C306</f>
        <v>374.98368308351178</v>
      </c>
      <c r="D360" s="17">
        <f>H328</f>
        <v>1807.2</v>
      </c>
      <c r="E360" s="17">
        <f>ROUND((C360/D360)/60,2)</f>
        <v>0</v>
      </c>
      <c r="F360" s="17">
        <f>D332</f>
        <v>25</v>
      </c>
      <c r="G360" s="16">
        <f>ROUND(E360*F360,2)</f>
        <v>0</v>
      </c>
    </row>
    <row r="361" spans="2:7" x14ac:dyDescent="0.3">
      <c r="B361" s="17" t="s">
        <v>1109</v>
      </c>
      <c r="C361" s="112">
        <f>C307</f>
        <v>1686.0389293361886</v>
      </c>
      <c r="D361" s="17">
        <f>H328</f>
        <v>1807.2</v>
      </c>
      <c r="E361" s="17">
        <f>ROUND((C361/D361)/60,2)</f>
        <v>0.02</v>
      </c>
      <c r="F361" s="17">
        <f>D332</f>
        <v>25</v>
      </c>
      <c r="G361" s="16">
        <f>ROUND(E361*F361,2)</f>
        <v>0.5</v>
      </c>
    </row>
    <row r="362" spans="2:7" x14ac:dyDescent="0.3">
      <c r="B362" s="1009" t="str">
        <f>B329</f>
        <v xml:space="preserve">Сестра медична </v>
      </c>
      <c r="C362" s="1010"/>
      <c r="D362" s="1010"/>
      <c r="E362" s="1010"/>
      <c r="F362" s="1010"/>
      <c r="G362" s="1011"/>
    </row>
    <row r="363" spans="2:7" x14ac:dyDescent="0.3">
      <c r="B363" s="17" t="s">
        <v>951</v>
      </c>
      <c r="C363" s="112">
        <f>C358</f>
        <v>12188.608008565312</v>
      </c>
      <c r="D363" s="17">
        <f>H329</f>
        <v>1807.2</v>
      </c>
      <c r="E363" s="17">
        <f>ROUND((C363/D363)/60,2)</f>
        <v>0.11</v>
      </c>
      <c r="F363" s="17">
        <f>D333</f>
        <v>20</v>
      </c>
      <c r="G363" s="16">
        <f>ROUND(E363*F363,2)</f>
        <v>2.2000000000000002</v>
      </c>
    </row>
    <row r="364" spans="2:7" x14ac:dyDescent="0.3">
      <c r="B364" s="17" t="s">
        <v>952</v>
      </c>
      <c r="C364" s="112">
        <f>C359</f>
        <v>53.149721627408987</v>
      </c>
      <c r="D364" s="17">
        <f>H329</f>
        <v>1807.2</v>
      </c>
      <c r="E364" s="17">
        <f>ROUND((C364/D364)/60,2)</f>
        <v>0</v>
      </c>
      <c r="F364" s="17">
        <f>D333</f>
        <v>20</v>
      </c>
      <c r="G364" s="16">
        <f>ROUND(E364*F364,2)</f>
        <v>0</v>
      </c>
    </row>
    <row r="365" spans="2:7" x14ac:dyDescent="0.3">
      <c r="B365" s="17" t="s">
        <v>953</v>
      </c>
      <c r="C365" s="112">
        <f>C360</f>
        <v>374.98368308351178</v>
      </c>
      <c r="D365" s="17">
        <f>H329</f>
        <v>1807.2</v>
      </c>
      <c r="E365" s="17">
        <f>ROUND((C365/D365)/60,2)</f>
        <v>0</v>
      </c>
      <c r="F365" s="17">
        <f>D333</f>
        <v>20</v>
      </c>
      <c r="G365" s="16">
        <f>ROUND(E365*F365,2)</f>
        <v>0</v>
      </c>
    </row>
    <row r="366" spans="2:7" x14ac:dyDescent="0.3">
      <c r="B366" s="17" t="s">
        <v>1109</v>
      </c>
      <c r="C366" s="112">
        <f>C361</f>
        <v>1686.0389293361886</v>
      </c>
      <c r="D366" s="17">
        <f>H329</f>
        <v>1807.2</v>
      </c>
      <c r="E366" s="17">
        <f>ROUND((C366/D366)/60,2)</f>
        <v>0.02</v>
      </c>
      <c r="F366" s="17">
        <f>D333</f>
        <v>20</v>
      </c>
      <c r="G366" s="16">
        <f>ROUND(E366*F366,2)</f>
        <v>0.4</v>
      </c>
    </row>
    <row r="367" spans="2:7" x14ac:dyDescent="0.3">
      <c r="B367" s="1012" t="s">
        <v>957</v>
      </c>
      <c r="C367" s="1013"/>
      <c r="D367" s="1013"/>
      <c r="E367" s="1013"/>
      <c r="F367" s="1014"/>
      <c r="G367" s="18">
        <f>SUM(G358:G366)</f>
        <v>5.8500000000000005</v>
      </c>
    </row>
    <row r="369" spans="1:19" ht="0.75" customHeight="1" x14ac:dyDescent="0.3"/>
    <row r="370" spans="1:19" x14ac:dyDescent="0.3">
      <c r="B370" s="1015" t="s">
        <v>959</v>
      </c>
      <c r="C370" s="1015"/>
      <c r="D370" s="1015"/>
      <c r="E370" s="1015"/>
      <c r="F370" s="1015"/>
      <c r="G370" s="32">
        <f>E325+E337+E354+E349</f>
        <v>72.929999999999993</v>
      </c>
    </row>
    <row r="371" spans="1:19" x14ac:dyDescent="0.3">
      <c r="B371" s="33"/>
      <c r="C371" s="33"/>
      <c r="D371" s="33"/>
      <c r="E371" s="33"/>
      <c r="F371" s="33"/>
      <c r="G371" s="34"/>
    </row>
    <row r="372" spans="1:19" x14ac:dyDescent="0.3">
      <c r="B372" s="1015" t="s">
        <v>960</v>
      </c>
      <c r="C372" s="1015"/>
      <c r="D372" s="1015"/>
      <c r="E372" s="1015"/>
      <c r="F372" s="1015"/>
      <c r="G372" s="32">
        <f>ROUND(G370,0)</f>
        <v>73</v>
      </c>
    </row>
    <row r="374" spans="1:19" s="54" customFormat="1" ht="19.8" x14ac:dyDescent="0.4">
      <c r="A374" s="1016" t="s">
        <v>958</v>
      </c>
      <c r="B374" s="1016"/>
      <c r="C374" s="1016"/>
      <c r="D374" s="1016"/>
      <c r="E374" s="1016"/>
      <c r="F374" s="1016"/>
      <c r="G374" s="1016"/>
      <c r="H374" s="1016"/>
      <c r="I374" s="1016"/>
      <c r="J374" s="110"/>
      <c r="K374" s="110"/>
      <c r="L374" s="53"/>
      <c r="M374" s="53"/>
      <c r="N374" s="53"/>
      <c r="O374" s="53"/>
      <c r="P374" s="53"/>
      <c r="Q374" s="53"/>
      <c r="R374" s="53"/>
      <c r="S374" s="53"/>
    </row>
    <row r="375" spans="1:19" s="54" customFormat="1" ht="19.8" x14ac:dyDescent="0.4">
      <c r="A375" s="53"/>
      <c r="B375" s="53"/>
      <c r="C375" s="53"/>
      <c r="D375" s="53"/>
      <c r="E375" s="53"/>
      <c r="F375" s="53"/>
      <c r="G375" s="53"/>
      <c r="H375" s="53"/>
      <c r="I375" s="53"/>
      <c r="J375" s="110"/>
      <c r="K375" s="110"/>
      <c r="L375" s="53"/>
      <c r="M375" s="53"/>
      <c r="N375" s="53"/>
      <c r="O375" s="53"/>
      <c r="P375" s="53"/>
      <c r="Q375" s="53"/>
      <c r="R375" s="53"/>
      <c r="S375" s="53"/>
    </row>
    <row r="376" spans="1:19" s="54" customFormat="1" ht="33.75" customHeight="1" x14ac:dyDescent="0.4">
      <c r="A376" s="50" t="s">
        <v>716</v>
      </c>
      <c r="B376" s="1017" t="s">
        <v>719</v>
      </c>
      <c r="C376" s="1017"/>
      <c r="D376" s="1017"/>
      <c r="E376" s="52">
        <f>G425</f>
        <v>61</v>
      </c>
      <c r="F376" s="52" t="s">
        <v>971</v>
      </c>
      <c r="G376" s="53"/>
      <c r="H376" s="53"/>
      <c r="I376" s="53"/>
      <c r="J376" s="110"/>
      <c r="K376" s="110"/>
      <c r="L376" s="53"/>
      <c r="M376" s="53"/>
      <c r="N376" s="53"/>
      <c r="O376" s="53"/>
      <c r="P376" s="53"/>
      <c r="Q376" s="53"/>
      <c r="R376" s="53"/>
      <c r="S376" s="53"/>
    </row>
    <row r="378" spans="1:19" x14ac:dyDescent="0.3">
      <c r="B378" s="1018" t="s">
        <v>932</v>
      </c>
      <c r="C378" s="1018"/>
      <c r="D378" s="10"/>
      <c r="E378" s="11">
        <f>E385+E388+E386</f>
        <v>51.91</v>
      </c>
      <c r="F378" s="12" t="s">
        <v>971</v>
      </c>
    </row>
    <row r="380" spans="1:19" ht="27.6" x14ac:dyDescent="0.3">
      <c r="B380" s="13" t="s">
        <v>929</v>
      </c>
      <c r="C380" s="14" t="s">
        <v>928</v>
      </c>
      <c r="D380" s="14" t="s">
        <v>514</v>
      </c>
      <c r="E380" s="14" t="s">
        <v>515</v>
      </c>
      <c r="F380" s="14" t="s">
        <v>962</v>
      </c>
      <c r="G380" s="14" t="s">
        <v>926</v>
      </c>
      <c r="H380" s="14" t="s">
        <v>516</v>
      </c>
      <c r="I380" s="14" t="s">
        <v>961</v>
      </c>
    </row>
    <row r="381" spans="1:19" x14ac:dyDescent="0.3">
      <c r="B381" s="17" t="s">
        <v>525</v>
      </c>
      <c r="C381" s="16">
        <f>ЗП!C14</f>
        <v>9817.67</v>
      </c>
      <c r="D381" s="16">
        <f>C381*12</f>
        <v>117812.04000000001</v>
      </c>
      <c r="E381" s="16">
        <f>ЗП!E14</f>
        <v>7552.05</v>
      </c>
      <c r="F381" s="16">
        <f>E381*0.5</f>
        <v>3776.0250000000001</v>
      </c>
      <c r="G381" s="16">
        <f>D381+E381+F381</f>
        <v>129140.11500000001</v>
      </c>
      <c r="H381" s="17">
        <v>1932.7</v>
      </c>
      <c r="I381" s="16">
        <f>ROUND((G381/H381)/60,2)</f>
        <v>1.1100000000000001</v>
      </c>
    </row>
    <row r="382" spans="1:19" x14ac:dyDescent="0.3">
      <c r="B382" s="17" t="s">
        <v>1205</v>
      </c>
      <c r="C382" s="24">
        <f>ЗП!C45</f>
        <v>6500</v>
      </c>
      <c r="D382" s="24">
        <f>C382*12</f>
        <v>78000</v>
      </c>
      <c r="E382" s="24">
        <f>ЗП!E45</f>
        <v>5005</v>
      </c>
      <c r="F382" s="16">
        <f>E382*0.5</f>
        <v>2502.5</v>
      </c>
      <c r="G382" s="16">
        <f>D382+E382+F382</f>
        <v>85507.5</v>
      </c>
      <c r="H382" s="17">
        <v>1932.7</v>
      </c>
      <c r="I382" s="16">
        <f>ROUND((G382/H382)/60,2)</f>
        <v>0.74</v>
      </c>
    </row>
    <row r="384" spans="1:19" ht="27.6" x14ac:dyDescent="0.3">
      <c r="B384" s="13" t="s">
        <v>929</v>
      </c>
      <c r="C384" s="14" t="s">
        <v>961</v>
      </c>
      <c r="D384" s="14" t="s">
        <v>930</v>
      </c>
      <c r="E384" s="14" t="s">
        <v>931</v>
      </c>
    </row>
    <row r="385" spans="2:6" x14ac:dyDescent="0.3">
      <c r="B385" s="15" t="str">
        <f>B381</f>
        <v>Лікар-ортопед-травматолог</v>
      </c>
      <c r="C385" s="16">
        <f>I381</f>
        <v>1.1100000000000001</v>
      </c>
      <c r="D385" s="17">
        <v>25</v>
      </c>
      <c r="E385" s="18">
        <f>ROUND(C385*D385,2)</f>
        <v>27.75</v>
      </c>
    </row>
    <row r="386" spans="2:6" x14ac:dyDescent="0.3">
      <c r="B386" s="15" t="str">
        <f>B382</f>
        <v xml:space="preserve">Сестра медична поліклініки </v>
      </c>
      <c r="C386" s="16">
        <f>I382</f>
        <v>0.74</v>
      </c>
      <c r="D386" s="17">
        <v>20</v>
      </c>
      <c r="E386" s="18">
        <f>ROUND(C386*D386,2)</f>
        <v>14.8</v>
      </c>
    </row>
    <row r="387" spans="2:6" x14ac:dyDescent="0.3">
      <c r="C387" s="19"/>
    </row>
    <row r="388" spans="2:6" x14ac:dyDescent="0.3">
      <c r="B388" s="17" t="s">
        <v>933</v>
      </c>
      <c r="C388" s="16">
        <f>E385+E386</f>
        <v>42.55</v>
      </c>
      <c r="D388" s="20">
        <v>0.22</v>
      </c>
      <c r="E388" s="21">
        <f>ROUND(C388*D388,2)</f>
        <v>9.36</v>
      </c>
    </row>
    <row r="390" spans="2:6" x14ac:dyDescent="0.3">
      <c r="B390" s="12" t="s">
        <v>946</v>
      </c>
      <c r="C390" s="12"/>
      <c r="D390" s="12"/>
      <c r="E390" s="12">
        <f>F400</f>
        <v>3.38</v>
      </c>
      <c r="F390" s="12" t="s">
        <v>971</v>
      </c>
    </row>
    <row r="392" spans="2:6" x14ac:dyDescent="0.3">
      <c r="B392" s="27" t="s">
        <v>934</v>
      </c>
      <c r="C392" s="28" t="s">
        <v>935</v>
      </c>
      <c r="D392" s="29">
        <v>0.1</v>
      </c>
      <c r="E392" s="29">
        <f>'МЕДИЧНІ М'!E127</f>
        <v>2.8</v>
      </c>
      <c r="F392" s="30">
        <f t="shared" ref="F392:F399" si="7">ROUND(D392*E392,2)</f>
        <v>0.28000000000000003</v>
      </c>
    </row>
    <row r="393" spans="2:6" x14ac:dyDescent="0.3">
      <c r="B393" s="27" t="s">
        <v>936</v>
      </c>
      <c r="C393" s="28" t="s">
        <v>937</v>
      </c>
      <c r="D393" s="29">
        <v>1</v>
      </c>
      <c r="E393" s="30">
        <f>'МЕДИЧНІ М'!F126</f>
        <v>0.3</v>
      </c>
      <c r="F393" s="30">
        <f t="shared" si="7"/>
        <v>0.3</v>
      </c>
    </row>
    <row r="394" spans="2:6" x14ac:dyDescent="0.3">
      <c r="B394" s="27" t="s">
        <v>938</v>
      </c>
      <c r="C394" s="28" t="s">
        <v>939</v>
      </c>
      <c r="D394" s="58">
        <v>0.08</v>
      </c>
      <c r="E394" s="30">
        <f>'МЕДИЧНІ М'!F124</f>
        <v>6</v>
      </c>
      <c r="F394" s="30">
        <f t="shared" si="7"/>
        <v>0.48</v>
      </c>
    </row>
    <row r="395" spans="2:6" x14ac:dyDescent="0.3">
      <c r="B395" s="27" t="s">
        <v>940</v>
      </c>
      <c r="C395" s="28" t="s">
        <v>941</v>
      </c>
      <c r="D395" s="29">
        <v>0.5</v>
      </c>
      <c r="E395" s="29">
        <f>'МЕДИЧНІ М'!E125</f>
        <v>2</v>
      </c>
      <c r="F395" s="30">
        <f t="shared" si="7"/>
        <v>1</v>
      </c>
    </row>
    <row r="396" spans="2:6" x14ac:dyDescent="0.3">
      <c r="B396" s="27" t="s">
        <v>942</v>
      </c>
      <c r="C396" s="28" t="s">
        <v>941</v>
      </c>
      <c r="D396" s="29">
        <v>0.01</v>
      </c>
      <c r="E396" s="29">
        <f>'МЕДИЧНІ М'!E128</f>
        <v>24.6</v>
      </c>
      <c r="F396" s="30">
        <f t="shared" si="7"/>
        <v>0.25</v>
      </c>
    </row>
    <row r="397" spans="2:6" x14ac:dyDescent="0.3">
      <c r="B397" s="27" t="s">
        <v>943</v>
      </c>
      <c r="C397" s="28" t="s">
        <v>944</v>
      </c>
      <c r="D397" s="29">
        <v>1</v>
      </c>
      <c r="E397" s="30">
        <f>'МЕДИЧНІ М'!F122</f>
        <v>7.0000000000000007E-2</v>
      </c>
      <c r="F397" s="30">
        <f t="shared" si="7"/>
        <v>7.0000000000000007E-2</v>
      </c>
    </row>
    <row r="398" spans="2:6" x14ac:dyDescent="0.3">
      <c r="B398" s="27" t="s">
        <v>1124</v>
      </c>
      <c r="C398" s="28" t="s">
        <v>944</v>
      </c>
      <c r="D398" s="29">
        <v>0.5</v>
      </c>
      <c r="E398" s="29">
        <f>'МЕДИЧНІ М'!E123</f>
        <v>0.5</v>
      </c>
      <c r="F398" s="30">
        <f t="shared" si="7"/>
        <v>0.25</v>
      </c>
    </row>
    <row r="399" spans="2:6" x14ac:dyDescent="0.3">
      <c r="B399" s="27" t="s">
        <v>1159</v>
      </c>
      <c r="C399" s="28" t="s">
        <v>1160</v>
      </c>
      <c r="D399" s="29">
        <f>D385</f>
        <v>25</v>
      </c>
      <c r="E399" s="29">
        <f>ROUND(3389/H381/60,2)</f>
        <v>0.03</v>
      </c>
      <c r="F399" s="30">
        <f t="shared" si="7"/>
        <v>0.75</v>
      </c>
    </row>
    <row r="400" spans="2:6" x14ac:dyDescent="0.3">
      <c r="B400" s="1019" t="s">
        <v>945</v>
      </c>
      <c r="C400" s="1019"/>
      <c r="D400" s="1019"/>
      <c r="E400" s="1019"/>
      <c r="F400" s="31">
        <f>SUM(F392:F399)</f>
        <v>3.38</v>
      </c>
    </row>
    <row r="401" spans="2:7" ht="12" customHeight="1" x14ac:dyDescent="0.3"/>
    <row r="402" spans="2:7" x14ac:dyDescent="0.3">
      <c r="B402" s="12" t="s">
        <v>968</v>
      </c>
      <c r="C402" s="12"/>
      <c r="D402" s="12"/>
      <c r="E402" s="11">
        <f>G405</f>
        <v>0.2</v>
      </c>
      <c r="F402" s="12" t="s">
        <v>971</v>
      </c>
    </row>
    <row r="403" spans="2:7" ht="8.25" customHeight="1" x14ac:dyDescent="0.3">
      <c r="B403" s="22"/>
      <c r="C403" s="22"/>
      <c r="D403" s="22"/>
      <c r="E403" s="23"/>
      <c r="F403" s="22"/>
    </row>
    <row r="404" spans="2:7" ht="27.6" x14ac:dyDescent="0.3">
      <c r="B404" s="14" t="s">
        <v>513</v>
      </c>
      <c r="C404" s="14" t="s">
        <v>1108</v>
      </c>
      <c r="D404" s="14" t="s">
        <v>516</v>
      </c>
      <c r="E404" s="14" t="s">
        <v>970</v>
      </c>
      <c r="F404" s="14" t="s">
        <v>930</v>
      </c>
      <c r="G404" s="14" t="s">
        <v>961</v>
      </c>
    </row>
    <row r="405" spans="2:7" x14ac:dyDescent="0.3">
      <c r="B405" s="27" t="s">
        <v>1117</v>
      </c>
      <c r="C405" s="17">
        <f>АМОРТИЗАЦІЯ!C3</f>
        <v>815.88</v>
      </c>
      <c r="D405" s="17">
        <f>H381</f>
        <v>1932.7</v>
      </c>
      <c r="E405" s="17">
        <f>ROUND((C405/D405)/60,2)</f>
        <v>0.01</v>
      </c>
      <c r="F405" s="17">
        <f>D386</f>
        <v>20</v>
      </c>
      <c r="G405" s="16">
        <f>ROUND(E405*F405,2)</f>
        <v>0.2</v>
      </c>
    </row>
    <row r="407" spans="2:7" x14ac:dyDescent="0.3">
      <c r="B407" s="12" t="s">
        <v>948</v>
      </c>
      <c r="C407" s="12"/>
      <c r="D407" s="12"/>
      <c r="E407" s="11">
        <f>G420</f>
        <v>5.4</v>
      </c>
      <c r="F407" s="12" t="s">
        <v>971</v>
      </c>
    </row>
    <row r="408" spans="2:7" ht="9" customHeight="1" x14ac:dyDescent="0.3">
      <c r="B408" s="22"/>
      <c r="C408" s="22"/>
      <c r="D408" s="22"/>
      <c r="E408" s="23"/>
    </row>
    <row r="409" spans="2:7" ht="55.2" x14ac:dyDescent="0.3">
      <c r="B409" s="14" t="s">
        <v>948</v>
      </c>
      <c r="C409" s="14" t="s">
        <v>955</v>
      </c>
      <c r="D409" s="14" t="s">
        <v>516</v>
      </c>
      <c r="E409" s="14" t="s">
        <v>954</v>
      </c>
      <c r="F409" s="14" t="s">
        <v>930</v>
      </c>
      <c r="G409" s="14" t="s">
        <v>956</v>
      </c>
    </row>
    <row r="410" spans="2:7" x14ac:dyDescent="0.3">
      <c r="B410" s="1009" t="str">
        <f>B381</f>
        <v>Лікар-ортопед-травматолог</v>
      </c>
      <c r="C410" s="1010"/>
      <c r="D410" s="1010"/>
      <c r="E410" s="1010"/>
      <c r="F410" s="1010"/>
      <c r="G410" s="1011"/>
    </row>
    <row r="411" spans="2:7" x14ac:dyDescent="0.3">
      <c r="B411" s="17" t="s">
        <v>951</v>
      </c>
      <c r="C411" s="112">
        <f>C358</f>
        <v>12188.608008565312</v>
      </c>
      <c r="D411" s="17">
        <f>H381</f>
        <v>1932.7</v>
      </c>
      <c r="E411" s="17">
        <f>ROUND((C411/D411)/60,2)</f>
        <v>0.11</v>
      </c>
      <c r="F411" s="17">
        <f>D385</f>
        <v>25</v>
      </c>
      <c r="G411" s="16">
        <f>ROUND(E411*F411,2)</f>
        <v>2.75</v>
      </c>
    </row>
    <row r="412" spans="2:7" x14ac:dyDescent="0.3">
      <c r="B412" s="17" t="s">
        <v>952</v>
      </c>
      <c r="C412" s="112">
        <f>C359</f>
        <v>53.149721627408987</v>
      </c>
      <c r="D412" s="17">
        <f>H381</f>
        <v>1932.7</v>
      </c>
      <c r="E412" s="17">
        <f>ROUND((C412/D412)/60,2)</f>
        <v>0</v>
      </c>
      <c r="F412" s="17">
        <f>D385</f>
        <v>25</v>
      </c>
      <c r="G412" s="16">
        <f>ROUND(E412*F412,2)</f>
        <v>0</v>
      </c>
    </row>
    <row r="413" spans="2:7" x14ac:dyDescent="0.3">
      <c r="B413" s="17" t="s">
        <v>953</v>
      </c>
      <c r="C413" s="112">
        <f>C360</f>
        <v>374.98368308351178</v>
      </c>
      <c r="D413" s="17">
        <f>H381</f>
        <v>1932.7</v>
      </c>
      <c r="E413" s="17">
        <f>ROUND((C413/D413)/60,2)</f>
        <v>0</v>
      </c>
      <c r="F413" s="17">
        <f>D385</f>
        <v>25</v>
      </c>
      <c r="G413" s="16">
        <f>ROUND(E413*F413,2)</f>
        <v>0</v>
      </c>
    </row>
    <row r="414" spans="2:7" x14ac:dyDescent="0.3">
      <c r="B414" s="17" t="s">
        <v>1109</v>
      </c>
      <c r="C414" s="112">
        <f>C361</f>
        <v>1686.0389293361886</v>
      </c>
      <c r="D414" s="17">
        <f>H381</f>
        <v>1932.7</v>
      </c>
      <c r="E414" s="17">
        <f>ROUND((C414/D414)/60,2)</f>
        <v>0.01</v>
      </c>
      <c r="F414" s="17">
        <f>D385</f>
        <v>25</v>
      </c>
      <c r="G414" s="16">
        <f>ROUND(E414*F414,2)</f>
        <v>0.25</v>
      </c>
    </row>
    <row r="415" spans="2:7" x14ac:dyDescent="0.3">
      <c r="B415" s="1009" t="str">
        <f>B382</f>
        <v xml:space="preserve">Сестра медична поліклініки </v>
      </c>
      <c r="C415" s="1010"/>
      <c r="D415" s="1010"/>
      <c r="E415" s="1010"/>
      <c r="F415" s="1010"/>
      <c r="G415" s="1011"/>
    </row>
    <row r="416" spans="2:7" x14ac:dyDescent="0.3">
      <c r="B416" s="17" t="s">
        <v>951</v>
      </c>
      <c r="C416" s="112">
        <f>C411</f>
        <v>12188.608008565312</v>
      </c>
      <c r="D416" s="17">
        <f>H382</f>
        <v>1932.7</v>
      </c>
      <c r="E416" s="17">
        <f>ROUND((C416/D416)/60,2)</f>
        <v>0.11</v>
      </c>
      <c r="F416" s="17">
        <f>D386</f>
        <v>20</v>
      </c>
      <c r="G416" s="16">
        <f>ROUND(E416*F416,2)</f>
        <v>2.2000000000000002</v>
      </c>
    </row>
    <row r="417" spans="1:19" x14ac:dyDescent="0.3">
      <c r="B417" s="17" t="s">
        <v>952</v>
      </c>
      <c r="C417" s="112">
        <f>C412</f>
        <v>53.149721627408987</v>
      </c>
      <c r="D417" s="17">
        <f>H382</f>
        <v>1932.7</v>
      </c>
      <c r="E417" s="17">
        <f>ROUND((C417/D417)/60,2)</f>
        <v>0</v>
      </c>
      <c r="F417" s="17">
        <f>D386</f>
        <v>20</v>
      </c>
      <c r="G417" s="16">
        <f>ROUND(E417*F417,2)</f>
        <v>0</v>
      </c>
    </row>
    <row r="418" spans="1:19" x14ac:dyDescent="0.3">
      <c r="B418" s="17" t="s">
        <v>953</v>
      </c>
      <c r="C418" s="112">
        <f>C413</f>
        <v>374.98368308351178</v>
      </c>
      <c r="D418" s="17">
        <f>H382</f>
        <v>1932.7</v>
      </c>
      <c r="E418" s="17">
        <f>ROUND((C418/D418)/60,2)</f>
        <v>0</v>
      </c>
      <c r="F418" s="17">
        <f>D386</f>
        <v>20</v>
      </c>
      <c r="G418" s="16">
        <f>ROUND(E418*F418,2)</f>
        <v>0</v>
      </c>
    </row>
    <row r="419" spans="1:19" x14ac:dyDescent="0.3">
      <c r="B419" s="17" t="s">
        <v>1109</v>
      </c>
      <c r="C419" s="112">
        <f>C414</f>
        <v>1686.0389293361886</v>
      </c>
      <c r="D419" s="17">
        <f>H382</f>
        <v>1932.7</v>
      </c>
      <c r="E419" s="17">
        <f>ROUND((C419/D419)/60,2)</f>
        <v>0.01</v>
      </c>
      <c r="F419" s="17">
        <f>D386</f>
        <v>20</v>
      </c>
      <c r="G419" s="16">
        <f>ROUND(E419*F419,2)</f>
        <v>0.2</v>
      </c>
    </row>
    <row r="420" spans="1:19" x14ac:dyDescent="0.3">
      <c r="B420" s="1012" t="s">
        <v>957</v>
      </c>
      <c r="C420" s="1013"/>
      <c r="D420" s="1013"/>
      <c r="E420" s="1013"/>
      <c r="F420" s="1014"/>
      <c r="G420" s="18">
        <f>SUM(G411:G419)</f>
        <v>5.4</v>
      </c>
    </row>
    <row r="421" spans="1:19" ht="8.25" customHeight="1" x14ac:dyDescent="0.3"/>
    <row r="422" spans="1:19" hidden="1" x14ac:dyDescent="0.3"/>
    <row r="423" spans="1:19" x14ac:dyDescent="0.3">
      <c r="B423" s="1015" t="s">
        <v>959</v>
      </c>
      <c r="C423" s="1015"/>
      <c r="D423" s="1015"/>
      <c r="E423" s="1015"/>
      <c r="F423" s="1015"/>
      <c r="G423" s="32">
        <f>E378+E390+E407+E402</f>
        <v>60.89</v>
      </c>
    </row>
    <row r="424" spans="1:19" x14ac:dyDescent="0.3">
      <c r="B424" s="33"/>
      <c r="C424" s="33"/>
      <c r="D424" s="33"/>
      <c r="E424" s="33"/>
      <c r="F424" s="33"/>
      <c r="G424" s="34"/>
    </row>
    <row r="425" spans="1:19" x14ac:dyDescent="0.3">
      <c r="B425" s="1015" t="s">
        <v>960</v>
      </c>
      <c r="C425" s="1015"/>
      <c r="D425" s="1015"/>
      <c r="E425" s="1015"/>
      <c r="F425" s="1015"/>
      <c r="G425" s="32">
        <f>ROUND(G423,0)</f>
        <v>61</v>
      </c>
    </row>
    <row r="426" spans="1:19" x14ac:dyDescent="0.3">
      <c r="B426" s="33"/>
      <c r="C426" s="33"/>
      <c r="D426" s="33"/>
      <c r="E426" s="33"/>
      <c r="F426" s="33"/>
      <c r="G426" s="34"/>
    </row>
    <row r="427" spans="1:19" s="54" customFormat="1" ht="19.8" x14ac:dyDescent="0.4">
      <c r="A427" s="1016" t="s">
        <v>958</v>
      </c>
      <c r="B427" s="1016"/>
      <c r="C427" s="1016"/>
      <c r="D427" s="1016"/>
      <c r="E427" s="1016"/>
      <c r="F427" s="1016"/>
      <c r="G427" s="1016"/>
      <c r="H427" s="1016"/>
      <c r="I427" s="1016"/>
      <c r="J427" s="110"/>
      <c r="K427" s="110"/>
      <c r="L427" s="53"/>
      <c r="M427" s="53"/>
      <c r="N427" s="53"/>
      <c r="O427" s="53"/>
      <c r="P427" s="53"/>
      <c r="Q427" s="53"/>
      <c r="R427" s="53"/>
      <c r="S427" s="53"/>
    </row>
    <row r="428" spans="1:19" s="54" customFormat="1" ht="19.8" x14ac:dyDescent="0.4">
      <c r="A428" s="53"/>
      <c r="B428" s="53"/>
      <c r="C428" s="53"/>
      <c r="D428" s="53"/>
      <c r="E428" s="53"/>
      <c r="F428" s="53"/>
      <c r="G428" s="53"/>
      <c r="H428" s="53"/>
      <c r="I428" s="53"/>
      <c r="J428" s="110"/>
      <c r="K428" s="110"/>
      <c r="L428" s="53"/>
      <c r="M428" s="53"/>
      <c r="N428" s="53"/>
      <c r="O428" s="53"/>
      <c r="P428" s="53"/>
      <c r="Q428" s="53"/>
      <c r="R428" s="53"/>
      <c r="S428" s="53"/>
    </row>
    <row r="429" spans="1:19" s="54" customFormat="1" ht="37.5" customHeight="1" x14ac:dyDescent="0.4">
      <c r="A429" s="50" t="s">
        <v>718</v>
      </c>
      <c r="B429" s="1032" t="s">
        <v>1189</v>
      </c>
      <c r="C429" s="1032"/>
      <c r="D429" s="1032"/>
      <c r="E429" s="52">
        <f>G478</f>
        <v>50</v>
      </c>
      <c r="F429" s="52" t="s">
        <v>971</v>
      </c>
      <c r="G429" s="53"/>
      <c r="H429" s="53"/>
      <c r="I429" s="53"/>
      <c r="J429" s="110"/>
      <c r="K429" s="110"/>
      <c r="L429" s="53"/>
      <c r="M429" s="53"/>
      <c r="N429" s="53"/>
      <c r="O429" s="53"/>
      <c r="P429" s="53"/>
      <c r="Q429" s="53"/>
      <c r="R429" s="53"/>
      <c r="S429" s="53"/>
    </row>
    <row r="431" spans="1:19" ht="15" customHeight="1" x14ac:dyDescent="0.3">
      <c r="B431" s="1018" t="s">
        <v>932</v>
      </c>
      <c r="C431" s="1018"/>
      <c r="D431" s="10"/>
      <c r="E431" s="11">
        <f>E438+E441+E439</f>
        <v>41.24</v>
      </c>
      <c r="F431" s="12" t="s">
        <v>971</v>
      </c>
    </row>
    <row r="433" spans="2:9" ht="27.6" x14ac:dyDescent="0.3">
      <c r="B433" s="13" t="s">
        <v>929</v>
      </c>
      <c r="C433" s="14" t="s">
        <v>928</v>
      </c>
      <c r="D433" s="14" t="s">
        <v>514</v>
      </c>
      <c r="E433" s="14" t="s">
        <v>515</v>
      </c>
      <c r="F433" s="14" t="s">
        <v>962</v>
      </c>
      <c r="G433" s="14" t="s">
        <v>926</v>
      </c>
      <c r="H433" s="14" t="s">
        <v>516</v>
      </c>
      <c r="I433" s="14" t="s">
        <v>961</v>
      </c>
    </row>
    <row r="434" spans="2:9" x14ac:dyDescent="0.3">
      <c r="B434" s="17" t="s">
        <v>527</v>
      </c>
      <c r="C434" s="16">
        <f>ЗП!C15</f>
        <v>6553.85</v>
      </c>
      <c r="D434" s="16">
        <f>C434*12</f>
        <v>78646.200000000012</v>
      </c>
      <c r="E434" s="16">
        <f>ЗП!E15</f>
        <v>6553.85</v>
      </c>
      <c r="F434" s="16">
        <f>E434*0.5</f>
        <v>3276.9250000000002</v>
      </c>
      <c r="G434" s="16">
        <f>D434+E434+F434</f>
        <v>88476.97500000002</v>
      </c>
      <c r="H434" s="17">
        <v>1932.7</v>
      </c>
      <c r="I434" s="16">
        <f>ROUND((G434/H434)/60,2)</f>
        <v>0.76</v>
      </c>
    </row>
    <row r="435" spans="2:9" x14ac:dyDescent="0.3">
      <c r="B435" s="17" t="s">
        <v>1205</v>
      </c>
      <c r="C435" s="24">
        <f>ЗП!C45</f>
        <v>6500</v>
      </c>
      <c r="D435" s="24">
        <f>C435*12</f>
        <v>78000</v>
      </c>
      <c r="E435" s="24">
        <f>ЗП!E45</f>
        <v>5005</v>
      </c>
      <c r="F435" s="16">
        <f>E435*0.5</f>
        <v>2502.5</v>
      </c>
      <c r="G435" s="16">
        <f>D435+E435+F435</f>
        <v>85507.5</v>
      </c>
      <c r="H435" s="17">
        <v>1932.7</v>
      </c>
      <c r="I435" s="16">
        <f>ROUND((G435/H435)/60,2)</f>
        <v>0.74</v>
      </c>
    </row>
    <row r="437" spans="2:9" ht="27.6" x14ac:dyDescent="0.3">
      <c r="B437" s="13" t="s">
        <v>929</v>
      </c>
      <c r="C437" s="14" t="s">
        <v>961</v>
      </c>
      <c r="D437" s="14" t="s">
        <v>930</v>
      </c>
      <c r="E437" s="14" t="s">
        <v>931</v>
      </c>
    </row>
    <row r="438" spans="2:9" x14ac:dyDescent="0.3">
      <c r="B438" s="15" t="str">
        <f>B434</f>
        <v>Лікар-хірург</v>
      </c>
      <c r="C438" s="16">
        <f>I434</f>
        <v>0.76</v>
      </c>
      <c r="D438" s="17">
        <v>25</v>
      </c>
      <c r="E438" s="18">
        <f>ROUND(C438*D438,2)</f>
        <v>19</v>
      </c>
    </row>
    <row r="439" spans="2:9" x14ac:dyDescent="0.3">
      <c r="B439" s="15" t="str">
        <f>B435</f>
        <v xml:space="preserve">Сестра медична поліклініки </v>
      </c>
      <c r="C439" s="16">
        <f>I435</f>
        <v>0.74</v>
      </c>
      <c r="D439" s="17">
        <v>20</v>
      </c>
      <c r="E439" s="18">
        <f>ROUND(C439*D439,2)</f>
        <v>14.8</v>
      </c>
    </row>
    <row r="440" spans="2:9" x14ac:dyDescent="0.3">
      <c r="C440" s="19"/>
    </row>
    <row r="441" spans="2:9" x14ac:dyDescent="0.3">
      <c r="B441" s="17" t="s">
        <v>933</v>
      </c>
      <c r="C441" s="16">
        <f>E438+E439</f>
        <v>33.799999999999997</v>
      </c>
      <c r="D441" s="20">
        <v>0.22</v>
      </c>
      <c r="E441" s="21">
        <f>ROUND(C441*D441,2)</f>
        <v>7.44</v>
      </c>
    </row>
    <row r="442" spans="2:9" ht="9" customHeight="1" x14ac:dyDescent="0.3"/>
    <row r="443" spans="2:9" x14ac:dyDescent="0.3">
      <c r="B443" s="12" t="s">
        <v>946</v>
      </c>
      <c r="C443" s="12"/>
      <c r="D443" s="12"/>
      <c r="E443" s="12">
        <f>F453</f>
        <v>3.32</v>
      </c>
      <c r="F443" s="12" t="s">
        <v>971</v>
      </c>
    </row>
    <row r="444" spans="2:9" ht="9.75" customHeight="1" x14ac:dyDescent="0.3"/>
    <row r="445" spans="2:9" x14ac:dyDescent="0.3">
      <c r="B445" s="27" t="s">
        <v>934</v>
      </c>
      <c r="C445" s="28" t="s">
        <v>935</v>
      </c>
      <c r="D445" s="29">
        <v>0.1</v>
      </c>
      <c r="E445" s="29">
        <f>'МЕДИЧНІ М'!E127</f>
        <v>2.8</v>
      </c>
      <c r="F445" s="30">
        <f t="shared" ref="F445:F452" si="8">ROUND(D445*E445,2)</f>
        <v>0.28000000000000003</v>
      </c>
    </row>
    <row r="446" spans="2:9" x14ac:dyDescent="0.3">
      <c r="B446" s="27" t="s">
        <v>936</v>
      </c>
      <c r="C446" s="28" t="s">
        <v>937</v>
      </c>
      <c r="D446" s="29">
        <v>1</v>
      </c>
      <c r="E446" s="30">
        <f>'МЕДИЧНІ М'!F126</f>
        <v>0.3</v>
      </c>
      <c r="F446" s="30">
        <f t="shared" si="8"/>
        <v>0.3</v>
      </c>
    </row>
    <row r="447" spans="2:9" x14ac:dyDescent="0.3">
      <c r="B447" s="27" t="s">
        <v>938</v>
      </c>
      <c r="C447" s="28" t="s">
        <v>939</v>
      </c>
      <c r="D447" s="58">
        <v>7.0000000000000007E-2</v>
      </c>
      <c r="E447" s="30">
        <f>'МЕДИЧНІ М'!F124</f>
        <v>6</v>
      </c>
      <c r="F447" s="30">
        <f t="shared" si="8"/>
        <v>0.42</v>
      </c>
    </row>
    <row r="448" spans="2:9" x14ac:dyDescent="0.3">
      <c r="B448" s="27" t="s">
        <v>940</v>
      </c>
      <c r="C448" s="28" t="s">
        <v>941</v>
      </c>
      <c r="D448" s="29">
        <v>0.5</v>
      </c>
      <c r="E448" s="29">
        <f>'МЕДИЧНІ М'!E125</f>
        <v>2</v>
      </c>
      <c r="F448" s="30">
        <f t="shared" si="8"/>
        <v>1</v>
      </c>
    </row>
    <row r="449" spans="2:7" x14ac:dyDescent="0.3">
      <c r="B449" s="27" t="s">
        <v>942</v>
      </c>
      <c r="C449" s="28" t="s">
        <v>941</v>
      </c>
      <c r="D449" s="29">
        <v>0.01</v>
      </c>
      <c r="E449" s="29">
        <f>'МЕДИЧНІ М'!E128</f>
        <v>24.6</v>
      </c>
      <c r="F449" s="30">
        <f t="shared" si="8"/>
        <v>0.25</v>
      </c>
    </row>
    <row r="450" spans="2:7" x14ac:dyDescent="0.3">
      <c r="B450" s="27" t="s">
        <v>943</v>
      </c>
      <c r="C450" s="28" t="s">
        <v>944</v>
      </c>
      <c r="D450" s="29">
        <v>1</v>
      </c>
      <c r="E450" s="30">
        <f>'МЕДИЧНІ М'!F122</f>
        <v>7.0000000000000007E-2</v>
      </c>
      <c r="F450" s="30">
        <f t="shared" si="8"/>
        <v>7.0000000000000007E-2</v>
      </c>
    </row>
    <row r="451" spans="2:7" x14ac:dyDescent="0.3">
      <c r="B451" s="27" t="s">
        <v>1124</v>
      </c>
      <c r="C451" s="28" t="s">
        <v>944</v>
      </c>
      <c r="D451" s="29">
        <v>0.5</v>
      </c>
      <c r="E451" s="29">
        <f>'МЕДИЧНІ М'!E123</f>
        <v>0.5</v>
      </c>
      <c r="F451" s="30">
        <f t="shared" si="8"/>
        <v>0.25</v>
      </c>
    </row>
    <row r="452" spans="2:7" x14ac:dyDescent="0.3">
      <c r="B452" s="27" t="s">
        <v>1159</v>
      </c>
      <c r="C452" s="28" t="s">
        <v>1160</v>
      </c>
      <c r="D452" s="29">
        <f>D438</f>
        <v>25</v>
      </c>
      <c r="E452" s="29">
        <f>ROUND(3389/H434/60,2)</f>
        <v>0.03</v>
      </c>
      <c r="F452" s="30">
        <f t="shared" si="8"/>
        <v>0.75</v>
      </c>
    </row>
    <row r="453" spans="2:7" x14ac:dyDescent="0.3">
      <c r="B453" s="1019" t="s">
        <v>945</v>
      </c>
      <c r="C453" s="1019"/>
      <c r="D453" s="1019"/>
      <c r="E453" s="1019"/>
      <c r="F453" s="31">
        <f>SUM(F445:F452)</f>
        <v>3.32</v>
      </c>
    </row>
    <row r="455" spans="2:7" x14ac:dyDescent="0.3">
      <c r="B455" s="12" t="s">
        <v>968</v>
      </c>
      <c r="C455" s="12"/>
      <c r="D455" s="12"/>
      <c r="E455" s="11">
        <f>G458</f>
        <v>0.2</v>
      </c>
      <c r="F455" s="12" t="s">
        <v>971</v>
      </c>
    </row>
    <row r="456" spans="2:7" ht="9.75" customHeight="1" x14ac:dyDescent="0.3">
      <c r="B456" s="22"/>
      <c r="C456" s="22"/>
      <c r="D456" s="22"/>
      <c r="E456" s="23"/>
      <c r="F456" s="22"/>
    </row>
    <row r="457" spans="2:7" ht="27.6" x14ac:dyDescent="0.3">
      <c r="B457" s="14" t="s">
        <v>513</v>
      </c>
      <c r="C457" s="14" t="s">
        <v>1108</v>
      </c>
      <c r="D457" s="14" t="s">
        <v>516</v>
      </c>
      <c r="E457" s="14" t="s">
        <v>970</v>
      </c>
      <c r="F457" s="14" t="s">
        <v>930</v>
      </c>
      <c r="G457" s="14" t="s">
        <v>961</v>
      </c>
    </row>
    <row r="458" spans="2:7" x14ac:dyDescent="0.3">
      <c r="B458" s="27" t="s">
        <v>1117</v>
      </c>
      <c r="C458" s="17">
        <f>АМОРТИЗАЦІЯ!C3</f>
        <v>815.88</v>
      </c>
      <c r="D458" s="17">
        <f>H434</f>
        <v>1932.7</v>
      </c>
      <c r="E458" s="17">
        <f>ROUND((C458/D458)/60,2)</f>
        <v>0.01</v>
      </c>
      <c r="F458" s="17">
        <f>D439</f>
        <v>20</v>
      </c>
      <c r="G458" s="16">
        <f>ROUND(E458*F458,2)</f>
        <v>0.2</v>
      </c>
    </row>
    <row r="460" spans="2:7" x14ac:dyDescent="0.3">
      <c r="B460" s="12" t="s">
        <v>948</v>
      </c>
      <c r="C460" s="12"/>
      <c r="D460" s="12"/>
      <c r="E460" s="11">
        <f>G473</f>
        <v>5.4</v>
      </c>
      <c r="F460" s="12" t="s">
        <v>971</v>
      </c>
    </row>
    <row r="461" spans="2:7" x14ac:dyDescent="0.3">
      <c r="B461" s="22"/>
      <c r="C461" s="22"/>
      <c r="D461" s="22"/>
      <c r="E461" s="23"/>
    </row>
    <row r="462" spans="2:7" ht="54" customHeight="1" x14ac:dyDescent="0.3">
      <c r="B462" s="14" t="s">
        <v>948</v>
      </c>
      <c r="C462" s="14" t="s">
        <v>955</v>
      </c>
      <c r="D462" s="14" t="s">
        <v>516</v>
      </c>
      <c r="E462" s="14" t="s">
        <v>954</v>
      </c>
      <c r="F462" s="14" t="s">
        <v>930</v>
      </c>
      <c r="G462" s="14" t="s">
        <v>956</v>
      </c>
    </row>
    <row r="463" spans="2:7" x14ac:dyDescent="0.3">
      <c r="B463" s="1009" t="str">
        <f>B434</f>
        <v>Лікар-хірург</v>
      </c>
      <c r="C463" s="1010"/>
      <c r="D463" s="1010"/>
      <c r="E463" s="1010"/>
      <c r="F463" s="1010"/>
      <c r="G463" s="1011"/>
    </row>
    <row r="464" spans="2:7" x14ac:dyDescent="0.3">
      <c r="B464" s="17" t="s">
        <v>951</v>
      </c>
      <c r="C464" s="112">
        <f>C411</f>
        <v>12188.608008565312</v>
      </c>
      <c r="D464" s="17">
        <f>H434</f>
        <v>1932.7</v>
      </c>
      <c r="E464" s="17">
        <f>ROUND((C464/D464)/60,2)</f>
        <v>0.11</v>
      </c>
      <c r="F464" s="17">
        <f>D438</f>
        <v>25</v>
      </c>
      <c r="G464" s="16">
        <f>ROUND(E464*F464,2)</f>
        <v>2.75</v>
      </c>
    </row>
    <row r="465" spans="1:19" x14ac:dyDescent="0.3">
      <c r="B465" s="17" t="s">
        <v>952</v>
      </c>
      <c r="C465" s="112">
        <f>C412</f>
        <v>53.149721627408987</v>
      </c>
      <c r="D465" s="17">
        <f>H434</f>
        <v>1932.7</v>
      </c>
      <c r="E465" s="17">
        <f>ROUND((C465/D465)/60,2)</f>
        <v>0</v>
      </c>
      <c r="F465" s="17">
        <f>D438</f>
        <v>25</v>
      </c>
      <c r="G465" s="16">
        <f>ROUND(E465*F465,2)</f>
        <v>0</v>
      </c>
    </row>
    <row r="466" spans="1:19" x14ac:dyDescent="0.3">
      <c r="B466" s="17" t="s">
        <v>953</v>
      </c>
      <c r="C466" s="112">
        <f>C413</f>
        <v>374.98368308351178</v>
      </c>
      <c r="D466" s="17">
        <f>H434</f>
        <v>1932.7</v>
      </c>
      <c r="E466" s="17">
        <f>ROUND((C466/D466)/60,2)</f>
        <v>0</v>
      </c>
      <c r="F466" s="17">
        <f>D438</f>
        <v>25</v>
      </c>
      <c r="G466" s="16">
        <f>ROUND(E466*F466,2)</f>
        <v>0</v>
      </c>
    </row>
    <row r="467" spans="1:19" x14ac:dyDescent="0.3">
      <c r="B467" s="17" t="s">
        <v>1109</v>
      </c>
      <c r="C467" s="112">
        <f>C414</f>
        <v>1686.0389293361886</v>
      </c>
      <c r="D467" s="17">
        <f>H434</f>
        <v>1932.7</v>
      </c>
      <c r="E467" s="17">
        <f>ROUND((C467/D467)/60,2)</f>
        <v>0.01</v>
      </c>
      <c r="F467" s="17">
        <f>D438</f>
        <v>25</v>
      </c>
      <c r="G467" s="16">
        <f>ROUND(E467*F467,2)</f>
        <v>0.25</v>
      </c>
    </row>
    <row r="468" spans="1:19" ht="15" customHeight="1" x14ac:dyDescent="0.3">
      <c r="B468" s="1009" t="str">
        <f>B435</f>
        <v xml:space="preserve">Сестра медична поліклініки </v>
      </c>
      <c r="C468" s="1010"/>
      <c r="D468" s="1010"/>
      <c r="E468" s="1010"/>
      <c r="F468" s="1010"/>
      <c r="G468" s="1011"/>
    </row>
    <row r="469" spans="1:19" x14ac:dyDescent="0.3">
      <c r="B469" s="17" t="s">
        <v>951</v>
      </c>
      <c r="C469" s="112">
        <f>C464</f>
        <v>12188.608008565312</v>
      </c>
      <c r="D469" s="17">
        <f>H435</f>
        <v>1932.7</v>
      </c>
      <c r="E469" s="17">
        <f>ROUND((C469/D469)/60,2)</f>
        <v>0.11</v>
      </c>
      <c r="F469" s="17">
        <f>D439</f>
        <v>20</v>
      </c>
      <c r="G469" s="16">
        <f>ROUND(E469*F469,2)</f>
        <v>2.2000000000000002</v>
      </c>
    </row>
    <row r="470" spans="1:19" x14ac:dyDescent="0.3">
      <c r="B470" s="17" t="s">
        <v>952</v>
      </c>
      <c r="C470" s="112">
        <f>C465</f>
        <v>53.149721627408987</v>
      </c>
      <c r="D470" s="17">
        <f>H435</f>
        <v>1932.7</v>
      </c>
      <c r="E470" s="17">
        <f>ROUND((C470/D470)/60,2)</f>
        <v>0</v>
      </c>
      <c r="F470" s="17">
        <f>D439</f>
        <v>20</v>
      </c>
      <c r="G470" s="16">
        <f>ROUND(E470*F470,2)</f>
        <v>0</v>
      </c>
    </row>
    <row r="471" spans="1:19" x14ac:dyDescent="0.3">
      <c r="B471" s="17" t="s">
        <v>953</v>
      </c>
      <c r="C471" s="112">
        <f>C466</f>
        <v>374.98368308351178</v>
      </c>
      <c r="D471" s="17">
        <f>H435</f>
        <v>1932.7</v>
      </c>
      <c r="E471" s="17">
        <f>ROUND((C471/D471)/60,2)</f>
        <v>0</v>
      </c>
      <c r="F471" s="17">
        <f>D439</f>
        <v>20</v>
      </c>
      <c r="G471" s="16">
        <f>ROUND(E471*F471,2)</f>
        <v>0</v>
      </c>
    </row>
    <row r="472" spans="1:19" x14ac:dyDescent="0.3">
      <c r="B472" s="17" t="s">
        <v>1109</v>
      </c>
      <c r="C472" s="112">
        <f>C467</f>
        <v>1686.0389293361886</v>
      </c>
      <c r="D472" s="17">
        <f>H435</f>
        <v>1932.7</v>
      </c>
      <c r="E472" s="17">
        <f>ROUND((C472/D472)/60,2)</f>
        <v>0.01</v>
      </c>
      <c r="F472" s="17">
        <f>D439</f>
        <v>20</v>
      </c>
      <c r="G472" s="16">
        <f>ROUND(E472*F472,2)</f>
        <v>0.2</v>
      </c>
    </row>
    <row r="473" spans="1:19" x14ac:dyDescent="0.3">
      <c r="B473" s="1012" t="s">
        <v>957</v>
      </c>
      <c r="C473" s="1013"/>
      <c r="D473" s="1013"/>
      <c r="E473" s="1013"/>
      <c r="F473" s="1014"/>
      <c r="G473" s="18">
        <f>SUM(G464:G472)</f>
        <v>5.4</v>
      </c>
    </row>
    <row r="475" spans="1:19" ht="15" hidden="1" customHeight="1" x14ac:dyDescent="0.3"/>
    <row r="476" spans="1:19" x14ac:dyDescent="0.3">
      <c r="B476" s="1015" t="s">
        <v>959</v>
      </c>
      <c r="C476" s="1015"/>
      <c r="D476" s="1015"/>
      <c r="E476" s="1015"/>
      <c r="F476" s="1015"/>
      <c r="G476" s="32">
        <f>E431+E443+E460+E455</f>
        <v>50.160000000000004</v>
      </c>
    </row>
    <row r="477" spans="1:19" ht="15.75" customHeight="1" x14ac:dyDescent="0.3">
      <c r="B477" s="33"/>
      <c r="C477" s="33"/>
      <c r="D477" s="33"/>
      <c r="E477" s="33"/>
      <c r="F477" s="33"/>
      <c r="G477" s="34"/>
    </row>
    <row r="478" spans="1:19" x14ac:dyDescent="0.3">
      <c r="B478" s="1015" t="s">
        <v>960</v>
      </c>
      <c r="C478" s="1015"/>
      <c r="D478" s="1015"/>
      <c r="E478" s="1015"/>
      <c r="F478" s="1015"/>
      <c r="G478" s="32">
        <f>ROUND(G476,0)</f>
        <v>50</v>
      </c>
    </row>
    <row r="480" spans="1:19" s="54" customFormat="1" ht="19.8" x14ac:dyDescent="0.4">
      <c r="A480" s="1016" t="s">
        <v>958</v>
      </c>
      <c r="B480" s="1016"/>
      <c r="C480" s="1016"/>
      <c r="D480" s="1016"/>
      <c r="E480" s="1016"/>
      <c r="F480" s="1016"/>
      <c r="G480" s="1016"/>
      <c r="H480" s="1016"/>
      <c r="I480" s="1016"/>
      <c r="J480" s="110"/>
      <c r="K480" s="110"/>
      <c r="L480" s="53"/>
      <c r="M480" s="53"/>
      <c r="N480" s="53"/>
      <c r="O480" s="53"/>
      <c r="P480" s="53"/>
      <c r="Q480" s="53"/>
      <c r="R480" s="53"/>
      <c r="S480" s="53"/>
    </row>
    <row r="481" spans="1:19" s="54" customFormat="1" ht="19.8" x14ac:dyDescent="0.4">
      <c r="A481" s="53"/>
      <c r="B481" s="53"/>
      <c r="C481" s="53"/>
      <c r="D481" s="53"/>
      <c r="E481" s="53"/>
      <c r="F481" s="53"/>
      <c r="G481" s="53"/>
      <c r="H481" s="53"/>
      <c r="I481" s="53"/>
      <c r="J481" s="110"/>
      <c r="K481" s="110"/>
      <c r="L481" s="53"/>
      <c r="M481" s="53"/>
      <c r="N481" s="53"/>
      <c r="O481" s="53"/>
      <c r="P481" s="53"/>
      <c r="Q481" s="53"/>
      <c r="R481" s="53"/>
      <c r="S481" s="53"/>
    </row>
    <row r="482" spans="1:19" s="54" customFormat="1" ht="37.5" customHeight="1" x14ac:dyDescent="0.4">
      <c r="A482" s="50" t="s">
        <v>720</v>
      </c>
      <c r="B482" s="1032" t="s">
        <v>725</v>
      </c>
      <c r="C482" s="1032"/>
      <c r="D482" s="1032"/>
      <c r="E482" s="52">
        <f>G531</f>
        <v>54</v>
      </c>
      <c r="F482" s="52" t="s">
        <v>971</v>
      </c>
      <c r="G482" s="53"/>
      <c r="H482" s="53"/>
      <c r="I482" s="53"/>
      <c r="J482" s="110"/>
      <c r="K482" s="110"/>
      <c r="L482" s="53"/>
      <c r="M482" s="53"/>
      <c r="N482" s="53"/>
      <c r="O482" s="53"/>
      <c r="P482" s="53"/>
      <c r="Q482" s="53"/>
      <c r="R482" s="53"/>
      <c r="S482" s="53"/>
    </row>
    <row r="484" spans="1:19" x14ac:dyDescent="0.3">
      <c r="B484" s="1018" t="s">
        <v>932</v>
      </c>
      <c r="C484" s="1018"/>
      <c r="D484" s="10"/>
      <c r="E484" s="11">
        <f>E491+E494+E492</f>
        <v>45.510000000000005</v>
      </c>
      <c r="F484" s="12" t="s">
        <v>971</v>
      </c>
    </row>
    <row r="486" spans="1:19" ht="27.6" x14ac:dyDescent="0.3">
      <c r="B486" s="13" t="s">
        <v>929</v>
      </c>
      <c r="C486" s="14" t="s">
        <v>928</v>
      </c>
      <c r="D486" s="14" t="s">
        <v>514</v>
      </c>
      <c r="E486" s="14" t="s">
        <v>515</v>
      </c>
      <c r="F486" s="14" t="s">
        <v>962</v>
      </c>
      <c r="G486" s="14" t="s">
        <v>926</v>
      </c>
      <c r="H486" s="14" t="s">
        <v>516</v>
      </c>
      <c r="I486" s="14" t="s">
        <v>961</v>
      </c>
    </row>
    <row r="487" spans="1:19" x14ac:dyDescent="0.3">
      <c r="B487" s="17" t="s">
        <v>528</v>
      </c>
      <c r="C487" s="16">
        <f>ЗП!C16</f>
        <v>7880.4</v>
      </c>
      <c r="D487" s="16">
        <f>C487*12</f>
        <v>94564.799999999988</v>
      </c>
      <c r="E487" s="16">
        <f>ЗП!E16</f>
        <v>6567</v>
      </c>
      <c r="F487" s="16">
        <f>E487*0.5</f>
        <v>3283.5</v>
      </c>
      <c r="G487" s="16">
        <f>D487+E487+F487</f>
        <v>104415.29999999999</v>
      </c>
      <c r="H487" s="17">
        <v>1932.7</v>
      </c>
      <c r="I487" s="16">
        <f>ROUND((G487/H487)/60,2)</f>
        <v>0.9</v>
      </c>
    </row>
    <row r="488" spans="1:19" x14ac:dyDescent="0.3">
      <c r="B488" s="17" t="s">
        <v>539</v>
      </c>
      <c r="C488" s="16">
        <f>ЗП!C42</f>
        <v>6506.5</v>
      </c>
      <c r="D488" s="16">
        <f>C488*12</f>
        <v>78078</v>
      </c>
      <c r="E488" s="16">
        <f>ЗП!E42</f>
        <v>5005</v>
      </c>
      <c r="F488" s="16">
        <f>E488*0.5</f>
        <v>2502.5</v>
      </c>
      <c r="G488" s="16">
        <f>D488+E488+F488</f>
        <v>85585.5</v>
      </c>
      <c r="H488" s="17">
        <v>1932.7</v>
      </c>
      <c r="I488" s="16">
        <f>ROUND((G488/H488)/60,2)</f>
        <v>0.74</v>
      </c>
    </row>
    <row r="490" spans="1:19" ht="27.6" x14ac:dyDescent="0.3">
      <c r="B490" s="13" t="s">
        <v>929</v>
      </c>
      <c r="C490" s="14" t="s">
        <v>961</v>
      </c>
      <c r="D490" s="14" t="s">
        <v>930</v>
      </c>
      <c r="E490" s="14" t="s">
        <v>931</v>
      </c>
    </row>
    <row r="491" spans="1:19" x14ac:dyDescent="0.3">
      <c r="B491" s="15" t="str">
        <f>B487</f>
        <v>Лікар-уролог</v>
      </c>
      <c r="C491" s="16">
        <f>I487</f>
        <v>0.9</v>
      </c>
      <c r="D491" s="17">
        <v>25</v>
      </c>
      <c r="E491" s="18">
        <f>ROUND(C491*D491,2)</f>
        <v>22.5</v>
      </c>
    </row>
    <row r="492" spans="1:19" x14ac:dyDescent="0.3">
      <c r="B492" s="15" t="str">
        <f>B488</f>
        <v>Сестра медична поліклініки</v>
      </c>
      <c r="C492" s="16">
        <f>I488</f>
        <v>0.74</v>
      </c>
      <c r="D492" s="17">
        <v>20</v>
      </c>
      <c r="E492" s="18">
        <f>ROUND(C492*D492,2)</f>
        <v>14.8</v>
      </c>
    </row>
    <row r="493" spans="1:19" x14ac:dyDescent="0.3">
      <c r="C493" s="19"/>
    </row>
    <row r="494" spans="1:19" x14ac:dyDescent="0.3">
      <c r="B494" s="17" t="s">
        <v>933</v>
      </c>
      <c r="C494" s="16">
        <f>E491+E492</f>
        <v>37.299999999999997</v>
      </c>
      <c r="D494" s="20">
        <v>0.22</v>
      </c>
      <c r="E494" s="21">
        <f>ROUND(C494*D494,2)</f>
        <v>8.2100000000000009</v>
      </c>
    </row>
    <row r="495" spans="1:19" ht="9" customHeight="1" x14ac:dyDescent="0.3"/>
    <row r="496" spans="1:19" x14ac:dyDescent="0.3">
      <c r="B496" s="12" t="s">
        <v>946</v>
      </c>
      <c r="C496" s="12"/>
      <c r="D496" s="12"/>
      <c r="E496" s="12">
        <f>F506</f>
        <v>3.32</v>
      </c>
      <c r="F496" s="12" t="s">
        <v>971</v>
      </c>
    </row>
    <row r="497" spans="2:7" ht="9.75" customHeight="1" x14ac:dyDescent="0.3"/>
    <row r="498" spans="2:7" x14ac:dyDescent="0.3">
      <c r="B498" s="27" t="s">
        <v>934</v>
      </c>
      <c r="C498" s="28" t="s">
        <v>935</v>
      </c>
      <c r="D498" s="29">
        <v>0.1</v>
      </c>
      <c r="E498" s="29">
        <f>'МЕДИЧНІ М'!E127</f>
        <v>2.8</v>
      </c>
      <c r="F498" s="30">
        <f t="shared" ref="F498:F505" si="9">ROUND(D498*E498,2)</f>
        <v>0.28000000000000003</v>
      </c>
    </row>
    <row r="499" spans="2:7" x14ac:dyDescent="0.3">
      <c r="B499" s="27" t="s">
        <v>936</v>
      </c>
      <c r="C499" s="28" t="s">
        <v>937</v>
      </c>
      <c r="D499" s="29">
        <v>1</v>
      </c>
      <c r="E499" s="30">
        <f>'МЕДИЧНІ М'!F126</f>
        <v>0.3</v>
      </c>
      <c r="F499" s="30">
        <f t="shared" si="9"/>
        <v>0.3</v>
      </c>
    </row>
    <row r="500" spans="2:7" x14ac:dyDescent="0.3">
      <c r="B500" s="27" t="s">
        <v>938</v>
      </c>
      <c r="C500" s="28" t="s">
        <v>939</v>
      </c>
      <c r="D500" s="58">
        <v>7.0000000000000007E-2</v>
      </c>
      <c r="E500" s="30">
        <f>'МЕДИЧНІ М'!F124</f>
        <v>6</v>
      </c>
      <c r="F500" s="30">
        <f t="shared" si="9"/>
        <v>0.42</v>
      </c>
    </row>
    <row r="501" spans="2:7" x14ac:dyDescent="0.3">
      <c r="B501" s="27" t="s">
        <v>940</v>
      </c>
      <c r="C501" s="28" t="s">
        <v>941</v>
      </c>
      <c r="D501" s="29">
        <v>0.5</v>
      </c>
      <c r="E501" s="29">
        <f>'МЕДИЧНІ М'!E125</f>
        <v>2</v>
      </c>
      <c r="F501" s="30">
        <f t="shared" si="9"/>
        <v>1</v>
      </c>
    </row>
    <row r="502" spans="2:7" x14ac:dyDescent="0.3">
      <c r="B502" s="27" t="s">
        <v>942</v>
      </c>
      <c r="C502" s="28" t="s">
        <v>941</v>
      </c>
      <c r="D502" s="29">
        <v>0.01</v>
      </c>
      <c r="E502" s="29">
        <f>'МЕДИЧНІ М'!E128</f>
        <v>24.6</v>
      </c>
      <c r="F502" s="30">
        <f t="shared" si="9"/>
        <v>0.25</v>
      </c>
    </row>
    <row r="503" spans="2:7" x14ac:dyDescent="0.3">
      <c r="B503" s="27" t="s">
        <v>943</v>
      </c>
      <c r="C503" s="28" t="s">
        <v>944</v>
      </c>
      <c r="D503" s="29">
        <v>1</v>
      </c>
      <c r="E503" s="30">
        <f>'МЕДИЧНІ М'!F122</f>
        <v>7.0000000000000007E-2</v>
      </c>
      <c r="F503" s="30">
        <f t="shared" si="9"/>
        <v>7.0000000000000007E-2</v>
      </c>
    </row>
    <row r="504" spans="2:7" x14ac:dyDescent="0.3">
      <c r="B504" s="27" t="s">
        <v>1124</v>
      </c>
      <c r="C504" s="28" t="s">
        <v>944</v>
      </c>
      <c r="D504" s="29">
        <v>0.5</v>
      </c>
      <c r="E504" s="29">
        <f>'МЕДИЧНІ М'!E123</f>
        <v>0.5</v>
      </c>
      <c r="F504" s="30">
        <f t="shared" si="9"/>
        <v>0.25</v>
      </c>
    </row>
    <row r="505" spans="2:7" x14ac:dyDescent="0.3">
      <c r="B505" s="27" t="s">
        <v>1159</v>
      </c>
      <c r="C505" s="28" t="s">
        <v>1160</v>
      </c>
      <c r="D505" s="29">
        <f>D491</f>
        <v>25</v>
      </c>
      <c r="E505" s="29">
        <f>ROUND(3389/H487/60,2)</f>
        <v>0.03</v>
      </c>
      <c r="F505" s="30">
        <f t="shared" si="9"/>
        <v>0.75</v>
      </c>
    </row>
    <row r="506" spans="2:7" x14ac:dyDescent="0.3">
      <c r="B506" s="1019" t="s">
        <v>945</v>
      </c>
      <c r="C506" s="1019"/>
      <c r="D506" s="1019"/>
      <c r="E506" s="1019"/>
      <c r="F506" s="31">
        <f>SUM(F498:F505)</f>
        <v>3.32</v>
      </c>
    </row>
    <row r="508" spans="2:7" x14ac:dyDescent="0.3">
      <c r="B508" s="12" t="s">
        <v>968</v>
      </c>
      <c r="C508" s="12"/>
      <c r="D508" s="12"/>
      <c r="E508" s="11">
        <f>G511</f>
        <v>0.2</v>
      </c>
      <c r="F508" s="12" t="s">
        <v>971</v>
      </c>
    </row>
    <row r="509" spans="2:7" ht="10.5" customHeight="1" x14ac:dyDescent="0.3">
      <c r="B509" s="22"/>
      <c r="C509" s="22"/>
      <c r="D509" s="22"/>
      <c r="E509" s="23"/>
      <c r="F509" s="22"/>
    </row>
    <row r="510" spans="2:7" ht="27.6" x14ac:dyDescent="0.3">
      <c r="B510" s="14" t="s">
        <v>513</v>
      </c>
      <c r="C510" s="14" t="s">
        <v>1108</v>
      </c>
      <c r="D510" s="14" t="s">
        <v>516</v>
      </c>
      <c r="E510" s="14" t="s">
        <v>970</v>
      </c>
      <c r="F510" s="14" t="s">
        <v>930</v>
      </c>
      <c r="G510" s="14" t="s">
        <v>961</v>
      </c>
    </row>
    <row r="511" spans="2:7" x14ac:dyDescent="0.3">
      <c r="B511" s="27" t="s">
        <v>1117</v>
      </c>
      <c r="C511" s="17">
        <f>АМОРТИЗАЦІЯ!C3</f>
        <v>815.88</v>
      </c>
      <c r="D511" s="17">
        <f>H487</f>
        <v>1932.7</v>
      </c>
      <c r="E511" s="17">
        <f>ROUND((C511/D511)/60,2)</f>
        <v>0.01</v>
      </c>
      <c r="F511" s="17">
        <f>D492</f>
        <v>20</v>
      </c>
      <c r="G511" s="16">
        <f>ROUND(E511*F511,2)</f>
        <v>0.2</v>
      </c>
    </row>
    <row r="512" spans="2:7" ht="8.25" customHeight="1" x14ac:dyDescent="0.3"/>
    <row r="513" spans="2:7" x14ac:dyDescent="0.3">
      <c r="B513" s="12" t="s">
        <v>948</v>
      </c>
      <c r="C513" s="12"/>
      <c r="D513" s="12"/>
      <c r="E513" s="11">
        <f>G526</f>
        <v>5.4</v>
      </c>
      <c r="F513" s="12" t="s">
        <v>971</v>
      </c>
    </row>
    <row r="514" spans="2:7" ht="6.75" customHeight="1" x14ac:dyDescent="0.3">
      <c r="B514" s="22"/>
      <c r="C514" s="22"/>
      <c r="D514" s="22"/>
      <c r="E514" s="23"/>
    </row>
    <row r="515" spans="2:7" ht="55.2" x14ac:dyDescent="0.3">
      <c r="B515" s="14" t="s">
        <v>948</v>
      </c>
      <c r="C515" s="14" t="s">
        <v>955</v>
      </c>
      <c r="D515" s="14" t="s">
        <v>516</v>
      </c>
      <c r="E515" s="14" t="s">
        <v>954</v>
      </c>
      <c r="F515" s="14" t="s">
        <v>930</v>
      </c>
      <c r="G515" s="14" t="s">
        <v>956</v>
      </c>
    </row>
    <row r="516" spans="2:7" x14ac:dyDescent="0.3">
      <c r="B516" s="1009" t="str">
        <f>B487</f>
        <v>Лікар-уролог</v>
      </c>
      <c r="C516" s="1010"/>
      <c r="D516" s="1010"/>
      <c r="E516" s="1010"/>
      <c r="F516" s="1010"/>
      <c r="G516" s="1011"/>
    </row>
    <row r="517" spans="2:7" x14ac:dyDescent="0.3">
      <c r="B517" s="17" t="s">
        <v>951</v>
      </c>
      <c r="C517" s="112">
        <f>C464</f>
        <v>12188.608008565312</v>
      </c>
      <c r="D517" s="17">
        <f>H487</f>
        <v>1932.7</v>
      </c>
      <c r="E517" s="17">
        <f>ROUND((C517/D517)/60,2)</f>
        <v>0.11</v>
      </c>
      <c r="F517" s="17">
        <f>D491</f>
        <v>25</v>
      </c>
      <c r="G517" s="16">
        <f>ROUND(E517*F517,2)</f>
        <v>2.75</v>
      </c>
    </row>
    <row r="518" spans="2:7" x14ac:dyDescent="0.3">
      <c r="B518" s="17" t="s">
        <v>952</v>
      </c>
      <c r="C518" s="112">
        <f>C465</f>
        <v>53.149721627408987</v>
      </c>
      <c r="D518" s="17">
        <f>H487</f>
        <v>1932.7</v>
      </c>
      <c r="E518" s="17">
        <f>ROUND((C518/D518)/60,2)</f>
        <v>0</v>
      </c>
      <c r="F518" s="17">
        <f>D491</f>
        <v>25</v>
      </c>
      <c r="G518" s="16">
        <f>ROUND(E518*F518,2)</f>
        <v>0</v>
      </c>
    </row>
    <row r="519" spans="2:7" x14ac:dyDescent="0.3">
      <c r="B519" s="17" t="s">
        <v>953</v>
      </c>
      <c r="C519" s="112">
        <f>C466</f>
        <v>374.98368308351178</v>
      </c>
      <c r="D519" s="17">
        <f>H487</f>
        <v>1932.7</v>
      </c>
      <c r="E519" s="17">
        <f>ROUND((C519/D519)/60,2)</f>
        <v>0</v>
      </c>
      <c r="F519" s="17">
        <f>D491</f>
        <v>25</v>
      </c>
      <c r="G519" s="16">
        <f>ROUND(E519*F519,2)</f>
        <v>0</v>
      </c>
    </row>
    <row r="520" spans="2:7" x14ac:dyDescent="0.3">
      <c r="B520" s="17" t="s">
        <v>1109</v>
      </c>
      <c r="C520" s="112">
        <f>C467</f>
        <v>1686.0389293361886</v>
      </c>
      <c r="D520" s="17">
        <f>H487</f>
        <v>1932.7</v>
      </c>
      <c r="E520" s="17">
        <f>ROUND((C520/D520)/60,2)</f>
        <v>0.01</v>
      </c>
      <c r="F520" s="17">
        <f>D491</f>
        <v>25</v>
      </c>
      <c r="G520" s="16">
        <f>ROUND(E520*F520,2)</f>
        <v>0.25</v>
      </c>
    </row>
    <row r="521" spans="2:7" x14ac:dyDescent="0.3">
      <c r="B521" s="1009" t="str">
        <f>B488</f>
        <v>Сестра медична поліклініки</v>
      </c>
      <c r="C521" s="1010"/>
      <c r="D521" s="1010"/>
      <c r="E521" s="1010"/>
      <c r="F521" s="1010"/>
      <c r="G521" s="1011"/>
    </row>
    <row r="522" spans="2:7" x14ac:dyDescent="0.3">
      <c r="B522" s="17" t="s">
        <v>951</v>
      </c>
      <c r="C522" s="112">
        <f>C517</f>
        <v>12188.608008565312</v>
      </c>
      <c r="D522" s="17">
        <f>H488</f>
        <v>1932.7</v>
      </c>
      <c r="E522" s="17">
        <f>ROUND((C522/D522)/60,2)</f>
        <v>0.11</v>
      </c>
      <c r="F522" s="17">
        <f>D492</f>
        <v>20</v>
      </c>
      <c r="G522" s="16">
        <f>ROUND(E522*F522,2)</f>
        <v>2.2000000000000002</v>
      </c>
    </row>
    <row r="523" spans="2:7" x14ac:dyDescent="0.3">
      <c r="B523" s="17" t="s">
        <v>952</v>
      </c>
      <c r="C523" s="112">
        <f>C518</f>
        <v>53.149721627408987</v>
      </c>
      <c r="D523" s="17">
        <f>H488</f>
        <v>1932.7</v>
      </c>
      <c r="E523" s="17">
        <f>ROUND((C523/D523)/60,2)</f>
        <v>0</v>
      </c>
      <c r="F523" s="17">
        <f>D492</f>
        <v>20</v>
      </c>
      <c r="G523" s="16">
        <f>ROUND(E523*F523,2)</f>
        <v>0</v>
      </c>
    </row>
    <row r="524" spans="2:7" x14ac:dyDescent="0.3">
      <c r="B524" s="17" t="s">
        <v>953</v>
      </c>
      <c r="C524" s="112">
        <f>C519</f>
        <v>374.98368308351178</v>
      </c>
      <c r="D524" s="17">
        <f>H488</f>
        <v>1932.7</v>
      </c>
      <c r="E524" s="17">
        <f>ROUND((C524/D524)/60,2)</f>
        <v>0</v>
      </c>
      <c r="F524" s="17">
        <f>D492</f>
        <v>20</v>
      </c>
      <c r="G524" s="16">
        <f>ROUND(E524*F524,2)</f>
        <v>0</v>
      </c>
    </row>
    <row r="525" spans="2:7" x14ac:dyDescent="0.3">
      <c r="B525" s="17" t="s">
        <v>1109</v>
      </c>
      <c r="C525" s="112">
        <f>C520</f>
        <v>1686.0389293361886</v>
      </c>
      <c r="D525" s="17">
        <f>H488</f>
        <v>1932.7</v>
      </c>
      <c r="E525" s="17">
        <f>ROUND((C525/D525)/60,2)</f>
        <v>0.01</v>
      </c>
      <c r="F525" s="17">
        <f>D492</f>
        <v>20</v>
      </c>
      <c r="G525" s="16">
        <f>ROUND(E525*F525,2)</f>
        <v>0.2</v>
      </c>
    </row>
    <row r="526" spans="2:7" x14ac:dyDescent="0.3">
      <c r="B526" s="1012" t="s">
        <v>957</v>
      </c>
      <c r="C526" s="1013"/>
      <c r="D526" s="1013"/>
      <c r="E526" s="1013"/>
      <c r="F526" s="1014"/>
      <c r="G526" s="18">
        <f>SUM(G517:G525)</f>
        <v>5.4</v>
      </c>
    </row>
    <row r="527" spans="2:7" ht="14.25" customHeight="1" x14ac:dyDescent="0.3"/>
    <row r="528" spans="2:7" hidden="1" x14ac:dyDescent="0.3"/>
    <row r="529" spans="1:19" x14ac:dyDescent="0.3">
      <c r="B529" s="1015" t="s">
        <v>959</v>
      </c>
      <c r="C529" s="1015"/>
      <c r="D529" s="1015"/>
      <c r="E529" s="1015"/>
      <c r="F529" s="1015"/>
      <c r="G529" s="32">
        <f>E484+E496+E513+E508</f>
        <v>54.430000000000007</v>
      </c>
    </row>
    <row r="530" spans="1:19" x14ac:dyDescent="0.3">
      <c r="B530" s="33"/>
      <c r="C530" s="33"/>
      <c r="D530" s="33"/>
      <c r="E530" s="33"/>
      <c r="F530" s="33"/>
      <c r="G530" s="34"/>
    </row>
    <row r="531" spans="1:19" x14ac:dyDescent="0.3">
      <c r="B531" s="1015" t="s">
        <v>960</v>
      </c>
      <c r="C531" s="1015"/>
      <c r="D531" s="1015"/>
      <c r="E531" s="1015"/>
      <c r="F531" s="1015"/>
      <c r="G531" s="32">
        <f>ROUND(G529,0)</f>
        <v>54</v>
      </c>
    </row>
    <row r="533" spans="1:19" s="54" customFormat="1" ht="19.8" x14ac:dyDescent="0.4">
      <c r="A533" s="1016" t="s">
        <v>958</v>
      </c>
      <c r="B533" s="1016"/>
      <c r="C533" s="1016"/>
      <c r="D533" s="1016"/>
      <c r="E533" s="1016"/>
      <c r="F533" s="1016"/>
      <c r="G533" s="1016"/>
      <c r="H533" s="1016"/>
      <c r="I533" s="1016"/>
      <c r="J533" s="110"/>
      <c r="K533" s="110"/>
      <c r="L533" s="53"/>
      <c r="M533" s="53"/>
      <c r="N533" s="53"/>
      <c r="O533" s="53"/>
      <c r="P533" s="53"/>
      <c r="Q533" s="53"/>
      <c r="R533" s="53"/>
      <c r="S533" s="53"/>
    </row>
    <row r="534" spans="1:19" s="54" customFormat="1" ht="19.8" x14ac:dyDescent="0.4">
      <c r="A534" s="53"/>
      <c r="B534" s="53"/>
      <c r="C534" s="53"/>
      <c r="D534" s="53"/>
      <c r="E534" s="53"/>
      <c r="F534" s="53"/>
      <c r="G534" s="53"/>
      <c r="H534" s="53"/>
      <c r="I534" s="53"/>
      <c r="J534" s="110"/>
      <c r="K534" s="110"/>
      <c r="L534" s="53"/>
      <c r="M534" s="53"/>
      <c r="N534" s="53"/>
      <c r="O534" s="53"/>
      <c r="P534" s="53"/>
      <c r="Q534" s="53"/>
      <c r="R534" s="53"/>
      <c r="S534" s="53"/>
    </row>
    <row r="535" spans="1:19" s="54" customFormat="1" ht="35.25" customHeight="1" x14ac:dyDescent="0.4">
      <c r="A535" s="50" t="s">
        <v>722</v>
      </c>
      <c r="B535" s="1017" t="s">
        <v>1206</v>
      </c>
      <c r="C535" s="1017"/>
      <c r="D535" s="1017"/>
      <c r="E535" s="52">
        <f>G584</f>
        <v>68</v>
      </c>
      <c r="F535" s="52" t="s">
        <v>971</v>
      </c>
      <c r="G535" s="53"/>
      <c r="H535" s="53"/>
      <c r="I535" s="53"/>
      <c r="J535" s="110"/>
      <c r="K535" s="110"/>
      <c r="L535" s="53"/>
      <c r="M535" s="53"/>
      <c r="N535" s="53"/>
      <c r="O535" s="53"/>
      <c r="P535" s="53"/>
      <c r="Q535" s="53"/>
      <c r="R535" s="53"/>
      <c r="S535" s="53"/>
    </row>
    <row r="537" spans="1:19" x14ac:dyDescent="0.3">
      <c r="B537" s="1018" t="s">
        <v>932</v>
      </c>
      <c r="C537" s="1018"/>
      <c r="D537" s="10"/>
      <c r="E537" s="11">
        <f>E544+E547+E545</f>
        <v>58.26</v>
      </c>
      <c r="F537" s="12" t="s">
        <v>971</v>
      </c>
    </row>
    <row r="539" spans="1:19" ht="27.6" x14ac:dyDescent="0.3">
      <c r="B539" s="13" t="s">
        <v>929</v>
      </c>
      <c r="C539" s="14" t="s">
        <v>928</v>
      </c>
      <c r="D539" s="14" t="s">
        <v>514</v>
      </c>
      <c r="E539" s="14" t="s">
        <v>515</v>
      </c>
      <c r="F539" s="14" t="s">
        <v>962</v>
      </c>
      <c r="G539" s="14" t="s">
        <v>926</v>
      </c>
      <c r="H539" s="14" t="s">
        <v>516</v>
      </c>
      <c r="I539" s="14" t="s">
        <v>961</v>
      </c>
    </row>
    <row r="540" spans="1:19" x14ac:dyDescent="0.3">
      <c r="B540" s="17" t="s">
        <v>1191</v>
      </c>
      <c r="C540" s="16">
        <f>ЗП!C17</f>
        <v>10799.43</v>
      </c>
      <c r="D540" s="16">
        <f>C540*12</f>
        <v>129593.16</v>
      </c>
      <c r="E540" s="16">
        <f>ЗП!E17</f>
        <v>8307.26</v>
      </c>
      <c r="F540" s="16">
        <f>E540*0.5</f>
        <v>4153.63</v>
      </c>
      <c r="G540" s="16">
        <f>D540+E540+F540</f>
        <v>142054.05000000002</v>
      </c>
      <c r="H540" s="17">
        <v>1932.7</v>
      </c>
      <c r="I540" s="16">
        <f>ROUND((G540/H540)/60,2)</f>
        <v>1.23</v>
      </c>
    </row>
    <row r="541" spans="1:19" x14ac:dyDescent="0.3">
      <c r="B541" s="17" t="s">
        <v>1197</v>
      </c>
      <c r="C541" s="16">
        <f>ЗП!C37</f>
        <v>7482.48</v>
      </c>
      <c r="D541" s="16">
        <f>C541*12</f>
        <v>89789.759999999995</v>
      </c>
      <c r="E541" s="16">
        <f>ЗП!E37</f>
        <v>5755.75</v>
      </c>
      <c r="F541" s="16">
        <f>E541*0.5</f>
        <v>2877.875</v>
      </c>
      <c r="G541" s="16">
        <f>D541+E541+F541</f>
        <v>98423.384999999995</v>
      </c>
      <c r="H541" s="17">
        <v>1932.7</v>
      </c>
      <c r="I541" s="16">
        <f>ROUND((G541/H541)/60,2)</f>
        <v>0.85</v>
      </c>
    </row>
    <row r="543" spans="1:19" ht="27.6" x14ac:dyDescent="0.3">
      <c r="B543" s="13" t="s">
        <v>929</v>
      </c>
      <c r="C543" s="14" t="s">
        <v>961</v>
      </c>
      <c r="D543" s="14" t="s">
        <v>930</v>
      </c>
      <c r="E543" s="14" t="s">
        <v>931</v>
      </c>
    </row>
    <row r="544" spans="1:19" x14ac:dyDescent="0.3">
      <c r="B544" s="15" t="str">
        <f>B540</f>
        <v>Лікар-фізіотерапевт</v>
      </c>
      <c r="C544" s="16">
        <f>I540</f>
        <v>1.23</v>
      </c>
      <c r="D544" s="17">
        <v>25</v>
      </c>
      <c r="E544" s="18">
        <f>ROUND(C544*D544,2)</f>
        <v>30.75</v>
      </c>
    </row>
    <row r="545" spans="2:6" x14ac:dyDescent="0.3">
      <c r="B545" s="15" t="str">
        <f>B541</f>
        <v>Сестра медична з фізіотерапії</v>
      </c>
      <c r="C545" s="16">
        <f>I541</f>
        <v>0.85</v>
      </c>
      <c r="D545" s="17">
        <v>20</v>
      </c>
      <c r="E545" s="18">
        <f>ROUND(C545*D545,2)</f>
        <v>17</v>
      </c>
    </row>
    <row r="546" spans="2:6" x14ac:dyDescent="0.3">
      <c r="C546" s="19"/>
    </row>
    <row r="547" spans="2:6" x14ac:dyDescent="0.3">
      <c r="B547" s="17" t="s">
        <v>933</v>
      </c>
      <c r="C547" s="16">
        <f>E544+E545</f>
        <v>47.75</v>
      </c>
      <c r="D547" s="20">
        <v>0.22</v>
      </c>
      <c r="E547" s="21">
        <f>ROUND(C547*D547,2)</f>
        <v>10.51</v>
      </c>
    </row>
    <row r="549" spans="2:6" x14ac:dyDescent="0.3">
      <c r="B549" s="12" t="s">
        <v>946</v>
      </c>
      <c r="C549" s="12"/>
      <c r="D549" s="12"/>
      <c r="E549" s="12">
        <f>F559</f>
        <v>3.68</v>
      </c>
      <c r="F549" s="12" t="s">
        <v>971</v>
      </c>
    </row>
    <row r="550" spans="2:6" ht="6.75" customHeight="1" x14ac:dyDescent="0.3"/>
    <row r="551" spans="2:6" x14ac:dyDescent="0.3">
      <c r="B551" s="27" t="s">
        <v>934</v>
      </c>
      <c r="C551" s="28" t="s">
        <v>935</v>
      </c>
      <c r="D551" s="29">
        <v>0.1</v>
      </c>
      <c r="E551" s="29">
        <f>'МЕДИЧНІ М'!E127</f>
        <v>2.8</v>
      </c>
      <c r="F551" s="30">
        <f t="shared" ref="F551:F558" si="10">ROUND(D551*E551,2)</f>
        <v>0.28000000000000003</v>
      </c>
    </row>
    <row r="552" spans="2:6" x14ac:dyDescent="0.3">
      <c r="B552" s="27" t="s">
        <v>936</v>
      </c>
      <c r="C552" s="28" t="s">
        <v>937</v>
      </c>
      <c r="D552" s="29">
        <v>1</v>
      </c>
      <c r="E552" s="30">
        <f>'МЕДИЧНІ М'!F126</f>
        <v>0.3</v>
      </c>
      <c r="F552" s="30">
        <f t="shared" si="10"/>
        <v>0.3</v>
      </c>
    </row>
    <row r="553" spans="2:6" x14ac:dyDescent="0.3">
      <c r="B553" s="27" t="s">
        <v>938</v>
      </c>
      <c r="C553" s="28" t="s">
        <v>939</v>
      </c>
      <c r="D553" s="58">
        <v>0.13</v>
      </c>
      <c r="E553" s="30">
        <f>'МЕДИЧНІ М'!F124</f>
        <v>6</v>
      </c>
      <c r="F553" s="30">
        <f t="shared" si="10"/>
        <v>0.78</v>
      </c>
    </row>
    <row r="554" spans="2:6" x14ac:dyDescent="0.3">
      <c r="B554" s="27" t="s">
        <v>940</v>
      </c>
      <c r="C554" s="28" t="s">
        <v>941</v>
      </c>
      <c r="D554" s="29">
        <v>0.5</v>
      </c>
      <c r="E554" s="29">
        <f>'МЕДИЧНІ М'!E125</f>
        <v>2</v>
      </c>
      <c r="F554" s="30">
        <f t="shared" si="10"/>
        <v>1</v>
      </c>
    </row>
    <row r="555" spans="2:6" x14ac:dyDescent="0.3">
      <c r="B555" s="27" t="s">
        <v>942</v>
      </c>
      <c r="C555" s="28" t="s">
        <v>941</v>
      </c>
      <c r="D555" s="29">
        <v>0.01</v>
      </c>
      <c r="E555" s="29">
        <f>'МЕДИЧНІ М'!E128</f>
        <v>24.6</v>
      </c>
      <c r="F555" s="30">
        <f t="shared" si="10"/>
        <v>0.25</v>
      </c>
    </row>
    <row r="556" spans="2:6" x14ac:dyDescent="0.3">
      <c r="B556" s="27" t="s">
        <v>943</v>
      </c>
      <c r="C556" s="28" t="s">
        <v>944</v>
      </c>
      <c r="D556" s="29">
        <v>1</v>
      </c>
      <c r="E556" s="30">
        <f>'МЕДИЧНІ М'!F122</f>
        <v>7.0000000000000007E-2</v>
      </c>
      <c r="F556" s="30">
        <f t="shared" si="10"/>
        <v>7.0000000000000007E-2</v>
      </c>
    </row>
    <row r="557" spans="2:6" x14ac:dyDescent="0.3">
      <c r="B557" s="27" t="s">
        <v>1124</v>
      </c>
      <c r="C557" s="28" t="s">
        <v>944</v>
      </c>
      <c r="D557" s="29">
        <v>0.5</v>
      </c>
      <c r="E557" s="29">
        <f>'МЕДИЧНІ М'!E123</f>
        <v>0.5</v>
      </c>
      <c r="F557" s="30">
        <f t="shared" si="10"/>
        <v>0.25</v>
      </c>
    </row>
    <row r="558" spans="2:6" x14ac:dyDescent="0.3">
      <c r="B558" s="27" t="s">
        <v>1159</v>
      </c>
      <c r="C558" s="28" t="s">
        <v>1160</v>
      </c>
      <c r="D558" s="29">
        <f>D544</f>
        <v>25</v>
      </c>
      <c r="E558" s="29">
        <f>ROUND(3389/H540/60,2)</f>
        <v>0.03</v>
      </c>
      <c r="F558" s="30">
        <f t="shared" si="10"/>
        <v>0.75</v>
      </c>
    </row>
    <row r="559" spans="2:6" x14ac:dyDescent="0.3">
      <c r="B559" s="1019" t="s">
        <v>945</v>
      </c>
      <c r="C559" s="1019"/>
      <c r="D559" s="1019"/>
      <c r="E559" s="1019"/>
      <c r="F559" s="31">
        <f>SUM(F551:F558)</f>
        <v>3.68</v>
      </c>
    </row>
    <row r="561" spans="2:7" x14ac:dyDescent="0.3">
      <c r="B561" s="12" t="s">
        <v>968</v>
      </c>
      <c r="C561" s="12"/>
      <c r="D561" s="12"/>
      <c r="E561" s="11">
        <f>G564</f>
        <v>0.2</v>
      </c>
      <c r="F561" s="12" t="s">
        <v>971</v>
      </c>
    </row>
    <row r="562" spans="2:7" x14ac:dyDescent="0.3">
      <c r="B562" s="22"/>
      <c r="C562" s="22"/>
      <c r="D562" s="22"/>
      <c r="E562" s="23"/>
      <c r="F562" s="22"/>
    </row>
    <row r="563" spans="2:7" ht="27.6" x14ac:dyDescent="0.3">
      <c r="B563" s="14" t="s">
        <v>513</v>
      </c>
      <c r="C563" s="14" t="s">
        <v>1108</v>
      </c>
      <c r="D563" s="14" t="s">
        <v>516</v>
      </c>
      <c r="E563" s="14" t="s">
        <v>970</v>
      </c>
      <c r="F563" s="14" t="s">
        <v>930</v>
      </c>
      <c r="G563" s="14" t="s">
        <v>961</v>
      </c>
    </row>
    <row r="564" spans="2:7" x14ac:dyDescent="0.3">
      <c r="B564" s="27" t="s">
        <v>1117</v>
      </c>
      <c r="C564" s="17">
        <f>АМОРТИЗАЦІЯ!C3</f>
        <v>815.88</v>
      </c>
      <c r="D564" s="17">
        <f>H540</f>
        <v>1932.7</v>
      </c>
      <c r="E564" s="17">
        <f>ROUND((C564/D564)/60,2)</f>
        <v>0.01</v>
      </c>
      <c r="F564" s="17">
        <f>D545</f>
        <v>20</v>
      </c>
      <c r="G564" s="16">
        <f>ROUND(E564*F564,2)</f>
        <v>0.2</v>
      </c>
    </row>
    <row r="566" spans="2:7" x14ac:dyDescent="0.3">
      <c r="B566" s="12" t="s">
        <v>948</v>
      </c>
      <c r="C566" s="12"/>
      <c r="D566" s="12"/>
      <c r="E566" s="11">
        <f>G579</f>
        <v>5.4</v>
      </c>
      <c r="F566" s="12" t="s">
        <v>971</v>
      </c>
    </row>
    <row r="567" spans="2:7" ht="7.5" customHeight="1" x14ac:dyDescent="0.3">
      <c r="B567" s="22"/>
      <c r="C567" s="22"/>
      <c r="D567" s="22"/>
      <c r="E567" s="23"/>
    </row>
    <row r="568" spans="2:7" ht="55.2" x14ac:dyDescent="0.3">
      <c r="B568" s="14" t="s">
        <v>948</v>
      </c>
      <c r="C568" s="14" t="s">
        <v>955</v>
      </c>
      <c r="D568" s="14" t="s">
        <v>516</v>
      </c>
      <c r="E568" s="14" t="s">
        <v>954</v>
      </c>
      <c r="F568" s="14" t="s">
        <v>930</v>
      </c>
      <c r="G568" s="14" t="s">
        <v>956</v>
      </c>
    </row>
    <row r="569" spans="2:7" x14ac:dyDescent="0.3">
      <c r="B569" s="1009" t="str">
        <f>B540</f>
        <v>Лікар-фізіотерапевт</v>
      </c>
      <c r="C569" s="1010"/>
      <c r="D569" s="1010"/>
      <c r="E569" s="1010"/>
      <c r="F569" s="1010"/>
      <c r="G569" s="1011"/>
    </row>
    <row r="570" spans="2:7" x14ac:dyDescent="0.3">
      <c r="B570" s="17" t="s">
        <v>951</v>
      </c>
      <c r="C570" s="112">
        <f>C517</f>
        <v>12188.608008565312</v>
      </c>
      <c r="D570" s="17">
        <f>H540</f>
        <v>1932.7</v>
      </c>
      <c r="E570" s="17">
        <f>ROUND((C570/D570)/60,2)</f>
        <v>0.11</v>
      </c>
      <c r="F570" s="17">
        <f>D544</f>
        <v>25</v>
      </c>
      <c r="G570" s="16">
        <f>ROUND(E570*F570,2)</f>
        <v>2.75</v>
      </c>
    </row>
    <row r="571" spans="2:7" x14ac:dyDescent="0.3">
      <c r="B571" s="17" t="s">
        <v>952</v>
      </c>
      <c r="C571" s="112">
        <f>C518</f>
        <v>53.149721627408987</v>
      </c>
      <c r="D571" s="17">
        <f>H540</f>
        <v>1932.7</v>
      </c>
      <c r="E571" s="17">
        <f>ROUND((C571/D571)/60,2)</f>
        <v>0</v>
      </c>
      <c r="F571" s="17">
        <f>D544</f>
        <v>25</v>
      </c>
      <c r="G571" s="16">
        <f>ROUND(E571*F571,2)</f>
        <v>0</v>
      </c>
    </row>
    <row r="572" spans="2:7" x14ac:dyDescent="0.3">
      <c r="B572" s="17" t="s">
        <v>953</v>
      </c>
      <c r="C572" s="112">
        <f>C519</f>
        <v>374.98368308351178</v>
      </c>
      <c r="D572" s="17">
        <f>H540</f>
        <v>1932.7</v>
      </c>
      <c r="E572" s="17">
        <f>ROUND((C572/D572)/60,2)</f>
        <v>0</v>
      </c>
      <c r="F572" s="17">
        <f>D544</f>
        <v>25</v>
      </c>
      <c r="G572" s="16">
        <f>ROUND(E572*F572,2)</f>
        <v>0</v>
      </c>
    </row>
    <row r="573" spans="2:7" x14ac:dyDescent="0.3">
      <c r="B573" s="17" t="s">
        <v>1109</v>
      </c>
      <c r="C573" s="112">
        <f>C520</f>
        <v>1686.0389293361886</v>
      </c>
      <c r="D573" s="17">
        <f>H540</f>
        <v>1932.7</v>
      </c>
      <c r="E573" s="17">
        <f>ROUND((C573/D573)/60,2)</f>
        <v>0.01</v>
      </c>
      <c r="F573" s="17">
        <f>D544</f>
        <v>25</v>
      </c>
      <c r="G573" s="16">
        <f>ROUND(E573*F573,2)</f>
        <v>0.25</v>
      </c>
    </row>
    <row r="574" spans="2:7" x14ac:dyDescent="0.3">
      <c r="B574" s="1009" t="str">
        <f>B541</f>
        <v>Сестра медична з фізіотерапії</v>
      </c>
      <c r="C574" s="1010"/>
      <c r="D574" s="1010"/>
      <c r="E574" s="1010"/>
      <c r="F574" s="1010"/>
      <c r="G574" s="1011"/>
    </row>
    <row r="575" spans="2:7" x14ac:dyDescent="0.3">
      <c r="B575" s="17" t="s">
        <v>951</v>
      </c>
      <c r="C575" s="112">
        <f>C570</f>
        <v>12188.608008565312</v>
      </c>
      <c r="D575" s="17">
        <f>H541</f>
        <v>1932.7</v>
      </c>
      <c r="E575" s="17">
        <f>ROUND((C575/D575)/60,2)</f>
        <v>0.11</v>
      </c>
      <c r="F575" s="17">
        <f>D545</f>
        <v>20</v>
      </c>
      <c r="G575" s="16">
        <f>ROUND(E575*F575,2)</f>
        <v>2.2000000000000002</v>
      </c>
    </row>
    <row r="576" spans="2:7" x14ac:dyDescent="0.3">
      <c r="B576" s="17" t="s">
        <v>952</v>
      </c>
      <c r="C576" s="112">
        <f>C571</f>
        <v>53.149721627408987</v>
      </c>
      <c r="D576" s="17">
        <f>H541</f>
        <v>1932.7</v>
      </c>
      <c r="E576" s="17">
        <f>ROUND((C576/D576)/60,2)</f>
        <v>0</v>
      </c>
      <c r="F576" s="17">
        <f>D545</f>
        <v>20</v>
      </c>
      <c r="G576" s="16">
        <f>ROUND(E576*F576,2)</f>
        <v>0</v>
      </c>
    </row>
    <row r="577" spans="2:7" x14ac:dyDescent="0.3">
      <c r="B577" s="17" t="s">
        <v>953</v>
      </c>
      <c r="C577" s="112">
        <f>C572</f>
        <v>374.98368308351178</v>
      </c>
      <c r="D577" s="17">
        <f>H541</f>
        <v>1932.7</v>
      </c>
      <c r="E577" s="17">
        <f>ROUND((C577/D577)/60,2)</f>
        <v>0</v>
      </c>
      <c r="F577" s="17">
        <f>D545</f>
        <v>20</v>
      </c>
      <c r="G577" s="16">
        <f>ROUND(E577*F577,2)</f>
        <v>0</v>
      </c>
    </row>
    <row r="578" spans="2:7" x14ac:dyDescent="0.3">
      <c r="B578" s="17" t="s">
        <v>1109</v>
      </c>
      <c r="C578" s="112">
        <f>C573</f>
        <v>1686.0389293361886</v>
      </c>
      <c r="D578" s="17">
        <f>H541</f>
        <v>1932.7</v>
      </c>
      <c r="E578" s="17">
        <f>ROUND((C578/D578)/60,2)</f>
        <v>0.01</v>
      </c>
      <c r="F578" s="17">
        <f>D545</f>
        <v>20</v>
      </c>
      <c r="G578" s="16">
        <f>ROUND(E578*F578,2)</f>
        <v>0.2</v>
      </c>
    </row>
    <row r="579" spans="2:7" x14ac:dyDescent="0.3">
      <c r="B579" s="1012" t="s">
        <v>957</v>
      </c>
      <c r="C579" s="1013"/>
      <c r="D579" s="1013"/>
      <c r="E579" s="1013"/>
      <c r="F579" s="1014"/>
      <c r="G579" s="18">
        <f>SUM(G570:G578)</f>
        <v>5.4</v>
      </c>
    </row>
    <row r="581" spans="2:7" hidden="1" x14ac:dyDescent="0.3"/>
    <row r="582" spans="2:7" x14ac:dyDescent="0.3">
      <c r="B582" s="1015" t="s">
        <v>959</v>
      </c>
      <c r="C582" s="1015"/>
      <c r="D582" s="1015"/>
      <c r="E582" s="1015"/>
      <c r="F582" s="1015"/>
      <c r="G582" s="32">
        <f>E537+E549+E566+E561</f>
        <v>67.540000000000006</v>
      </c>
    </row>
    <row r="583" spans="2:7" x14ac:dyDescent="0.3">
      <c r="B583" s="33"/>
      <c r="C583" s="33"/>
      <c r="D583" s="33"/>
      <c r="E583" s="33"/>
      <c r="F583" s="33"/>
      <c r="G583" s="34"/>
    </row>
    <row r="584" spans="2:7" x14ac:dyDescent="0.3">
      <c r="B584" s="1015" t="s">
        <v>960</v>
      </c>
      <c r="C584" s="1015"/>
      <c r="D584" s="1015"/>
      <c r="E584" s="1015"/>
      <c r="F584" s="1015"/>
      <c r="G584" s="32">
        <f>ROUND(G582,0)</f>
        <v>68</v>
      </c>
    </row>
  </sheetData>
  <mergeCells count="99">
    <mergeCell ref="B584:F584"/>
    <mergeCell ref="A533:I533"/>
    <mergeCell ref="B529:F529"/>
    <mergeCell ref="B582:F582"/>
    <mergeCell ref="B531:F531"/>
    <mergeCell ref="B569:G569"/>
    <mergeCell ref="B579:F579"/>
    <mergeCell ref="B535:D535"/>
    <mergeCell ref="B559:E559"/>
    <mergeCell ref="B574:G574"/>
    <mergeCell ref="B473:F473"/>
    <mergeCell ref="B468:G468"/>
    <mergeCell ref="B476:F476"/>
    <mergeCell ref="B521:G521"/>
    <mergeCell ref="A480:I480"/>
    <mergeCell ref="B537:C537"/>
    <mergeCell ref="B482:D482"/>
    <mergeCell ref="B526:F526"/>
    <mergeCell ref="B516:G516"/>
    <mergeCell ref="B506:E506"/>
    <mergeCell ref="B484:C484"/>
    <mergeCell ref="B478:F478"/>
    <mergeCell ref="B420:F420"/>
    <mergeCell ref="B453:E453"/>
    <mergeCell ref="B431:C431"/>
    <mergeCell ref="B429:D429"/>
    <mergeCell ref="A427:I427"/>
    <mergeCell ref="B463:G463"/>
    <mergeCell ref="B425:F425"/>
    <mergeCell ref="B260:F260"/>
    <mergeCell ref="B263:F263"/>
    <mergeCell ref="B423:F423"/>
    <mergeCell ref="B357:G357"/>
    <mergeCell ref="B362:G362"/>
    <mergeCell ref="B313:F313"/>
    <mergeCell ref="B400:E400"/>
    <mergeCell ref="B376:D376"/>
    <mergeCell ref="B367:F367"/>
    <mergeCell ref="B410:G410"/>
    <mergeCell ref="B269:D269"/>
    <mergeCell ref="B293:E293"/>
    <mergeCell ref="B316:F316"/>
    <mergeCell ref="B303:G303"/>
    <mergeCell ref="B325:C325"/>
    <mergeCell ref="B318:F318"/>
    <mergeCell ref="B415:G415"/>
    <mergeCell ref="A55:I55"/>
    <mergeCell ref="B165:C165"/>
    <mergeCell ref="B144:G144"/>
    <mergeCell ref="B106:F106"/>
    <mergeCell ref="B112:C112"/>
    <mergeCell ref="B134:E134"/>
    <mergeCell ref="B370:F370"/>
    <mergeCell ref="A374:I374"/>
    <mergeCell ref="B378:C378"/>
    <mergeCell ref="B372:F372"/>
    <mergeCell ref="B250:G250"/>
    <mergeCell ref="B347:E347"/>
    <mergeCell ref="B323:D323"/>
    <mergeCell ref="B255:G255"/>
    <mergeCell ref="B271:C271"/>
    <mergeCell ref="B265:F265"/>
    <mergeCell ref="A267:I267"/>
    <mergeCell ref="A321:I321"/>
    <mergeCell ref="B308:G308"/>
    <mergeCell ref="B240:E240"/>
    <mergeCell ref="B218:C218"/>
    <mergeCell ref="B216:D216"/>
    <mergeCell ref="B187:E187"/>
    <mergeCell ref="B212:F212"/>
    <mergeCell ref="B197:G197"/>
    <mergeCell ref="B210:F210"/>
    <mergeCell ref="B202:G202"/>
    <mergeCell ref="A214:I214"/>
    <mergeCell ref="B207:F207"/>
    <mergeCell ref="B163:D163"/>
    <mergeCell ref="A161:I161"/>
    <mergeCell ref="B154:F154"/>
    <mergeCell ref="B157:F157"/>
    <mergeCell ref="B96:G96"/>
    <mergeCell ref="B101:F101"/>
    <mergeCell ref="B110:D110"/>
    <mergeCell ref="B149:G149"/>
    <mergeCell ref="B104:F104"/>
    <mergeCell ref="A108:I108"/>
    <mergeCell ref="B159:F159"/>
    <mergeCell ref="B91:G91"/>
    <mergeCell ref="B43:G43"/>
    <mergeCell ref="B48:F48"/>
    <mergeCell ref="B51:F51"/>
    <mergeCell ref="A2:I2"/>
    <mergeCell ref="B6:C6"/>
    <mergeCell ref="B28:E28"/>
    <mergeCell ref="B4:D4"/>
    <mergeCell ref="B38:G38"/>
    <mergeCell ref="B53:F53"/>
    <mergeCell ref="B81:E81"/>
    <mergeCell ref="B57:D57"/>
    <mergeCell ref="B59:C59"/>
  </mergeCells>
  <phoneticPr fontId="8" type="noConversion"/>
  <hyperlinks>
    <hyperlink ref="K4" location="'5 Консультація Лікаря'!A4" display="Консультативна медична допомога лікаря-терапевта" xr:uid="{00000000-0004-0000-1A00-000000000000}"/>
    <hyperlink ref="K5" location="'5 Консультація Лікаря'!A56" display="Консультативна медична допомога лікаря-невропатолога" xr:uid="{00000000-0004-0000-1A00-000001000000}"/>
    <hyperlink ref="K6" location="'5 Консультація Лікаря'!A108" display="Консультативна медична допомога лікаря дерматовенеролога" xr:uid="{00000000-0004-0000-1A00-000002000000}"/>
    <hyperlink ref="K7" location="'5 Консультація Лікаря'!A160" display="Консультативна медична допомога лікаря-ендокринолог" xr:uid="{00000000-0004-0000-1A00-000003000000}"/>
    <hyperlink ref="K8" location="'5 Консультація Лікаря'!A212" display="Консультативна медична допомога лікаря-отоларинголог" xr:uid="{00000000-0004-0000-1A00-000004000000}"/>
    <hyperlink ref="K9" location="'5 Консультація Лікаря'!A259" display="Консультативна медична допомога лікаря-офтальмолога" xr:uid="{00000000-0004-0000-1A00-000005000000}"/>
    <hyperlink ref="K10" location="'5 Консультація Лікаря'!A361" display="Консультативна медична допомога лікаря-інфекціоніста" xr:uid="{00000000-0004-0000-1A00-000006000000}"/>
    <hyperlink ref="K11" location="'5 Консультація Лікаря'!A412" display="Консультативна медична допомога лікаря-ортопеда-травматолога" xr:uid="{00000000-0004-0000-1A00-000007000000}"/>
    <hyperlink ref="K12" location="'5 Консультація Лікаря'!A514" display="Консультативна медична допомога лікаря-хірург" xr:uid="{00000000-0004-0000-1A00-000008000000}"/>
    <hyperlink ref="K13" location="'5 Консультація Лікаря'!A565" display="Консультативна медична допомога лікаря-уролога" xr:uid="{00000000-0004-0000-1A00-000009000000}"/>
    <hyperlink ref="K14" location="'5 Консультація Лікаря'!A616" display="Консультативна медична допомога лікаря-фізіатерапевта" xr:uid="{00000000-0004-0000-1A00-00000A000000}"/>
  </hyperlinks>
  <pageMargins left="0" right="0" top="0" bottom="0" header="0.31496062992125984" footer="0.31496062992125984"/>
  <pageSetup paperSize="9" scale="77" orientation="portrait" r:id="rId1"/>
  <rowBreaks count="10" manualBreakCount="10">
    <brk id="54" max="8" man="1"/>
    <brk id="107" max="8" man="1"/>
    <brk id="160" max="8" man="1"/>
    <brk id="213" max="8" man="1"/>
    <brk id="266" max="8" man="1"/>
    <brk id="320" max="8" man="1"/>
    <brk id="373" max="8" man="1"/>
    <brk id="426" max="8" man="1"/>
    <brk id="479" max="8" man="1"/>
    <brk id="532" max="8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67"/>
  <sheetViews>
    <sheetView view="pageBreakPreview" zoomScaleNormal="100" workbookViewId="0">
      <selection activeCell="D26" sqref="D26"/>
    </sheetView>
  </sheetViews>
  <sheetFormatPr defaultRowHeight="14.4" x14ac:dyDescent="0.3"/>
  <cols>
    <col min="1" max="1" width="6.33203125" style="7" bestFit="1" customWidth="1"/>
    <col min="2" max="2" width="43" style="7" customWidth="1"/>
    <col min="3" max="3" width="12.44140625" style="7" customWidth="1"/>
    <col min="4" max="4" width="11.5546875" style="7" bestFit="1" customWidth="1"/>
    <col min="5" max="5" width="11" style="7" customWidth="1"/>
    <col min="6" max="6" width="9.33203125" style="7" bestFit="1" customWidth="1"/>
    <col min="7" max="7" width="14" style="7" customWidth="1"/>
    <col min="8" max="9" width="9.33203125" style="7" bestFit="1" customWidth="1"/>
  </cols>
  <sheetData>
    <row r="1" spans="1:9" ht="7.5" customHeight="1" x14ac:dyDescent="0.3"/>
    <row r="2" spans="1:9" s="54" customFormat="1" ht="19.8" x14ac:dyDescent="0.4">
      <c r="A2" s="1016" t="s">
        <v>958</v>
      </c>
      <c r="B2" s="1016"/>
      <c r="C2" s="1016"/>
      <c r="D2" s="1016"/>
      <c r="E2" s="1016"/>
      <c r="F2" s="1016"/>
      <c r="G2" s="1016"/>
      <c r="H2" s="1016"/>
      <c r="I2" s="1016"/>
    </row>
    <row r="3" spans="1:9" s="54" customFormat="1" ht="3.75" customHeight="1" x14ac:dyDescent="0.4">
      <c r="A3" s="53"/>
      <c r="B3" s="53"/>
      <c r="C3" s="53"/>
      <c r="D3" s="53"/>
      <c r="E3" s="53"/>
      <c r="F3" s="53"/>
      <c r="G3" s="53"/>
      <c r="H3" s="53"/>
      <c r="I3" s="53"/>
    </row>
    <row r="4" spans="1:9" s="54" customFormat="1" ht="37.5" customHeight="1" x14ac:dyDescent="0.4">
      <c r="A4" s="50" t="s">
        <v>1002</v>
      </c>
      <c r="B4" s="1017" t="s">
        <v>921</v>
      </c>
      <c r="C4" s="1017"/>
      <c r="D4" s="1017"/>
      <c r="E4" s="52">
        <f>G67</f>
        <v>520</v>
      </c>
      <c r="F4" s="52" t="s">
        <v>971</v>
      </c>
      <c r="G4" s="53"/>
      <c r="H4" s="53"/>
      <c r="I4" s="53"/>
    </row>
    <row r="5" spans="1:9" ht="6" customHeight="1" x14ac:dyDescent="0.3"/>
    <row r="6" spans="1:9" x14ac:dyDescent="0.3">
      <c r="B6" s="1018" t="s">
        <v>932</v>
      </c>
      <c r="C6" s="1018"/>
      <c r="D6" s="10"/>
      <c r="E6" s="11">
        <f>E15+E20+E16+E17+E18</f>
        <v>148.6</v>
      </c>
      <c r="F6" s="12" t="s">
        <v>971</v>
      </c>
    </row>
    <row r="7" spans="1:9" ht="6" customHeight="1" x14ac:dyDescent="0.3"/>
    <row r="8" spans="1:9" x14ac:dyDescent="0.3">
      <c r="B8" s="13" t="s">
        <v>929</v>
      </c>
      <c r="C8" s="14" t="s">
        <v>928</v>
      </c>
      <c r="D8" s="14" t="s">
        <v>514</v>
      </c>
      <c r="E8" s="14" t="s">
        <v>515</v>
      </c>
      <c r="F8" s="14" t="s">
        <v>1175</v>
      </c>
      <c r="G8" s="14" t="s">
        <v>926</v>
      </c>
      <c r="H8" s="14" t="s">
        <v>1176</v>
      </c>
      <c r="I8" s="14" t="s">
        <v>988</v>
      </c>
    </row>
    <row r="9" spans="1:9" x14ac:dyDescent="0.3">
      <c r="B9" s="17" t="s">
        <v>1192</v>
      </c>
      <c r="C9" s="112">
        <f>ЗП!C28</f>
        <v>10921.56</v>
      </c>
      <c r="D9" s="112">
        <f>C9*12</f>
        <v>131058.72</v>
      </c>
      <c r="E9" s="112">
        <f>ЗП!E28</f>
        <v>8401.2000000000007</v>
      </c>
      <c r="F9" s="112">
        <f>E9*0.5</f>
        <v>4200.6000000000004</v>
      </c>
      <c r="G9" s="112">
        <f>D9+E9+F9</f>
        <v>143660.52000000002</v>
      </c>
      <c r="H9" s="112">
        <v>1932.7</v>
      </c>
      <c r="I9" s="16">
        <f>ROUND((G9/H9)/60,2)</f>
        <v>1.24</v>
      </c>
    </row>
    <row r="10" spans="1:9" x14ac:dyDescent="0.3">
      <c r="B10" s="17" t="s">
        <v>1188</v>
      </c>
      <c r="C10" s="112">
        <f>ЗП!C27</f>
        <v>10466.5</v>
      </c>
      <c r="D10" s="112">
        <f>C10*12</f>
        <v>125598</v>
      </c>
      <c r="E10" s="112">
        <f>ЗП!E27</f>
        <v>8051.15</v>
      </c>
      <c r="F10" s="112">
        <f>E10*0.5</f>
        <v>4025.5749999999998</v>
      </c>
      <c r="G10" s="112">
        <f>D10+E10+F10</f>
        <v>137674.72500000001</v>
      </c>
      <c r="H10" s="112">
        <v>1932.7</v>
      </c>
      <c r="I10" s="16">
        <f>ROUND((G10/H10)/60,2)</f>
        <v>1.19</v>
      </c>
    </row>
    <row r="11" spans="1:9" x14ac:dyDescent="0.3">
      <c r="B11" s="17" t="s">
        <v>1202</v>
      </c>
      <c r="C11" s="224">
        <f>ЗП!C47</f>
        <v>7871.18</v>
      </c>
      <c r="D11" s="224">
        <f>C11*12</f>
        <v>94454.16</v>
      </c>
      <c r="E11" s="224">
        <f>ЗП!E47</f>
        <v>6054.75</v>
      </c>
      <c r="F11" s="112">
        <f>E11*0.5</f>
        <v>3027.375</v>
      </c>
      <c r="G11" s="112">
        <f>D11+E11+F11</f>
        <v>103536.285</v>
      </c>
      <c r="H11" s="112">
        <v>1932.7</v>
      </c>
      <c r="I11" s="16">
        <f>ROUND((G11/H11)/60,2)</f>
        <v>0.89</v>
      </c>
    </row>
    <row r="12" spans="1:9" x14ac:dyDescent="0.3">
      <c r="B12" s="17" t="s">
        <v>1200</v>
      </c>
      <c r="C12" s="112">
        <f>ЗП!C49</f>
        <v>6506.5</v>
      </c>
      <c r="D12" s="112">
        <f>C12*12</f>
        <v>78078</v>
      </c>
      <c r="E12" s="112">
        <f>ЗП!E49</f>
        <v>5005</v>
      </c>
      <c r="F12" s="112">
        <f>E12*0.5</f>
        <v>2502.5</v>
      </c>
      <c r="G12" s="112">
        <f>D12+E12+F12</f>
        <v>85585.5</v>
      </c>
      <c r="H12" s="112">
        <v>1932.7</v>
      </c>
      <c r="I12" s="16">
        <f>ROUND((G12/H12)/60,2)</f>
        <v>0.74</v>
      </c>
    </row>
    <row r="13" spans="1:9" ht="6.75" customHeight="1" x14ac:dyDescent="0.3"/>
    <row r="14" spans="1:9" x14ac:dyDescent="0.3">
      <c r="B14" s="13" t="s">
        <v>929</v>
      </c>
      <c r="C14" s="14" t="s">
        <v>988</v>
      </c>
      <c r="D14" s="14" t="s">
        <v>1177</v>
      </c>
      <c r="E14" s="14" t="s">
        <v>931</v>
      </c>
    </row>
    <row r="15" spans="1:9" x14ac:dyDescent="0.3">
      <c r="B15" s="15" t="str">
        <f>B9</f>
        <v>Лікар-акушер-гінеколог</v>
      </c>
      <c r="C15" s="16">
        <f>I9</f>
        <v>1.24</v>
      </c>
      <c r="D15" s="17">
        <v>30</v>
      </c>
      <c r="E15" s="18">
        <f>ROUND(C15*D15,2)</f>
        <v>37.200000000000003</v>
      </c>
    </row>
    <row r="16" spans="1:9" x14ac:dyDescent="0.3">
      <c r="B16" s="15" t="str">
        <f>B10</f>
        <v>Лікар-анестезіолог</v>
      </c>
      <c r="C16" s="16">
        <f>I10</f>
        <v>1.19</v>
      </c>
      <c r="D16" s="17">
        <v>30</v>
      </c>
      <c r="E16" s="18">
        <f>ROUND(C16*D16,2)</f>
        <v>35.700000000000003</v>
      </c>
    </row>
    <row r="17" spans="1:9" x14ac:dyDescent="0.3">
      <c r="B17" s="15" t="str">
        <f>B11</f>
        <v>Сестра медична-анестизист</v>
      </c>
      <c r="C17" s="16">
        <f>I11</f>
        <v>0.89</v>
      </c>
      <c r="D17" s="17">
        <v>30</v>
      </c>
      <c r="E17" s="18">
        <f>ROUND(C17*D17,2)</f>
        <v>26.7</v>
      </c>
    </row>
    <row r="18" spans="1:9" x14ac:dyDescent="0.3">
      <c r="B18" s="15" t="str">
        <f>B12</f>
        <v>Сестра медична стаціонару (процедурна)</v>
      </c>
      <c r="C18" s="16">
        <f>I12</f>
        <v>0.74</v>
      </c>
      <c r="D18" s="17">
        <v>30</v>
      </c>
      <c r="E18" s="18">
        <f>ROUND(C18*D18,2)</f>
        <v>22.2</v>
      </c>
    </row>
    <row r="19" spans="1:9" ht="4.5" customHeight="1" x14ac:dyDescent="0.3">
      <c r="C19" s="19"/>
    </row>
    <row r="20" spans="1:9" x14ac:dyDescent="0.3">
      <c r="B20" s="17" t="s">
        <v>933</v>
      </c>
      <c r="C20" s="16">
        <f>E15+E16+E17+E18</f>
        <v>121.80000000000001</v>
      </c>
      <c r="D20" s="20">
        <v>0.22</v>
      </c>
      <c r="E20" s="21">
        <f>ROUND(C20*D20,2)</f>
        <v>26.8</v>
      </c>
    </row>
    <row r="21" spans="1:9" ht="6" customHeight="1" x14ac:dyDescent="0.3"/>
    <row r="22" spans="1:9" x14ac:dyDescent="0.3">
      <c r="B22" s="12" t="s">
        <v>946</v>
      </c>
      <c r="C22" s="12"/>
      <c r="D22" s="12"/>
      <c r="E22" s="12">
        <f>F43</f>
        <v>363.78</v>
      </c>
      <c r="F22" s="12" t="s">
        <v>971</v>
      </c>
    </row>
    <row r="23" spans="1:9" ht="8.25" customHeight="1" x14ac:dyDescent="0.3"/>
    <row r="24" spans="1:9" x14ac:dyDescent="0.3">
      <c r="B24" s="27" t="s">
        <v>936</v>
      </c>
      <c r="C24" s="28" t="s">
        <v>937</v>
      </c>
      <c r="D24" s="29">
        <v>4</v>
      </c>
      <c r="E24" s="58">
        <f>'МЕДИЧНІ М'!F134</f>
        <v>0.3</v>
      </c>
      <c r="F24" s="58">
        <f>ROUND(D24*E24,2)</f>
        <v>1.2</v>
      </c>
    </row>
    <row r="25" spans="1:9" x14ac:dyDescent="0.3">
      <c r="B25" s="27" t="s">
        <v>940</v>
      </c>
      <c r="C25" s="28" t="s">
        <v>941</v>
      </c>
      <c r="D25" s="29">
        <v>4</v>
      </c>
      <c r="E25" s="58">
        <f>'МЕДИЧНІ М'!E133</f>
        <v>3.5</v>
      </c>
      <c r="F25" s="61">
        <f>ROUND(E25*D25,2)</f>
        <v>14</v>
      </c>
    </row>
    <row r="26" spans="1:9" x14ac:dyDescent="0.3">
      <c r="B26" s="27" t="s">
        <v>965</v>
      </c>
      <c r="C26" s="28" t="s">
        <v>941</v>
      </c>
      <c r="D26" s="29">
        <v>0.55000000000000004</v>
      </c>
      <c r="E26" s="58">
        <f>'МЕДИЧНІ М'!E141</f>
        <v>24.6</v>
      </c>
      <c r="F26" s="61">
        <f>ROUND(E26*D26,2)</f>
        <v>13.53</v>
      </c>
    </row>
    <row r="27" spans="1:9" s="184" customFormat="1" x14ac:dyDescent="0.3">
      <c r="A27" s="180"/>
      <c r="B27" s="27" t="s">
        <v>964</v>
      </c>
      <c r="C27" s="28" t="s">
        <v>941</v>
      </c>
      <c r="D27" s="29">
        <v>7</v>
      </c>
      <c r="E27" s="190">
        <f>'МЕДИЧНІ М'!E153</f>
        <v>2.8</v>
      </c>
      <c r="F27" s="191">
        <f>ROUND(E27*D27,2)</f>
        <v>19.600000000000001</v>
      </c>
      <c r="G27" s="180"/>
      <c r="H27" s="180"/>
      <c r="I27" s="180"/>
    </row>
    <row r="28" spans="1:9" x14ac:dyDescent="0.3">
      <c r="B28" s="27" t="s">
        <v>1098</v>
      </c>
      <c r="C28" s="28" t="s">
        <v>941</v>
      </c>
      <c r="D28" s="29">
        <v>8</v>
      </c>
      <c r="E28" s="58">
        <f>'МЕДИЧНІ М'!E138</f>
        <v>10</v>
      </c>
      <c r="F28" s="61">
        <f>ROUND(E28*D28,2)</f>
        <v>80</v>
      </c>
    </row>
    <row r="29" spans="1:9" x14ac:dyDescent="0.3">
      <c r="B29" s="27" t="s">
        <v>1099</v>
      </c>
      <c r="C29" s="28" t="s">
        <v>941</v>
      </c>
      <c r="D29" s="29">
        <v>2</v>
      </c>
      <c r="E29" s="58">
        <f>'МЕДИЧНІ М'!E146</f>
        <v>1.8</v>
      </c>
      <c r="F29" s="61">
        <f>ROUND(E29*D29,2)</f>
        <v>3.6</v>
      </c>
    </row>
    <row r="30" spans="1:9" x14ac:dyDescent="0.3">
      <c r="B30" s="27" t="s">
        <v>943</v>
      </c>
      <c r="C30" s="28" t="s">
        <v>944</v>
      </c>
      <c r="D30" s="29">
        <v>10</v>
      </c>
      <c r="E30" s="58">
        <f>'МЕДИЧНІ М'!F130</f>
        <v>7.0000000000000007E-2</v>
      </c>
      <c r="F30" s="58">
        <f t="shared" ref="F30:F42" si="0">ROUND(D30*E30,2)</f>
        <v>0.7</v>
      </c>
    </row>
    <row r="31" spans="1:9" x14ac:dyDescent="0.3">
      <c r="B31" s="27" t="s">
        <v>1162</v>
      </c>
      <c r="C31" s="28" t="s">
        <v>941</v>
      </c>
      <c r="D31" s="29">
        <v>1</v>
      </c>
      <c r="E31" s="62">
        <f>'МЕДИЧНІ М'!F136</f>
        <v>20</v>
      </c>
      <c r="F31" s="58">
        <f t="shared" si="0"/>
        <v>20</v>
      </c>
    </row>
    <row r="32" spans="1:9" x14ac:dyDescent="0.3">
      <c r="B32" s="27" t="s">
        <v>1163</v>
      </c>
      <c r="C32" s="28" t="s">
        <v>1164</v>
      </c>
      <c r="D32" s="29">
        <v>1</v>
      </c>
      <c r="E32" s="62">
        <f>'МЕДИЧНІ М'!F132</f>
        <v>6</v>
      </c>
      <c r="F32" s="58">
        <f t="shared" si="0"/>
        <v>6</v>
      </c>
    </row>
    <row r="33" spans="1:9" x14ac:dyDescent="0.3">
      <c r="B33" s="27" t="s">
        <v>1165</v>
      </c>
      <c r="C33" s="28" t="s">
        <v>941</v>
      </c>
      <c r="D33" s="29">
        <v>1</v>
      </c>
      <c r="E33" s="58">
        <f>'МЕДИЧНІ М'!E137</f>
        <v>7</v>
      </c>
      <c r="F33" s="58">
        <f t="shared" si="0"/>
        <v>7</v>
      </c>
    </row>
    <row r="34" spans="1:9" x14ac:dyDescent="0.3">
      <c r="B34" s="27" t="s">
        <v>1169</v>
      </c>
      <c r="C34" s="28" t="s">
        <v>941</v>
      </c>
      <c r="D34" s="29">
        <v>1</v>
      </c>
      <c r="E34" s="58">
        <f>'МЕДИЧНІ М'!E139</f>
        <v>7</v>
      </c>
      <c r="F34" s="58">
        <f t="shared" si="0"/>
        <v>7</v>
      </c>
    </row>
    <row r="35" spans="1:9" x14ac:dyDescent="0.3">
      <c r="B35" s="27" t="s">
        <v>1166</v>
      </c>
      <c r="C35" s="28" t="s">
        <v>941</v>
      </c>
      <c r="D35" s="29">
        <v>1</v>
      </c>
      <c r="E35" s="58">
        <f>'МЕДИЧНІ М'!E131</f>
        <v>5.85</v>
      </c>
      <c r="F35" s="58">
        <f t="shared" si="0"/>
        <v>5.85</v>
      </c>
    </row>
    <row r="36" spans="1:9" x14ac:dyDescent="0.3">
      <c r="B36" s="27" t="s">
        <v>1100</v>
      </c>
      <c r="C36" s="28" t="s">
        <v>941</v>
      </c>
      <c r="D36" s="29">
        <v>1</v>
      </c>
      <c r="E36" s="58">
        <f>'МЕДИЧНІ М'!E135</f>
        <v>9.1</v>
      </c>
      <c r="F36" s="58">
        <f t="shared" si="0"/>
        <v>9.1</v>
      </c>
    </row>
    <row r="37" spans="1:9" x14ac:dyDescent="0.3">
      <c r="B37" s="27" t="s">
        <v>1167</v>
      </c>
      <c r="C37" s="28" t="s">
        <v>941</v>
      </c>
      <c r="D37" s="29">
        <v>3</v>
      </c>
      <c r="E37" s="62">
        <f>'МЕДИЧНІ М'!E146</f>
        <v>1.8</v>
      </c>
      <c r="F37" s="58">
        <f t="shared" si="0"/>
        <v>5.4</v>
      </c>
    </row>
    <row r="38" spans="1:9" x14ac:dyDescent="0.3">
      <c r="B38" s="27" t="s">
        <v>1168</v>
      </c>
      <c r="C38" s="28" t="s">
        <v>941</v>
      </c>
      <c r="D38" s="29">
        <v>2</v>
      </c>
      <c r="E38" s="58">
        <f>'МЕДИЧНІ М'!E147</f>
        <v>0.8</v>
      </c>
      <c r="F38" s="58">
        <f t="shared" si="0"/>
        <v>1.6</v>
      </c>
    </row>
    <row r="39" spans="1:9" x14ac:dyDescent="0.3">
      <c r="B39" s="27" t="s">
        <v>1173</v>
      </c>
      <c r="C39" s="28" t="s">
        <v>941</v>
      </c>
      <c r="D39" s="29">
        <v>4</v>
      </c>
      <c r="E39" s="58">
        <f>'МЕДИЧНІ М'!E145</f>
        <v>0.8</v>
      </c>
      <c r="F39" s="58">
        <f t="shared" si="0"/>
        <v>3.2</v>
      </c>
    </row>
    <row r="40" spans="1:9" x14ac:dyDescent="0.3">
      <c r="B40" s="27" t="s">
        <v>1171</v>
      </c>
      <c r="C40" s="28" t="s">
        <v>974</v>
      </c>
      <c r="D40" s="29">
        <v>1</v>
      </c>
      <c r="E40" s="62">
        <f>'МЕДИЧНІ М'!E142</f>
        <v>70</v>
      </c>
      <c r="F40" s="58">
        <f t="shared" si="0"/>
        <v>70</v>
      </c>
    </row>
    <row r="41" spans="1:9" x14ac:dyDescent="0.3">
      <c r="B41" s="27" t="s">
        <v>1170</v>
      </c>
      <c r="C41" s="28" t="s">
        <v>974</v>
      </c>
      <c r="D41" s="29">
        <v>1</v>
      </c>
      <c r="E41" s="62">
        <f>'МЕДИЧНІ М'!E129</f>
        <v>68</v>
      </c>
      <c r="F41" s="58">
        <f t="shared" si="0"/>
        <v>68</v>
      </c>
    </row>
    <row r="42" spans="1:9" s="184" customFormat="1" x14ac:dyDescent="0.3">
      <c r="A42" s="180"/>
      <c r="B42" s="27" t="s">
        <v>1172</v>
      </c>
      <c r="C42" s="28" t="s">
        <v>974</v>
      </c>
      <c r="D42" s="29">
        <v>1</v>
      </c>
      <c r="E42" s="190">
        <f>'МЕДИЧНІ М'!E143</f>
        <v>28</v>
      </c>
      <c r="F42" s="182">
        <f t="shared" si="0"/>
        <v>28</v>
      </c>
      <c r="G42" s="180"/>
      <c r="H42" s="180"/>
      <c r="I42" s="180"/>
    </row>
    <row r="43" spans="1:9" x14ac:dyDescent="0.3">
      <c r="B43" s="1019" t="s">
        <v>945</v>
      </c>
      <c r="C43" s="1019"/>
      <c r="D43" s="1019"/>
      <c r="E43" s="1019"/>
      <c r="F43" s="31">
        <f>SUM(F24:F42)</f>
        <v>363.78</v>
      </c>
    </row>
    <row r="45" spans="1:9" x14ac:dyDescent="0.3">
      <c r="B45" s="12" t="s">
        <v>968</v>
      </c>
      <c r="C45" s="12"/>
      <c r="D45" s="12"/>
      <c r="E45" s="11">
        <f>G48</f>
        <v>0.3</v>
      </c>
      <c r="F45" s="12" t="s">
        <v>971</v>
      </c>
    </row>
    <row r="46" spans="1:9" ht="9" customHeight="1" x14ac:dyDescent="0.3">
      <c r="B46" s="22"/>
      <c r="C46" s="22"/>
      <c r="D46" s="22"/>
      <c r="E46" s="23"/>
      <c r="F46" s="22"/>
    </row>
    <row r="47" spans="1:9" ht="27.6" x14ac:dyDescent="0.3">
      <c r="B47" s="14" t="s">
        <v>513</v>
      </c>
      <c r="C47" s="14" t="s">
        <v>1108</v>
      </c>
      <c r="D47" s="14" t="s">
        <v>516</v>
      </c>
      <c r="E47" s="14" t="s">
        <v>970</v>
      </c>
      <c r="F47" s="14" t="s">
        <v>930</v>
      </c>
      <c r="G47" s="14" t="s">
        <v>961</v>
      </c>
    </row>
    <row r="48" spans="1:9" ht="18" customHeight="1" x14ac:dyDescent="0.3">
      <c r="B48" s="43" t="s">
        <v>1203</v>
      </c>
      <c r="C48" s="17">
        <f>ROUND((9000)*0.1,0)</f>
        <v>900</v>
      </c>
      <c r="D48" s="17">
        <f>H9</f>
        <v>1932.7</v>
      </c>
      <c r="E48" s="17">
        <f>ROUND((C48/D48)/60,2)</f>
        <v>0.01</v>
      </c>
      <c r="F48" s="17">
        <f>D15</f>
        <v>30</v>
      </c>
      <c r="G48" s="16">
        <f>ROUND(E48*F48,2)</f>
        <v>0.3</v>
      </c>
      <c r="H48" s="38"/>
    </row>
    <row r="49" spans="2:7" ht="5.25" customHeight="1" x14ac:dyDescent="0.3"/>
    <row r="50" spans="2:7" x14ac:dyDescent="0.3">
      <c r="B50" s="12" t="s">
        <v>948</v>
      </c>
      <c r="C50" s="12"/>
      <c r="D50" s="12"/>
      <c r="E50" s="11">
        <f>G63</f>
        <v>7.1999999999999993</v>
      </c>
      <c r="F50" s="12" t="s">
        <v>971</v>
      </c>
    </row>
    <row r="51" spans="2:7" ht="2.25" customHeight="1" x14ac:dyDescent="0.3">
      <c r="B51" s="22"/>
      <c r="C51" s="22"/>
      <c r="D51" s="22"/>
      <c r="E51" s="23"/>
    </row>
    <row r="52" spans="2:7" ht="41.4" x14ac:dyDescent="0.3">
      <c r="B52" s="14" t="s">
        <v>948</v>
      </c>
      <c r="C52" s="14" t="s">
        <v>1110</v>
      </c>
      <c r="D52" s="14" t="s">
        <v>516</v>
      </c>
      <c r="E52" s="14" t="s">
        <v>954</v>
      </c>
      <c r="F52" s="14" t="s">
        <v>930</v>
      </c>
      <c r="G52" s="14" t="s">
        <v>956</v>
      </c>
    </row>
    <row r="53" spans="2:7" x14ac:dyDescent="0.3">
      <c r="B53" s="1009" t="str">
        <f>B9</f>
        <v>Лікар-акушер-гінеколог</v>
      </c>
      <c r="C53" s="1010"/>
      <c r="D53" s="1010"/>
      <c r="E53" s="1010"/>
      <c r="F53" s="1010"/>
      <c r="G53" s="1011"/>
    </row>
    <row r="54" spans="2:7" x14ac:dyDescent="0.3">
      <c r="B54" s="17" t="s">
        <v>951</v>
      </c>
      <c r="C54" s="112">
        <f>НАКЛАДНІ!F4</f>
        <v>12188.608008565312</v>
      </c>
      <c r="D54" s="17">
        <f>H9</f>
        <v>1932.7</v>
      </c>
      <c r="E54" s="17">
        <f>ROUND((C54/D54)/60,2)</f>
        <v>0.11</v>
      </c>
      <c r="F54" s="17">
        <f>D15</f>
        <v>30</v>
      </c>
      <c r="G54" s="16">
        <f>ROUND(E54*F54,2)</f>
        <v>3.3</v>
      </c>
    </row>
    <row r="55" spans="2:7" x14ac:dyDescent="0.3">
      <c r="B55" s="17" t="s">
        <v>952</v>
      </c>
      <c r="C55" s="112">
        <f>НАКЛАДНІ!F5</f>
        <v>53.149721627408987</v>
      </c>
      <c r="D55" s="17">
        <f>H9</f>
        <v>1932.7</v>
      </c>
      <c r="E55" s="17">
        <f>ROUND((C55/D55)/60,2)</f>
        <v>0</v>
      </c>
      <c r="F55" s="17">
        <f>D15</f>
        <v>30</v>
      </c>
      <c r="G55" s="16">
        <f>ROUND(E55*F55,2)</f>
        <v>0</v>
      </c>
    </row>
    <row r="56" spans="2:7" x14ac:dyDescent="0.3">
      <c r="B56" s="17" t="s">
        <v>953</v>
      </c>
      <c r="C56" s="112">
        <f>НАКЛАДНІ!F6</f>
        <v>374.98368308351178</v>
      </c>
      <c r="D56" s="17">
        <f>H9</f>
        <v>1932.7</v>
      </c>
      <c r="E56" s="17">
        <f>ROUND((C56/D56)/60,2)</f>
        <v>0</v>
      </c>
      <c r="F56" s="17">
        <f>D15</f>
        <v>30</v>
      </c>
      <c r="G56" s="16">
        <f>ROUND(E56*F56,2)</f>
        <v>0</v>
      </c>
    </row>
    <row r="57" spans="2:7" x14ac:dyDescent="0.3">
      <c r="B57" s="17" t="s">
        <v>1109</v>
      </c>
      <c r="C57" s="112">
        <f>НАКЛАДНІ!F7</f>
        <v>1686.0389293361886</v>
      </c>
      <c r="D57" s="17">
        <f>H9</f>
        <v>1932.7</v>
      </c>
      <c r="E57" s="17">
        <f>ROUND((C57/D57)/60,2)</f>
        <v>0.01</v>
      </c>
      <c r="F57" s="17">
        <f>D15</f>
        <v>30</v>
      </c>
      <c r="G57" s="16">
        <f>ROUND(E57*F57,2)</f>
        <v>0.3</v>
      </c>
    </row>
    <row r="58" spans="2:7" x14ac:dyDescent="0.3">
      <c r="B58" s="1009" t="str">
        <f>B12</f>
        <v>Сестра медична стаціонару (процедурна)</v>
      </c>
      <c r="C58" s="1010"/>
      <c r="D58" s="1010"/>
      <c r="E58" s="1010"/>
      <c r="F58" s="1010"/>
      <c r="G58" s="1011"/>
    </row>
    <row r="59" spans="2:7" x14ac:dyDescent="0.3">
      <c r="B59" s="17" t="s">
        <v>951</v>
      </c>
      <c r="C59" s="112">
        <f>C54</f>
        <v>12188.608008565312</v>
      </c>
      <c r="D59" s="17">
        <f>H12</f>
        <v>1932.7</v>
      </c>
      <c r="E59" s="17">
        <f>ROUND((C59/D59)/60,2)</f>
        <v>0.11</v>
      </c>
      <c r="F59" s="17">
        <f>D16</f>
        <v>30</v>
      </c>
      <c r="G59" s="16">
        <f>ROUND(E59*F59,2)</f>
        <v>3.3</v>
      </c>
    </row>
    <row r="60" spans="2:7" x14ac:dyDescent="0.3">
      <c r="B60" s="17" t="s">
        <v>952</v>
      </c>
      <c r="C60" s="112">
        <f>C55</f>
        <v>53.149721627408987</v>
      </c>
      <c r="D60" s="17">
        <f>H12</f>
        <v>1932.7</v>
      </c>
      <c r="E60" s="17">
        <f>ROUND((C60/D60)/60,2)</f>
        <v>0</v>
      </c>
      <c r="F60" s="17">
        <f>D16</f>
        <v>30</v>
      </c>
      <c r="G60" s="16">
        <f>ROUND(E60*F60,2)</f>
        <v>0</v>
      </c>
    </row>
    <row r="61" spans="2:7" x14ac:dyDescent="0.3">
      <c r="B61" s="17" t="s">
        <v>953</v>
      </c>
      <c r="C61" s="112">
        <f>C56</f>
        <v>374.98368308351178</v>
      </c>
      <c r="D61" s="17">
        <f>H12</f>
        <v>1932.7</v>
      </c>
      <c r="E61" s="17">
        <f>ROUND((C61/D61)/60,2)</f>
        <v>0</v>
      </c>
      <c r="F61" s="17">
        <f>D16</f>
        <v>30</v>
      </c>
      <c r="G61" s="16">
        <f>ROUND(E61*F61,2)</f>
        <v>0</v>
      </c>
    </row>
    <row r="62" spans="2:7" x14ac:dyDescent="0.3">
      <c r="B62" s="17" t="s">
        <v>1109</v>
      </c>
      <c r="C62" s="112">
        <f>C57</f>
        <v>1686.0389293361886</v>
      </c>
      <c r="D62" s="17">
        <f>H12</f>
        <v>1932.7</v>
      </c>
      <c r="E62" s="17">
        <f>ROUND((C62/D62)/60,2)</f>
        <v>0.01</v>
      </c>
      <c r="F62" s="17">
        <f>D16</f>
        <v>30</v>
      </c>
      <c r="G62" s="16">
        <f>ROUND(E62*F62,2)</f>
        <v>0.3</v>
      </c>
    </row>
    <row r="63" spans="2:7" x14ac:dyDescent="0.3">
      <c r="B63" s="1012" t="s">
        <v>957</v>
      </c>
      <c r="C63" s="1013"/>
      <c r="D63" s="1013"/>
      <c r="E63" s="1013"/>
      <c r="F63" s="1014"/>
      <c r="G63" s="18">
        <f>SUM(G54:G62)</f>
        <v>7.1999999999999993</v>
      </c>
    </row>
    <row r="65" spans="2:7" x14ac:dyDescent="0.3">
      <c r="B65" s="1015" t="s">
        <v>959</v>
      </c>
      <c r="C65" s="1015"/>
      <c r="D65" s="1015"/>
      <c r="E65" s="1015"/>
      <c r="F65" s="1015"/>
      <c r="G65" s="32">
        <f>E6+E22+E45+E50</f>
        <v>519.88</v>
      </c>
    </row>
    <row r="66" spans="2:7" x14ac:dyDescent="0.3">
      <c r="B66" s="33"/>
      <c r="C66" s="33"/>
      <c r="D66" s="33"/>
      <c r="E66" s="33"/>
      <c r="F66" s="33"/>
      <c r="G66" s="60"/>
    </row>
    <row r="67" spans="2:7" x14ac:dyDescent="0.3">
      <c r="B67" s="1015" t="s">
        <v>960</v>
      </c>
      <c r="C67" s="1015"/>
      <c r="D67" s="1015"/>
      <c r="E67" s="1015"/>
      <c r="F67" s="1015"/>
      <c r="G67" s="32">
        <f>ROUND(G65,0)</f>
        <v>520</v>
      </c>
    </row>
  </sheetData>
  <mergeCells count="9">
    <mergeCell ref="B63:F63"/>
    <mergeCell ref="B65:F65"/>
    <mergeCell ref="B67:F67"/>
    <mergeCell ref="A2:I2"/>
    <mergeCell ref="B4:D4"/>
    <mergeCell ref="B6:C6"/>
    <mergeCell ref="B43:E43"/>
    <mergeCell ref="B53:G53"/>
    <mergeCell ref="B58:G58"/>
  </mergeCells>
  <phoneticPr fontId="8" type="noConversion"/>
  <pageMargins left="0" right="0" top="0" bottom="0" header="0.31496062992125984" footer="0.31496062992125984"/>
  <pageSetup paperSize="9" scale="7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54"/>
  <sheetViews>
    <sheetView view="pageBreakPreview" zoomScaleNormal="100" workbookViewId="0">
      <selection activeCell="G59" sqref="G59"/>
    </sheetView>
  </sheetViews>
  <sheetFormatPr defaultRowHeight="14.4" x14ac:dyDescent="0.3"/>
  <cols>
    <col min="1" max="1" width="6.33203125" style="7" bestFit="1" customWidth="1"/>
    <col min="2" max="2" width="33.33203125" style="7" customWidth="1"/>
    <col min="3" max="3" width="9.33203125" style="7" bestFit="1" customWidth="1"/>
    <col min="4" max="4" width="10.44140625" style="7" bestFit="1" customWidth="1"/>
    <col min="5" max="5" width="11" style="7" customWidth="1"/>
    <col min="6" max="6" width="9.33203125" style="7" bestFit="1" customWidth="1"/>
    <col min="7" max="7" width="10.44140625" style="7" bestFit="1" customWidth="1"/>
    <col min="8" max="9" width="9.33203125" style="7" bestFit="1" customWidth="1"/>
  </cols>
  <sheetData>
    <row r="1" spans="1:9" ht="7.5" customHeight="1" x14ac:dyDescent="0.3"/>
    <row r="2" spans="1:9" s="53" customFormat="1" ht="19.2" x14ac:dyDescent="0.35">
      <c r="A2" s="1016" t="s">
        <v>958</v>
      </c>
      <c r="B2" s="1016"/>
      <c r="C2" s="1016"/>
      <c r="D2" s="1016"/>
      <c r="E2" s="1016"/>
      <c r="F2" s="1016"/>
      <c r="G2" s="1016"/>
      <c r="H2" s="1016"/>
      <c r="I2" s="1016"/>
    </row>
    <row r="3" spans="1:9" s="53" customFormat="1" ht="11.25" customHeight="1" x14ac:dyDescent="0.35"/>
    <row r="4" spans="1:9" s="53" customFormat="1" ht="37.5" customHeight="1" x14ac:dyDescent="0.35">
      <c r="A4" s="50" t="s">
        <v>1004</v>
      </c>
      <c r="B4" s="1017" t="s">
        <v>922</v>
      </c>
      <c r="C4" s="1017"/>
      <c r="D4" s="1017"/>
      <c r="E4" s="52">
        <f>G54</f>
        <v>76</v>
      </c>
      <c r="F4" s="52" t="s">
        <v>971</v>
      </c>
    </row>
    <row r="6" spans="1:9" x14ac:dyDescent="0.3">
      <c r="B6" s="1018" t="s">
        <v>932</v>
      </c>
      <c r="C6" s="1018"/>
      <c r="D6" s="10"/>
      <c r="E6" s="11">
        <f>E13+E16+E14</f>
        <v>64.419999999999987</v>
      </c>
      <c r="F6" s="12" t="s">
        <v>971</v>
      </c>
    </row>
    <row r="7" spans="1:9" ht="6" customHeight="1" x14ac:dyDescent="0.3"/>
    <row r="8" spans="1:9" ht="27.6" x14ac:dyDescent="0.3">
      <c r="B8" s="13" t="s">
        <v>929</v>
      </c>
      <c r="C8" s="14" t="s">
        <v>928</v>
      </c>
      <c r="D8" s="14" t="s">
        <v>514</v>
      </c>
      <c r="E8" s="14" t="s">
        <v>515</v>
      </c>
      <c r="F8" s="14" t="s">
        <v>962</v>
      </c>
      <c r="G8" s="14" t="s">
        <v>926</v>
      </c>
      <c r="H8" s="14" t="s">
        <v>516</v>
      </c>
      <c r="I8" s="14" t="s">
        <v>961</v>
      </c>
    </row>
    <row r="9" spans="1:9" x14ac:dyDescent="0.3">
      <c r="B9" s="17" t="s">
        <v>1199</v>
      </c>
      <c r="C9" s="112">
        <f>ЗП!C12</f>
        <v>9101.2999999999993</v>
      </c>
      <c r="D9" s="112">
        <f>C9*12</f>
        <v>109215.59999999999</v>
      </c>
      <c r="E9" s="112">
        <f>ЗП!E12</f>
        <v>7001</v>
      </c>
      <c r="F9" s="112">
        <f>E9*0.5</f>
        <v>3500.5</v>
      </c>
      <c r="G9" s="112">
        <f>D9+E9+F9</f>
        <v>119717.09999999999</v>
      </c>
      <c r="H9" s="17">
        <v>1932.7</v>
      </c>
      <c r="I9" s="16">
        <f>ROUND((G9/H9)/60,2)</f>
        <v>1.03</v>
      </c>
    </row>
    <row r="10" spans="1:9" x14ac:dyDescent="0.3">
      <c r="B10" s="17" t="s">
        <v>539</v>
      </c>
      <c r="C10" s="112">
        <f>ЗП!C42</f>
        <v>6506.5</v>
      </c>
      <c r="D10" s="112">
        <f>C10*12</f>
        <v>78078</v>
      </c>
      <c r="E10" s="112">
        <f>ЗП!E42</f>
        <v>5005</v>
      </c>
      <c r="F10" s="112">
        <f>E10*0.2</f>
        <v>1001</v>
      </c>
      <c r="G10" s="112">
        <f>D10+E10+F10</f>
        <v>84084</v>
      </c>
      <c r="H10" s="17">
        <v>1932.7</v>
      </c>
      <c r="I10" s="16">
        <f>ROUND((G10/H10)/60,2)</f>
        <v>0.73</v>
      </c>
    </row>
    <row r="11" spans="1:9" ht="6.75" customHeight="1" x14ac:dyDescent="0.3"/>
    <row r="12" spans="1:9" ht="27.6" x14ac:dyDescent="0.3">
      <c r="B12" s="13" t="s">
        <v>929</v>
      </c>
      <c r="C12" s="14" t="s">
        <v>961</v>
      </c>
      <c r="D12" s="14" t="s">
        <v>930</v>
      </c>
      <c r="E12" s="14" t="s">
        <v>931</v>
      </c>
    </row>
    <row r="13" spans="1:9" x14ac:dyDescent="0.3">
      <c r="B13" s="15" t="str">
        <f>B9</f>
        <v>Лікар-офтальмолог</v>
      </c>
      <c r="C13" s="16">
        <f>I9</f>
        <v>1.03</v>
      </c>
      <c r="D13" s="17">
        <v>30</v>
      </c>
      <c r="E13" s="18">
        <f>ROUND(C13*D13,2)</f>
        <v>30.9</v>
      </c>
    </row>
    <row r="14" spans="1:9" x14ac:dyDescent="0.3">
      <c r="B14" s="15" t="str">
        <f>B10</f>
        <v>Сестра медична поліклініки</v>
      </c>
      <c r="C14" s="16">
        <f>I10</f>
        <v>0.73</v>
      </c>
      <c r="D14" s="17">
        <v>30</v>
      </c>
      <c r="E14" s="18">
        <f>ROUND(C14*D14,2)</f>
        <v>21.9</v>
      </c>
    </row>
    <row r="15" spans="1:9" ht="9" customHeight="1" x14ac:dyDescent="0.3">
      <c r="C15" s="19"/>
    </row>
    <row r="16" spans="1:9" x14ac:dyDescent="0.3">
      <c r="B16" s="17" t="s">
        <v>933</v>
      </c>
      <c r="C16" s="16">
        <f>E13+E14</f>
        <v>52.8</v>
      </c>
      <c r="D16" s="20">
        <v>0.22</v>
      </c>
      <c r="E16" s="21">
        <f>ROUND(C16*D16,2)</f>
        <v>11.62</v>
      </c>
    </row>
    <row r="18" spans="2:6" x14ac:dyDescent="0.3">
      <c r="B18" s="12" t="s">
        <v>946</v>
      </c>
      <c r="C18" s="12"/>
      <c r="D18" s="12"/>
      <c r="E18" s="12">
        <f>F29</f>
        <v>3.65</v>
      </c>
      <c r="F18" s="12" t="s">
        <v>971</v>
      </c>
    </row>
    <row r="19" spans="2:6" ht="8.25" customHeight="1" x14ac:dyDescent="0.3"/>
    <row r="20" spans="2:6" x14ac:dyDescent="0.3">
      <c r="B20" s="27" t="s">
        <v>1157</v>
      </c>
      <c r="C20" s="28" t="s">
        <v>1156</v>
      </c>
      <c r="D20" s="29">
        <v>0.01</v>
      </c>
      <c r="E20" s="30">
        <f>'МЕДИЧНІ М'!F155</f>
        <v>30.339999999999996</v>
      </c>
      <c r="F20" s="30">
        <f t="shared" ref="F20:F28" si="0">ROUND(D20*E20,2)</f>
        <v>0.3</v>
      </c>
    </row>
    <row r="21" spans="2:6" x14ac:dyDescent="0.3">
      <c r="B21" s="27" t="s">
        <v>934</v>
      </c>
      <c r="C21" s="28" t="s">
        <v>935</v>
      </c>
      <c r="D21" s="29">
        <v>0.1</v>
      </c>
      <c r="E21" s="29">
        <f>'МЕДИЧНІ М'!E153</f>
        <v>2.8</v>
      </c>
      <c r="F21" s="30">
        <f t="shared" si="0"/>
        <v>0.28000000000000003</v>
      </c>
    </row>
    <row r="22" spans="2:6" x14ac:dyDescent="0.3">
      <c r="B22" s="27" t="s">
        <v>936</v>
      </c>
      <c r="C22" s="28" t="s">
        <v>937</v>
      </c>
      <c r="D22" s="29">
        <v>1</v>
      </c>
      <c r="E22" s="30">
        <f>'МЕДИЧНІ М'!F152</f>
        <v>0.3</v>
      </c>
      <c r="F22" s="30">
        <f t="shared" si="0"/>
        <v>0.3</v>
      </c>
    </row>
    <row r="23" spans="2:6" x14ac:dyDescent="0.3">
      <c r="B23" s="27" t="s">
        <v>938</v>
      </c>
      <c r="C23" s="28" t="s">
        <v>939</v>
      </c>
      <c r="D23" s="29">
        <v>0.05</v>
      </c>
      <c r="E23" s="30">
        <f>'МЕДИЧНІ М'!F150</f>
        <v>6</v>
      </c>
      <c r="F23" s="30">
        <f t="shared" si="0"/>
        <v>0.3</v>
      </c>
    </row>
    <row r="24" spans="2:6" x14ac:dyDescent="0.3">
      <c r="B24" s="27" t="s">
        <v>940</v>
      </c>
      <c r="C24" s="28" t="s">
        <v>941</v>
      </c>
      <c r="D24" s="29">
        <v>0.5</v>
      </c>
      <c r="E24" s="29">
        <f>'МЕДИЧНІ М'!E151</f>
        <v>2</v>
      </c>
      <c r="F24" s="30">
        <f t="shared" si="0"/>
        <v>1</v>
      </c>
    </row>
    <row r="25" spans="2:6" x14ac:dyDescent="0.3">
      <c r="B25" s="27" t="s">
        <v>942</v>
      </c>
      <c r="C25" s="28" t="s">
        <v>941</v>
      </c>
      <c r="D25" s="29">
        <v>0.01</v>
      </c>
      <c r="E25" s="29">
        <f>'МЕДИЧНІ М'!E154</f>
        <v>24.6</v>
      </c>
      <c r="F25" s="30">
        <f t="shared" si="0"/>
        <v>0.25</v>
      </c>
    </row>
    <row r="26" spans="2:6" x14ac:dyDescent="0.3">
      <c r="B26" s="27" t="s">
        <v>943</v>
      </c>
      <c r="C26" s="28" t="s">
        <v>944</v>
      </c>
      <c r="D26" s="29">
        <v>1</v>
      </c>
      <c r="E26" s="30">
        <f>'МЕДИЧНІ М'!F148</f>
        <v>7.0000000000000007E-2</v>
      </c>
      <c r="F26" s="30">
        <f t="shared" si="0"/>
        <v>7.0000000000000007E-2</v>
      </c>
    </row>
    <row r="27" spans="2:6" x14ac:dyDescent="0.3">
      <c r="B27" s="27" t="s">
        <v>1124</v>
      </c>
      <c r="C27" s="28" t="s">
        <v>944</v>
      </c>
      <c r="D27" s="29">
        <v>0.5</v>
      </c>
      <c r="E27" s="29">
        <f>'МЕДИЧНІ М'!E149</f>
        <v>0.5</v>
      </c>
      <c r="F27" s="30">
        <f t="shared" si="0"/>
        <v>0.25</v>
      </c>
    </row>
    <row r="28" spans="2:6" x14ac:dyDescent="0.3">
      <c r="B28" s="27" t="s">
        <v>1159</v>
      </c>
      <c r="C28" s="28" t="s">
        <v>1160</v>
      </c>
      <c r="D28" s="29">
        <f>D14</f>
        <v>30</v>
      </c>
      <c r="E28" s="29">
        <f>ROUND(3389/H10/60,2)</f>
        <v>0.03</v>
      </c>
      <c r="F28" s="29">
        <f t="shared" si="0"/>
        <v>0.9</v>
      </c>
    </row>
    <row r="29" spans="2:6" x14ac:dyDescent="0.3">
      <c r="B29" s="1012" t="s">
        <v>945</v>
      </c>
      <c r="C29" s="1013"/>
      <c r="D29" s="1013"/>
      <c r="E29" s="1014"/>
      <c r="F29" s="31">
        <f>SUM(F20:F28)</f>
        <v>3.65</v>
      </c>
    </row>
    <row r="31" spans="2:6" x14ac:dyDescent="0.3">
      <c r="B31" s="12" t="s">
        <v>968</v>
      </c>
      <c r="C31" s="12"/>
      <c r="D31" s="12"/>
      <c r="E31" s="11">
        <f>G34</f>
        <v>0.3</v>
      </c>
      <c r="F31" s="12" t="s">
        <v>971</v>
      </c>
    </row>
    <row r="32" spans="2:6" x14ac:dyDescent="0.3">
      <c r="B32" s="22"/>
      <c r="C32" s="22"/>
      <c r="D32" s="22"/>
      <c r="E32" s="23"/>
      <c r="F32" s="22"/>
    </row>
    <row r="33" spans="2:8" ht="27.6" x14ac:dyDescent="0.3">
      <c r="B33" s="14" t="s">
        <v>513</v>
      </c>
      <c r="C33" s="14" t="s">
        <v>1108</v>
      </c>
      <c r="D33" s="14" t="s">
        <v>516</v>
      </c>
      <c r="E33" s="14" t="s">
        <v>970</v>
      </c>
      <c r="F33" s="14" t="s">
        <v>930</v>
      </c>
      <c r="G33" s="14" t="s">
        <v>961</v>
      </c>
    </row>
    <row r="34" spans="2:8" x14ac:dyDescent="0.3">
      <c r="B34" s="43" t="s">
        <v>1096</v>
      </c>
      <c r="C34" s="17">
        <f>АМОРТИЗАЦІЯ!C46</f>
        <v>1898.6</v>
      </c>
      <c r="D34" s="17">
        <f>H9</f>
        <v>1932.7</v>
      </c>
      <c r="E34" s="17">
        <v>0.01</v>
      </c>
      <c r="F34" s="17">
        <f>D13</f>
        <v>30</v>
      </c>
      <c r="G34" s="16">
        <f>ROUND(E34*F34,2)</f>
        <v>0.3</v>
      </c>
      <c r="H34" s="38"/>
    </row>
    <row r="36" spans="2:8" x14ac:dyDescent="0.3">
      <c r="B36" s="12" t="s">
        <v>948</v>
      </c>
      <c r="C36" s="12"/>
      <c r="D36" s="12"/>
      <c r="E36" s="11">
        <f>G49</f>
        <v>7.1999999999999993</v>
      </c>
      <c r="F36" s="12" t="s">
        <v>971</v>
      </c>
    </row>
    <row r="37" spans="2:8" x14ac:dyDescent="0.3">
      <c r="B37" s="22"/>
      <c r="C37" s="22"/>
      <c r="D37" s="22"/>
      <c r="E37" s="23"/>
    </row>
    <row r="38" spans="2:8" ht="55.2" x14ac:dyDescent="0.3">
      <c r="B38" s="14" t="s">
        <v>948</v>
      </c>
      <c r="C38" s="14" t="s">
        <v>955</v>
      </c>
      <c r="D38" s="14" t="s">
        <v>516</v>
      </c>
      <c r="E38" s="14" t="s">
        <v>954</v>
      </c>
      <c r="F38" s="14" t="s">
        <v>930</v>
      </c>
      <c r="G38" s="14" t="s">
        <v>956</v>
      </c>
    </row>
    <row r="39" spans="2:8" x14ac:dyDescent="0.3">
      <c r="B39" s="1009" t="str">
        <f>B9</f>
        <v>Лікар-офтальмолог</v>
      </c>
      <c r="C39" s="1010"/>
      <c r="D39" s="1010"/>
      <c r="E39" s="1010"/>
      <c r="F39" s="1010"/>
      <c r="G39" s="1011"/>
    </row>
    <row r="40" spans="2:8" x14ac:dyDescent="0.3">
      <c r="B40" s="17" t="s">
        <v>951</v>
      </c>
      <c r="C40" s="112">
        <f>НАКЛАДНІ!F4</f>
        <v>12188.608008565312</v>
      </c>
      <c r="D40" s="17">
        <f>H9</f>
        <v>1932.7</v>
      </c>
      <c r="E40" s="17">
        <f>ROUND((C40/D40)/60,2)</f>
        <v>0.11</v>
      </c>
      <c r="F40" s="17">
        <f>D13</f>
        <v>30</v>
      </c>
      <c r="G40" s="16">
        <f>ROUND(E40*F40,2)</f>
        <v>3.3</v>
      </c>
    </row>
    <row r="41" spans="2:8" x14ac:dyDescent="0.3">
      <c r="B41" s="17" t="s">
        <v>952</v>
      </c>
      <c r="C41" s="112">
        <f>НАКЛАДНІ!F5</f>
        <v>53.149721627408987</v>
      </c>
      <c r="D41" s="17">
        <f>H9</f>
        <v>1932.7</v>
      </c>
      <c r="E41" s="17">
        <f>ROUND((C41/D41)/60,2)</f>
        <v>0</v>
      </c>
      <c r="F41" s="17">
        <f>D13</f>
        <v>30</v>
      </c>
      <c r="G41" s="16">
        <f>ROUND(E41*F41,2)</f>
        <v>0</v>
      </c>
    </row>
    <row r="42" spans="2:8" x14ac:dyDescent="0.3">
      <c r="B42" s="17" t="s">
        <v>953</v>
      </c>
      <c r="C42" s="112">
        <f>НАКЛАДНІ!F6</f>
        <v>374.98368308351178</v>
      </c>
      <c r="D42" s="17">
        <f>H9</f>
        <v>1932.7</v>
      </c>
      <c r="E42" s="17">
        <f>ROUND((C42/D42)/60,2)</f>
        <v>0</v>
      </c>
      <c r="F42" s="17">
        <f>D13</f>
        <v>30</v>
      </c>
      <c r="G42" s="16">
        <f>ROUND(E42*F42,2)</f>
        <v>0</v>
      </c>
    </row>
    <row r="43" spans="2:8" x14ac:dyDescent="0.3">
      <c r="B43" s="17" t="s">
        <v>1109</v>
      </c>
      <c r="C43" s="112">
        <f>НАКЛАДНІ!F7</f>
        <v>1686.0389293361886</v>
      </c>
      <c r="D43" s="17">
        <f>H9</f>
        <v>1932.7</v>
      </c>
      <c r="E43" s="17">
        <f>ROUND((C43/D43)/60,2)</f>
        <v>0.01</v>
      </c>
      <c r="F43" s="17">
        <f>D13</f>
        <v>30</v>
      </c>
      <c r="G43" s="16">
        <f>ROUND(E43*F43,2)</f>
        <v>0.3</v>
      </c>
    </row>
    <row r="44" spans="2:8" x14ac:dyDescent="0.3">
      <c r="B44" s="1009" t="str">
        <f>B10</f>
        <v>Сестра медична поліклініки</v>
      </c>
      <c r="C44" s="1010"/>
      <c r="D44" s="1010"/>
      <c r="E44" s="1010"/>
      <c r="F44" s="1010"/>
      <c r="G44" s="1011"/>
    </row>
    <row r="45" spans="2:8" x14ac:dyDescent="0.3">
      <c r="B45" s="17" t="s">
        <v>951</v>
      </c>
      <c r="C45" s="112">
        <f>C40</f>
        <v>12188.608008565312</v>
      </c>
      <c r="D45" s="17">
        <f>H10</f>
        <v>1932.7</v>
      </c>
      <c r="E45" s="17">
        <f>ROUND((C45/D45)/60,2)</f>
        <v>0.11</v>
      </c>
      <c r="F45" s="17">
        <f>D14</f>
        <v>30</v>
      </c>
      <c r="G45" s="16">
        <f>ROUND(E45*F45,2)</f>
        <v>3.3</v>
      </c>
    </row>
    <row r="46" spans="2:8" x14ac:dyDescent="0.3">
      <c r="B46" s="17" t="s">
        <v>952</v>
      </c>
      <c r="C46" s="112">
        <f>C41</f>
        <v>53.149721627408987</v>
      </c>
      <c r="D46" s="17">
        <f>H10</f>
        <v>1932.7</v>
      </c>
      <c r="E46" s="17">
        <f>ROUND((C46/D46)/60,2)</f>
        <v>0</v>
      </c>
      <c r="F46" s="17">
        <f>D14</f>
        <v>30</v>
      </c>
      <c r="G46" s="16">
        <f>ROUND(E46*F46,2)</f>
        <v>0</v>
      </c>
    </row>
    <row r="47" spans="2:8" x14ac:dyDescent="0.3">
      <c r="B47" s="17" t="s">
        <v>953</v>
      </c>
      <c r="C47" s="112">
        <f>C42</f>
        <v>374.98368308351178</v>
      </c>
      <c r="D47" s="17">
        <f>H10</f>
        <v>1932.7</v>
      </c>
      <c r="E47" s="17">
        <f>ROUND((C47/D47)/60,2)</f>
        <v>0</v>
      </c>
      <c r="F47" s="17">
        <f>D14</f>
        <v>30</v>
      </c>
      <c r="G47" s="16">
        <f>ROUND(E47*F47,2)</f>
        <v>0</v>
      </c>
    </row>
    <row r="48" spans="2:8" x14ac:dyDescent="0.3">
      <c r="B48" s="17" t="s">
        <v>1109</v>
      </c>
      <c r="C48" s="112">
        <f>C43</f>
        <v>1686.0389293361886</v>
      </c>
      <c r="D48" s="17">
        <f>H10</f>
        <v>1932.7</v>
      </c>
      <c r="E48" s="17">
        <f>ROUND((C48/D48)/60,2)</f>
        <v>0.01</v>
      </c>
      <c r="F48" s="17">
        <f>D14</f>
        <v>30</v>
      </c>
      <c r="G48" s="16">
        <f>ROUND(E48*F48,2)</f>
        <v>0.3</v>
      </c>
    </row>
    <row r="49" spans="2:7" x14ac:dyDescent="0.3">
      <c r="B49" s="1012" t="s">
        <v>957</v>
      </c>
      <c r="C49" s="1013"/>
      <c r="D49" s="1013"/>
      <c r="E49" s="1013"/>
      <c r="F49" s="1014"/>
      <c r="G49" s="18">
        <f>SUM(G40:G48)</f>
        <v>7.1999999999999993</v>
      </c>
    </row>
    <row r="50" spans="2:7" ht="13.5" customHeight="1" x14ac:dyDescent="0.3"/>
    <row r="51" spans="2:7" hidden="1" x14ac:dyDescent="0.3"/>
    <row r="52" spans="2:7" x14ac:dyDescent="0.3">
      <c r="B52" s="1015" t="s">
        <v>959</v>
      </c>
      <c r="C52" s="1015"/>
      <c r="D52" s="1015"/>
      <c r="E52" s="1015"/>
      <c r="F52" s="1015"/>
      <c r="G52" s="32">
        <f>E6+E18+E31+E36</f>
        <v>75.569999999999993</v>
      </c>
    </row>
    <row r="53" spans="2:7" x14ac:dyDescent="0.3">
      <c r="B53" s="33"/>
      <c r="C53" s="33"/>
      <c r="D53" s="33"/>
      <c r="E53" s="33"/>
      <c r="F53" s="33"/>
      <c r="G53" s="34"/>
    </row>
    <row r="54" spans="2:7" x14ac:dyDescent="0.3">
      <c r="B54" s="1015" t="s">
        <v>960</v>
      </c>
      <c r="C54" s="1015"/>
      <c r="D54" s="1015"/>
      <c r="E54" s="1015"/>
      <c r="F54" s="1015"/>
      <c r="G54" s="32">
        <f>ROUND(G52,0)</f>
        <v>76</v>
      </c>
    </row>
  </sheetData>
  <mergeCells count="9">
    <mergeCell ref="B54:F54"/>
    <mergeCell ref="B39:G39"/>
    <mergeCell ref="B44:G44"/>
    <mergeCell ref="A2:I2"/>
    <mergeCell ref="B4:D4"/>
    <mergeCell ref="B6:C6"/>
    <mergeCell ref="B29:E29"/>
    <mergeCell ref="B49:F49"/>
    <mergeCell ref="B52:F52"/>
  </mergeCells>
  <phoneticPr fontId="8" type="noConversion"/>
  <pageMargins left="0" right="0" top="0" bottom="0" header="0.31496062992125984" footer="0.31496062992125984"/>
  <pageSetup paperSize="9" scale="9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3:I83"/>
  <sheetViews>
    <sheetView view="pageBreakPreview" zoomScaleNormal="100" workbookViewId="0">
      <selection activeCell="H17" sqref="H17"/>
    </sheetView>
  </sheetViews>
  <sheetFormatPr defaultRowHeight="14.4" x14ac:dyDescent="0.3"/>
  <cols>
    <col min="2" max="2" width="9.109375" style="7"/>
    <col min="3" max="3" width="103.88671875" style="7" customWidth="1"/>
    <col min="4" max="4" width="0" style="7" hidden="1" customWidth="1"/>
    <col min="5" max="5" width="21.5546875" style="7" customWidth="1"/>
    <col min="6" max="6" width="9.109375" style="7"/>
    <col min="7" max="7" width="0" style="7" hidden="1" customWidth="1"/>
    <col min="9" max="9" width="9.109375" style="3"/>
  </cols>
  <sheetData>
    <row r="3" spans="2:7" ht="28.2" x14ac:dyDescent="0.3">
      <c r="B3" s="17"/>
      <c r="C3" s="17"/>
      <c r="D3" s="97" t="s">
        <v>540</v>
      </c>
      <c r="E3" s="97" t="s">
        <v>541</v>
      </c>
      <c r="F3" s="97" t="s">
        <v>542</v>
      </c>
      <c r="G3" s="73"/>
    </row>
    <row r="4" spans="2:7" x14ac:dyDescent="0.3">
      <c r="B4" s="17">
        <v>4</v>
      </c>
      <c r="C4" s="15" t="s">
        <v>543</v>
      </c>
      <c r="D4" s="16"/>
      <c r="E4" s="17"/>
      <c r="F4" s="17"/>
      <c r="G4" s="17"/>
    </row>
    <row r="5" spans="2:7" x14ac:dyDescent="0.3">
      <c r="B5" s="94" t="s">
        <v>925</v>
      </c>
      <c r="C5" s="15" t="s">
        <v>545</v>
      </c>
      <c r="D5" s="16">
        <v>6509.46</v>
      </c>
      <c r="E5" s="17">
        <v>9663</v>
      </c>
      <c r="F5" s="17">
        <v>20</v>
      </c>
      <c r="G5" s="17">
        <f>ROUND((D5/E5)*F5,2)</f>
        <v>13.47</v>
      </c>
    </row>
    <row r="6" spans="2:7" x14ac:dyDescent="0.3">
      <c r="B6" s="94" t="s">
        <v>544</v>
      </c>
      <c r="C6" s="15" t="s">
        <v>547</v>
      </c>
      <c r="D6" s="16">
        <v>6509.46</v>
      </c>
      <c r="E6" s="17">
        <v>9663</v>
      </c>
      <c r="F6" s="17">
        <v>10</v>
      </c>
      <c r="G6" s="17">
        <f>ROUND((D6/E6)*F6,2)</f>
        <v>6.74</v>
      </c>
    </row>
    <row r="7" spans="2:7" x14ac:dyDescent="0.3">
      <c r="B7" s="94" t="s">
        <v>546</v>
      </c>
      <c r="C7" s="15" t="s">
        <v>549</v>
      </c>
      <c r="D7" s="17"/>
      <c r="E7" s="17"/>
      <c r="F7" s="17">
        <v>20</v>
      </c>
      <c r="G7" s="17"/>
    </row>
    <row r="8" spans="2:7" x14ac:dyDescent="0.3">
      <c r="B8" s="94" t="s">
        <v>548</v>
      </c>
      <c r="C8" s="15" t="s">
        <v>551</v>
      </c>
      <c r="D8" s="17"/>
      <c r="E8" s="17"/>
      <c r="F8" s="17">
        <v>15</v>
      </c>
      <c r="G8" s="17"/>
    </row>
    <row r="9" spans="2:7" x14ac:dyDescent="0.3">
      <c r="B9" s="94" t="s">
        <v>550</v>
      </c>
      <c r="C9" s="15" t="s">
        <v>553</v>
      </c>
      <c r="D9" s="17"/>
      <c r="E9" s="17"/>
      <c r="F9" s="17">
        <v>30</v>
      </c>
      <c r="G9" s="17"/>
    </row>
    <row r="10" spans="2:7" x14ac:dyDescent="0.3">
      <c r="B10" s="94" t="s">
        <v>552</v>
      </c>
      <c r="C10" s="15" t="s">
        <v>555</v>
      </c>
      <c r="D10" s="17"/>
      <c r="E10" s="17"/>
      <c r="F10" s="17">
        <v>20</v>
      </c>
      <c r="G10" s="17"/>
    </row>
    <row r="11" spans="2:7" x14ac:dyDescent="0.3">
      <c r="B11" s="94" t="s">
        <v>554</v>
      </c>
      <c r="C11" s="15" t="s">
        <v>557</v>
      </c>
      <c r="D11" s="17"/>
      <c r="E11" s="17"/>
      <c r="F11" s="17">
        <v>15</v>
      </c>
      <c r="G11" s="17"/>
    </row>
    <row r="12" spans="2:7" x14ac:dyDescent="0.3">
      <c r="B12" s="94" t="s">
        <v>556</v>
      </c>
      <c r="C12" s="95" t="s">
        <v>559</v>
      </c>
      <c r="D12" s="17"/>
      <c r="E12" s="17"/>
      <c r="F12" s="17">
        <v>10</v>
      </c>
      <c r="G12" s="17"/>
    </row>
    <row r="13" spans="2:7" x14ac:dyDescent="0.3">
      <c r="B13" s="94" t="s">
        <v>558</v>
      </c>
      <c r="C13" s="95" t="s">
        <v>561</v>
      </c>
      <c r="D13" s="17"/>
      <c r="E13" s="17"/>
      <c r="F13" s="17">
        <v>15</v>
      </c>
      <c r="G13" s="17"/>
    </row>
    <row r="14" spans="2:7" x14ac:dyDescent="0.3">
      <c r="B14" s="94" t="s">
        <v>560</v>
      </c>
      <c r="C14" s="15" t="s">
        <v>563</v>
      </c>
      <c r="D14" s="17"/>
      <c r="E14" s="17"/>
      <c r="F14" s="17">
        <v>10</v>
      </c>
      <c r="G14" s="17"/>
    </row>
    <row r="15" spans="2:7" x14ac:dyDescent="0.3">
      <c r="B15" s="94" t="s">
        <v>562</v>
      </c>
      <c r="C15" s="15" t="s">
        <v>565</v>
      </c>
      <c r="D15" s="17"/>
      <c r="E15" s="17"/>
      <c r="F15" s="17">
        <v>10</v>
      </c>
      <c r="G15" s="17"/>
    </row>
    <row r="16" spans="2:7" x14ac:dyDescent="0.3">
      <c r="B16" s="94" t="s">
        <v>564</v>
      </c>
      <c r="C16" s="15" t="s">
        <v>567</v>
      </c>
      <c r="D16" s="17"/>
      <c r="E16" s="17"/>
      <c r="F16" s="17">
        <v>60</v>
      </c>
      <c r="G16" s="17"/>
    </row>
    <row r="17" spans="2:7" x14ac:dyDescent="0.3">
      <c r="B17" s="94" t="s">
        <v>566</v>
      </c>
      <c r="C17" s="15" t="s">
        <v>569</v>
      </c>
      <c r="D17" s="17"/>
      <c r="E17" s="17"/>
      <c r="F17" s="17">
        <v>45</v>
      </c>
      <c r="G17" s="17"/>
    </row>
    <row r="18" spans="2:7" x14ac:dyDescent="0.3">
      <c r="B18" s="94" t="s">
        <v>568</v>
      </c>
      <c r="C18" s="15" t="s">
        <v>571</v>
      </c>
      <c r="D18" s="17"/>
      <c r="E18" s="17"/>
      <c r="F18" s="17">
        <v>10</v>
      </c>
      <c r="G18" s="17"/>
    </row>
    <row r="19" spans="2:7" x14ac:dyDescent="0.3">
      <c r="B19" s="94" t="s">
        <v>570</v>
      </c>
      <c r="C19" s="15" t="s">
        <v>573</v>
      </c>
      <c r="D19" s="17"/>
      <c r="E19" s="17"/>
      <c r="F19" s="17">
        <v>15</v>
      </c>
      <c r="G19" s="17"/>
    </row>
    <row r="20" spans="2:7" x14ac:dyDescent="0.3">
      <c r="B20" s="94" t="s">
        <v>572</v>
      </c>
      <c r="C20" s="15" t="s">
        <v>575</v>
      </c>
      <c r="D20" s="17"/>
      <c r="E20" s="17"/>
      <c r="F20" s="17">
        <v>30</v>
      </c>
      <c r="G20" s="17"/>
    </row>
    <row r="21" spans="2:7" x14ac:dyDescent="0.3">
      <c r="B21" s="94" t="s">
        <v>574</v>
      </c>
      <c r="C21" s="95" t="s">
        <v>577</v>
      </c>
      <c r="D21" s="17"/>
      <c r="E21" s="17"/>
      <c r="F21" s="17">
        <v>15</v>
      </c>
      <c r="G21" s="17"/>
    </row>
    <row r="22" spans="2:7" x14ac:dyDescent="0.3">
      <c r="B22" s="94" t="s">
        <v>576</v>
      </c>
      <c r="C22" s="95" t="s">
        <v>579</v>
      </c>
      <c r="D22" s="17"/>
      <c r="E22" s="17"/>
      <c r="F22" s="17">
        <v>10</v>
      </c>
      <c r="G22" s="17"/>
    </row>
    <row r="23" spans="2:7" x14ac:dyDescent="0.3">
      <c r="B23" s="94" t="s">
        <v>578</v>
      </c>
      <c r="C23" s="95" t="s">
        <v>581</v>
      </c>
      <c r="D23" s="17"/>
      <c r="E23" s="17"/>
      <c r="F23" s="17">
        <v>10</v>
      </c>
      <c r="G23" s="17"/>
    </row>
    <row r="24" spans="2:7" x14ac:dyDescent="0.3">
      <c r="B24" s="94" t="s">
        <v>580</v>
      </c>
      <c r="C24" s="95" t="s">
        <v>583</v>
      </c>
      <c r="D24" s="17"/>
      <c r="E24" s="17"/>
      <c r="F24" s="17">
        <v>10</v>
      </c>
      <c r="G24" s="17"/>
    </row>
    <row r="25" spans="2:7" x14ac:dyDescent="0.3">
      <c r="B25" s="94" t="s">
        <v>582</v>
      </c>
      <c r="C25" s="95" t="s">
        <v>585</v>
      </c>
      <c r="D25" s="17"/>
      <c r="E25" s="17"/>
      <c r="F25" s="17">
        <v>10</v>
      </c>
      <c r="G25" s="17"/>
    </row>
    <row r="26" spans="2:7" x14ac:dyDescent="0.3">
      <c r="B26" s="94" t="s">
        <v>584</v>
      </c>
      <c r="C26" s="15" t="s">
        <v>587</v>
      </c>
      <c r="D26" s="17"/>
      <c r="E26" s="17"/>
      <c r="F26" s="17">
        <v>10</v>
      </c>
      <c r="G26" s="17"/>
    </row>
    <row r="27" spans="2:7" x14ac:dyDescent="0.3">
      <c r="B27" s="94" t="s">
        <v>586</v>
      </c>
      <c r="C27" s="15" t="s">
        <v>589</v>
      </c>
      <c r="D27" s="17"/>
      <c r="E27" s="17"/>
      <c r="F27" s="17">
        <v>20</v>
      </c>
      <c r="G27" s="17"/>
    </row>
    <row r="28" spans="2:7" x14ac:dyDescent="0.3">
      <c r="B28" s="94" t="s">
        <v>588</v>
      </c>
      <c r="C28" s="15" t="s">
        <v>591</v>
      </c>
      <c r="D28" s="17"/>
      <c r="E28" s="17"/>
      <c r="F28" s="17">
        <v>15</v>
      </c>
      <c r="G28" s="17"/>
    </row>
    <row r="29" spans="2:7" x14ac:dyDescent="0.3">
      <c r="B29" s="94" t="s">
        <v>590</v>
      </c>
      <c r="C29" s="95" t="s">
        <v>593</v>
      </c>
      <c r="D29" s="17"/>
      <c r="E29" s="17"/>
      <c r="F29" s="17">
        <v>10</v>
      </c>
      <c r="G29" s="17"/>
    </row>
    <row r="30" spans="2:7" x14ac:dyDescent="0.3">
      <c r="B30" s="94" t="s">
        <v>592</v>
      </c>
      <c r="C30" s="95" t="s">
        <v>595</v>
      </c>
      <c r="D30" s="17"/>
      <c r="E30" s="17"/>
      <c r="F30" s="17">
        <v>15</v>
      </c>
      <c r="G30" s="17"/>
    </row>
    <row r="31" spans="2:7" x14ac:dyDescent="0.3">
      <c r="B31" s="94" t="s">
        <v>594</v>
      </c>
      <c r="C31" s="95" t="s">
        <v>597</v>
      </c>
      <c r="D31" s="17"/>
      <c r="E31" s="17"/>
      <c r="F31" s="17">
        <v>30</v>
      </c>
      <c r="G31" s="17"/>
    </row>
    <row r="32" spans="2:7" x14ac:dyDescent="0.3">
      <c r="B32" s="94" t="s">
        <v>596</v>
      </c>
      <c r="C32" s="95" t="s">
        <v>599</v>
      </c>
      <c r="D32" s="17"/>
      <c r="E32" s="17"/>
      <c r="F32" s="17">
        <v>20</v>
      </c>
      <c r="G32" s="17"/>
    </row>
    <row r="33" spans="2:7" x14ac:dyDescent="0.3">
      <c r="B33" s="94" t="s">
        <v>598</v>
      </c>
      <c r="C33" s="95" t="s">
        <v>601</v>
      </c>
      <c r="D33" s="17"/>
      <c r="E33" s="17"/>
      <c r="F33" s="17">
        <v>10</v>
      </c>
      <c r="G33" s="17"/>
    </row>
    <row r="34" spans="2:7" x14ac:dyDescent="0.3">
      <c r="B34" s="94" t="s">
        <v>600</v>
      </c>
      <c r="C34" s="15" t="s">
        <v>603</v>
      </c>
      <c r="D34" s="17"/>
      <c r="E34" s="17"/>
      <c r="F34" s="17">
        <v>30</v>
      </c>
      <c r="G34" s="17"/>
    </row>
    <row r="35" spans="2:7" x14ac:dyDescent="0.3">
      <c r="B35" s="94" t="s">
        <v>602</v>
      </c>
      <c r="C35" s="15" t="s">
        <v>605</v>
      </c>
      <c r="D35" s="17"/>
      <c r="E35" s="17"/>
      <c r="F35" s="17">
        <v>30</v>
      </c>
      <c r="G35" s="17"/>
    </row>
    <row r="36" spans="2:7" x14ac:dyDescent="0.3">
      <c r="B36" s="94" t="s">
        <v>604</v>
      </c>
      <c r="C36" s="15" t="s">
        <v>607</v>
      </c>
      <c r="D36" s="17"/>
      <c r="E36" s="17"/>
      <c r="F36" s="17">
        <v>40</v>
      </c>
      <c r="G36" s="17"/>
    </row>
    <row r="37" spans="2:7" x14ac:dyDescent="0.3">
      <c r="B37" s="94" t="s">
        <v>606</v>
      </c>
      <c r="C37" s="15" t="s">
        <v>609</v>
      </c>
      <c r="D37" s="17"/>
      <c r="E37" s="17"/>
      <c r="F37" s="17">
        <v>20</v>
      </c>
      <c r="G37" s="17"/>
    </row>
    <row r="38" spans="2:7" x14ac:dyDescent="0.3">
      <c r="B38" s="94" t="s">
        <v>608</v>
      </c>
      <c r="C38" s="15" t="s">
        <v>611</v>
      </c>
      <c r="D38" s="17"/>
      <c r="E38" s="17"/>
      <c r="F38" s="17"/>
      <c r="G38" s="17"/>
    </row>
    <row r="39" spans="2:7" x14ac:dyDescent="0.3">
      <c r="B39" s="94" t="s">
        <v>610</v>
      </c>
      <c r="C39" s="15" t="s">
        <v>613</v>
      </c>
      <c r="D39" s="17"/>
      <c r="E39" s="17"/>
      <c r="F39" s="17">
        <v>10</v>
      </c>
      <c r="G39" s="17"/>
    </row>
    <row r="40" spans="2:7" x14ac:dyDescent="0.3">
      <c r="B40" s="94" t="s">
        <v>612</v>
      </c>
      <c r="C40" s="15" t="s">
        <v>615</v>
      </c>
      <c r="D40" s="17"/>
      <c r="E40" s="17"/>
      <c r="F40" s="17"/>
      <c r="G40" s="17"/>
    </row>
    <row r="41" spans="2:7" x14ac:dyDescent="0.3">
      <c r="B41" s="94" t="s">
        <v>614</v>
      </c>
      <c r="C41" s="95" t="s">
        <v>617</v>
      </c>
      <c r="D41" s="17"/>
      <c r="E41" s="17"/>
      <c r="F41" s="17">
        <v>30</v>
      </c>
      <c r="G41" s="17"/>
    </row>
    <row r="42" spans="2:7" x14ac:dyDescent="0.3">
      <c r="B42" s="94" t="s">
        <v>616</v>
      </c>
      <c r="C42" s="95" t="s">
        <v>619</v>
      </c>
      <c r="D42" s="17"/>
      <c r="E42" s="17"/>
      <c r="F42" s="17">
        <v>20</v>
      </c>
      <c r="G42" s="17"/>
    </row>
    <row r="43" spans="2:7" x14ac:dyDescent="0.3">
      <c r="B43" s="94" t="s">
        <v>618</v>
      </c>
      <c r="C43" s="95" t="s">
        <v>621</v>
      </c>
      <c r="D43" s="17"/>
      <c r="E43" s="17"/>
      <c r="F43" s="17">
        <v>30</v>
      </c>
      <c r="G43" s="17"/>
    </row>
    <row r="44" spans="2:7" x14ac:dyDescent="0.3">
      <c r="B44" s="94" t="s">
        <v>620</v>
      </c>
      <c r="C44" s="95" t="s">
        <v>623</v>
      </c>
      <c r="D44" s="17"/>
      <c r="E44" s="17"/>
      <c r="F44" s="17">
        <v>40</v>
      </c>
      <c r="G44" s="17"/>
    </row>
    <row r="45" spans="2:7" x14ac:dyDescent="0.3">
      <c r="B45" s="94" t="s">
        <v>622</v>
      </c>
      <c r="C45" s="95" t="s">
        <v>625</v>
      </c>
      <c r="D45" s="17"/>
      <c r="E45" s="17"/>
      <c r="F45" s="17">
        <v>40</v>
      </c>
      <c r="G45" s="17"/>
    </row>
    <row r="46" spans="2:7" x14ac:dyDescent="0.3">
      <c r="B46" s="94" t="s">
        <v>624</v>
      </c>
      <c r="C46" s="95" t="s">
        <v>627</v>
      </c>
      <c r="D46" s="17"/>
      <c r="E46" s="17"/>
      <c r="F46" s="17">
        <v>40</v>
      </c>
      <c r="G46" s="17"/>
    </row>
    <row r="47" spans="2:7" x14ac:dyDescent="0.3">
      <c r="B47" s="94" t="s">
        <v>626</v>
      </c>
      <c r="C47" s="95" t="s">
        <v>629</v>
      </c>
      <c r="D47" s="17"/>
      <c r="E47" s="17"/>
      <c r="F47" s="17">
        <v>30</v>
      </c>
      <c r="G47" s="17"/>
    </row>
    <row r="48" spans="2:7" x14ac:dyDescent="0.3">
      <c r="B48" s="94" t="s">
        <v>628</v>
      </c>
      <c r="C48" s="95" t="s">
        <v>631</v>
      </c>
      <c r="D48" s="17"/>
      <c r="E48" s="17"/>
      <c r="F48" s="17">
        <v>40</v>
      </c>
      <c r="G48" s="17"/>
    </row>
    <row r="49" spans="2:7" x14ac:dyDescent="0.3">
      <c r="B49" s="94" t="s">
        <v>630</v>
      </c>
      <c r="C49" s="95" t="s">
        <v>633</v>
      </c>
      <c r="D49" s="17"/>
      <c r="E49" s="17"/>
      <c r="F49" s="17">
        <v>40</v>
      </c>
      <c r="G49" s="17"/>
    </row>
    <row r="50" spans="2:7" x14ac:dyDescent="0.3">
      <c r="B50" s="94" t="s">
        <v>632</v>
      </c>
      <c r="C50" s="15" t="s">
        <v>635</v>
      </c>
      <c r="D50" s="17"/>
      <c r="E50" s="17"/>
      <c r="F50" s="17">
        <v>30</v>
      </c>
      <c r="G50" s="17"/>
    </row>
    <row r="51" spans="2:7" x14ac:dyDescent="0.3">
      <c r="B51" s="94" t="s">
        <v>634</v>
      </c>
      <c r="C51" s="95" t="s">
        <v>637</v>
      </c>
      <c r="D51" s="17"/>
      <c r="E51" s="17"/>
      <c r="F51" s="17">
        <v>40</v>
      </c>
      <c r="G51" s="17"/>
    </row>
    <row r="52" spans="2:7" x14ac:dyDescent="0.3">
      <c r="B52" s="94" t="s">
        <v>636</v>
      </c>
      <c r="C52" s="95" t="s">
        <v>639</v>
      </c>
      <c r="D52" s="17"/>
      <c r="E52" s="17"/>
      <c r="F52" s="17">
        <v>40</v>
      </c>
      <c r="G52" s="17"/>
    </row>
    <row r="53" spans="2:7" x14ac:dyDescent="0.3">
      <c r="B53" s="94" t="s">
        <v>638</v>
      </c>
      <c r="C53" s="95" t="s">
        <v>641</v>
      </c>
      <c r="D53" s="17"/>
      <c r="E53" s="17"/>
      <c r="F53" s="17">
        <v>40</v>
      </c>
      <c r="G53" s="17"/>
    </row>
    <row r="54" spans="2:7" x14ac:dyDescent="0.3">
      <c r="B54" s="94" t="s">
        <v>640</v>
      </c>
      <c r="C54" s="15" t="s">
        <v>643</v>
      </c>
      <c r="D54" s="17"/>
      <c r="E54" s="17"/>
      <c r="F54" s="17">
        <v>40</v>
      </c>
      <c r="G54" s="17"/>
    </row>
    <row r="55" spans="2:7" x14ac:dyDescent="0.3">
      <c r="B55" s="94" t="s">
        <v>642</v>
      </c>
      <c r="C55" s="95" t="s">
        <v>645</v>
      </c>
      <c r="D55" s="17"/>
      <c r="E55" s="17"/>
      <c r="F55" s="17"/>
      <c r="G55" s="17"/>
    </row>
    <row r="56" spans="2:7" x14ac:dyDescent="0.3">
      <c r="B56" s="94" t="s">
        <v>644</v>
      </c>
      <c r="C56" s="15" t="s">
        <v>647</v>
      </c>
      <c r="D56" s="17"/>
      <c r="E56" s="17"/>
      <c r="F56" s="17"/>
      <c r="G56" s="17"/>
    </row>
    <row r="57" spans="2:7" x14ac:dyDescent="0.3">
      <c r="B57" s="94" t="s">
        <v>646</v>
      </c>
      <c r="C57" s="95" t="s">
        <v>649</v>
      </c>
      <c r="D57" s="17"/>
      <c r="E57" s="17"/>
      <c r="F57" s="17">
        <v>30</v>
      </c>
      <c r="G57" s="17"/>
    </row>
    <row r="58" spans="2:7" x14ac:dyDescent="0.3">
      <c r="B58" s="94" t="s">
        <v>648</v>
      </c>
      <c r="C58" s="95" t="s">
        <v>651</v>
      </c>
      <c r="D58" s="17"/>
      <c r="E58" s="17"/>
      <c r="F58" s="17">
        <v>40</v>
      </c>
      <c r="G58" s="17"/>
    </row>
    <row r="59" spans="2:7" x14ac:dyDescent="0.3">
      <c r="B59" s="94" t="s">
        <v>650</v>
      </c>
      <c r="C59" s="95" t="s">
        <v>653</v>
      </c>
      <c r="D59" s="17"/>
      <c r="E59" s="17"/>
      <c r="F59" s="17">
        <v>40</v>
      </c>
      <c r="G59" s="17"/>
    </row>
    <row r="60" spans="2:7" x14ac:dyDescent="0.3">
      <c r="B60" s="94" t="s">
        <v>652</v>
      </c>
      <c r="C60" s="95" t="s">
        <v>655</v>
      </c>
      <c r="D60" s="17"/>
      <c r="E60" s="17"/>
      <c r="F60" s="17">
        <v>40</v>
      </c>
      <c r="G60" s="17"/>
    </row>
    <row r="61" spans="2:7" x14ac:dyDescent="0.3">
      <c r="B61" s="94" t="s">
        <v>654</v>
      </c>
      <c r="C61" s="95" t="s">
        <v>657</v>
      </c>
      <c r="D61" s="17"/>
      <c r="E61" s="17"/>
      <c r="F61" s="17">
        <v>20</v>
      </c>
      <c r="G61" s="17"/>
    </row>
    <row r="62" spans="2:7" x14ac:dyDescent="0.3">
      <c r="B62" s="94" t="s">
        <v>656</v>
      </c>
      <c r="C62" s="95" t="s">
        <v>659</v>
      </c>
      <c r="D62" s="17"/>
      <c r="E62" s="17"/>
      <c r="F62" s="17">
        <v>30</v>
      </c>
      <c r="G62" s="17"/>
    </row>
    <row r="63" spans="2:7" x14ac:dyDescent="0.3">
      <c r="B63" s="94" t="s">
        <v>658</v>
      </c>
      <c r="C63" s="95" t="s">
        <v>661</v>
      </c>
      <c r="D63" s="17"/>
      <c r="E63" s="17"/>
      <c r="F63" s="17">
        <v>30</v>
      </c>
      <c r="G63" s="17"/>
    </row>
    <row r="64" spans="2:7" x14ac:dyDescent="0.3">
      <c r="B64" s="94" t="s">
        <v>660</v>
      </c>
      <c r="C64" s="95" t="s">
        <v>663</v>
      </c>
      <c r="D64" s="17"/>
      <c r="E64" s="17"/>
      <c r="F64" s="17">
        <v>40</v>
      </c>
      <c r="G64" s="17"/>
    </row>
    <row r="65" spans="2:7" x14ac:dyDescent="0.3">
      <c r="B65" s="94" t="s">
        <v>662</v>
      </c>
      <c r="C65" s="95" t="s">
        <v>665</v>
      </c>
      <c r="D65" s="17"/>
      <c r="E65" s="17"/>
      <c r="F65" s="17">
        <v>30</v>
      </c>
      <c r="G65" s="17"/>
    </row>
    <row r="66" spans="2:7" x14ac:dyDescent="0.3">
      <c r="B66" s="94" t="s">
        <v>664</v>
      </c>
      <c r="C66" s="95" t="s">
        <v>667</v>
      </c>
      <c r="D66" s="17"/>
      <c r="E66" s="17"/>
      <c r="F66" s="17">
        <v>40</v>
      </c>
      <c r="G66" s="17"/>
    </row>
    <row r="67" spans="2:7" x14ac:dyDescent="0.3">
      <c r="B67" s="94" t="s">
        <v>666</v>
      </c>
      <c r="C67" s="27" t="s">
        <v>669</v>
      </c>
      <c r="D67" s="17"/>
      <c r="E67" s="17"/>
      <c r="F67" s="17">
        <v>10</v>
      </c>
      <c r="G67" s="17"/>
    </row>
    <row r="68" spans="2:7" x14ac:dyDescent="0.3">
      <c r="B68" s="94" t="s">
        <v>668</v>
      </c>
      <c r="C68" s="27" t="s">
        <v>671</v>
      </c>
      <c r="D68" s="17"/>
      <c r="E68" s="17"/>
      <c r="F68" s="17">
        <v>10</v>
      </c>
      <c r="G68" s="17"/>
    </row>
    <row r="69" spans="2:7" x14ac:dyDescent="0.3">
      <c r="B69" s="94" t="s">
        <v>670</v>
      </c>
      <c r="C69" s="27" t="s">
        <v>673</v>
      </c>
      <c r="D69" s="17"/>
      <c r="E69" s="17"/>
      <c r="F69" s="17">
        <v>10</v>
      </c>
      <c r="G69" s="17"/>
    </row>
    <row r="70" spans="2:7" x14ac:dyDescent="0.3">
      <c r="B70" s="94" t="s">
        <v>672</v>
      </c>
      <c r="C70" s="27" t="s">
        <v>675</v>
      </c>
      <c r="D70" s="17"/>
      <c r="E70" s="17"/>
      <c r="F70" s="17">
        <v>10</v>
      </c>
      <c r="G70" s="17"/>
    </row>
    <row r="71" spans="2:7" x14ac:dyDescent="0.3">
      <c r="B71" s="94" t="s">
        <v>674</v>
      </c>
      <c r="C71" s="27" t="s">
        <v>677</v>
      </c>
      <c r="D71" s="17"/>
      <c r="E71" s="17"/>
      <c r="F71" s="17">
        <v>10</v>
      </c>
      <c r="G71" s="17"/>
    </row>
    <row r="72" spans="2:7" x14ac:dyDescent="0.3">
      <c r="B72" s="94" t="s">
        <v>676</v>
      </c>
      <c r="C72" s="27" t="s">
        <v>679</v>
      </c>
      <c r="D72" s="17"/>
      <c r="E72" s="17"/>
      <c r="F72" s="17">
        <v>10</v>
      </c>
      <c r="G72" s="17"/>
    </row>
    <row r="73" spans="2:7" x14ac:dyDescent="0.3">
      <c r="B73" s="94" t="s">
        <v>678</v>
      </c>
      <c r="C73" s="27" t="s">
        <v>681</v>
      </c>
      <c r="D73" s="17"/>
      <c r="E73" s="17"/>
      <c r="F73" s="17">
        <v>10</v>
      </c>
      <c r="G73" s="17"/>
    </row>
    <row r="74" spans="2:7" x14ac:dyDescent="0.3">
      <c r="B74" s="94" t="s">
        <v>680</v>
      </c>
      <c r="C74" s="27" t="s">
        <v>683</v>
      </c>
      <c r="D74" s="17"/>
      <c r="E74" s="17"/>
      <c r="F74" s="17">
        <v>10</v>
      </c>
      <c r="G74" s="17"/>
    </row>
    <row r="75" spans="2:7" x14ac:dyDescent="0.3">
      <c r="B75" s="94" t="s">
        <v>682</v>
      </c>
      <c r="C75" s="27" t="s">
        <v>685</v>
      </c>
      <c r="D75" s="17"/>
      <c r="E75" s="17"/>
      <c r="F75" s="17">
        <v>10</v>
      </c>
      <c r="G75" s="17"/>
    </row>
    <row r="76" spans="2:7" x14ac:dyDescent="0.3">
      <c r="B76" s="94" t="s">
        <v>684</v>
      </c>
      <c r="C76" s="27" t="s">
        <v>687</v>
      </c>
      <c r="D76" s="17"/>
      <c r="E76" s="17"/>
      <c r="F76" s="17">
        <v>10</v>
      </c>
      <c r="G76" s="17"/>
    </row>
    <row r="77" spans="2:7" x14ac:dyDescent="0.3">
      <c r="B77" s="94" t="s">
        <v>686</v>
      </c>
      <c r="C77" s="27" t="s">
        <v>689</v>
      </c>
      <c r="D77" s="17"/>
      <c r="E77" s="17"/>
      <c r="F77" s="17">
        <v>10</v>
      </c>
      <c r="G77" s="17"/>
    </row>
    <row r="78" spans="2:7" x14ac:dyDescent="0.3">
      <c r="B78" s="94" t="s">
        <v>688</v>
      </c>
      <c r="C78" s="27" t="s">
        <v>691</v>
      </c>
      <c r="D78" s="17"/>
      <c r="E78" s="17"/>
      <c r="F78" s="17">
        <v>10</v>
      </c>
      <c r="G78" s="17"/>
    </row>
    <row r="79" spans="2:7" x14ac:dyDescent="0.3">
      <c r="B79" s="94" t="s">
        <v>690</v>
      </c>
      <c r="C79" s="27" t="s">
        <v>693</v>
      </c>
      <c r="D79" s="17"/>
      <c r="E79" s="17"/>
      <c r="F79" s="17">
        <v>10</v>
      </c>
      <c r="G79" s="17"/>
    </row>
    <row r="80" spans="2:7" x14ac:dyDescent="0.3">
      <c r="B80" s="94" t="s">
        <v>692</v>
      </c>
      <c r="C80" s="95" t="s">
        <v>695</v>
      </c>
      <c r="D80" s="17"/>
      <c r="E80" s="17"/>
      <c r="F80" s="17">
        <v>10</v>
      </c>
      <c r="G80" s="17"/>
    </row>
    <row r="81" spans="2:7" x14ac:dyDescent="0.3">
      <c r="B81" s="94" t="s">
        <v>694</v>
      </c>
      <c r="C81" s="95" t="s">
        <v>697</v>
      </c>
      <c r="D81" s="17"/>
      <c r="E81" s="17"/>
      <c r="F81" s="17">
        <v>10</v>
      </c>
      <c r="G81" s="17"/>
    </row>
    <row r="82" spans="2:7" x14ac:dyDescent="0.3">
      <c r="B82" s="94" t="s">
        <v>696</v>
      </c>
      <c r="C82" s="27" t="s">
        <v>699</v>
      </c>
      <c r="D82" s="17"/>
      <c r="E82" s="17"/>
      <c r="F82" s="17">
        <v>10</v>
      </c>
      <c r="G82" s="17"/>
    </row>
    <row r="83" spans="2:7" x14ac:dyDescent="0.3">
      <c r="B83" s="94" t="s">
        <v>698</v>
      </c>
      <c r="C83" s="27" t="s">
        <v>700</v>
      </c>
      <c r="D83" s="17"/>
      <c r="E83" s="17"/>
      <c r="F83" s="17">
        <v>10</v>
      </c>
      <c r="G83" s="17"/>
    </row>
  </sheetData>
  <phoneticPr fontId="8" type="noConversion"/>
  <pageMargins left="0" right="0" top="0" bottom="0" header="0" footer="0"/>
  <pageSetup paperSize="9" scale="6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I43"/>
  <sheetViews>
    <sheetView view="pageBreakPreview" zoomScaleNormal="100" workbookViewId="0">
      <selection activeCell="G43" sqref="G43"/>
    </sheetView>
  </sheetViews>
  <sheetFormatPr defaultRowHeight="14.4" x14ac:dyDescent="0.3"/>
  <cols>
    <col min="1" max="1" width="6.33203125" style="7" bestFit="1" customWidth="1"/>
    <col min="2" max="2" width="38.44140625" style="7" customWidth="1"/>
    <col min="3" max="3" width="15.6640625" style="7" customWidth="1"/>
    <col min="4" max="4" width="10.44140625" style="7" bestFit="1" customWidth="1"/>
    <col min="5" max="5" width="11" style="7" customWidth="1"/>
    <col min="6" max="6" width="12.5546875" style="7" customWidth="1"/>
    <col min="7" max="7" width="10.44140625" style="7" bestFit="1" customWidth="1"/>
    <col min="8" max="9" width="9.33203125" style="7" bestFit="1" customWidth="1"/>
  </cols>
  <sheetData>
    <row r="1" spans="1:9" ht="7.5" customHeight="1" x14ac:dyDescent="0.3"/>
    <row r="2" spans="1:9" s="54" customFormat="1" ht="19.8" x14ac:dyDescent="0.4">
      <c r="A2" s="1016" t="s">
        <v>958</v>
      </c>
      <c r="B2" s="1016"/>
      <c r="C2" s="1016"/>
      <c r="D2" s="1016"/>
      <c r="E2" s="1016"/>
      <c r="F2" s="1016"/>
      <c r="G2" s="1016"/>
      <c r="H2" s="1016"/>
      <c r="I2" s="1016"/>
    </row>
    <row r="3" spans="1:9" s="54" customFormat="1" ht="11.25" customHeight="1" x14ac:dyDescent="0.4">
      <c r="A3" s="53"/>
      <c r="B3" s="53"/>
      <c r="C3" s="53"/>
      <c r="D3" s="53"/>
      <c r="E3" s="53"/>
      <c r="F3" s="53"/>
      <c r="G3" s="53"/>
      <c r="H3" s="53"/>
      <c r="I3" s="53"/>
    </row>
    <row r="4" spans="1:9" s="54" customFormat="1" ht="37.5" customHeight="1" x14ac:dyDescent="0.4">
      <c r="A4" s="50" t="s">
        <v>1006</v>
      </c>
      <c r="B4" s="1017" t="s">
        <v>923</v>
      </c>
      <c r="C4" s="1017"/>
      <c r="D4" s="1017"/>
      <c r="E4" s="52">
        <f>G43</f>
        <v>42</v>
      </c>
      <c r="F4" s="52" t="s">
        <v>971</v>
      </c>
      <c r="G4" s="53"/>
      <c r="H4" s="53"/>
      <c r="I4" s="53"/>
    </row>
    <row r="6" spans="1:9" ht="15" customHeight="1" x14ac:dyDescent="0.3">
      <c r="B6" s="1018" t="s">
        <v>932</v>
      </c>
      <c r="C6" s="1018"/>
      <c r="D6" s="10"/>
      <c r="E6" s="11">
        <f>E12+E14</f>
        <v>35.619999999999997</v>
      </c>
      <c r="F6" s="12" t="s">
        <v>971</v>
      </c>
    </row>
    <row r="7" spans="1:9" ht="6" customHeight="1" x14ac:dyDescent="0.3"/>
    <row r="8" spans="1:9" ht="27.6" x14ac:dyDescent="0.3">
      <c r="B8" s="13" t="s">
        <v>929</v>
      </c>
      <c r="C8" s="14" t="s">
        <v>928</v>
      </c>
      <c r="D8" s="14" t="s">
        <v>514</v>
      </c>
      <c r="E8" s="14" t="s">
        <v>515</v>
      </c>
      <c r="F8" s="14" t="s">
        <v>962</v>
      </c>
      <c r="G8" s="14" t="s">
        <v>926</v>
      </c>
      <c r="H8" s="14" t="s">
        <v>516</v>
      </c>
      <c r="I8" s="14" t="s">
        <v>961</v>
      </c>
    </row>
    <row r="9" spans="1:9" x14ac:dyDescent="0.3">
      <c r="B9" s="17" t="s">
        <v>1195</v>
      </c>
      <c r="C9" s="24">
        <f>ЗП!C46</f>
        <v>6500</v>
      </c>
      <c r="D9" s="24">
        <f>C9*12</f>
        <v>78000</v>
      </c>
      <c r="E9" s="24">
        <f>ЗП!E46</f>
        <v>4745</v>
      </c>
      <c r="F9" s="24">
        <f>E9*0.5</f>
        <v>2372.5</v>
      </c>
      <c r="G9" s="16">
        <f>D9+E9+F9</f>
        <v>85117.5</v>
      </c>
      <c r="H9" s="17">
        <v>1932.7</v>
      </c>
      <c r="I9" s="16">
        <f>ROUND((G9/H9)/60,2)</f>
        <v>0.73</v>
      </c>
    </row>
    <row r="10" spans="1:9" ht="6.75" customHeight="1" x14ac:dyDescent="0.3"/>
    <row r="11" spans="1:9" ht="27.6" x14ac:dyDescent="0.3">
      <c r="B11" s="13" t="s">
        <v>929</v>
      </c>
      <c r="C11" s="14" t="s">
        <v>961</v>
      </c>
      <c r="D11" s="14" t="s">
        <v>930</v>
      </c>
      <c r="E11" s="14" t="s">
        <v>931</v>
      </c>
    </row>
    <row r="12" spans="1:9" x14ac:dyDescent="0.3">
      <c r="B12" s="15" t="str">
        <f>B9</f>
        <v>Статистик медичний</v>
      </c>
      <c r="C12" s="16">
        <f>I9</f>
        <v>0.73</v>
      </c>
      <c r="D12" s="17">
        <v>40</v>
      </c>
      <c r="E12" s="18">
        <f>ROUND(C12*D12,2)</f>
        <v>29.2</v>
      </c>
    </row>
    <row r="13" spans="1:9" ht="9" customHeight="1" x14ac:dyDescent="0.3">
      <c r="C13" s="19"/>
    </row>
    <row r="14" spans="1:9" x14ac:dyDescent="0.3">
      <c r="B14" s="17" t="s">
        <v>933</v>
      </c>
      <c r="C14" s="16">
        <f>E12</f>
        <v>29.2</v>
      </c>
      <c r="D14" s="20">
        <v>0.22</v>
      </c>
      <c r="E14" s="21">
        <f>ROUND(C14*D14,2)</f>
        <v>6.42</v>
      </c>
    </row>
    <row r="16" spans="1:9" x14ac:dyDescent="0.3">
      <c r="B16" s="12" t="s">
        <v>946</v>
      </c>
      <c r="C16" s="12"/>
      <c r="D16" s="12"/>
      <c r="E16" s="12">
        <f>F20</f>
        <v>2.4</v>
      </c>
      <c r="F16" s="12" t="s">
        <v>971</v>
      </c>
    </row>
    <row r="17" spans="1:9" ht="8.25" customHeight="1" x14ac:dyDescent="0.3"/>
    <row r="18" spans="1:9" s="184" customFormat="1" x14ac:dyDescent="0.3">
      <c r="A18" s="180"/>
      <c r="B18" s="165" t="s">
        <v>936</v>
      </c>
      <c r="C18" s="181" t="s">
        <v>937</v>
      </c>
      <c r="D18" s="182">
        <v>1</v>
      </c>
      <c r="E18" s="182">
        <v>1.8</v>
      </c>
      <c r="F18" s="183">
        <f>ROUND(D18*E18,2)</f>
        <v>1.8</v>
      </c>
      <c r="G18" s="180"/>
      <c r="H18" s="180"/>
      <c r="I18" s="180"/>
    </row>
    <row r="19" spans="1:9" x14ac:dyDescent="0.3">
      <c r="B19" s="27" t="s">
        <v>1198</v>
      </c>
      <c r="C19" s="28" t="s">
        <v>941</v>
      </c>
      <c r="D19" s="59">
        <v>3</v>
      </c>
      <c r="E19" s="30">
        <v>0.2</v>
      </c>
      <c r="F19" s="37">
        <f>ROUND(E19*D19,2)</f>
        <v>0.6</v>
      </c>
    </row>
    <row r="20" spans="1:9" x14ac:dyDescent="0.3">
      <c r="B20" s="1012" t="s">
        <v>945</v>
      </c>
      <c r="C20" s="1013"/>
      <c r="D20" s="1013"/>
      <c r="E20" s="1014"/>
      <c r="F20" s="31">
        <f>SUM(F18:F19)</f>
        <v>2.4</v>
      </c>
    </row>
    <row r="22" spans="1:9" x14ac:dyDescent="0.3">
      <c r="B22" s="12" t="s">
        <v>968</v>
      </c>
      <c r="C22" s="12"/>
      <c r="D22" s="12"/>
      <c r="E22" s="11">
        <f>G25</f>
        <v>0.01</v>
      </c>
      <c r="F22" s="12" t="s">
        <v>971</v>
      </c>
    </row>
    <row r="23" spans="1:9" x14ac:dyDescent="0.3">
      <c r="B23" s="22"/>
      <c r="C23" s="22"/>
      <c r="D23" s="22"/>
      <c r="E23" s="23"/>
      <c r="F23" s="22"/>
    </row>
    <row r="24" spans="1:9" ht="27.6" x14ac:dyDescent="0.3">
      <c r="B24" s="14" t="s">
        <v>513</v>
      </c>
      <c r="C24" s="14" t="s">
        <v>969</v>
      </c>
      <c r="D24" s="14" t="s">
        <v>516</v>
      </c>
      <c r="E24" s="14" t="s">
        <v>970</v>
      </c>
      <c r="F24" s="14" t="s">
        <v>930</v>
      </c>
      <c r="G24" s="14" t="s">
        <v>961</v>
      </c>
    </row>
    <row r="25" spans="1:9" x14ac:dyDescent="0.3">
      <c r="B25" s="43" t="str">
        <f>АМОРТИЗАЦІЯ!B48</f>
        <v>Принтер, сканер , ксерокс Canon MF-4410</v>
      </c>
      <c r="C25" s="16">
        <f>АМОРТИЗАЦІЯ!C47</f>
        <v>189</v>
      </c>
      <c r="D25" s="17">
        <f>H9</f>
        <v>1932.7</v>
      </c>
      <c r="E25" s="16">
        <v>0.01</v>
      </c>
      <c r="F25" s="17">
        <v>1</v>
      </c>
      <c r="G25" s="16">
        <f>ROUND(E25*F25,2)</f>
        <v>0.01</v>
      </c>
      <c r="H25" s="38"/>
    </row>
    <row r="27" spans="1:9" x14ac:dyDescent="0.3">
      <c r="B27" s="12" t="s">
        <v>948</v>
      </c>
      <c r="C27" s="12"/>
      <c r="D27" s="12"/>
      <c r="E27" s="11">
        <f>G38</f>
        <v>4.4000000000000004</v>
      </c>
      <c r="F27" s="12" t="s">
        <v>971</v>
      </c>
    </row>
    <row r="28" spans="1:9" x14ac:dyDescent="0.3">
      <c r="B28" s="22"/>
      <c r="C28" s="22"/>
      <c r="D28" s="22"/>
      <c r="E28" s="23"/>
    </row>
    <row r="29" spans="1:9" ht="41.4" x14ac:dyDescent="0.3">
      <c r="B29" s="14" t="s">
        <v>948</v>
      </c>
      <c r="C29" s="14" t="s">
        <v>955</v>
      </c>
      <c r="D29" s="14" t="s">
        <v>516</v>
      </c>
      <c r="E29" s="14" t="s">
        <v>954</v>
      </c>
      <c r="F29" s="14" t="s">
        <v>930</v>
      </c>
      <c r="G29" s="14" t="s">
        <v>956</v>
      </c>
    </row>
    <row r="30" spans="1:9" ht="15" customHeight="1" x14ac:dyDescent="0.3">
      <c r="B30" s="1009" t="str">
        <f>B9</f>
        <v>Статистик медичний</v>
      </c>
      <c r="C30" s="1010"/>
      <c r="D30" s="1010"/>
      <c r="E30" s="1010"/>
      <c r="F30" s="1010"/>
      <c r="G30" s="1011"/>
    </row>
    <row r="31" spans="1:9" x14ac:dyDescent="0.3">
      <c r="B31" s="17" t="s">
        <v>951</v>
      </c>
      <c r="C31" s="112">
        <f>НАКЛАДНІ!F4</f>
        <v>12188.608008565312</v>
      </c>
      <c r="D31" s="17">
        <f>H9</f>
        <v>1932.7</v>
      </c>
      <c r="E31" s="17">
        <f>ROUND((C31/D31)/60,2)</f>
        <v>0.11</v>
      </c>
      <c r="F31" s="17">
        <f>D12</f>
        <v>40</v>
      </c>
      <c r="G31" s="16">
        <f>ROUND(E31*F31,2)</f>
        <v>4.4000000000000004</v>
      </c>
    </row>
    <row r="32" spans="1:9" x14ac:dyDescent="0.3">
      <c r="B32" s="17" t="s">
        <v>952</v>
      </c>
      <c r="C32" s="112">
        <f>НАКЛАДНІ!F5</f>
        <v>53.149721627408987</v>
      </c>
      <c r="D32" s="17">
        <f>H9</f>
        <v>1932.7</v>
      </c>
      <c r="E32" s="17">
        <f>ROUND((C32/D32)/60,2)</f>
        <v>0</v>
      </c>
      <c r="F32" s="17">
        <f>D12</f>
        <v>40</v>
      </c>
      <c r="G32" s="16">
        <f>ROUND(E32*F32,2)</f>
        <v>0</v>
      </c>
    </row>
    <row r="33" spans="2:7" x14ac:dyDescent="0.3">
      <c r="B33" s="17" t="s">
        <v>953</v>
      </c>
      <c r="C33" s="112">
        <f>НАКЛАДНІ!F6</f>
        <v>374.98368308351178</v>
      </c>
      <c r="D33" s="17">
        <f>H9</f>
        <v>1932.7</v>
      </c>
      <c r="E33" s="17">
        <f>ROUND((C33/D33)/60,2)</f>
        <v>0</v>
      </c>
      <c r="F33" s="17">
        <f>D12</f>
        <v>40</v>
      </c>
      <c r="G33" s="16">
        <f>ROUND(E33*F33,2)</f>
        <v>0</v>
      </c>
    </row>
    <row r="34" spans="2:7" ht="15" hidden="1" customHeight="1" x14ac:dyDescent="0.3">
      <c r="B34" s="1009"/>
      <c r="C34" s="1010"/>
      <c r="D34" s="1010"/>
      <c r="E34" s="1010"/>
      <c r="F34" s="1010"/>
      <c r="G34" s="1011"/>
    </row>
    <row r="35" spans="2:7" hidden="1" x14ac:dyDescent="0.3">
      <c r="B35" s="17"/>
      <c r="C35" s="17"/>
      <c r="D35" s="17"/>
      <c r="E35" s="17"/>
      <c r="F35" s="17"/>
      <c r="G35" s="16"/>
    </row>
    <row r="36" spans="2:7" hidden="1" x14ac:dyDescent="0.3">
      <c r="B36" s="17"/>
      <c r="C36" s="17"/>
      <c r="D36" s="17"/>
      <c r="E36" s="17"/>
      <c r="F36" s="17"/>
      <c r="G36" s="16"/>
    </row>
    <row r="37" spans="2:7" hidden="1" x14ac:dyDescent="0.3">
      <c r="B37" s="17"/>
      <c r="C37" s="17"/>
      <c r="D37" s="17"/>
      <c r="E37" s="17"/>
      <c r="F37" s="17"/>
      <c r="G37" s="16"/>
    </row>
    <row r="38" spans="2:7" x14ac:dyDescent="0.3">
      <c r="B38" s="1012" t="s">
        <v>957</v>
      </c>
      <c r="C38" s="1013"/>
      <c r="D38" s="1013"/>
      <c r="E38" s="1013"/>
      <c r="F38" s="1014"/>
      <c r="G38" s="18">
        <f>SUM(G31:G37)</f>
        <v>4.4000000000000004</v>
      </c>
    </row>
    <row r="41" spans="2:7" x14ac:dyDescent="0.3">
      <c r="B41" s="1068" t="s">
        <v>959</v>
      </c>
      <c r="C41" s="1069"/>
      <c r="D41" s="1069"/>
      <c r="E41" s="1069"/>
      <c r="F41" s="1070"/>
      <c r="G41" s="32">
        <f>E6+E16+E22+E27</f>
        <v>42.429999999999993</v>
      </c>
    </row>
    <row r="42" spans="2:7" x14ac:dyDescent="0.3">
      <c r="B42" s="33"/>
      <c r="C42" s="33"/>
      <c r="D42" s="33"/>
      <c r="E42" s="33"/>
      <c r="F42" s="33"/>
      <c r="G42" s="34"/>
    </row>
    <row r="43" spans="2:7" x14ac:dyDescent="0.3">
      <c r="B43" s="1068" t="s">
        <v>960</v>
      </c>
      <c r="C43" s="1069"/>
      <c r="D43" s="1069"/>
      <c r="E43" s="1069"/>
      <c r="F43" s="1070"/>
      <c r="G43" s="32">
        <f>ROUND(G41,0)</f>
        <v>42</v>
      </c>
    </row>
  </sheetData>
  <mergeCells count="9">
    <mergeCell ref="B38:F38"/>
    <mergeCell ref="B41:F41"/>
    <mergeCell ref="B43:F43"/>
    <mergeCell ref="A2:I2"/>
    <mergeCell ref="B4:D4"/>
    <mergeCell ref="B6:C6"/>
    <mergeCell ref="B20:E20"/>
    <mergeCell ref="B30:G30"/>
    <mergeCell ref="B34:G34"/>
  </mergeCells>
  <phoneticPr fontId="8" type="noConversion"/>
  <pageMargins left="0" right="0" top="0" bottom="0" header="0.31496062992125984" footer="0.31496062992125984"/>
  <pageSetup paperSize="9" scale="81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J50"/>
  <sheetViews>
    <sheetView view="pageBreakPreview" zoomScaleNormal="100" workbookViewId="0">
      <selection activeCell="R40" sqref="R40"/>
    </sheetView>
  </sheetViews>
  <sheetFormatPr defaultRowHeight="14.4" x14ac:dyDescent="0.3"/>
  <cols>
    <col min="1" max="1" width="5.6640625" style="7" customWidth="1"/>
    <col min="2" max="2" width="38" style="7" customWidth="1"/>
    <col min="3" max="3" width="15.109375" style="7" customWidth="1"/>
    <col min="4" max="4" width="17.88671875" style="7" customWidth="1"/>
    <col min="5" max="5" width="11" style="7" customWidth="1"/>
    <col min="6" max="6" width="9.33203125" style="7" bestFit="1" customWidth="1"/>
    <col min="7" max="7" width="10.44140625" style="7" bestFit="1" customWidth="1"/>
    <col min="8" max="9" width="9.33203125" style="7" bestFit="1" customWidth="1"/>
    <col min="10" max="10" width="9.109375" style="7"/>
  </cols>
  <sheetData>
    <row r="1" spans="1:10" ht="7.5" customHeight="1" x14ac:dyDescent="0.3"/>
    <row r="2" spans="1:10" s="54" customFormat="1" ht="19.8" x14ac:dyDescent="0.4">
      <c r="A2" s="1016" t="s">
        <v>958</v>
      </c>
      <c r="B2" s="1016"/>
      <c r="C2" s="1016"/>
      <c r="D2" s="1016"/>
      <c r="E2" s="1016"/>
      <c r="F2" s="1016"/>
      <c r="G2" s="1016"/>
      <c r="H2" s="1016"/>
      <c r="I2" s="1016"/>
      <c r="J2" s="53"/>
    </row>
    <row r="3" spans="1:10" s="54" customFormat="1" ht="11.25" customHeight="1" x14ac:dyDescent="0.4">
      <c r="A3" s="53"/>
      <c r="B3" s="53"/>
      <c r="C3" s="53"/>
      <c r="D3" s="53"/>
      <c r="E3" s="53"/>
      <c r="F3" s="53"/>
      <c r="G3" s="53"/>
      <c r="H3" s="53"/>
      <c r="I3" s="53"/>
      <c r="J3" s="53"/>
    </row>
    <row r="4" spans="1:10" s="54" customFormat="1" ht="37.5" customHeight="1" x14ac:dyDescent="0.4">
      <c r="A4" s="50" t="s">
        <v>1009</v>
      </c>
      <c r="B4" s="1017" t="s">
        <v>924</v>
      </c>
      <c r="C4" s="1017"/>
      <c r="D4" s="1017"/>
      <c r="E4" s="52">
        <f>G50</f>
        <v>49.999999999999993</v>
      </c>
      <c r="F4" s="52" t="s">
        <v>971</v>
      </c>
      <c r="G4" s="53"/>
      <c r="H4" s="53"/>
      <c r="I4" s="53"/>
      <c r="J4" s="53"/>
    </row>
    <row r="6" spans="1:10" x14ac:dyDescent="0.3">
      <c r="B6" s="1018" t="s">
        <v>932</v>
      </c>
      <c r="C6" s="1018"/>
      <c r="D6" s="10"/>
      <c r="E6" s="11">
        <f>E13+E16+E14</f>
        <v>22.33</v>
      </c>
      <c r="F6" s="12" t="s">
        <v>971</v>
      </c>
    </row>
    <row r="7" spans="1:10" ht="6" customHeight="1" x14ac:dyDescent="0.3"/>
    <row r="8" spans="1:10" ht="27.6" x14ac:dyDescent="0.3">
      <c r="B8" s="13" t="s">
        <v>929</v>
      </c>
      <c r="C8" s="14" t="s">
        <v>928</v>
      </c>
      <c r="D8" s="14" t="s">
        <v>514</v>
      </c>
      <c r="E8" s="14" t="s">
        <v>515</v>
      </c>
      <c r="F8" s="14" t="s">
        <v>962</v>
      </c>
      <c r="G8" s="14" t="s">
        <v>926</v>
      </c>
      <c r="H8" s="14" t="s">
        <v>516</v>
      </c>
      <c r="I8" s="14" t="s">
        <v>961</v>
      </c>
    </row>
    <row r="9" spans="1:10" x14ac:dyDescent="0.3">
      <c r="B9" s="17" t="s">
        <v>1101</v>
      </c>
      <c r="C9" s="16">
        <f>ЗП!C52</f>
        <v>6500</v>
      </c>
      <c r="D9" s="16">
        <f>C9*12</f>
        <v>78000</v>
      </c>
      <c r="E9" s="16">
        <f>ЗП!E52</f>
        <v>5005</v>
      </c>
      <c r="F9" s="16">
        <f>ЗП!F52</f>
        <v>2502.5</v>
      </c>
      <c r="G9" s="16">
        <f>D9+E9+F9</f>
        <v>85507.5</v>
      </c>
      <c r="H9" s="17">
        <v>1932.7</v>
      </c>
      <c r="I9" s="16">
        <f>ROUND((G9/H9)/60,2)</f>
        <v>0.74</v>
      </c>
    </row>
    <row r="10" spans="1:10" x14ac:dyDescent="0.3">
      <c r="B10" s="17" t="s">
        <v>1102</v>
      </c>
      <c r="C10" s="24">
        <f>ЗП!C53</f>
        <v>6841.4</v>
      </c>
      <c r="D10" s="24">
        <f>C10*12</f>
        <v>82096.799999999988</v>
      </c>
      <c r="E10" s="24">
        <f>ЗП!E53</f>
        <v>3414</v>
      </c>
      <c r="F10" s="24">
        <f>ЗП!F53</f>
        <v>1707</v>
      </c>
      <c r="G10" s="16">
        <f>D10+E10+F10</f>
        <v>87217.799999999988</v>
      </c>
      <c r="H10" s="17">
        <v>2002</v>
      </c>
      <c r="I10" s="16">
        <f>ROUND((G10/H10)/60,2)</f>
        <v>0.73</v>
      </c>
    </row>
    <row r="11" spans="1:10" ht="6.75" customHeight="1" x14ac:dyDescent="0.3"/>
    <row r="12" spans="1:10" x14ac:dyDescent="0.3">
      <c r="B12" s="13" t="s">
        <v>929</v>
      </c>
      <c r="C12" s="14" t="s">
        <v>961</v>
      </c>
      <c r="D12" s="14" t="s">
        <v>930</v>
      </c>
      <c r="E12" s="14" t="s">
        <v>931</v>
      </c>
    </row>
    <row r="13" spans="1:10" x14ac:dyDescent="0.3">
      <c r="B13" s="15" t="str">
        <f>B9</f>
        <v>Сестра медична</v>
      </c>
      <c r="C13" s="16">
        <f>I9</f>
        <v>0.74</v>
      </c>
      <c r="D13" s="17">
        <v>5</v>
      </c>
      <c r="E13" s="18">
        <f>ROUND(C13*D13,2)</f>
        <v>3.7</v>
      </c>
    </row>
    <row r="14" spans="1:10" x14ac:dyDescent="0.3">
      <c r="B14" s="15" t="str">
        <f>B10</f>
        <v>Молодша медична сестра</v>
      </c>
      <c r="C14" s="16">
        <f>I10</f>
        <v>0.73</v>
      </c>
      <c r="D14" s="17">
        <v>20</v>
      </c>
      <c r="E14" s="18">
        <f>ROUND(C14*D14,2)</f>
        <v>14.6</v>
      </c>
    </row>
    <row r="15" spans="1:10" ht="9" customHeight="1" x14ac:dyDescent="0.3">
      <c r="C15" s="19"/>
    </row>
    <row r="16" spans="1:10" x14ac:dyDescent="0.3">
      <c r="B16" s="17" t="s">
        <v>933</v>
      </c>
      <c r="C16" s="16">
        <f>E13+E14</f>
        <v>18.3</v>
      </c>
      <c r="D16" s="20">
        <v>0.22</v>
      </c>
      <c r="E16" s="21">
        <f>ROUND(C16*D16,2)</f>
        <v>4.03</v>
      </c>
    </row>
    <row r="18" spans="1:10" x14ac:dyDescent="0.3">
      <c r="B18" s="12" t="s">
        <v>946</v>
      </c>
      <c r="C18" s="12"/>
      <c r="D18" s="12"/>
      <c r="E18" s="12">
        <f>F25</f>
        <v>16.79</v>
      </c>
      <c r="F18" s="12" t="s">
        <v>971</v>
      </c>
    </row>
    <row r="19" spans="1:10" ht="8.25" customHeight="1" x14ac:dyDescent="0.3"/>
    <row r="20" spans="1:10" x14ac:dyDescent="0.3">
      <c r="B20" s="27" t="s">
        <v>964</v>
      </c>
      <c r="C20" s="28" t="s">
        <v>941</v>
      </c>
      <c r="D20" s="59">
        <v>1.417</v>
      </c>
      <c r="E20" s="29">
        <f>'МЕДИЧНІ М'!E11</f>
        <v>2.8</v>
      </c>
      <c r="F20" s="259">
        <f>ROUND(E20*D20,2)</f>
        <v>3.97</v>
      </c>
    </row>
    <row r="21" spans="1:10" x14ac:dyDescent="0.3">
      <c r="B21" s="27" t="s">
        <v>965</v>
      </c>
      <c r="C21" s="28" t="s">
        <v>941</v>
      </c>
      <c r="D21" s="29">
        <v>0.25</v>
      </c>
      <c r="E21" s="29">
        <f>'МЕДИЧНІ М'!E13</f>
        <v>24.6</v>
      </c>
      <c r="F21" s="259">
        <f>ROUND(E21*D21,2)</f>
        <v>6.15</v>
      </c>
    </row>
    <row r="22" spans="1:10" x14ac:dyDescent="0.3">
      <c r="B22" s="27" t="s">
        <v>940</v>
      </c>
      <c r="C22" s="28" t="s">
        <v>941</v>
      </c>
      <c r="D22" s="29">
        <v>2</v>
      </c>
      <c r="E22" s="29">
        <f>'МЕДИЧНІ М'!E8</f>
        <v>2</v>
      </c>
      <c r="F22" s="259">
        <f>ROUND(E22*D22,2)</f>
        <v>4</v>
      </c>
    </row>
    <row r="23" spans="1:10" s="6" customFormat="1" x14ac:dyDescent="0.3">
      <c r="A23" s="44"/>
      <c r="B23" s="27" t="s">
        <v>94</v>
      </c>
      <c r="C23" s="28" t="s">
        <v>941</v>
      </c>
      <c r="D23" s="29">
        <v>1.0200000000000001E-2</v>
      </c>
      <c r="E23" s="29">
        <f>'МЕДИЧНІ М'!E178</f>
        <v>75</v>
      </c>
      <c r="F23" s="259">
        <f>ROUND(E23*D23,2)</f>
        <v>0.77</v>
      </c>
      <c r="G23" s="44"/>
      <c r="H23" s="44"/>
      <c r="I23" s="44"/>
      <c r="J23" s="44"/>
    </row>
    <row r="24" spans="1:10" s="6" customFormat="1" x14ac:dyDescent="0.3">
      <c r="A24" s="44"/>
      <c r="B24" s="27" t="s">
        <v>1182</v>
      </c>
      <c r="C24" s="28" t="s">
        <v>941</v>
      </c>
      <c r="D24" s="29">
        <v>0.5</v>
      </c>
      <c r="E24" s="29">
        <f>МАТЕРІАЛИ!E5</f>
        <v>3.8</v>
      </c>
      <c r="F24" s="260">
        <f>ROUND(E24*D24,2)</f>
        <v>1.9</v>
      </c>
      <c r="G24" s="44"/>
      <c r="H24" s="44"/>
      <c r="I24" s="44"/>
      <c r="J24" s="44"/>
    </row>
    <row r="25" spans="1:10" x14ac:dyDescent="0.3">
      <c r="B25" s="1012" t="s">
        <v>945</v>
      </c>
      <c r="C25" s="1013"/>
      <c r="D25" s="1013"/>
      <c r="E25" s="1014"/>
      <c r="F25" s="113">
        <f>SUM(F20:F24)</f>
        <v>16.79</v>
      </c>
    </row>
    <row r="27" spans="1:10" x14ac:dyDescent="0.3">
      <c r="B27" s="12" t="s">
        <v>968</v>
      </c>
      <c r="C27" s="12"/>
      <c r="D27" s="12"/>
      <c r="E27" s="11">
        <f>G31+G30</f>
        <v>0</v>
      </c>
      <c r="F27" s="12" t="s">
        <v>971</v>
      </c>
    </row>
    <row r="28" spans="1:10" x14ac:dyDescent="0.3">
      <c r="B28" s="22"/>
      <c r="C28" s="22"/>
      <c r="D28" s="22"/>
      <c r="E28" s="23"/>
      <c r="F28" s="22"/>
    </row>
    <row r="29" spans="1:10" ht="27.6" x14ac:dyDescent="0.3">
      <c r="B29" s="14" t="s">
        <v>513</v>
      </c>
      <c r="C29" s="14" t="s">
        <v>969</v>
      </c>
      <c r="D29" s="14" t="s">
        <v>516</v>
      </c>
      <c r="E29" s="14" t="s">
        <v>970</v>
      </c>
      <c r="F29" s="14" t="s">
        <v>930</v>
      </c>
      <c r="G29" s="14" t="s">
        <v>961</v>
      </c>
    </row>
    <row r="30" spans="1:10" x14ac:dyDescent="0.3">
      <c r="B30" s="46" t="s">
        <v>1103</v>
      </c>
      <c r="C30" s="17">
        <f>АМОРТИЗАЦІЯ!C51</f>
        <v>329.52</v>
      </c>
      <c r="D30" s="17">
        <v>8760</v>
      </c>
      <c r="E30" s="17">
        <f>ROUND((C30/D30)/60,2)</f>
        <v>0</v>
      </c>
      <c r="F30" s="17">
        <v>24</v>
      </c>
      <c r="G30" s="16">
        <f>ROUND(E30*F30,2)</f>
        <v>0</v>
      </c>
    </row>
    <row r="31" spans="1:10" x14ac:dyDescent="0.3">
      <c r="B31" s="43" t="s">
        <v>1104</v>
      </c>
      <c r="C31" s="16">
        <f>АМОРТИЗАЦІЯ!C50</f>
        <v>0</v>
      </c>
      <c r="D31" s="17">
        <v>8760</v>
      </c>
      <c r="E31" s="17">
        <f>ROUND((C31/D31)/60,2)</f>
        <v>0</v>
      </c>
      <c r="F31" s="17">
        <v>24</v>
      </c>
      <c r="G31" s="16">
        <f>ROUND(E31*F31,2)</f>
        <v>0</v>
      </c>
      <c r="H31" s="38"/>
    </row>
    <row r="33" spans="1:10" x14ac:dyDescent="0.3">
      <c r="B33" s="12" t="s">
        <v>948</v>
      </c>
      <c r="C33" s="12"/>
      <c r="D33" s="12"/>
      <c r="E33" s="11">
        <f>G44</f>
        <v>2.5499999999999998</v>
      </c>
      <c r="F33" s="12" t="s">
        <v>971</v>
      </c>
    </row>
    <row r="34" spans="1:10" x14ac:dyDescent="0.3">
      <c r="B34" s="22"/>
      <c r="C34" s="22"/>
      <c r="D34" s="22"/>
      <c r="E34" s="23"/>
    </row>
    <row r="35" spans="1:10" ht="41.4" x14ac:dyDescent="0.3">
      <c r="B35" s="14" t="s">
        <v>948</v>
      </c>
      <c r="C35" s="14" t="s">
        <v>955</v>
      </c>
      <c r="D35" s="14" t="s">
        <v>516</v>
      </c>
      <c r="E35" s="14" t="s">
        <v>954</v>
      </c>
      <c r="F35" s="14" t="s">
        <v>930</v>
      </c>
      <c r="G35" s="14" t="s">
        <v>956</v>
      </c>
    </row>
    <row r="36" spans="1:10" x14ac:dyDescent="0.3">
      <c r="B36" s="1009" t="str">
        <f>B9</f>
        <v>Сестра медична</v>
      </c>
      <c r="C36" s="1010"/>
      <c r="D36" s="1010"/>
      <c r="E36" s="1010"/>
      <c r="F36" s="1010"/>
      <c r="G36" s="1011"/>
    </row>
    <row r="37" spans="1:10" x14ac:dyDescent="0.3">
      <c r="B37" s="17" t="s">
        <v>951</v>
      </c>
      <c r="C37" s="112">
        <f>НАКЛАДНІ!F4</f>
        <v>12188.608008565312</v>
      </c>
      <c r="D37" s="17">
        <f>H9</f>
        <v>1932.7</v>
      </c>
      <c r="E37" s="17">
        <f>ROUND((C37/D37)/60,2)</f>
        <v>0.11</v>
      </c>
      <c r="F37" s="17">
        <f>D13</f>
        <v>5</v>
      </c>
      <c r="G37" s="16">
        <f>ROUND(E37*F37,2)</f>
        <v>0.55000000000000004</v>
      </c>
    </row>
    <row r="38" spans="1:10" x14ac:dyDescent="0.3">
      <c r="B38" s="17" t="s">
        <v>952</v>
      </c>
      <c r="C38" s="112">
        <f>НАКЛАДНІ!F5</f>
        <v>53.149721627408987</v>
      </c>
      <c r="D38" s="17">
        <f>H9</f>
        <v>1932.7</v>
      </c>
      <c r="E38" s="17">
        <f>ROUND((C38/D38)/60,2)</f>
        <v>0</v>
      </c>
      <c r="F38" s="17">
        <f>D13</f>
        <v>5</v>
      </c>
      <c r="G38" s="16">
        <f>ROUND(E38*F38,2)</f>
        <v>0</v>
      </c>
    </row>
    <row r="39" spans="1:10" x14ac:dyDescent="0.3">
      <c r="B39" s="17" t="s">
        <v>953</v>
      </c>
      <c r="C39" s="112">
        <f>НАКЛАДНІ!F6</f>
        <v>374.98368308351178</v>
      </c>
      <c r="D39" s="17">
        <f>H9</f>
        <v>1932.7</v>
      </c>
      <c r="E39" s="17">
        <f>ROUND((C39/D39)/60,2)</f>
        <v>0</v>
      </c>
      <c r="F39" s="17">
        <f>D13</f>
        <v>5</v>
      </c>
      <c r="G39" s="16">
        <f>ROUND(E39*F39,2)</f>
        <v>0</v>
      </c>
    </row>
    <row r="40" spans="1:10" x14ac:dyDescent="0.3">
      <c r="B40" s="1009" t="str">
        <f>B10</f>
        <v>Молодша медична сестра</v>
      </c>
      <c r="C40" s="1010"/>
      <c r="D40" s="1010"/>
      <c r="E40" s="1010"/>
      <c r="F40" s="1010"/>
      <c r="G40" s="1011"/>
    </row>
    <row r="41" spans="1:10" x14ac:dyDescent="0.3">
      <c r="B41" s="17" t="s">
        <v>951</v>
      </c>
      <c r="C41" s="112">
        <f>C37</f>
        <v>12188.608008565312</v>
      </c>
      <c r="D41" s="17">
        <f>H10</f>
        <v>2002</v>
      </c>
      <c r="E41" s="17">
        <f>ROUND((C41/D41)/60,2)</f>
        <v>0.1</v>
      </c>
      <c r="F41" s="17">
        <f>D14</f>
        <v>20</v>
      </c>
      <c r="G41" s="16">
        <f>ROUND(E41*F41,2)</f>
        <v>2</v>
      </c>
    </row>
    <row r="42" spans="1:10" x14ac:dyDescent="0.3">
      <c r="B42" s="17" t="s">
        <v>952</v>
      </c>
      <c r="C42" s="112">
        <f>C38</f>
        <v>53.149721627408987</v>
      </c>
      <c r="D42" s="17">
        <f>H10</f>
        <v>2002</v>
      </c>
      <c r="E42" s="17">
        <f>ROUND((C42/D42)/60,2)</f>
        <v>0</v>
      </c>
      <c r="F42" s="17">
        <f>D14</f>
        <v>20</v>
      </c>
      <c r="G42" s="16">
        <f>ROUND(E42*F42,2)</f>
        <v>0</v>
      </c>
    </row>
    <row r="43" spans="1:10" x14ac:dyDescent="0.3">
      <c r="B43" s="17" t="s">
        <v>953</v>
      </c>
      <c r="C43" s="112">
        <f>C39</f>
        <v>374.98368308351178</v>
      </c>
      <c r="D43" s="17">
        <f>H10</f>
        <v>2002</v>
      </c>
      <c r="E43" s="17">
        <f>ROUND((C43/D43)/60,2)</f>
        <v>0</v>
      </c>
      <c r="F43" s="17">
        <f>D14</f>
        <v>20</v>
      </c>
      <c r="G43" s="16">
        <f>ROUND(E43*F43,2)</f>
        <v>0</v>
      </c>
    </row>
    <row r="44" spans="1:10" x14ac:dyDescent="0.3">
      <c r="B44" s="1012" t="s">
        <v>957</v>
      </c>
      <c r="C44" s="1013"/>
      <c r="D44" s="1013"/>
      <c r="E44" s="1013"/>
      <c r="F44" s="1014"/>
      <c r="G44" s="18">
        <f>SUM(G37:G43)</f>
        <v>2.5499999999999998</v>
      </c>
    </row>
    <row r="47" spans="1:10" x14ac:dyDescent="0.3">
      <c r="B47" s="1015" t="s">
        <v>959</v>
      </c>
      <c r="C47" s="1015"/>
      <c r="D47" s="1015"/>
      <c r="E47" s="1015"/>
      <c r="F47" s="1015"/>
      <c r="G47" s="35">
        <f>E6+E18+E27+E33</f>
        <v>41.669999999999995</v>
      </c>
    </row>
    <row r="48" spans="1:10" s="6" customFormat="1" x14ac:dyDescent="0.3">
      <c r="A48" s="44"/>
      <c r="B48" s="47"/>
      <c r="C48" s="47"/>
      <c r="D48" s="47"/>
      <c r="E48" s="47"/>
      <c r="F48" s="47"/>
      <c r="G48" s="48"/>
      <c r="H48" s="44"/>
      <c r="I48" s="44"/>
      <c r="J48" s="44"/>
    </row>
    <row r="49" spans="2:7" x14ac:dyDescent="0.3">
      <c r="B49" s="1049" t="s">
        <v>1178</v>
      </c>
      <c r="C49" s="1049"/>
      <c r="D49" s="1049"/>
      <c r="E49" s="1049"/>
      <c r="F49" s="1049"/>
      <c r="G49" s="290">
        <f>ROUND(G47*0.2,2)</f>
        <v>8.33</v>
      </c>
    </row>
    <row r="50" spans="2:7" x14ac:dyDescent="0.3">
      <c r="B50" s="1015" t="s">
        <v>960</v>
      </c>
      <c r="C50" s="1015"/>
      <c r="D50" s="1015"/>
      <c r="E50" s="1015"/>
      <c r="F50" s="1015"/>
      <c r="G50" s="32">
        <f>G47+G49</f>
        <v>49.999999999999993</v>
      </c>
    </row>
  </sheetData>
  <mergeCells count="10">
    <mergeCell ref="B44:F44"/>
    <mergeCell ref="B47:F47"/>
    <mergeCell ref="B50:F50"/>
    <mergeCell ref="A2:I2"/>
    <mergeCell ref="B4:D4"/>
    <mergeCell ref="B6:C6"/>
    <mergeCell ref="B25:E25"/>
    <mergeCell ref="B36:G36"/>
    <mergeCell ref="B40:G40"/>
    <mergeCell ref="B49:F49"/>
  </mergeCells>
  <phoneticPr fontId="8" type="noConversion"/>
  <pageMargins left="0" right="0" top="0" bottom="0" header="0.31496062992125984" footer="0.31496062992125984"/>
  <pageSetup paperSize="9" scale="7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O2548"/>
  <sheetViews>
    <sheetView view="pageBreakPreview" zoomScaleNormal="100" workbookViewId="0">
      <selection activeCell="A2564" sqref="A2564"/>
    </sheetView>
  </sheetViews>
  <sheetFormatPr defaultRowHeight="15.6" x14ac:dyDescent="0.3"/>
  <cols>
    <col min="2" max="2" width="12.33203125" style="670" customWidth="1"/>
    <col min="3" max="3" width="67.6640625" style="7" customWidth="1"/>
    <col min="4" max="4" width="11.6640625" style="74" bestFit="1" customWidth="1"/>
    <col min="5" max="5" width="10" style="74" bestFit="1" customWidth="1"/>
    <col min="6" max="6" width="10.109375" style="74" bestFit="1" customWidth="1"/>
    <col min="7" max="7" width="9" style="74" bestFit="1" customWidth="1"/>
    <col min="8" max="8" width="11.33203125" style="74" bestFit="1" customWidth="1"/>
    <col min="9" max="9" width="7" style="74" bestFit="1" customWidth="1"/>
    <col min="10" max="10" width="8.88671875" style="74" bestFit="1" customWidth="1"/>
    <col min="11" max="11" width="10.109375" style="114" bestFit="1" customWidth="1"/>
    <col min="12" max="12" width="94.88671875" style="114" customWidth="1"/>
    <col min="13" max="13" width="12" style="636" bestFit="1" customWidth="1"/>
    <col min="14" max="15" width="9.109375" style="7"/>
  </cols>
  <sheetData>
    <row r="2" spans="2:15" s="54" customFormat="1" ht="19.8" x14ac:dyDescent="0.4">
      <c r="B2" s="1016" t="s">
        <v>958</v>
      </c>
      <c r="C2" s="1016"/>
      <c r="D2" s="1016"/>
      <c r="E2" s="1016"/>
      <c r="F2" s="1016"/>
      <c r="G2" s="1016"/>
      <c r="H2" s="1016"/>
      <c r="I2" s="1016"/>
      <c r="J2" s="1016"/>
      <c r="K2" s="114"/>
      <c r="L2" s="114"/>
      <c r="M2" s="631"/>
      <c r="N2" s="53"/>
      <c r="O2" s="53"/>
    </row>
    <row r="4" spans="2:15" s="54" customFormat="1" ht="37.5" customHeight="1" x14ac:dyDescent="0.4">
      <c r="B4" s="669" t="s">
        <v>843</v>
      </c>
      <c r="C4" s="1017" t="s">
        <v>844</v>
      </c>
      <c r="D4" s="1017"/>
      <c r="E4" s="1017"/>
      <c r="F4" s="653">
        <f>H53</f>
        <v>28</v>
      </c>
      <c r="G4" s="296" t="s">
        <v>971</v>
      </c>
      <c r="H4" s="225"/>
      <c r="I4" s="225"/>
      <c r="J4" s="225"/>
      <c r="K4" s="621" t="s">
        <v>843</v>
      </c>
      <c r="L4" s="622" t="str">
        <f>C4</f>
        <v>Ультрафіолетове опромінення загальне</v>
      </c>
      <c r="M4" s="632">
        <f>F4</f>
        <v>28</v>
      </c>
      <c r="N4" s="7"/>
      <c r="O4" s="53"/>
    </row>
    <row r="5" spans="2:15" x14ac:dyDescent="0.3">
      <c r="K5" s="621" t="s">
        <v>845</v>
      </c>
      <c r="L5" s="622" t="str">
        <f>C57</f>
        <v>Ультрафіолетове опромінення місцеве</v>
      </c>
      <c r="M5" s="632">
        <f>F57</f>
        <v>22</v>
      </c>
    </row>
    <row r="6" spans="2:15" x14ac:dyDescent="0.3">
      <c r="C6" s="1018" t="s">
        <v>932</v>
      </c>
      <c r="D6" s="1018"/>
      <c r="E6" s="297"/>
      <c r="F6" s="298">
        <f>F13+F16+F14</f>
        <v>16.95</v>
      </c>
      <c r="G6" s="227" t="s">
        <v>971</v>
      </c>
      <c r="K6" s="621" t="s">
        <v>847</v>
      </c>
      <c r="L6" s="622" t="str">
        <f>C110</f>
        <v>Опромінення інфрачервоними променями</v>
      </c>
      <c r="M6" s="632">
        <f>F110</f>
        <v>24</v>
      </c>
    </row>
    <row r="7" spans="2:15" x14ac:dyDescent="0.3">
      <c r="K7" s="621" t="s">
        <v>849</v>
      </c>
      <c r="L7" s="623" t="str">
        <f>C163</f>
        <v>Лазеротерапія низькочастотна</v>
      </c>
      <c r="M7" s="632">
        <f>F163</f>
        <v>32</v>
      </c>
    </row>
    <row r="8" spans="2:15" ht="27.6" x14ac:dyDescent="0.3">
      <c r="C8" s="13" t="s">
        <v>929</v>
      </c>
      <c r="D8" s="14" t="s">
        <v>928</v>
      </c>
      <c r="E8" s="14" t="s">
        <v>514</v>
      </c>
      <c r="F8" s="14" t="s">
        <v>515</v>
      </c>
      <c r="G8" s="14" t="s">
        <v>962</v>
      </c>
      <c r="H8" s="14" t="s">
        <v>926</v>
      </c>
      <c r="I8" s="14" t="s">
        <v>516</v>
      </c>
      <c r="J8" s="526" t="s">
        <v>961</v>
      </c>
      <c r="K8" s="621" t="s">
        <v>851</v>
      </c>
      <c r="L8" s="624" t="str">
        <f>C217</f>
        <v>Галотерапія ( соляна шахта )  ( 30 хв. - перебування )</v>
      </c>
      <c r="M8" s="632">
        <f>F217</f>
        <v>51</v>
      </c>
    </row>
    <row r="9" spans="2:15" x14ac:dyDescent="0.3">
      <c r="C9" s="17" t="s">
        <v>1191</v>
      </c>
      <c r="D9" s="78">
        <f>ЗП!C17</f>
        <v>10799.43</v>
      </c>
      <c r="E9" s="78">
        <f>D9*12</f>
        <v>129593.16</v>
      </c>
      <c r="F9" s="78">
        <f>ЗП!E17</f>
        <v>8307.26</v>
      </c>
      <c r="G9" s="78">
        <f>F9*50%</f>
        <v>4153.63</v>
      </c>
      <c r="H9" s="78">
        <f>E9+F9+G9</f>
        <v>142054.05000000002</v>
      </c>
      <c r="I9" s="73">
        <v>1932.7</v>
      </c>
      <c r="J9" s="76">
        <f>ROUND((H9/I9)/60,2)</f>
        <v>1.23</v>
      </c>
      <c r="K9" s="565" t="s">
        <v>853</v>
      </c>
      <c r="L9" s="624" t="str">
        <f>C269</f>
        <v>Гальванізація</v>
      </c>
      <c r="M9" s="632">
        <f>F269</f>
        <v>26</v>
      </c>
      <c r="N9" s="479"/>
    </row>
    <row r="10" spans="2:15" x14ac:dyDescent="0.3">
      <c r="C10" s="17" t="s">
        <v>1197</v>
      </c>
      <c r="D10" s="78">
        <f>ЗП!C37</f>
        <v>7482.48</v>
      </c>
      <c r="E10" s="78">
        <f>D10*12</f>
        <v>89789.759999999995</v>
      </c>
      <c r="F10" s="78">
        <f>ЗП!E37</f>
        <v>5755.75</v>
      </c>
      <c r="G10" s="78">
        <f>F10*50%</f>
        <v>2877.875</v>
      </c>
      <c r="H10" s="78">
        <f>E10+F10+G10</f>
        <v>98423.384999999995</v>
      </c>
      <c r="I10" s="73">
        <v>1932.7</v>
      </c>
      <c r="J10" s="76">
        <f>ROUND((H10/I10)/60,2)</f>
        <v>0.85</v>
      </c>
      <c r="K10" s="565" t="s">
        <v>410</v>
      </c>
      <c r="L10" s="630" t="str">
        <f>C323</f>
        <v>Електрофорез лікарський з кальцієм хлоридом ( одноразовими електродами )</v>
      </c>
      <c r="M10" s="632">
        <f>F323</f>
        <v>69</v>
      </c>
      <c r="N10" s="479"/>
    </row>
    <row r="11" spans="2:15" x14ac:dyDescent="0.3">
      <c r="K11" s="565" t="s">
        <v>412</v>
      </c>
      <c r="L11" s="630" t="str">
        <f>C380</f>
        <v>Електрофорез лікарський з кальцієм хлоридом (багаторазовими електродами )</v>
      </c>
      <c r="M11" s="632">
        <f>F380</f>
        <v>45</v>
      </c>
      <c r="N11" s="479"/>
    </row>
    <row r="12" spans="2:15" ht="27.6" x14ac:dyDescent="0.3">
      <c r="C12" s="13" t="s">
        <v>929</v>
      </c>
      <c r="D12" s="14" t="s">
        <v>961</v>
      </c>
      <c r="E12" s="14" t="s">
        <v>930</v>
      </c>
      <c r="F12" s="14" t="s">
        <v>931</v>
      </c>
      <c r="K12" s="565" t="s">
        <v>414</v>
      </c>
      <c r="L12" s="630" t="str">
        <f>C437</f>
        <v>Електрофорез лікарський з нікотиновою кислотою ( одноразовими електродами )</v>
      </c>
      <c r="M12" s="632">
        <f>F437</f>
        <v>71</v>
      </c>
      <c r="N12" s="479"/>
    </row>
    <row r="13" spans="2:15" x14ac:dyDescent="0.3">
      <c r="C13" s="15" t="str">
        <f>C9</f>
        <v>Лікар-фізіотерапевт</v>
      </c>
      <c r="D13" s="78">
        <f>J9</f>
        <v>1.23</v>
      </c>
      <c r="E13" s="73">
        <v>3</v>
      </c>
      <c r="F13" s="299">
        <f>ROUND(D13*E13,2)</f>
        <v>3.69</v>
      </c>
      <c r="K13" s="565" t="s">
        <v>415</v>
      </c>
      <c r="L13" s="630" t="str">
        <f>C494</f>
        <v>Електрофорез лікарський з нікотиновою кислотою ( багаторазовими електродами )</v>
      </c>
      <c r="M13" s="632">
        <f>F494</f>
        <v>47</v>
      </c>
      <c r="N13" s="479"/>
    </row>
    <row r="14" spans="2:15" x14ac:dyDescent="0.3">
      <c r="C14" s="15" t="str">
        <f>C10</f>
        <v>Сестра медична з фізіотерапії</v>
      </c>
      <c r="D14" s="78">
        <f>J10</f>
        <v>0.85</v>
      </c>
      <c r="E14" s="73">
        <v>12</v>
      </c>
      <c r="F14" s="299">
        <f>ROUND(D14*E14,2)</f>
        <v>10.199999999999999</v>
      </c>
      <c r="K14" s="565" t="s">
        <v>416</v>
      </c>
      <c r="L14" s="630" t="str">
        <f>C551</f>
        <v>Електрофорез лікарський з новокаїном ( одноразовими електродами )</v>
      </c>
      <c r="M14" s="632">
        <f>F551</f>
        <v>69</v>
      </c>
      <c r="N14" s="479"/>
    </row>
    <row r="15" spans="2:15" x14ac:dyDescent="0.3">
      <c r="D15" s="19"/>
      <c r="K15" s="565" t="s">
        <v>417</v>
      </c>
      <c r="L15" s="630" t="str">
        <f>C608</f>
        <v>Електрофорез лікарський з новокаїном ( багаторазовими електродами )</v>
      </c>
      <c r="M15" s="632">
        <f>F608</f>
        <v>45</v>
      </c>
      <c r="N15" s="479"/>
    </row>
    <row r="16" spans="2:15" x14ac:dyDescent="0.3">
      <c r="C16" s="17" t="s">
        <v>933</v>
      </c>
      <c r="D16" s="78">
        <f>F13+F14</f>
        <v>13.889999999999999</v>
      </c>
      <c r="E16" s="300">
        <v>0.22</v>
      </c>
      <c r="F16" s="301">
        <f>ROUND(D16*E16,2)</f>
        <v>3.06</v>
      </c>
      <c r="K16" s="565" t="s">
        <v>422</v>
      </c>
      <c r="L16" s="630" t="str">
        <f>C665</f>
        <v>Електрофорез лікарський з медичною жовчю ( одноразовими електродами )</v>
      </c>
      <c r="M16" s="632">
        <f>F665</f>
        <v>70</v>
      </c>
      <c r="N16" s="479"/>
    </row>
    <row r="17" spans="2:15" x14ac:dyDescent="0.3">
      <c r="K17" s="565" t="s">
        <v>423</v>
      </c>
      <c r="L17" s="630" t="str">
        <f>C722</f>
        <v>Електрофорез лікарський з медичною жовчю ( багаторазовими електродами )</v>
      </c>
      <c r="M17" s="632">
        <f>F722</f>
        <v>46</v>
      </c>
      <c r="N17" s="479"/>
    </row>
    <row r="18" spans="2:15" x14ac:dyDescent="0.3">
      <c r="C18" s="12" t="s">
        <v>946</v>
      </c>
      <c r="D18" s="227"/>
      <c r="E18" s="227"/>
      <c r="F18" s="227">
        <f>G29</f>
        <v>9.43</v>
      </c>
      <c r="G18" s="227" t="s">
        <v>971</v>
      </c>
      <c r="K18" s="565" t="s">
        <v>424</v>
      </c>
      <c r="L18" s="630" t="str">
        <f>C779</f>
        <v>Електрофорез лікарський комір по Щербаку з магнію сульфатом ( одноразовими електродами )</v>
      </c>
      <c r="M18" s="632">
        <f>F779</f>
        <v>63</v>
      </c>
      <c r="N18" s="479"/>
    </row>
    <row r="19" spans="2:15" x14ac:dyDescent="0.3">
      <c r="K19" s="565" t="s">
        <v>425</v>
      </c>
      <c r="L19" s="630" t="str">
        <f>C836</f>
        <v>Електрофорез лікарський комір по Щербаку з магнію сульфатом ( багаторазовими електродами )</v>
      </c>
      <c r="M19" s="632">
        <f>F836</f>
        <v>39</v>
      </c>
      <c r="N19" s="479"/>
    </row>
    <row r="20" spans="2:15" s="6" customFormat="1" x14ac:dyDescent="0.3">
      <c r="B20" s="671"/>
      <c r="C20" s="37" t="s">
        <v>374</v>
      </c>
      <c r="D20" s="28" t="str">
        <f>'МЕДИЧНІ М'!D245</f>
        <v>мл</v>
      </c>
      <c r="E20" s="81">
        <v>1</v>
      </c>
      <c r="F20" s="81">
        <f>'МЕДИЧНІ М'!F245</f>
        <v>0.375</v>
      </c>
      <c r="G20" s="228">
        <f>ROUND(F20*E20,2)</f>
        <v>0.38</v>
      </c>
      <c r="H20" s="654"/>
      <c r="I20" s="654"/>
      <c r="J20" s="654"/>
      <c r="K20" s="565" t="s">
        <v>426</v>
      </c>
      <c r="L20" s="630" t="str">
        <f>C893</f>
        <v>Електрофорез лікарський комір по Щербаку з еуфіліном ( одноразовими електродами )</v>
      </c>
      <c r="M20" s="633">
        <f>F893</f>
        <v>62</v>
      </c>
      <c r="N20" s="619"/>
      <c r="O20" s="44"/>
    </row>
    <row r="21" spans="2:15" s="6" customFormat="1" x14ac:dyDescent="0.3">
      <c r="B21" s="671"/>
      <c r="C21" s="37" t="s">
        <v>373</v>
      </c>
      <c r="D21" s="28" t="str">
        <f>'МЕДИЧНІ М'!D246</f>
        <v>мл</v>
      </c>
      <c r="E21" s="81">
        <v>1</v>
      </c>
      <c r="F21" s="81">
        <f>'МЕДИЧНІ М'!F246</f>
        <v>0.28799999999999998</v>
      </c>
      <c r="G21" s="228">
        <f t="shared" ref="G21:G28" si="0">ROUND(F21*E21,2)</f>
        <v>0.28999999999999998</v>
      </c>
      <c r="H21" s="654"/>
      <c r="I21" s="654"/>
      <c r="J21" s="654"/>
      <c r="K21" s="565" t="s">
        <v>427</v>
      </c>
      <c r="L21" s="630" t="str">
        <f>C950</f>
        <v>Електрофорез лікарський комір по Щербаку з еуфіліном ( багаторазовими електродами )</v>
      </c>
      <c r="M21" s="633">
        <f>F950</f>
        <v>38</v>
      </c>
      <c r="N21" s="619"/>
      <c r="O21" s="44"/>
    </row>
    <row r="22" spans="2:15" s="6" customFormat="1" x14ac:dyDescent="0.3">
      <c r="B22" s="671"/>
      <c r="C22" s="37" t="s">
        <v>972</v>
      </c>
      <c r="D22" s="28" t="str">
        <f>'МЕДИЧНІ М'!D247</f>
        <v>г</v>
      </c>
      <c r="E22" s="81">
        <v>0.01</v>
      </c>
      <c r="F22" s="81">
        <f>'МЕДИЧНІ М'!F247</f>
        <v>6.72</v>
      </c>
      <c r="G22" s="228">
        <f t="shared" si="0"/>
        <v>7.0000000000000007E-2</v>
      </c>
      <c r="H22" s="654"/>
      <c r="I22" s="654"/>
      <c r="J22" s="654"/>
      <c r="K22" s="565" t="s">
        <v>428</v>
      </c>
      <c r="L22" s="630" t="str">
        <f>C1007</f>
        <v>Електрофорез лікарський з лідазою ( одноразовими електродами )</v>
      </c>
      <c r="M22" s="633">
        <f>F1007</f>
        <v>87</v>
      </c>
      <c r="N22" s="619"/>
      <c r="O22" s="44"/>
    </row>
    <row r="23" spans="2:15" s="6" customFormat="1" x14ac:dyDescent="0.3">
      <c r="B23" s="671"/>
      <c r="C23" s="37" t="s">
        <v>1124</v>
      </c>
      <c r="D23" s="28" t="str">
        <f>'МЕДИЧНІ М'!D248</f>
        <v>г</v>
      </c>
      <c r="E23" s="81">
        <v>0.5</v>
      </c>
      <c r="F23" s="81">
        <f>'МЕДИЧНІ М'!F248</f>
        <v>0.5</v>
      </c>
      <c r="G23" s="228">
        <f t="shared" si="0"/>
        <v>0.25</v>
      </c>
      <c r="H23" s="654"/>
      <c r="I23" s="654"/>
      <c r="J23" s="654"/>
      <c r="K23" s="565" t="s">
        <v>429</v>
      </c>
      <c r="L23" s="630" t="str">
        <f>C1064</f>
        <v>Електрофорез лікарський з лідазою ( багаторазовими електродами )</v>
      </c>
      <c r="M23" s="633">
        <f>F1064</f>
        <v>63</v>
      </c>
      <c r="N23" s="44"/>
      <c r="O23" s="44"/>
    </row>
    <row r="24" spans="2:15" s="6" customFormat="1" x14ac:dyDescent="0.3">
      <c r="B24" s="671"/>
      <c r="C24" s="37" t="s">
        <v>372</v>
      </c>
      <c r="D24" s="28" t="str">
        <f>'МЕДИЧНІ М'!D249</f>
        <v>шт</v>
      </c>
      <c r="E24" s="81">
        <v>1</v>
      </c>
      <c r="F24" s="81">
        <f>'МЕДИЧНІ М'!F249</f>
        <v>2</v>
      </c>
      <c r="G24" s="226">
        <f t="shared" si="0"/>
        <v>2</v>
      </c>
      <c r="H24" s="654"/>
      <c r="I24" s="654"/>
      <c r="J24" s="654"/>
      <c r="K24" s="565" t="s">
        <v>430</v>
      </c>
      <c r="L24" s="630" t="str">
        <f>C1121</f>
        <v>Електрофорез лікарський з диклоберлом ( одноразовими електродами )</v>
      </c>
      <c r="M24" s="633">
        <f>F1121</f>
        <v>91</v>
      </c>
      <c r="N24" s="44"/>
      <c r="O24" s="44"/>
    </row>
    <row r="25" spans="2:15" s="6" customFormat="1" x14ac:dyDescent="0.3">
      <c r="B25" s="671"/>
      <c r="C25" s="37" t="s">
        <v>375</v>
      </c>
      <c r="D25" s="28" t="str">
        <f>'МЕДИЧНІ М'!D250</f>
        <v>мл</v>
      </c>
      <c r="E25" s="81">
        <v>1</v>
      </c>
      <c r="F25" s="81">
        <f>'МЕДИЧНІ М'!F250</f>
        <v>0.19600000000000001</v>
      </c>
      <c r="G25" s="228">
        <f t="shared" si="0"/>
        <v>0.2</v>
      </c>
      <c r="H25" s="654"/>
      <c r="I25" s="654"/>
      <c r="J25" s="654"/>
      <c r="K25" s="565" t="s">
        <v>431</v>
      </c>
      <c r="L25" s="630" t="str">
        <f>C1178</f>
        <v>Електрофорез лікарський з диклоберлом ( багаторазовими електродами )</v>
      </c>
      <c r="M25" s="633">
        <f>F1178</f>
        <v>67</v>
      </c>
      <c r="N25" s="44"/>
      <c r="O25" s="44"/>
    </row>
    <row r="26" spans="2:15" s="6" customFormat="1" x14ac:dyDescent="0.3">
      <c r="B26" s="671"/>
      <c r="C26" s="37" t="s">
        <v>964</v>
      </c>
      <c r="D26" s="28" t="str">
        <f>'МЕДИЧНІ М'!D251</f>
        <v>пара</v>
      </c>
      <c r="E26" s="81">
        <v>0.1</v>
      </c>
      <c r="F26" s="81">
        <f>'МЕДИЧНІ М'!F251</f>
        <v>7.39</v>
      </c>
      <c r="G26" s="228">
        <f t="shared" si="0"/>
        <v>0.74</v>
      </c>
      <c r="H26" s="654"/>
      <c r="I26" s="654"/>
      <c r="J26" s="654"/>
      <c r="K26" s="565" t="s">
        <v>432</v>
      </c>
      <c r="L26" s="630" t="str">
        <f>C1235</f>
        <v>Електрофорез лікарський з диклофенаком ( одноразовими електродами )</v>
      </c>
      <c r="M26" s="633">
        <f>F1235</f>
        <v>70</v>
      </c>
      <c r="N26" s="44"/>
      <c r="O26" s="44"/>
    </row>
    <row r="27" spans="2:15" s="6" customFormat="1" x14ac:dyDescent="0.3">
      <c r="B27" s="671"/>
      <c r="C27" s="37" t="s">
        <v>376</v>
      </c>
      <c r="D27" s="28" t="str">
        <f>'МЕДИЧНІ М'!D252</f>
        <v>шт</v>
      </c>
      <c r="E27" s="81">
        <v>0.3</v>
      </c>
      <c r="F27" s="81">
        <f>'МЕДИЧНІ М'!F252</f>
        <v>17.5</v>
      </c>
      <c r="G27" s="228">
        <f t="shared" si="0"/>
        <v>5.25</v>
      </c>
      <c r="H27" s="654"/>
      <c r="I27" s="654"/>
      <c r="J27" s="654"/>
      <c r="K27" s="565" t="s">
        <v>433</v>
      </c>
      <c r="L27" s="630" t="str">
        <f>C1292</f>
        <v>Електрофорез лікарський з диклофенаком ( багаторазовими електродами )</v>
      </c>
      <c r="M27" s="633">
        <f>F1292</f>
        <v>46</v>
      </c>
      <c r="N27" s="44"/>
      <c r="O27" s="44"/>
    </row>
    <row r="28" spans="2:15" s="6" customFormat="1" x14ac:dyDescent="0.3">
      <c r="B28" s="671"/>
      <c r="C28" s="37" t="s">
        <v>942</v>
      </c>
      <c r="D28" s="28" t="str">
        <f>'МЕДИЧНІ М'!D253</f>
        <v>фл/гр.</v>
      </c>
      <c r="E28" s="81">
        <v>0.01</v>
      </c>
      <c r="F28" s="81">
        <f>'МЕДИЧНІ М'!F253</f>
        <v>24.6</v>
      </c>
      <c r="G28" s="228">
        <f t="shared" si="0"/>
        <v>0.25</v>
      </c>
      <c r="H28" s="654"/>
      <c r="I28" s="654"/>
      <c r="J28" s="654"/>
      <c r="K28" s="565" t="s">
        <v>855</v>
      </c>
      <c r="L28" s="624" t="str">
        <f>C1349</f>
        <v>Крізшкірна електронейростимуляція одноразовими електродами</v>
      </c>
      <c r="M28" s="634">
        <f>F1349</f>
        <v>59</v>
      </c>
      <c r="N28" s="44"/>
      <c r="O28" s="44"/>
    </row>
    <row r="29" spans="2:15" x14ac:dyDescent="0.3">
      <c r="C29" s="1019" t="s">
        <v>945</v>
      </c>
      <c r="D29" s="1019"/>
      <c r="E29" s="1019"/>
      <c r="F29" s="1019"/>
      <c r="G29" s="332">
        <f>SUM(G20:G28)</f>
        <v>9.43</v>
      </c>
      <c r="K29" s="565" t="s">
        <v>385</v>
      </c>
      <c r="L29" s="624" t="str">
        <f>C1405</f>
        <v>Крізшкірна електронейростимуляція багаторазовими електродами</v>
      </c>
      <c r="M29" s="635">
        <f>F1405</f>
        <v>35</v>
      </c>
    </row>
    <row r="30" spans="2:15" x14ac:dyDescent="0.3">
      <c r="K30" s="565" t="s">
        <v>857</v>
      </c>
      <c r="L30" s="624" t="str">
        <f>C1460</f>
        <v>Нервово-мязова електростимуляція одноразовими електродами</v>
      </c>
      <c r="M30" s="635">
        <f>F1460</f>
        <v>59</v>
      </c>
    </row>
    <row r="31" spans="2:15" x14ac:dyDescent="0.3">
      <c r="C31" s="12" t="s">
        <v>968</v>
      </c>
      <c r="D31" s="227"/>
      <c r="E31" s="227"/>
      <c r="F31" s="298">
        <f>H34</f>
        <v>0.12</v>
      </c>
      <c r="G31" s="227" t="s">
        <v>971</v>
      </c>
      <c r="K31" s="565" t="s">
        <v>386</v>
      </c>
      <c r="L31" s="625" t="str">
        <f>C1515</f>
        <v>Нервово-мязова електростимуляція багаторазовими електродами</v>
      </c>
      <c r="M31" s="635">
        <f>F1515</f>
        <v>35</v>
      </c>
    </row>
    <row r="32" spans="2:15" x14ac:dyDescent="0.3">
      <c r="C32" s="22"/>
      <c r="D32" s="36"/>
      <c r="E32" s="36"/>
      <c r="F32" s="302"/>
      <c r="G32" s="36"/>
      <c r="K32" s="565" t="s">
        <v>859</v>
      </c>
      <c r="L32" s="624" t="str">
        <f>C1570</f>
        <v>Аерозольтерапія індивідуальна (без вартості медичних препаратів)</v>
      </c>
      <c r="M32" s="635">
        <f>F1570</f>
        <v>26</v>
      </c>
    </row>
    <row r="33" spans="3:13" ht="27.6" x14ac:dyDescent="0.3">
      <c r="C33" s="14" t="s">
        <v>513</v>
      </c>
      <c r="D33" s="14" t="s">
        <v>969</v>
      </c>
      <c r="E33" s="14" t="s">
        <v>516</v>
      </c>
      <c r="F33" s="14" t="s">
        <v>970</v>
      </c>
      <c r="G33" s="14" t="s">
        <v>930</v>
      </c>
      <c r="H33" s="14" t="s">
        <v>961</v>
      </c>
      <c r="K33" s="565" t="s">
        <v>390</v>
      </c>
      <c r="L33" s="625" t="str">
        <f>C1623</f>
        <v>Аерозольтерапія індивідуальна (з декасаном)</v>
      </c>
      <c r="M33" s="635">
        <f>F1623</f>
        <v>42</v>
      </c>
    </row>
    <row r="34" spans="3:13" x14ac:dyDescent="0.3">
      <c r="C34" s="17" t="s">
        <v>1107</v>
      </c>
      <c r="D34" s="73">
        <f>АМОРТИЗАЦІЯ!C55</f>
        <v>7000</v>
      </c>
      <c r="E34" s="73">
        <v>12562.55</v>
      </c>
      <c r="F34" s="73">
        <f>ROUND((D34/E34)/60,2)</f>
        <v>0.01</v>
      </c>
      <c r="G34" s="73">
        <f>E14</f>
        <v>12</v>
      </c>
      <c r="H34" s="78">
        <f>ROUND(F34*G34,2)</f>
        <v>0.12</v>
      </c>
      <c r="I34" s="333"/>
      <c r="K34" s="565" t="s">
        <v>391</v>
      </c>
      <c r="L34" s="625" t="str">
        <f>C1677</f>
        <v>Аерозольтерапія індивідуальна (з небутамолом)</v>
      </c>
      <c r="M34" s="635">
        <f>F1677</f>
        <v>38</v>
      </c>
    </row>
    <row r="35" spans="3:13" x14ac:dyDescent="0.3">
      <c r="K35" s="565" t="s">
        <v>392</v>
      </c>
      <c r="L35" s="625" t="str">
        <f>C1731</f>
        <v>Аерозольтерапія індивідуальна (з пульмікортом) доросла</v>
      </c>
      <c r="M35" s="635">
        <f>F1731</f>
        <v>58</v>
      </c>
    </row>
    <row r="36" spans="3:13" x14ac:dyDescent="0.3">
      <c r="C36" s="12" t="s">
        <v>948</v>
      </c>
      <c r="D36" s="227"/>
      <c r="E36" s="227"/>
      <c r="F36" s="298">
        <f>H49</f>
        <v>1.8000000000000003</v>
      </c>
      <c r="G36" s="227" t="s">
        <v>971</v>
      </c>
      <c r="K36" s="565" t="s">
        <v>393</v>
      </c>
      <c r="L36" s="625" t="str">
        <f>C1785</f>
        <v>Аерозольтерапія індивідуальна (з пульмікортом) дитяча</v>
      </c>
      <c r="M36" s="635">
        <f>F1785</f>
        <v>58</v>
      </c>
    </row>
    <row r="37" spans="3:13" x14ac:dyDescent="0.3">
      <c r="C37" s="22"/>
      <c r="D37" s="36"/>
      <c r="E37" s="36"/>
      <c r="F37" s="302"/>
      <c r="K37" s="565" t="s">
        <v>394</v>
      </c>
      <c r="L37" s="625" t="str">
        <f>C1839</f>
        <v>Аерозольтерапія індивідуальна з протинабряковою сумішшю</v>
      </c>
      <c r="M37" s="635">
        <f>F1839</f>
        <v>62</v>
      </c>
    </row>
    <row r="38" spans="3:13" ht="41.4" x14ac:dyDescent="0.3">
      <c r="C38" s="14" t="s">
        <v>948</v>
      </c>
      <c r="D38" s="14" t="s">
        <v>955</v>
      </c>
      <c r="E38" s="14" t="s">
        <v>516</v>
      </c>
      <c r="F38" s="14" t="s">
        <v>954</v>
      </c>
      <c r="G38" s="14" t="s">
        <v>930</v>
      </c>
      <c r="H38" s="14" t="s">
        <v>956</v>
      </c>
      <c r="K38" s="565" t="s">
        <v>861</v>
      </c>
      <c r="L38" s="624" t="str">
        <f>C1899</f>
        <v>Магнітотерапія (низькочастотна)</v>
      </c>
      <c r="M38" s="635">
        <f>F1899</f>
        <v>36</v>
      </c>
    </row>
    <row r="39" spans="3:13" x14ac:dyDescent="0.3">
      <c r="C39" s="1009" t="str">
        <f>C9</f>
        <v>Лікар-фізіотерапевт</v>
      </c>
      <c r="D39" s="1010"/>
      <c r="E39" s="1010"/>
      <c r="F39" s="1010"/>
      <c r="G39" s="1010"/>
      <c r="H39" s="1011"/>
      <c r="K39" s="565" t="s">
        <v>863</v>
      </c>
      <c r="L39" s="624" t="str">
        <f>C1954</f>
        <v>Синусоїдальні модульовані струми (ампліпульстерапія) (одноразовими електродами )</v>
      </c>
      <c r="M39" s="635">
        <f>F1954</f>
        <v>60</v>
      </c>
    </row>
    <row r="40" spans="3:13" x14ac:dyDescent="0.3">
      <c r="C40" s="17" t="s">
        <v>951</v>
      </c>
      <c r="D40" s="221">
        <f>НАКЛАДНІ!F4</f>
        <v>12188.608008565312</v>
      </c>
      <c r="E40" s="73">
        <f>I9</f>
        <v>1932.7</v>
      </c>
      <c r="F40" s="73">
        <f>ROUND((D40/E40)/60,2)</f>
        <v>0.11</v>
      </c>
      <c r="G40" s="73">
        <f>E13</f>
        <v>3</v>
      </c>
      <c r="H40" s="78">
        <f>ROUND(F40*G40,2)</f>
        <v>0.33</v>
      </c>
      <c r="K40" s="565" t="s">
        <v>402</v>
      </c>
      <c r="L40" s="626" t="str">
        <f>C2008</f>
        <v>Синусоїдальні модульовані струми (ампліпульстерапія) (багаторазовими електродами )</v>
      </c>
      <c r="M40" s="635">
        <f>F2008</f>
        <v>36</v>
      </c>
    </row>
    <row r="41" spans="3:13" x14ac:dyDescent="0.3">
      <c r="C41" s="17" t="s">
        <v>952</v>
      </c>
      <c r="D41" s="221">
        <f>НАКЛАДНІ!F5</f>
        <v>53.149721627408987</v>
      </c>
      <c r="E41" s="73">
        <f>I9</f>
        <v>1932.7</v>
      </c>
      <c r="F41" s="73">
        <f>ROUND((D41/E41)/60,2)</f>
        <v>0</v>
      </c>
      <c r="G41" s="73">
        <f>E13</f>
        <v>3</v>
      </c>
      <c r="H41" s="78">
        <f>ROUND(F41*G41,2)</f>
        <v>0</v>
      </c>
      <c r="K41" s="565" t="s">
        <v>865</v>
      </c>
      <c r="L41" s="626" t="str">
        <f>C2062</f>
        <v>Дарсонвалізація</v>
      </c>
      <c r="M41" s="635">
        <f>F2062</f>
        <v>26</v>
      </c>
    </row>
    <row r="42" spans="3:13" x14ac:dyDescent="0.3">
      <c r="C42" s="17" t="s">
        <v>953</v>
      </c>
      <c r="D42" s="221">
        <f>НАКЛАДНІ!F6</f>
        <v>374.98368308351178</v>
      </c>
      <c r="E42" s="73">
        <f>I9</f>
        <v>1932.7</v>
      </c>
      <c r="F42" s="73">
        <f>ROUND((D42/E42)/60,2)</f>
        <v>0</v>
      </c>
      <c r="G42" s="73">
        <f>E13</f>
        <v>3</v>
      </c>
      <c r="H42" s="78">
        <f>ROUND(F42*G42,2)</f>
        <v>0</v>
      </c>
      <c r="K42" s="565" t="s">
        <v>867</v>
      </c>
      <c r="L42" s="626" t="str">
        <f>C2116</f>
        <v>Мікрохвильова терапія</v>
      </c>
      <c r="M42" s="635">
        <f>F2116</f>
        <v>32</v>
      </c>
    </row>
    <row r="43" spans="3:13" x14ac:dyDescent="0.3">
      <c r="C43" s="17" t="s">
        <v>1109</v>
      </c>
      <c r="D43" s="221">
        <f>НАКЛАДНІ!F7</f>
        <v>1686.0389293361886</v>
      </c>
      <c r="E43" s="73">
        <f>I9</f>
        <v>1932.7</v>
      </c>
      <c r="F43" s="73">
        <f>ROUND((D43/E43)/60,2)</f>
        <v>0.01</v>
      </c>
      <c r="G43" s="73">
        <f>E13</f>
        <v>3</v>
      </c>
      <c r="H43" s="78">
        <f>ROUND(F43*G43,2)</f>
        <v>0.03</v>
      </c>
      <c r="K43" s="565" t="s">
        <v>869</v>
      </c>
      <c r="L43" s="626" t="str">
        <f>C2171</f>
        <v>Ультрависокочастотна терапія</v>
      </c>
      <c r="M43" s="635">
        <f>F2171</f>
        <v>31</v>
      </c>
    </row>
    <row r="44" spans="3:13" x14ac:dyDescent="0.3">
      <c r="C44" s="1009" t="str">
        <f>C10</f>
        <v>Сестра медична з фізіотерапії</v>
      </c>
      <c r="D44" s="1010"/>
      <c r="E44" s="1010"/>
      <c r="F44" s="1010"/>
      <c r="G44" s="1010"/>
      <c r="H44" s="1011"/>
      <c r="K44" s="565" t="s">
        <v>871</v>
      </c>
      <c r="L44" s="626" t="str">
        <f>C2225</f>
        <v>Діадинамічні струми (одноразовими електродами )</v>
      </c>
      <c r="M44" s="635">
        <f>F2225</f>
        <v>60</v>
      </c>
    </row>
    <row r="45" spans="3:13" x14ac:dyDescent="0.3">
      <c r="C45" s="17" t="s">
        <v>951</v>
      </c>
      <c r="D45" s="221">
        <f>D40</f>
        <v>12188.608008565312</v>
      </c>
      <c r="E45" s="73">
        <f>I10</f>
        <v>1932.7</v>
      </c>
      <c r="F45" s="73">
        <f>ROUND((D45/E45)/60,2)</f>
        <v>0.11</v>
      </c>
      <c r="G45" s="73">
        <f>E14</f>
        <v>12</v>
      </c>
      <c r="H45" s="78">
        <f>ROUND(F45*G45,2)</f>
        <v>1.32</v>
      </c>
      <c r="K45" s="565" t="s">
        <v>406</v>
      </c>
      <c r="L45" s="624" t="str">
        <f>C2280</f>
        <v>Діадинамічні струми (багаторазовими електродами )</v>
      </c>
      <c r="M45" s="635">
        <f>F2280</f>
        <v>35</v>
      </c>
    </row>
    <row r="46" spans="3:13" x14ac:dyDescent="0.3">
      <c r="C46" s="17" t="s">
        <v>952</v>
      </c>
      <c r="D46" s="221">
        <f>D41</f>
        <v>53.149721627408987</v>
      </c>
      <c r="E46" s="73">
        <f>I10</f>
        <v>1932.7</v>
      </c>
      <c r="F46" s="73">
        <f>ROUND((D46/E46)/60,2)</f>
        <v>0</v>
      </c>
      <c r="G46" s="73">
        <f>E14</f>
        <v>12</v>
      </c>
      <c r="H46" s="78">
        <f>ROUND(F46*G46,2)</f>
        <v>0</v>
      </c>
      <c r="K46" s="627" t="s">
        <v>873</v>
      </c>
      <c r="L46" s="628" t="str">
        <f>C2335</f>
        <v>Теплолікування</v>
      </c>
      <c r="M46" s="635">
        <f>F2335</f>
        <v>62</v>
      </c>
    </row>
    <row r="47" spans="3:13" x14ac:dyDescent="0.3">
      <c r="C47" s="17" t="s">
        <v>953</v>
      </c>
      <c r="D47" s="221">
        <f>D42</f>
        <v>374.98368308351178</v>
      </c>
      <c r="E47" s="73">
        <f>I10</f>
        <v>1932.7</v>
      </c>
      <c r="F47" s="73">
        <f>ROUND((D47/E47)/60,2)</f>
        <v>0</v>
      </c>
      <c r="G47" s="73">
        <f>E14</f>
        <v>12</v>
      </c>
      <c r="H47" s="78">
        <f>ROUND(F47*G47,2)</f>
        <v>0</v>
      </c>
      <c r="K47" s="627" t="s">
        <v>875</v>
      </c>
      <c r="L47" s="629" t="str">
        <f>C2391</f>
        <v>Ультразвукова терапія</v>
      </c>
      <c r="M47" s="635">
        <f>F2391</f>
        <v>33</v>
      </c>
    </row>
    <row r="48" spans="3:13" x14ac:dyDescent="0.3">
      <c r="C48" s="17" t="s">
        <v>1109</v>
      </c>
      <c r="D48" s="221">
        <f>D43</f>
        <v>1686.0389293361886</v>
      </c>
      <c r="E48" s="73">
        <f>I9</f>
        <v>1932.7</v>
      </c>
      <c r="F48" s="73">
        <f>ROUND((D48/E48)/60,2)</f>
        <v>0.01</v>
      </c>
      <c r="G48" s="73">
        <f>E14</f>
        <v>12</v>
      </c>
      <c r="H48" s="78">
        <f>ROUND(F48*G48,2)</f>
        <v>0.12</v>
      </c>
      <c r="K48" s="627" t="s">
        <v>877</v>
      </c>
      <c r="L48" s="629" t="str">
        <f>C2446</f>
        <v>Ультрафонофорез</v>
      </c>
      <c r="M48" s="635">
        <f>F2446</f>
        <v>37</v>
      </c>
    </row>
    <row r="49" spans="2:15" x14ac:dyDescent="0.3">
      <c r="C49" s="1012" t="s">
        <v>957</v>
      </c>
      <c r="D49" s="1013"/>
      <c r="E49" s="1013"/>
      <c r="F49" s="1013"/>
      <c r="G49" s="1014"/>
      <c r="H49" s="299">
        <f>SUM(H40:H48)</f>
        <v>1.8000000000000003</v>
      </c>
      <c r="K49" s="627" t="s">
        <v>879</v>
      </c>
      <c r="L49" s="628" t="str">
        <f>C2501</f>
        <v>Галотерапія (соляна шахта ) ( 60 хв. - перебування )</v>
      </c>
      <c r="M49" s="635">
        <f>F2501</f>
        <v>86</v>
      </c>
    </row>
    <row r="50" spans="2:15" x14ac:dyDescent="0.3">
      <c r="K50" s="627"/>
      <c r="L50" s="625"/>
      <c r="M50" s="635"/>
    </row>
    <row r="51" spans="2:15" x14ac:dyDescent="0.3">
      <c r="C51" s="1015" t="s">
        <v>959</v>
      </c>
      <c r="D51" s="1015"/>
      <c r="E51" s="1015"/>
      <c r="F51" s="1015"/>
      <c r="G51" s="1015"/>
      <c r="H51" s="334">
        <f>F6+F18+F36+F31</f>
        <v>28.3</v>
      </c>
    </row>
    <row r="52" spans="2:15" x14ac:dyDescent="0.3">
      <c r="C52" s="33"/>
      <c r="D52" s="33"/>
      <c r="E52" s="33"/>
      <c r="F52" s="33"/>
      <c r="G52" s="33"/>
      <c r="H52" s="335"/>
    </row>
    <row r="53" spans="2:15" x14ac:dyDescent="0.3">
      <c r="C53" s="1015" t="s">
        <v>960</v>
      </c>
      <c r="D53" s="1015"/>
      <c r="E53" s="1015"/>
      <c r="F53" s="1015"/>
      <c r="G53" s="1015"/>
      <c r="H53" s="334">
        <f>ROUND(H51,0)</f>
        <v>28</v>
      </c>
    </row>
    <row r="55" spans="2:15" s="54" customFormat="1" ht="19.8" x14ac:dyDescent="0.4">
      <c r="B55" s="1016" t="s">
        <v>958</v>
      </c>
      <c r="C55" s="1016"/>
      <c r="D55" s="1016"/>
      <c r="E55" s="1016"/>
      <c r="F55" s="1016"/>
      <c r="G55" s="1016"/>
      <c r="H55" s="1016"/>
      <c r="I55" s="1016"/>
      <c r="J55" s="1016"/>
      <c r="K55" s="115"/>
      <c r="L55" s="115"/>
      <c r="M55" s="636"/>
      <c r="N55" s="7"/>
      <c r="O55" s="53"/>
    </row>
    <row r="56" spans="2:15" x14ac:dyDescent="0.3">
      <c r="K56" s="115"/>
      <c r="L56" s="620"/>
    </row>
    <row r="57" spans="2:15" s="54" customFormat="1" ht="36" customHeight="1" x14ac:dyDescent="0.4">
      <c r="B57" s="669" t="s">
        <v>845</v>
      </c>
      <c r="C57" s="1017" t="s">
        <v>846</v>
      </c>
      <c r="D57" s="1017"/>
      <c r="E57" s="1017"/>
      <c r="F57" s="653">
        <f>H106</f>
        <v>22</v>
      </c>
      <c r="G57" s="296" t="s">
        <v>971</v>
      </c>
      <c r="H57" s="225"/>
      <c r="I57" s="225"/>
      <c r="J57" s="225"/>
      <c r="K57" s="115"/>
      <c r="L57" s="620"/>
      <c r="M57" s="636"/>
      <c r="N57" s="7"/>
      <c r="O57" s="53"/>
    </row>
    <row r="58" spans="2:15" x14ac:dyDescent="0.3">
      <c r="K58" s="115"/>
      <c r="L58" s="620"/>
    </row>
    <row r="59" spans="2:15" x14ac:dyDescent="0.3">
      <c r="C59" s="1018" t="s">
        <v>932</v>
      </c>
      <c r="D59" s="1018"/>
      <c r="E59" s="297"/>
      <c r="F59" s="298">
        <f>F66+F69+F67</f>
        <v>11.760000000000002</v>
      </c>
      <c r="G59" s="227" t="s">
        <v>971</v>
      </c>
      <c r="K59" s="115"/>
      <c r="L59" s="620"/>
    </row>
    <row r="60" spans="2:15" x14ac:dyDescent="0.3">
      <c r="K60" s="115"/>
      <c r="L60" s="620"/>
    </row>
    <row r="61" spans="2:15" ht="27.6" x14ac:dyDescent="0.3">
      <c r="C61" s="13" t="s">
        <v>929</v>
      </c>
      <c r="D61" s="14" t="s">
        <v>928</v>
      </c>
      <c r="E61" s="14" t="s">
        <v>514</v>
      </c>
      <c r="F61" s="14" t="s">
        <v>515</v>
      </c>
      <c r="G61" s="14" t="s">
        <v>962</v>
      </c>
      <c r="H61" s="14" t="s">
        <v>926</v>
      </c>
      <c r="I61" s="14" t="s">
        <v>516</v>
      </c>
      <c r="J61" s="14" t="s">
        <v>961</v>
      </c>
      <c r="K61" s="115"/>
      <c r="L61" s="620"/>
    </row>
    <row r="62" spans="2:15" x14ac:dyDescent="0.3">
      <c r="C62" s="17" t="str">
        <f>C9</f>
        <v>Лікар-фізіотерапевт</v>
      </c>
      <c r="D62" s="78">
        <f>D9</f>
        <v>10799.43</v>
      </c>
      <c r="E62" s="78">
        <f>D62*12</f>
        <v>129593.16</v>
      </c>
      <c r="F62" s="78">
        <f>F9</f>
        <v>8307.26</v>
      </c>
      <c r="G62" s="78">
        <f>G9</f>
        <v>4153.63</v>
      </c>
      <c r="H62" s="78">
        <f>E62+F62+G62</f>
        <v>142054.05000000002</v>
      </c>
      <c r="I62" s="73">
        <v>1932.7</v>
      </c>
      <c r="J62" s="78">
        <f>ROUND((H62/I62)/60,2)</f>
        <v>1.23</v>
      </c>
      <c r="K62" s="115"/>
      <c r="L62" s="620"/>
    </row>
    <row r="63" spans="2:15" x14ac:dyDescent="0.3">
      <c r="C63" s="17" t="str">
        <f>C10</f>
        <v>Сестра медична з фізіотерапії</v>
      </c>
      <c r="D63" s="78">
        <f>D10</f>
        <v>7482.48</v>
      </c>
      <c r="E63" s="78">
        <f>D63*12</f>
        <v>89789.759999999995</v>
      </c>
      <c r="F63" s="78">
        <f>F10</f>
        <v>5755.75</v>
      </c>
      <c r="G63" s="78">
        <f>G10</f>
        <v>2877.875</v>
      </c>
      <c r="H63" s="78">
        <f>E63+F63+G63</f>
        <v>98423.384999999995</v>
      </c>
      <c r="I63" s="73">
        <v>1932.7</v>
      </c>
      <c r="J63" s="78">
        <f>ROUND((H63/I63)/60,2)</f>
        <v>0.85</v>
      </c>
      <c r="K63" s="115"/>
      <c r="L63" s="620"/>
    </row>
    <row r="64" spans="2:15" x14ac:dyDescent="0.3">
      <c r="K64" s="115"/>
      <c r="L64" s="620"/>
    </row>
    <row r="65" spans="2:15" ht="27.6" x14ac:dyDescent="0.3">
      <c r="C65" s="13" t="s">
        <v>929</v>
      </c>
      <c r="D65" s="14" t="s">
        <v>961</v>
      </c>
      <c r="E65" s="14" t="s">
        <v>930</v>
      </c>
      <c r="F65" s="14" t="s">
        <v>931</v>
      </c>
      <c r="K65" s="115"/>
      <c r="L65" s="620"/>
    </row>
    <row r="66" spans="2:15" x14ac:dyDescent="0.3">
      <c r="C66" s="15" t="str">
        <f>C62</f>
        <v>Лікар-фізіотерапевт</v>
      </c>
      <c r="D66" s="78">
        <f>J62</f>
        <v>1.23</v>
      </c>
      <c r="E66" s="73">
        <v>3</v>
      </c>
      <c r="F66" s="299">
        <f>ROUND(D66*E66,2)</f>
        <v>3.69</v>
      </c>
      <c r="K66" s="115"/>
      <c r="L66" s="620"/>
    </row>
    <row r="67" spans="2:15" x14ac:dyDescent="0.3">
      <c r="C67" s="15" t="str">
        <f>C63</f>
        <v>Сестра медична з фізіотерапії</v>
      </c>
      <c r="D67" s="78">
        <f>J63</f>
        <v>0.85</v>
      </c>
      <c r="E67" s="73">
        <v>7</v>
      </c>
      <c r="F67" s="299">
        <f>ROUND(D67*E67,2)</f>
        <v>5.95</v>
      </c>
      <c r="K67" s="115"/>
    </row>
    <row r="68" spans="2:15" x14ac:dyDescent="0.3">
      <c r="D68" s="19"/>
      <c r="K68" s="115"/>
    </row>
    <row r="69" spans="2:15" x14ac:dyDescent="0.3">
      <c r="C69" s="17" t="s">
        <v>933</v>
      </c>
      <c r="D69" s="78">
        <f>F66+F67</f>
        <v>9.64</v>
      </c>
      <c r="E69" s="300">
        <v>0.22</v>
      </c>
      <c r="F69" s="301">
        <f>ROUND(D69*E69,2)</f>
        <v>2.12</v>
      </c>
      <c r="K69" s="115"/>
    </row>
    <row r="70" spans="2:15" x14ac:dyDescent="0.3">
      <c r="K70" s="115"/>
    </row>
    <row r="71" spans="2:15" x14ac:dyDescent="0.3">
      <c r="C71" s="12" t="s">
        <v>946</v>
      </c>
      <c r="D71" s="227"/>
      <c r="E71" s="227"/>
      <c r="F71" s="227">
        <f>G82</f>
        <v>9.43</v>
      </c>
      <c r="G71" s="227" t="s">
        <v>971</v>
      </c>
      <c r="K71" s="115"/>
    </row>
    <row r="72" spans="2:15" x14ac:dyDescent="0.3">
      <c r="K72" s="115"/>
    </row>
    <row r="73" spans="2:15" x14ac:dyDescent="0.3">
      <c r="C73" s="37" t="str">
        <f t="shared" ref="C73:F81" si="1">C20</f>
        <v>Антисептик для обробки рук</v>
      </c>
      <c r="D73" s="228" t="str">
        <f t="shared" si="1"/>
        <v>мл</v>
      </c>
      <c r="E73" s="228">
        <f t="shared" si="1"/>
        <v>1</v>
      </c>
      <c r="F73" s="228">
        <f t="shared" si="1"/>
        <v>0.375</v>
      </c>
      <c r="G73" s="228">
        <f>ROUND(F73*E73,2)</f>
        <v>0.38</v>
      </c>
      <c r="K73" s="115"/>
    </row>
    <row r="74" spans="2:15" x14ac:dyDescent="0.3">
      <c r="C74" s="37" t="str">
        <f t="shared" si="1"/>
        <v>Антисептик швидкої дії</v>
      </c>
      <c r="D74" s="228" t="str">
        <f t="shared" si="1"/>
        <v>мл</v>
      </c>
      <c r="E74" s="228">
        <f t="shared" si="1"/>
        <v>1</v>
      </c>
      <c r="F74" s="228">
        <f t="shared" si="1"/>
        <v>0.28799999999999998</v>
      </c>
      <c r="G74" s="228">
        <f t="shared" ref="G74:G81" si="2">ROUND(F74*E74,2)</f>
        <v>0.28999999999999998</v>
      </c>
      <c r="K74" s="115"/>
    </row>
    <row r="75" spans="2:15" x14ac:dyDescent="0.3">
      <c r="C75" s="37" t="str">
        <f t="shared" si="1"/>
        <v>Вата 100 гр.</v>
      </c>
      <c r="D75" s="228" t="str">
        <f t="shared" si="1"/>
        <v>г</v>
      </c>
      <c r="E75" s="228">
        <f t="shared" si="1"/>
        <v>0.01</v>
      </c>
      <c r="F75" s="228">
        <f t="shared" si="1"/>
        <v>6.72</v>
      </c>
      <c r="G75" s="228">
        <f t="shared" si="2"/>
        <v>7.0000000000000007E-2</v>
      </c>
      <c r="K75" s="115"/>
    </row>
    <row r="76" spans="2:15" x14ac:dyDescent="0.3">
      <c r="C76" s="37" t="str">
        <f t="shared" si="1"/>
        <v>Деззасоби</v>
      </c>
      <c r="D76" s="228" t="str">
        <f t="shared" si="1"/>
        <v>г</v>
      </c>
      <c r="E76" s="228">
        <f t="shared" si="1"/>
        <v>0.5</v>
      </c>
      <c r="F76" s="228">
        <f t="shared" si="1"/>
        <v>0.5</v>
      </c>
      <c r="G76" s="228">
        <f t="shared" si="2"/>
        <v>0.25</v>
      </c>
      <c r="K76" s="115"/>
    </row>
    <row r="77" spans="2:15" s="184" customFormat="1" x14ac:dyDescent="0.3">
      <c r="B77" s="672"/>
      <c r="C77" s="37" t="str">
        <f t="shared" si="1"/>
        <v>Маска одноразова тришарова на резинці</v>
      </c>
      <c r="D77" s="228" t="str">
        <f t="shared" si="1"/>
        <v>шт</v>
      </c>
      <c r="E77" s="228">
        <f t="shared" si="1"/>
        <v>1</v>
      </c>
      <c r="F77" s="228">
        <f t="shared" si="1"/>
        <v>2</v>
      </c>
      <c r="G77" s="228">
        <f t="shared" si="2"/>
        <v>2</v>
      </c>
      <c r="H77" s="74"/>
      <c r="I77" s="74"/>
      <c r="J77" s="74"/>
      <c r="K77" s="115"/>
      <c r="L77" s="189"/>
      <c r="M77" s="637"/>
      <c r="N77" s="180"/>
      <c r="O77" s="180"/>
    </row>
    <row r="78" spans="2:15" x14ac:dyDescent="0.3">
      <c r="C78" s="37" t="str">
        <f t="shared" si="1"/>
        <v>Мило рідке</v>
      </c>
      <c r="D78" s="228" t="str">
        <f t="shared" si="1"/>
        <v>мл</v>
      </c>
      <c r="E78" s="228">
        <f t="shared" si="1"/>
        <v>1</v>
      </c>
      <c r="F78" s="228">
        <f t="shared" si="1"/>
        <v>0.19600000000000001</v>
      </c>
      <c r="G78" s="228">
        <f t="shared" si="2"/>
        <v>0.2</v>
      </c>
      <c r="K78" s="115"/>
    </row>
    <row r="79" spans="2:15" x14ac:dyDescent="0.3">
      <c r="C79" s="37" t="str">
        <f t="shared" si="1"/>
        <v>Рукавиці не стерильні</v>
      </c>
      <c r="D79" s="228" t="str">
        <f t="shared" si="1"/>
        <v>пара</v>
      </c>
      <c r="E79" s="228">
        <f t="shared" si="1"/>
        <v>0.1</v>
      </c>
      <c r="F79" s="228">
        <f t="shared" si="1"/>
        <v>7.39</v>
      </c>
      <c r="G79" s="228">
        <f t="shared" si="2"/>
        <v>0.74</v>
      </c>
      <c r="K79" s="115"/>
    </row>
    <row r="80" spans="2:15" s="184" customFormat="1" x14ac:dyDescent="0.3">
      <c r="B80" s="672"/>
      <c r="C80" s="37" t="str">
        <f t="shared" si="1"/>
        <v>Рушник паперовий</v>
      </c>
      <c r="D80" s="228" t="str">
        <f t="shared" si="1"/>
        <v>шт</v>
      </c>
      <c r="E80" s="228">
        <f t="shared" si="1"/>
        <v>0.3</v>
      </c>
      <c r="F80" s="228">
        <f t="shared" si="1"/>
        <v>17.5</v>
      </c>
      <c r="G80" s="228">
        <f t="shared" si="2"/>
        <v>5.25</v>
      </c>
      <c r="H80" s="74"/>
      <c r="I80" s="74"/>
      <c r="J80" s="74"/>
      <c r="K80" s="115"/>
      <c r="L80" s="189"/>
      <c r="M80" s="637"/>
      <c r="N80" s="180"/>
      <c r="O80" s="180"/>
    </row>
    <row r="81" spans="3:11" x14ac:dyDescent="0.3">
      <c r="C81" s="37" t="str">
        <f t="shared" si="1"/>
        <v xml:space="preserve">Спирт 70% 100мл </v>
      </c>
      <c r="D81" s="228" t="str">
        <f t="shared" si="1"/>
        <v>фл/гр.</v>
      </c>
      <c r="E81" s="228">
        <f t="shared" si="1"/>
        <v>0.01</v>
      </c>
      <c r="F81" s="228">
        <f t="shared" si="1"/>
        <v>24.6</v>
      </c>
      <c r="G81" s="228">
        <f t="shared" si="2"/>
        <v>0.25</v>
      </c>
      <c r="K81" s="115"/>
    </row>
    <row r="82" spans="3:11" x14ac:dyDescent="0.3">
      <c r="C82" s="1019" t="s">
        <v>945</v>
      </c>
      <c r="D82" s="1019"/>
      <c r="E82" s="1019"/>
      <c r="F82" s="1019"/>
      <c r="G82" s="332">
        <f>SUM(G73:G81)</f>
        <v>9.43</v>
      </c>
      <c r="K82" s="115"/>
    </row>
    <row r="83" spans="3:11" x14ac:dyDescent="0.3">
      <c r="K83" s="115"/>
    </row>
    <row r="84" spans="3:11" x14ac:dyDescent="0.3">
      <c r="C84" s="12" t="s">
        <v>968</v>
      </c>
      <c r="D84" s="227"/>
      <c r="E84" s="227"/>
      <c r="F84" s="298">
        <f>H87</f>
        <v>7.0000000000000007E-2</v>
      </c>
      <c r="G84" s="227" t="s">
        <v>971</v>
      </c>
      <c r="K84" s="115"/>
    </row>
    <row r="85" spans="3:11" x14ac:dyDescent="0.3">
      <c r="C85" s="22"/>
      <c r="D85" s="36"/>
      <c r="E85" s="36"/>
      <c r="F85" s="302"/>
      <c r="G85" s="36"/>
      <c r="K85" s="115"/>
    </row>
    <row r="86" spans="3:11" ht="27.6" x14ac:dyDescent="0.3">
      <c r="C86" s="14" t="s">
        <v>513</v>
      </c>
      <c r="D86" s="14" t="s">
        <v>969</v>
      </c>
      <c r="E86" s="14" t="s">
        <v>516</v>
      </c>
      <c r="F86" s="14" t="s">
        <v>970</v>
      </c>
      <c r="G86" s="14" t="s">
        <v>930</v>
      </c>
      <c r="H86" s="14" t="s">
        <v>961</v>
      </c>
      <c r="K86" s="115"/>
    </row>
    <row r="87" spans="3:11" x14ac:dyDescent="0.3">
      <c r="C87" s="17" t="s">
        <v>1107</v>
      </c>
      <c r="D87" s="73">
        <f>D34</f>
        <v>7000</v>
      </c>
      <c r="E87" s="73">
        <v>12562.55</v>
      </c>
      <c r="F87" s="73">
        <f>ROUND((D87/E87)/60,2)</f>
        <v>0.01</v>
      </c>
      <c r="G87" s="73">
        <f>E67</f>
        <v>7</v>
      </c>
      <c r="H87" s="78">
        <f>ROUND(F87*G87,2)</f>
        <v>7.0000000000000007E-2</v>
      </c>
      <c r="I87" s="333"/>
      <c r="K87" s="115"/>
    </row>
    <row r="88" spans="3:11" x14ac:dyDescent="0.3">
      <c r="K88" s="115"/>
    </row>
    <row r="89" spans="3:11" x14ac:dyDescent="0.3">
      <c r="C89" s="12" t="s">
        <v>948</v>
      </c>
      <c r="D89" s="227"/>
      <c r="E89" s="227"/>
      <c r="F89" s="298">
        <f>H102</f>
        <v>1.2</v>
      </c>
      <c r="G89" s="227" t="s">
        <v>971</v>
      </c>
      <c r="K89" s="115"/>
    </row>
    <row r="90" spans="3:11" x14ac:dyDescent="0.3">
      <c r="C90" s="22"/>
      <c r="D90" s="36"/>
      <c r="E90" s="36"/>
      <c r="F90" s="302"/>
      <c r="K90" s="115"/>
    </row>
    <row r="91" spans="3:11" ht="41.4" x14ac:dyDescent="0.3">
      <c r="C91" s="14" t="s">
        <v>948</v>
      </c>
      <c r="D91" s="14" t="s">
        <v>955</v>
      </c>
      <c r="E91" s="14" t="s">
        <v>516</v>
      </c>
      <c r="F91" s="14" t="s">
        <v>954</v>
      </c>
      <c r="G91" s="14" t="s">
        <v>930</v>
      </c>
      <c r="H91" s="14" t="s">
        <v>956</v>
      </c>
      <c r="K91" s="115"/>
    </row>
    <row r="92" spans="3:11" x14ac:dyDescent="0.3">
      <c r="C92" s="1009" t="str">
        <f>C62</f>
        <v>Лікар-фізіотерапевт</v>
      </c>
      <c r="D92" s="1010"/>
      <c r="E92" s="1010"/>
      <c r="F92" s="1010"/>
      <c r="G92" s="1010"/>
      <c r="H92" s="1011"/>
      <c r="K92" s="115"/>
    </row>
    <row r="93" spans="3:11" x14ac:dyDescent="0.3">
      <c r="C93" s="17" t="s">
        <v>951</v>
      </c>
      <c r="D93" s="221">
        <f>D40</f>
        <v>12188.608008565312</v>
      </c>
      <c r="E93" s="73">
        <f>I62</f>
        <v>1932.7</v>
      </c>
      <c r="F93" s="73">
        <f>ROUND((D93/E93)/60,2)</f>
        <v>0.11</v>
      </c>
      <c r="G93" s="73">
        <f>E66</f>
        <v>3</v>
      </c>
      <c r="H93" s="78">
        <f>ROUND(F93*G93,2)</f>
        <v>0.33</v>
      </c>
      <c r="K93" s="115"/>
    </row>
    <row r="94" spans="3:11" x14ac:dyDescent="0.3">
      <c r="C94" s="17" t="s">
        <v>952</v>
      </c>
      <c r="D94" s="221">
        <f>D41</f>
        <v>53.149721627408987</v>
      </c>
      <c r="E94" s="73">
        <f>I62</f>
        <v>1932.7</v>
      </c>
      <c r="F94" s="73">
        <f>ROUND((D94/E94)/60,2)</f>
        <v>0</v>
      </c>
      <c r="G94" s="73">
        <f>E66</f>
        <v>3</v>
      </c>
      <c r="H94" s="78">
        <f>ROUND(F94*G94,2)</f>
        <v>0</v>
      </c>
      <c r="K94" s="115"/>
    </row>
    <row r="95" spans="3:11" x14ac:dyDescent="0.3">
      <c r="C95" s="17" t="s">
        <v>953</v>
      </c>
      <c r="D95" s="221">
        <f>D42</f>
        <v>374.98368308351178</v>
      </c>
      <c r="E95" s="73">
        <f>I62</f>
        <v>1932.7</v>
      </c>
      <c r="F95" s="73">
        <f>ROUND((D95/E95)/60,2)</f>
        <v>0</v>
      </c>
      <c r="G95" s="73">
        <f>E66</f>
        <v>3</v>
      </c>
      <c r="H95" s="78">
        <f>ROUND(F95*G95,2)</f>
        <v>0</v>
      </c>
      <c r="K95" s="115"/>
    </row>
    <row r="96" spans="3:11" x14ac:dyDescent="0.3">
      <c r="C96" s="17" t="s">
        <v>1109</v>
      </c>
      <c r="D96" s="221">
        <f>D43</f>
        <v>1686.0389293361886</v>
      </c>
      <c r="E96" s="73">
        <f>I62</f>
        <v>1932.7</v>
      </c>
      <c r="F96" s="73">
        <f>ROUND((D96/E96)/60,2)</f>
        <v>0.01</v>
      </c>
      <c r="G96" s="73">
        <f>E66</f>
        <v>3</v>
      </c>
      <c r="H96" s="78">
        <f>ROUND(F96*G96,2)</f>
        <v>0.03</v>
      </c>
      <c r="K96" s="115"/>
    </row>
    <row r="97" spans="2:15" x14ac:dyDescent="0.3">
      <c r="C97" s="1009" t="str">
        <f>C63</f>
        <v>Сестра медична з фізіотерапії</v>
      </c>
      <c r="D97" s="1010"/>
      <c r="E97" s="1010"/>
      <c r="F97" s="1010"/>
      <c r="G97" s="1010"/>
      <c r="H97" s="1011"/>
      <c r="K97" s="115"/>
    </row>
    <row r="98" spans="2:15" x14ac:dyDescent="0.3">
      <c r="C98" s="17" t="s">
        <v>951</v>
      </c>
      <c r="D98" s="221">
        <f>D93</f>
        <v>12188.608008565312</v>
      </c>
      <c r="E98" s="73">
        <f>I63</f>
        <v>1932.7</v>
      </c>
      <c r="F98" s="73">
        <f>ROUND((D98/E98)/60,2)</f>
        <v>0.11</v>
      </c>
      <c r="G98" s="73">
        <f>E67</f>
        <v>7</v>
      </c>
      <c r="H98" s="78">
        <f>ROUND(F98*G98,2)</f>
        <v>0.77</v>
      </c>
      <c r="K98" s="115"/>
    </row>
    <row r="99" spans="2:15" x14ac:dyDescent="0.3">
      <c r="C99" s="17" t="s">
        <v>952</v>
      </c>
      <c r="D99" s="221">
        <f>D94</f>
        <v>53.149721627408987</v>
      </c>
      <c r="E99" s="73">
        <f>I63</f>
        <v>1932.7</v>
      </c>
      <c r="F99" s="73">
        <f>ROUND((D99/E99)/60,2)</f>
        <v>0</v>
      </c>
      <c r="G99" s="73">
        <f>E67</f>
        <v>7</v>
      </c>
      <c r="H99" s="78">
        <f>ROUND(F99*G99,2)</f>
        <v>0</v>
      </c>
      <c r="K99" s="115"/>
    </row>
    <row r="100" spans="2:15" x14ac:dyDescent="0.3">
      <c r="C100" s="17" t="s">
        <v>953</v>
      </c>
      <c r="D100" s="221">
        <f>D95</f>
        <v>374.98368308351178</v>
      </c>
      <c r="E100" s="73">
        <f>I63</f>
        <v>1932.7</v>
      </c>
      <c r="F100" s="73">
        <f>ROUND((D100/E100)/60,2)</f>
        <v>0</v>
      </c>
      <c r="G100" s="73">
        <f>E67</f>
        <v>7</v>
      </c>
      <c r="H100" s="78">
        <f>ROUND(F100*G100,2)</f>
        <v>0</v>
      </c>
      <c r="K100" s="115"/>
    </row>
    <row r="101" spans="2:15" x14ac:dyDescent="0.3">
      <c r="C101" s="17" t="s">
        <v>1109</v>
      </c>
      <c r="D101" s="221">
        <f>D96</f>
        <v>1686.0389293361886</v>
      </c>
      <c r="E101" s="73">
        <f>I62</f>
        <v>1932.7</v>
      </c>
      <c r="F101" s="73">
        <f>ROUND((D101/E101)/60,2)</f>
        <v>0.01</v>
      </c>
      <c r="G101" s="73">
        <f>E67</f>
        <v>7</v>
      </c>
      <c r="H101" s="78">
        <f>ROUND(F101*G101,2)</f>
        <v>7.0000000000000007E-2</v>
      </c>
      <c r="K101" s="115"/>
    </row>
    <row r="102" spans="2:15" x14ac:dyDescent="0.3">
      <c r="C102" s="1012" t="s">
        <v>957</v>
      </c>
      <c r="D102" s="1013"/>
      <c r="E102" s="1013"/>
      <c r="F102" s="1013"/>
      <c r="G102" s="1014"/>
      <c r="H102" s="299">
        <f>SUM(H93:H101)</f>
        <v>1.2</v>
      </c>
      <c r="K102" s="115"/>
    </row>
    <row r="103" spans="2:15" x14ac:dyDescent="0.3">
      <c r="K103" s="115"/>
    </row>
    <row r="104" spans="2:15" x14ac:dyDescent="0.3">
      <c r="C104" s="1015" t="s">
        <v>959</v>
      </c>
      <c r="D104" s="1015"/>
      <c r="E104" s="1015"/>
      <c r="F104" s="1015"/>
      <c r="G104" s="1015"/>
      <c r="H104" s="334">
        <f>F59+F71+F89+F84</f>
        <v>22.46</v>
      </c>
      <c r="K104" s="115"/>
    </row>
    <row r="105" spans="2:15" x14ac:dyDescent="0.3">
      <c r="C105" s="33"/>
      <c r="D105" s="33"/>
      <c r="E105" s="33"/>
      <c r="F105" s="33"/>
      <c r="G105" s="33"/>
      <c r="H105" s="335"/>
      <c r="K105" s="115"/>
    </row>
    <row r="106" spans="2:15" x14ac:dyDescent="0.3">
      <c r="C106" s="1015" t="s">
        <v>960</v>
      </c>
      <c r="D106" s="1015"/>
      <c r="E106" s="1015"/>
      <c r="F106" s="1015"/>
      <c r="G106" s="1015"/>
      <c r="H106" s="334">
        <f>ROUND(H104,0)</f>
        <v>22</v>
      </c>
      <c r="K106" s="115"/>
    </row>
    <row r="107" spans="2:15" x14ac:dyDescent="0.3">
      <c r="K107" s="115"/>
    </row>
    <row r="108" spans="2:15" s="54" customFormat="1" ht="19.8" x14ac:dyDescent="0.4">
      <c r="B108" s="1016" t="s">
        <v>958</v>
      </c>
      <c r="C108" s="1016"/>
      <c r="D108" s="1016"/>
      <c r="E108" s="1016"/>
      <c r="F108" s="1016"/>
      <c r="G108" s="1016"/>
      <c r="H108" s="1016"/>
      <c r="I108" s="1016"/>
      <c r="J108" s="1016"/>
      <c r="K108" s="115"/>
      <c r="L108" s="114"/>
      <c r="M108" s="636"/>
      <c r="N108" s="7"/>
      <c r="O108" s="53"/>
    </row>
    <row r="109" spans="2:15" x14ac:dyDescent="0.3">
      <c r="K109" s="115"/>
    </row>
    <row r="110" spans="2:15" s="54" customFormat="1" ht="36" customHeight="1" x14ac:dyDescent="0.4">
      <c r="B110" s="669" t="s">
        <v>847</v>
      </c>
      <c r="C110" s="1017" t="s">
        <v>848</v>
      </c>
      <c r="D110" s="1017"/>
      <c r="E110" s="1017"/>
      <c r="F110" s="653">
        <f>H159</f>
        <v>24</v>
      </c>
      <c r="G110" s="296" t="s">
        <v>971</v>
      </c>
      <c r="H110" s="225"/>
      <c r="I110" s="225"/>
      <c r="J110" s="225"/>
      <c r="K110" s="115"/>
      <c r="L110" s="114"/>
      <c r="M110" s="636"/>
      <c r="N110" s="7"/>
      <c r="O110" s="53"/>
    </row>
    <row r="111" spans="2:15" x14ac:dyDescent="0.3">
      <c r="K111" s="115"/>
    </row>
    <row r="112" spans="2:15" x14ac:dyDescent="0.3">
      <c r="C112" s="1018" t="s">
        <v>932</v>
      </c>
      <c r="D112" s="1018"/>
      <c r="E112" s="297"/>
      <c r="F112" s="298">
        <f>F119+F122+F120</f>
        <v>12.8</v>
      </c>
      <c r="G112" s="227" t="s">
        <v>971</v>
      </c>
      <c r="K112" s="115"/>
    </row>
    <row r="113" spans="3:11" x14ac:dyDescent="0.3">
      <c r="K113" s="115"/>
    </row>
    <row r="114" spans="3:11" ht="27.6" x14ac:dyDescent="0.3">
      <c r="C114" s="13" t="s">
        <v>929</v>
      </c>
      <c r="D114" s="14" t="s">
        <v>928</v>
      </c>
      <c r="E114" s="14" t="s">
        <v>514</v>
      </c>
      <c r="F114" s="14" t="s">
        <v>515</v>
      </c>
      <c r="G114" s="14" t="s">
        <v>962</v>
      </c>
      <c r="H114" s="14" t="s">
        <v>926</v>
      </c>
      <c r="I114" s="14" t="s">
        <v>516</v>
      </c>
      <c r="J114" s="14" t="s">
        <v>961</v>
      </c>
      <c r="K114" s="115"/>
    </row>
    <row r="115" spans="3:11" x14ac:dyDescent="0.3">
      <c r="C115" s="17" t="str">
        <f>C62</f>
        <v>Лікар-фізіотерапевт</v>
      </c>
      <c r="D115" s="78">
        <f>D62</f>
        <v>10799.43</v>
      </c>
      <c r="E115" s="78">
        <f>D115*12</f>
        <v>129593.16</v>
      </c>
      <c r="F115" s="78">
        <f>F62</f>
        <v>8307.26</v>
      </c>
      <c r="G115" s="78">
        <f>G62</f>
        <v>4153.63</v>
      </c>
      <c r="H115" s="78">
        <f>E115+F115+G115</f>
        <v>142054.05000000002</v>
      </c>
      <c r="I115" s="73">
        <v>1932.7</v>
      </c>
      <c r="J115" s="78">
        <f>ROUND((H115/I115)/60,2)</f>
        <v>1.23</v>
      </c>
      <c r="K115" s="115"/>
    </row>
    <row r="116" spans="3:11" x14ac:dyDescent="0.3">
      <c r="C116" s="17" t="str">
        <f>C63</f>
        <v>Сестра медична з фізіотерапії</v>
      </c>
      <c r="D116" s="78">
        <f>D63</f>
        <v>7482.48</v>
      </c>
      <c r="E116" s="78">
        <f>D116*12</f>
        <v>89789.759999999995</v>
      </c>
      <c r="F116" s="78">
        <f>F63</f>
        <v>5755.75</v>
      </c>
      <c r="G116" s="78">
        <f>G63</f>
        <v>2877.875</v>
      </c>
      <c r="H116" s="78">
        <f>E116+F116+G116</f>
        <v>98423.384999999995</v>
      </c>
      <c r="I116" s="73">
        <v>1932.7</v>
      </c>
      <c r="J116" s="78">
        <f>ROUND((H116/I116)/60,2)</f>
        <v>0.85</v>
      </c>
      <c r="K116" s="115"/>
    </row>
    <row r="117" spans="3:11" x14ac:dyDescent="0.3">
      <c r="K117" s="115"/>
    </row>
    <row r="118" spans="3:11" ht="27.6" x14ac:dyDescent="0.3">
      <c r="C118" s="13" t="s">
        <v>929</v>
      </c>
      <c r="D118" s="14" t="s">
        <v>961</v>
      </c>
      <c r="E118" s="14" t="s">
        <v>930</v>
      </c>
      <c r="F118" s="14" t="s">
        <v>931</v>
      </c>
      <c r="K118" s="115"/>
    </row>
    <row r="119" spans="3:11" x14ac:dyDescent="0.3">
      <c r="C119" s="15" t="str">
        <f>C115</f>
        <v>Лікар-фізіотерапевт</v>
      </c>
      <c r="D119" s="78">
        <f>J115</f>
        <v>1.23</v>
      </c>
      <c r="E119" s="73">
        <v>3</v>
      </c>
      <c r="F119" s="299">
        <f>ROUND(D119*E119,2)</f>
        <v>3.69</v>
      </c>
      <c r="K119" s="115"/>
    </row>
    <row r="120" spans="3:11" x14ac:dyDescent="0.3">
      <c r="C120" s="15" t="str">
        <f>C116</f>
        <v>Сестра медична з фізіотерапії</v>
      </c>
      <c r="D120" s="78">
        <f>J116</f>
        <v>0.85</v>
      </c>
      <c r="E120" s="73">
        <v>8</v>
      </c>
      <c r="F120" s="299">
        <f>ROUND(D120*E120,2)</f>
        <v>6.8</v>
      </c>
      <c r="K120" s="115"/>
    </row>
    <row r="121" spans="3:11" x14ac:dyDescent="0.3">
      <c r="D121" s="19"/>
      <c r="K121" s="115"/>
    </row>
    <row r="122" spans="3:11" x14ac:dyDescent="0.3">
      <c r="C122" s="17" t="s">
        <v>933</v>
      </c>
      <c r="D122" s="78">
        <f>F119+F120</f>
        <v>10.49</v>
      </c>
      <c r="E122" s="300">
        <v>0.22</v>
      </c>
      <c r="F122" s="301">
        <f>ROUND(D122*E122,2)</f>
        <v>2.31</v>
      </c>
      <c r="K122" s="115"/>
    </row>
    <row r="123" spans="3:11" x14ac:dyDescent="0.3">
      <c r="K123" s="115"/>
    </row>
    <row r="124" spans="3:11" x14ac:dyDescent="0.3">
      <c r="C124" s="12" t="s">
        <v>946</v>
      </c>
      <c r="D124" s="227"/>
      <c r="E124" s="227"/>
      <c r="F124" s="227">
        <f>G135</f>
        <v>9.43</v>
      </c>
      <c r="G124" s="227" t="s">
        <v>971</v>
      </c>
      <c r="K124" s="115"/>
    </row>
    <row r="125" spans="3:11" x14ac:dyDescent="0.3">
      <c r="K125" s="115"/>
    </row>
    <row r="126" spans="3:11" x14ac:dyDescent="0.3">
      <c r="C126" s="27" t="str">
        <f t="shared" ref="C126:F134" si="3">C73</f>
        <v>Антисептик для обробки рук</v>
      </c>
      <c r="D126" s="303" t="str">
        <f t="shared" si="3"/>
        <v>мл</v>
      </c>
      <c r="E126" s="303">
        <f t="shared" si="3"/>
        <v>1</v>
      </c>
      <c r="F126" s="303">
        <f t="shared" si="3"/>
        <v>0.375</v>
      </c>
      <c r="G126" s="228">
        <f>ROUND(F126*E126,2)</f>
        <v>0.38</v>
      </c>
      <c r="K126" s="115"/>
    </row>
    <row r="127" spans="3:11" x14ac:dyDescent="0.3">
      <c r="C127" s="27" t="str">
        <f t="shared" si="3"/>
        <v>Антисептик швидкої дії</v>
      </c>
      <c r="D127" s="303" t="str">
        <f t="shared" si="3"/>
        <v>мл</v>
      </c>
      <c r="E127" s="303">
        <f t="shared" si="3"/>
        <v>1</v>
      </c>
      <c r="F127" s="303">
        <f t="shared" si="3"/>
        <v>0.28799999999999998</v>
      </c>
      <c r="G127" s="228">
        <f>ROUND(F127*E127,2)</f>
        <v>0.28999999999999998</v>
      </c>
      <c r="K127" s="115"/>
    </row>
    <row r="128" spans="3:11" x14ac:dyDescent="0.3">
      <c r="C128" s="27" t="str">
        <f t="shared" si="3"/>
        <v>Вата 100 гр.</v>
      </c>
      <c r="D128" s="303" t="str">
        <f t="shared" si="3"/>
        <v>г</v>
      </c>
      <c r="E128" s="303">
        <f t="shared" si="3"/>
        <v>0.01</v>
      </c>
      <c r="F128" s="303">
        <f t="shared" si="3"/>
        <v>6.72</v>
      </c>
      <c r="G128" s="228">
        <f>ROUND(F128*E128,2)</f>
        <v>7.0000000000000007E-2</v>
      </c>
      <c r="K128" s="115"/>
    </row>
    <row r="129" spans="2:15" x14ac:dyDescent="0.3">
      <c r="C129" s="27" t="str">
        <f t="shared" si="3"/>
        <v>Деззасоби</v>
      </c>
      <c r="D129" s="303" t="str">
        <f t="shared" si="3"/>
        <v>г</v>
      </c>
      <c r="E129" s="303">
        <f t="shared" si="3"/>
        <v>0.5</v>
      </c>
      <c r="F129" s="303">
        <f t="shared" si="3"/>
        <v>0.5</v>
      </c>
      <c r="G129" s="28">
        <f>ROUND(E129*F129,2)</f>
        <v>0.25</v>
      </c>
      <c r="K129" s="115"/>
    </row>
    <row r="130" spans="2:15" x14ac:dyDescent="0.3">
      <c r="C130" s="27" t="str">
        <f t="shared" si="3"/>
        <v>Маска одноразова тришарова на резинці</v>
      </c>
      <c r="D130" s="303" t="str">
        <f t="shared" si="3"/>
        <v>шт</v>
      </c>
      <c r="E130" s="303">
        <f t="shared" si="3"/>
        <v>1</v>
      </c>
      <c r="F130" s="303">
        <f t="shared" si="3"/>
        <v>2</v>
      </c>
      <c r="G130" s="228">
        <f>ROUND(F130*E130,2)</f>
        <v>2</v>
      </c>
      <c r="K130" s="115"/>
    </row>
    <row r="131" spans="2:15" x14ac:dyDescent="0.3">
      <c r="C131" s="27" t="str">
        <f t="shared" si="3"/>
        <v>Мило рідке</v>
      </c>
      <c r="D131" s="303" t="str">
        <f t="shared" si="3"/>
        <v>мл</v>
      </c>
      <c r="E131" s="303">
        <f t="shared" si="3"/>
        <v>1</v>
      </c>
      <c r="F131" s="303">
        <f t="shared" si="3"/>
        <v>0.19600000000000001</v>
      </c>
      <c r="G131" s="228">
        <f>ROUND(F131*E131,2)</f>
        <v>0.2</v>
      </c>
      <c r="K131" s="115"/>
    </row>
    <row r="132" spans="2:15" x14ac:dyDescent="0.3">
      <c r="C132" s="27" t="str">
        <f t="shared" si="3"/>
        <v>Рукавиці не стерильні</v>
      </c>
      <c r="D132" s="303" t="str">
        <f t="shared" si="3"/>
        <v>пара</v>
      </c>
      <c r="E132" s="303">
        <f t="shared" si="3"/>
        <v>0.1</v>
      </c>
      <c r="F132" s="303">
        <f t="shared" si="3"/>
        <v>7.39</v>
      </c>
      <c r="G132" s="28">
        <f>ROUND(E132*F132,2)</f>
        <v>0.74</v>
      </c>
      <c r="K132" s="115"/>
    </row>
    <row r="133" spans="2:15" s="184" customFormat="1" x14ac:dyDescent="0.3">
      <c r="B133" s="672"/>
      <c r="C133" s="27" t="str">
        <f t="shared" si="3"/>
        <v>Рушник паперовий</v>
      </c>
      <c r="D133" s="303" t="str">
        <f t="shared" si="3"/>
        <v>шт</v>
      </c>
      <c r="E133" s="303">
        <f t="shared" si="3"/>
        <v>0.3</v>
      </c>
      <c r="F133" s="303">
        <f t="shared" si="3"/>
        <v>17.5</v>
      </c>
      <c r="G133" s="181">
        <f>ROUND(E133*F133,2)</f>
        <v>5.25</v>
      </c>
      <c r="H133" s="74"/>
      <c r="I133" s="74"/>
      <c r="J133" s="74"/>
      <c r="K133" s="115"/>
      <c r="L133" s="189"/>
      <c r="M133" s="637"/>
      <c r="N133" s="180"/>
      <c r="O133" s="180"/>
    </row>
    <row r="134" spans="2:15" x14ac:dyDescent="0.3">
      <c r="C134" s="27" t="str">
        <f t="shared" si="3"/>
        <v xml:space="preserve">Спирт 70% 100мл </v>
      </c>
      <c r="D134" s="303" t="str">
        <f t="shared" si="3"/>
        <v>фл/гр.</v>
      </c>
      <c r="E134" s="303">
        <f t="shared" si="3"/>
        <v>0.01</v>
      </c>
      <c r="F134" s="303">
        <f t="shared" si="3"/>
        <v>24.6</v>
      </c>
      <c r="G134" s="28">
        <f>ROUND(E134*F134,2)</f>
        <v>0.25</v>
      </c>
      <c r="K134" s="115"/>
    </row>
    <row r="135" spans="2:15" x14ac:dyDescent="0.3">
      <c r="C135" s="1019" t="s">
        <v>945</v>
      </c>
      <c r="D135" s="1019"/>
      <c r="E135" s="1019"/>
      <c r="F135" s="1019"/>
      <c r="G135" s="332">
        <f>SUM(G126:G134)</f>
        <v>9.43</v>
      </c>
      <c r="K135" s="115"/>
    </row>
    <row r="136" spans="2:15" x14ac:dyDescent="0.3">
      <c r="K136" s="115"/>
    </row>
    <row r="137" spans="2:15" x14ac:dyDescent="0.3">
      <c r="C137" s="12" t="s">
        <v>968</v>
      </c>
      <c r="D137" s="227"/>
      <c r="E137" s="227"/>
      <c r="F137" s="298">
        <f>H140</f>
        <v>0.08</v>
      </c>
      <c r="G137" s="227" t="s">
        <v>971</v>
      </c>
      <c r="K137" s="115"/>
    </row>
    <row r="138" spans="2:15" x14ac:dyDescent="0.3">
      <c r="C138" s="22"/>
      <c r="D138" s="36"/>
      <c r="E138" s="36"/>
      <c r="F138" s="302"/>
      <c r="G138" s="36"/>
      <c r="K138" s="115"/>
    </row>
    <row r="139" spans="2:15" ht="27.6" x14ac:dyDescent="0.3">
      <c r="C139" s="14" t="s">
        <v>513</v>
      </c>
      <c r="D139" s="14" t="s">
        <v>969</v>
      </c>
      <c r="E139" s="14" t="s">
        <v>516</v>
      </c>
      <c r="F139" s="14" t="s">
        <v>970</v>
      </c>
      <c r="G139" s="14" t="s">
        <v>930</v>
      </c>
      <c r="H139" s="14" t="s">
        <v>961</v>
      </c>
      <c r="K139" s="115"/>
    </row>
    <row r="140" spans="2:15" x14ac:dyDescent="0.3">
      <c r="C140" s="17" t="s">
        <v>1107</v>
      </c>
      <c r="D140" s="73">
        <f>D87</f>
        <v>7000</v>
      </c>
      <c r="E140" s="73">
        <v>12562.55</v>
      </c>
      <c r="F140" s="73">
        <f>ROUND((D140/E140)/60,2)</f>
        <v>0.01</v>
      </c>
      <c r="G140" s="73">
        <f>E120</f>
        <v>8</v>
      </c>
      <c r="H140" s="78">
        <f>ROUND(F140*G140,2)</f>
        <v>0.08</v>
      </c>
      <c r="I140" s="333"/>
      <c r="K140" s="115"/>
    </row>
    <row r="141" spans="2:15" x14ac:dyDescent="0.3">
      <c r="K141" s="115"/>
    </row>
    <row r="142" spans="2:15" x14ac:dyDescent="0.3">
      <c r="C142" s="12" t="s">
        <v>948</v>
      </c>
      <c r="D142" s="227"/>
      <c r="E142" s="227"/>
      <c r="F142" s="298">
        <f>H155</f>
        <v>1.32</v>
      </c>
      <c r="G142" s="227" t="s">
        <v>971</v>
      </c>
      <c r="K142" s="115"/>
    </row>
    <row r="143" spans="2:15" x14ac:dyDescent="0.3">
      <c r="C143" s="22"/>
      <c r="D143" s="36"/>
      <c r="E143" s="36"/>
      <c r="F143" s="302"/>
      <c r="K143" s="115"/>
    </row>
    <row r="144" spans="2:15" ht="41.4" x14ac:dyDescent="0.3">
      <c r="C144" s="14" t="s">
        <v>948</v>
      </c>
      <c r="D144" s="14" t="s">
        <v>955</v>
      </c>
      <c r="E144" s="14" t="s">
        <v>516</v>
      </c>
      <c r="F144" s="14" t="s">
        <v>954</v>
      </c>
      <c r="G144" s="14" t="s">
        <v>930</v>
      </c>
      <c r="H144" s="14" t="s">
        <v>956</v>
      </c>
      <c r="K144" s="115"/>
    </row>
    <row r="145" spans="3:11" x14ac:dyDescent="0.3">
      <c r="C145" s="1009" t="str">
        <f>C115</f>
        <v>Лікар-фізіотерапевт</v>
      </c>
      <c r="D145" s="1010"/>
      <c r="E145" s="1010"/>
      <c r="F145" s="1010"/>
      <c r="G145" s="1010"/>
      <c r="H145" s="1011"/>
      <c r="K145" s="115"/>
    </row>
    <row r="146" spans="3:11" x14ac:dyDescent="0.3">
      <c r="C146" s="17" t="s">
        <v>951</v>
      </c>
      <c r="D146" s="221">
        <f>D93</f>
        <v>12188.608008565312</v>
      </c>
      <c r="E146" s="73">
        <f>I115</f>
        <v>1932.7</v>
      </c>
      <c r="F146" s="73">
        <f>ROUND((D146/E146)/60,2)</f>
        <v>0.11</v>
      </c>
      <c r="G146" s="73">
        <f>E119</f>
        <v>3</v>
      </c>
      <c r="H146" s="78">
        <f>ROUND(F146*G146,2)</f>
        <v>0.33</v>
      </c>
      <c r="K146" s="115"/>
    </row>
    <row r="147" spans="3:11" x14ac:dyDescent="0.3">
      <c r="C147" s="17" t="s">
        <v>952</v>
      </c>
      <c r="D147" s="221">
        <f>D94</f>
        <v>53.149721627408987</v>
      </c>
      <c r="E147" s="73">
        <f>I115</f>
        <v>1932.7</v>
      </c>
      <c r="F147" s="73">
        <f>ROUND((D147/E147)/60,2)</f>
        <v>0</v>
      </c>
      <c r="G147" s="73">
        <f>E119</f>
        <v>3</v>
      </c>
      <c r="H147" s="78">
        <f>ROUND(F147*G147,2)</f>
        <v>0</v>
      </c>
      <c r="K147" s="115"/>
    </row>
    <row r="148" spans="3:11" x14ac:dyDescent="0.3">
      <c r="C148" s="17" t="s">
        <v>953</v>
      </c>
      <c r="D148" s="221">
        <f>D95</f>
        <v>374.98368308351178</v>
      </c>
      <c r="E148" s="73">
        <f>I115</f>
        <v>1932.7</v>
      </c>
      <c r="F148" s="73">
        <f>ROUND((D148/E148)/60,2)</f>
        <v>0</v>
      </c>
      <c r="G148" s="73">
        <f>E119</f>
        <v>3</v>
      </c>
      <c r="H148" s="78">
        <f>ROUND(F148*G148,2)</f>
        <v>0</v>
      </c>
      <c r="K148" s="115"/>
    </row>
    <row r="149" spans="3:11" x14ac:dyDescent="0.3">
      <c r="C149" s="17" t="s">
        <v>1109</v>
      </c>
      <c r="D149" s="221">
        <f>D96</f>
        <v>1686.0389293361886</v>
      </c>
      <c r="E149" s="73">
        <f>I115</f>
        <v>1932.7</v>
      </c>
      <c r="F149" s="73">
        <f>ROUND((D149/E149)/60,2)</f>
        <v>0.01</v>
      </c>
      <c r="G149" s="73">
        <f>E119</f>
        <v>3</v>
      </c>
      <c r="H149" s="78">
        <f>ROUND(F149*G149,2)</f>
        <v>0.03</v>
      </c>
      <c r="K149" s="115"/>
    </row>
    <row r="150" spans="3:11" x14ac:dyDescent="0.3">
      <c r="C150" s="1009" t="str">
        <f>C116</f>
        <v>Сестра медична з фізіотерапії</v>
      </c>
      <c r="D150" s="1010"/>
      <c r="E150" s="1010"/>
      <c r="F150" s="1010"/>
      <c r="G150" s="1010"/>
      <c r="H150" s="1011"/>
      <c r="K150" s="115"/>
    </row>
    <row r="151" spans="3:11" x14ac:dyDescent="0.3">
      <c r="C151" s="17" t="s">
        <v>951</v>
      </c>
      <c r="D151" s="221">
        <f>D146</f>
        <v>12188.608008565312</v>
      </c>
      <c r="E151" s="73">
        <f>I116</f>
        <v>1932.7</v>
      </c>
      <c r="F151" s="73">
        <f>ROUND((D151/E151)/60,2)</f>
        <v>0.11</v>
      </c>
      <c r="G151" s="73">
        <f>E120</f>
        <v>8</v>
      </c>
      <c r="H151" s="78">
        <f>ROUND(F151*G151,2)</f>
        <v>0.88</v>
      </c>
      <c r="K151" s="115"/>
    </row>
    <row r="152" spans="3:11" x14ac:dyDescent="0.3">
      <c r="C152" s="17" t="s">
        <v>952</v>
      </c>
      <c r="D152" s="221">
        <f>D147</f>
        <v>53.149721627408987</v>
      </c>
      <c r="E152" s="73">
        <f>I116</f>
        <v>1932.7</v>
      </c>
      <c r="F152" s="73">
        <f>ROUND((D152/E152)/60,2)</f>
        <v>0</v>
      </c>
      <c r="G152" s="73">
        <f>E120</f>
        <v>8</v>
      </c>
      <c r="H152" s="78">
        <f>ROUND(F152*G152,2)</f>
        <v>0</v>
      </c>
      <c r="K152" s="115"/>
    </row>
    <row r="153" spans="3:11" x14ac:dyDescent="0.3">
      <c r="C153" s="17" t="s">
        <v>953</v>
      </c>
      <c r="D153" s="221">
        <f>D148</f>
        <v>374.98368308351178</v>
      </c>
      <c r="E153" s="73">
        <f>I116</f>
        <v>1932.7</v>
      </c>
      <c r="F153" s="73">
        <f>ROUND((D153/E153)/60,2)</f>
        <v>0</v>
      </c>
      <c r="G153" s="73">
        <f>E120</f>
        <v>8</v>
      </c>
      <c r="H153" s="78">
        <f>ROUND(F153*G153,2)</f>
        <v>0</v>
      </c>
      <c r="K153" s="115"/>
    </row>
    <row r="154" spans="3:11" x14ac:dyDescent="0.3">
      <c r="C154" s="17" t="s">
        <v>1109</v>
      </c>
      <c r="D154" s="221">
        <f>D149</f>
        <v>1686.0389293361886</v>
      </c>
      <c r="E154" s="73">
        <f>I115</f>
        <v>1932.7</v>
      </c>
      <c r="F154" s="73">
        <f>ROUND((D154/E154)/60,2)</f>
        <v>0.01</v>
      </c>
      <c r="G154" s="73">
        <f>E120</f>
        <v>8</v>
      </c>
      <c r="H154" s="78">
        <f>ROUND(F154*G154,2)</f>
        <v>0.08</v>
      </c>
      <c r="K154" s="115"/>
    </row>
    <row r="155" spans="3:11" x14ac:dyDescent="0.3">
      <c r="C155" s="1012" t="s">
        <v>957</v>
      </c>
      <c r="D155" s="1013"/>
      <c r="E155" s="1013"/>
      <c r="F155" s="1013"/>
      <c r="G155" s="1014"/>
      <c r="H155" s="299">
        <f>SUM(H146:H154)</f>
        <v>1.32</v>
      </c>
      <c r="K155" s="115"/>
    </row>
    <row r="156" spans="3:11" x14ac:dyDescent="0.3">
      <c r="K156" s="115"/>
    </row>
    <row r="157" spans="3:11" x14ac:dyDescent="0.3">
      <c r="C157" s="1015" t="s">
        <v>959</v>
      </c>
      <c r="D157" s="1015"/>
      <c r="E157" s="1015"/>
      <c r="F157" s="1015"/>
      <c r="G157" s="1015"/>
      <c r="H157" s="334">
        <f>F112+F124+F142+F137</f>
        <v>23.63</v>
      </c>
      <c r="K157" s="115"/>
    </row>
    <row r="158" spans="3:11" x14ac:dyDescent="0.3">
      <c r="C158" s="33"/>
      <c r="D158" s="33"/>
      <c r="E158" s="33"/>
      <c r="F158" s="33"/>
      <c r="G158" s="33"/>
      <c r="H158" s="335"/>
      <c r="K158" s="115"/>
    </row>
    <row r="159" spans="3:11" x14ac:dyDescent="0.3">
      <c r="C159" s="1015" t="s">
        <v>960</v>
      </c>
      <c r="D159" s="1015"/>
      <c r="E159" s="1015"/>
      <c r="F159" s="1015"/>
      <c r="G159" s="1015"/>
      <c r="H159" s="334">
        <f>ROUND(H157,0)</f>
        <v>24</v>
      </c>
      <c r="K159" s="115"/>
    </row>
    <row r="160" spans="3:11" x14ac:dyDescent="0.3">
      <c r="K160" s="115"/>
    </row>
    <row r="161" spans="2:15" s="54" customFormat="1" ht="19.8" x14ac:dyDescent="0.4">
      <c r="B161" s="1016" t="s">
        <v>958</v>
      </c>
      <c r="C161" s="1016"/>
      <c r="D161" s="1016"/>
      <c r="E161" s="1016"/>
      <c r="F161" s="1016"/>
      <c r="G161" s="1016"/>
      <c r="H161" s="1016"/>
      <c r="I161" s="1016"/>
      <c r="J161" s="1016"/>
      <c r="K161" s="115"/>
      <c r="L161" s="114"/>
      <c r="M161" s="636"/>
      <c r="N161" s="7"/>
      <c r="O161" s="53"/>
    </row>
    <row r="162" spans="2:15" x14ac:dyDescent="0.3">
      <c r="K162" s="115"/>
    </row>
    <row r="163" spans="2:15" s="54" customFormat="1" ht="19.8" x14ac:dyDescent="0.4">
      <c r="B163" s="669" t="s">
        <v>849</v>
      </c>
      <c r="C163" s="1017" t="s">
        <v>850</v>
      </c>
      <c r="D163" s="1017"/>
      <c r="E163" s="1017"/>
      <c r="F163" s="653">
        <f>H212</f>
        <v>32</v>
      </c>
      <c r="G163" s="296" t="s">
        <v>971</v>
      </c>
      <c r="H163" s="225"/>
      <c r="I163" s="225"/>
      <c r="J163" s="225"/>
      <c r="K163" s="115"/>
      <c r="L163" s="114"/>
      <c r="M163" s="636"/>
      <c r="N163" s="7"/>
      <c r="O163" s="53"/>
    </row>
    <row r="164" spans="2:15" x14ac:dyDescent="0.3">
      <c r="K164" s="115"/>
    </row>
    <row r="165" spans="2:15" x14ac:dyDescent="0.3">
      <c r="C165" s="1018" t="s">
        <v>932</v>
      </c>
      <c r="D165" s="1018"/>
      <c r="E165" s="297"/>
      <c r="F165" s="298">
        <f>F172+F175+F173</f>
        <v>20.060000000000002</v>
      </c>
      <c r="G165" s="227" t="s">
        <v>971</v>
      </c>
      <c r="K165" s="115"/>
    </row>
    <row r="166" spans="2:15" x14ac:dyDescent="0.3">
      <c r="K166" s="115"/>
    </row>
    <row r="167" spans="2:15" ht="27.6" x14ac:dyDescent="0.3">
      <c r="C167" s="13" t="s">
        <v>929</v>
      </c>
      <c r="D167" s="14" t="s">
        <v>928</v>
      </c>
      <c r="E167" s="14" t="s">
        <v>514</v>
      </c>
      <c r="F167" s="14" t="s">
        <v>515</v>
      </c>
      <c r="G167" s="14" t="s">
        <v>962</v>
      </c>
      <c r="H167" s="14" t="s">
        <v>926</v>
      </c>
      <c r="I167" s="14" t="s">
        <v>516</v>
      </c>
      <c r="J167" s="14" t="s">
        <v>961</v>
      </c>
      <c r="K167" s="115"/>
    </row>
    <row r="168" spans="2:15" x14ac:dyDescent="0.3">
      <c r="C168" s="17" t="str">
        <f>C115</f>
        <v>Лікар-фізіотерапевт</v>
      </c>
      <c r="D168" s="78">
        <f>D115</f>
        <v>10799.43</v>
      </c>
      <c r="E168" s="78">
        <f>D168*12</f>
        <v>129593.16</v>
      </c>
      <c r="F168" s="78">
        <f>F115</f>
        <v>8307.26</v>
      </c>
      <c r="G168" s="78">
        <f>G115</f>
        <v>4153.63</v>
      </c>
      <c r="H168" s="78">
        <f>E168+F168+G168</f>
        <v>142054.05000000002</v>
      </c>
      <c r="I168" s="73">
        <v>1932.7</v>
      </c>
      <c r="J168" s="78">
        <f>ROUND((H168/I168)/60,2)</f>
        <v>1.23</v>
      </c>
      <c r="K168" s="115"/>
    </row>
    <row r="169" spans="2:15" x14ac:dyDescent="0.3">
      <c r="C169" s="17" t="str">
        <f>C116</f>
        <v>Сестра медична з фізіотерапії</v>
      </c>
      <c r="D169" s="78">
        <f>D116</f>
        <v>7482.48</v>
      </c>
      <c r="E169" s="78">
        <f>D169*12</f>
        <v>89789.759999999995</v>
      </c>
      <c r="F169" s="78">
        <f>F116</f>
        <v>5755.75</v>
      </c>
      <c r="G169" s="78">
        <f>G116</f>
        <v>2877.875</v>
      </c>
      <c r="H169" s="78">
        <f>E169+F169+G169</f>
        <v>98423.384999999995</v>
      </c>
      <c r="I169" s="73">
        <v>1932.7</v>
      </c>
      <c r="J169" s="78">
        <f>ROUND((H169/I169)/60,2)</f>
        <v>0.85</v>
      </c>
      <c r="K169" s="115"/>
    </row>
    <row r="170" spans="2:15" x14ac:dyDescent="0.3">
      <c r="K170" s="115"/>
    </row>
    <row r="171" spans="2:15" ht="27.6" x14ac:dyDescent="0.3">
      <c r="C171" s="13" t="s">
        <v>929</v>
      </c>
      <c r="D171" s="14" t="s">
        <v>961</v>
      </c>
      <c r="E171" s="14" t="s">
        <v>930</v>
      </c>
      <c r="F171" s="14" t="s">
        <v>931</v>
      </c>
      <c r="K171" s="115"/>
    </row>
    <row r="172" spans="2:15" x14ac:dyDescent="0.3">
      <c r="C172" s="15" t="str">
        <f>C168</f>
        <v>Лікар-фізіотерапевт</v>
      </c>
      <c r="D172" s="78">
        <f>J168</f>
        <v>1.23</v>
      </c>
      <c r="E172" s="73">
        <v>3</v>
      </c>
      <c r="F172" s="299">
        <f>ROUND(D172*E172,2)</f>
        <v>3.69</v>
      </c>
      <c r="K172" s="115"/>
    </row>
    <row r="173" spans="2:15" x14ac:dyDescent="0.3">
      <c r="C173" s="15" t="str">
        <f>C169</f>
        <v>Сестра медична з фізіотерапії</v>
      </c>
      <c r="D173" s="78">
        <f>J169</f>
        <v>0.85</v>
      </c>
      <c r="E173" s="73">
        <v>15</v>
      </c>
      <c r="F173" s="299">
        <f>ROUND(D173*E173,2)</f>
        <v>12.75</v>
      </c>
      <c r="K173" s="115"/>
    </row>
    <row r="174" spans="2:15" x14ac:dyDescent="0.3">
      <c r="D174" s="19"/>
      <c r="K174" s="115"/>
    </row>
    <row r="175" spans="2:15" x14ac:dyDescent="0.3">
      <c r="C175" s="17" t="s">
        <v>933</v>
      </c>
      <c r="D175" s="78">
        <f>F172+F173</f>
        <v>16.440000000000001</v>
      </c>
      <c r="E175" s="300">
        <v>0.22</v>
      </c>
      <c r="F175" s="301">
        <f>ROUND(D175*E175,2)</f>
        <v>3.62</v>
      </c>
      <c r="K175" s="115"/>
    </row>
    <row r="176" spans="2:15" x14ac:dyDescent="0.3">
      <c r="K176" s="115"/>
    </row>
    <row r="177" spans="2:15" x14ac:dyDescent="0.3">
      <c r="C177" s="12" t="s">
        <v>946</v>
      </c>
      <c r="D177" s="227"/>
      <c r="E177" s="227"/>
      <c r="F177" s="227">
        <f>G188</f>
        <v>9.43</v>
      </c>
      <c r="G177" s="227" t="s">
        <v>971</v>
      </c>
      <c r="K177" s="115"/>
    </row>
    <row r="178" spans="2:15" x14ac:dyDescent="0.3">
      <c r="K178" s="115"/>
    </row>
    <row r="179" spans="2:15" x14ac:dyDescent="0.3">
      <c r="C179" s="27" t="str">
        <f t="shared" ref="C179:F187" si="4">C126</f>
        <v>Антисептик для обробки рук</v>
      </c>
      <c r="D179" s="303" t="str">
        <f t="shared" si="4"/>
        <v>мл</v>
      </c>
      <c r="E179" s="303">
        <f t="shared" si="4"/>
        <v>1</v>
      </c>
      <c r="F179" s="303">
        <f t="shared" si="4"/>
        <v>0.375</v>
      </c>
      <c r="G179" s="228">
        <f>ROUND(F179*E179,2)</f>
        <v>0.38</v>
      </c>
      <c r="K179" s="115"/>
    </row>
    <row r="180" spans="2:15" x14ac:dyDescent="0.3">
      <c r="C180" s="27" t="str">
        <f t="shared" si="4"/>
        <v>Антисептик швидкої дії</v>
      </c>
      <c r="D180" s="303" t="str">
        <f t="shared" si="4"/>
        <v>мл</v>
      </c>
      <c r="E180" s="303">
        <f t="shared" si="4"/>
        <v>1</v>
      </c>
      <c r="F180" s="303">
        <f t="shared" si="4"/>
        <v>0.28799999999999998</v>
      </c>
      <c r="G180" s="228">
        <f>ROUND(F180*E180,2)</f>
        <v>0.28999999999999998</v>
      </c>
      <c r="K180" s="115"/>
    </row>
    <row r="181" spans="2:15" x14ac:dyDescent="0.3">
      <c r="C181" s="27" t="str">
        <f t="shared" si="4"/>
        <v>Вата 100 гр.</v>
      </c>
      <c r="D181" s="303" t="str">
        <f t="shared" si="4"/>
        <v>г</v>
      </c>
      <c r="E181" s="303">
        <f t="shared" si="4"/>
        <v>0.01</v>
      </c>
      <c r="F181" s="303">
        <f t="shared" si="4"/>
        <v>6.72</v>
      </c>
      <c r="G181" s="228">
        <f t="shared" ref="G181:G187" si="5">ROUND(F181*E181,2)</f>
        <v>7.0000000000000007E-2</v>
      </c>
      <c r="K181" s="115"/>
    </row>
    <row r="182" spans="2:15" x14ac:dyDescent="0.3">
      <c r="C182" s="27" t="str">
        <f t="shared" si="4"/>
        <v>Деззасоби</v>
      </c>
      <c r="D182" s="303" t="str">
        <f t="shared" si="4"/>
        <v>г</v>
      </c>
      <c r="E182" s="303">
        <f t="shared" si="4"/>
        <v>0.5</v>
      </c>
      <c r="F182" s="303">
        <f t="shared" si="4"/>
        <v>0.5</v>
      </c>
      <c r="G182" s="228">
        <f t="shared" si="5"/>
        <v>0.25</v>
      </c>
      <c r="K182" s="115"/>
    </row>
    <row r="183" spans="2:15" x14ac:dyDescent="0.3">
      <c r="C183" s="27" t="str">
        <f t="shared" si="4"/>
        <v>Маска одноразова тришарова на резинці</v>
      </c>
      <c r="D183" s="303" t="str">
        <f t="shared" si="4"/>
        <v>шт</v>
      </c>
      <c r="E183" s="303">
        <f t="shared" si="4"/>
        <v>1</v>
      </c>
      <c r="F183" s="303">
        <f t="shared" si="4"/>
        <v>2</v>
      </c>
      <c r="G183" s="228">
        <f t="shared" si="5"/>
        <v>2</v>
      </c>
      <c r="K183" s="115"/>
    </row>
    <row r="184" spans="2:15" x14ac:dyDescent="0.3">
      <c r="C184" s="27" t="str">
        <f t="shared" si="4"/>
        <v>Мило рідке</v>
      </c>
      <c r="D184" s="303" t="str">
        <f t="shared" si="4"/>
        <v>мл</v>
      </c>
      <c r="E184" s="303">
        <f t="shared" si="4"/>
        <v>1</v>
      </c>
      <c r="F184" s="303">
        <f t="shared" si="4"/>
        <v>0.19600000000000001</v>
      </c>
      <c r="G184" s="228">
        <f t="shared" si="5"/>
        <v>0.2</v>
      </c>
      <c r="K184" s="115"/>
    </row>
    <row r="185" spans="2:15" x14ac:dyDescent="0.3">
      <c r="C185" s="27" t="str">
        <f t="shared" si="4"/>
        <v>Рукавиці не стерильні</v>
      </c>
      <c r="D185" s="303" t="str">
        <f t="shared" si="4"/>
        <v>пара</v>
      </c>
      <c r="E185" s="303">
        <f t="shared" si="4"/>
        <v>0.1</v>
      </c>
      <c r="F185" s="303">
        <f t="shared" si="4"/>
        <v>7.39</v>
      </c>
      <c r="G185" s="228">
        <f t="shared" si="5"/>
        <v>0.74</v>
      </c>
      <c r="K185" s="115"/>
    </row>
    <row r="186" spans="2:15" s="184" customFormat="1" x14ac:dyDescent="0.3">
      <c r="B186" s="672"/>
      <c r="C186" s="27" t="str">
        <f t="shared" si="4"/>
        <v>Рушник паперовий</v>
      </c>
      <c r="D186" s="303" t="str">
        <f t="shared" si="4"/>
        <v>шт</v>
      </c>
      <c r="E186" s="303">
        <f t="shared" si="4"/>
        <v>0.3</v>
      </c>
      <c r="F186" s="303">
        <f t="shared" si="4"/>
        <v>17.5</v>
      </c>
      <c r="G186" s="228">
        <f t="shared" si="5"/>
        <v>5.25</v>
      </c>
      <c r="H186" s="74"/>
      <c r="I186" s="74"/>
      <c r="J186" s="74"/>
      <c r="K186" s="115"/>
      <c r="L186" s="189"/>
      <c r="M186" s="637"/>
      <c r="N186" s="180"/>
      <c r="O186" s="180"/>
    </row>
    <row r="187" spans="2:15" x14ac:dyDescent="0.3">
      <c r="C187" s="27" t="str">
        <f t="shared" si="4"/>
        <v xml:space="preserve">Спирт 70% 100мл </v>
      </c>
      <c r="D187" s="303" t="str">
        <f t="shared" si="4"/>
        <v>фл/гр.</v>
      </c>
      <c r="E187" s="303">
        <f t="shared" si="4"/>
        <v>0.01</v>
      </c>
      <c r="F187" s="303">
        <f t="shared" si="4"/>
        <v>24.6</v>
      </c>
      <c r="G187" s="228">
        <f t="shared" si="5"/>
        <v>0.25</v>
      </c>
      <c r="K187" s="115"/>
    </row>
    <row r="188" spans="2:15" x14ac:dyDescent="0.3">
      <c r="C188" s="1019" t="s">
        <v>945</v>
      </c>
      <c r="D188" s="1019"/>
      <c r="E188" s="1019"/>
      <c r="F188" s="1019"/>
      <c r="G188" s="332">
        <f>SUM(G179:G187)</f>
        <v>9.43</v>
      </c>
      <c r="K188" s="115"/>
    </row>
    <row r="189" spans="2:15" x14ac:dyDescent="0.3">
      <c r="K189" s="115"/>
    </row>
    <row r="190" spans="2:15" x14ac:dyDescent="0.3">
      <c r="C190" s="12" t="s">
        <v>968</v>
      </c>
      <c r="D190" s="227"/>
      <c r="E190" s="227"/>
      <c r="F190" s="298">
        <f>H193</f>
        <v>0.15</v>
      </c>
      <c r="G190" s="227" t="s">
        <v>971</v>
      </c>
      <c r="K190" s="115"/>
    </row>
    <row r="191" spans="2:15" x14ac:dyDescent="0.3">
      <c r="C191" s="22"/>
      <c r="D191" s="36"/>
      <c r="E191" s="36"/>
      <c r="F191" s="302"/>
      <c r="G191" s="36"/>
      <c r="K191" s="115"/>
    </row>
    <row r="192" spans="2:15" ht="27.6" x14ac:dyDescent="0.3">
      <c r="C192" s="14" t="s">
        <v>513</v>
      </c>
      <c r="D192" s="14" t="s">
        <v>969</v>
      </c>
      <c r="E192" s="14" t="s">
        <v>516</v>
      </c>
      <c r="F192" s="14" t="s">
        <v>970</v>
      </c>
      <c r="G192" s="14" t="s">
        <v>930</v>
      </c>
      <c r="H192" s="14" t="s">
        <v>961</v>
      </c>
      <c r="K192" s="115"/>
    </row>
    <row r="193" spans="3:11" x14ac:dyDescent="0.3">
      <c r="C193" s="17" t="s">
        <v>1107</v>
      </c>
      <c r="D193" s="73">
        <f>D140</f>
        <v>7000</v>
      </c>
      <c r="E193" s="73">
        <v>12562.55</v>
      </c>
      <c r="F193" s="73">
        <f>ROUND((D193/E193)/60,2)</f>
        <v>0.01</v>
      </c>
      <c r="G193" s="73">
        <f>E173</f>
        <v>15</v>
      </c>
      <c r="H193" s="78">
        <f>ROUND(F193*G193,2)</f>
        <v>0.15</v>
      </c>
      <c r="I193" s="333"/>
      <c r="K193" s="115"/>
    </row>
    <row r="194" spans="3:11" x14ac:dyDescent="0.3">
      <c r="K194" s="115"/>
    </row>
    <row r="195" spans="3:11" x14ac:dyDescent="0.3">
      <c r="C195" s="12" t="s">
        <v>948</v>
      </c>
      <c r="D195" s="227"/>
      <c r="E195" s="227"/>
      <c r="F195" s="298">
        <f>H208</f>
        <v>2.1599999999999997</v>
      </c>
      <c r="G195" s="227" t="s">
        <v>971</v>
      </c>
      <c r="K195" s="115"/>
    </row>
    <row r="196" spans="3:11" x14ac:dyDescent="0.3">
      <c r="C196" s="22"/>
      <c r="D196" s="36"/>
      <c r="E196" s="36"/>
      <c r="F196" s="302"/>
      <c r="K196" s="115"/>
    </row>
    <row r="197" spans="3:11" ht="41.4" x14ac:dyDescent="0.3">
      <c r="C197" s="14" t="s">
        <v>948</v>
      </c>
      <c r="D197" s="14" t="s">
        <v>955</v>
      </c>
      <c r="E197" s="14" t="s">
        <v>516</v>
      </c>
      <c r="F197" s="14" t="s">
        <v>954</v>
      </c>
      <c r="G197" s="14" t="s">
        <v>930</v>
      </c>
      <c r="H197" s="14" t="s">
        <v>956</v>
      </c>
      <c r="K197" s="115"/>
    </row>
    <row r="198" spans="3:11" x14ac:dyDescent="0.3">
      <c r="C198" s="1009" t="str">
        <f>C168</f>
        <v>Лікар-фізіотерапевт</v>
      </c>
      <c r="D198" s="1010"/>
      <c r="E198" s="1010"/>
      <c r="F198" s="1010"/>
      <c r="G198" s="1010"/>
      <c r="H198" s="1011"/>
      <c r="K198" s="115"/>
    </row>
    <row r="199" spans="3:11" x14ac:dyDescent="0.3">
      <c r="C199" s="17" t="s">
        <v>951</v>
      </c>
      <c r="D199" s="221">
        <f>D146</f>
        <v>12188.608008565312</v>
      </c>
      <c r="E199" s="73">
        <f>I168</f>
        <v>1932.7</v>
      </c>
      <c r="F199" s="73">
        <f>ROUND((D199/E199)/60,2)</f>
        <v>0.11</v>
      </c>
      <c r="G199" s="73">
        <f>E172</f>
        <v>3</v>
      </c>
      <c r="H199" s="78">
        <f>ROUND(F199*G199,2)</f>
        <v>0.33</v>
      </c>
      <c r="K199" s="115"/>
    </row>
    <row r="200" spans="3:11" x14ac:dyDescent="0.3">
      <c r="C200" s="17" t="s">
        <v>952</v>
      </c>
      <c r="D200" s="221">
        <f>D147</f>
        <v>53.149721627408987</v>
      </c>
      <c r="E200" s="73">
        <f>I168</f>
        <v>1932.7</v>
      </c>
      <c r="F200" s="73">
        <f>ROUND((D200/E200)/60,2)</f>
        <v>0</v>
      </c>
      <c r="G200" s="73">
        <f>E172</f>
        <v>3</v>
      </c>
      <c r="H200" s="78">
        <f>ROUND(F200*G200,2)</f>
        <v>0</v>
      </c>
      <c r="K200" s="115"/>
    </row>
    <row r="201" spans="3:11" x14ac:dyDescent="0.3">
      <c r="C201" s="17" t="s">
        <v>953</v>
      </c>
      <c r="D201" s="221">
        <f>D148</f>
        <v>374.98368308351178</v>
      </c>
      <c r="E201" s="73">
        <f>I168</f>
        <v>1932.7</v>
      </c>
      <c r="F201" s="73">
        <f>ROUND((D201/E201)/60,2)</f>
        <v>0</v>
      </c>
      <c r="G201" s="73">
        <f>E172</f>
        <v>3</v>
      </c>
      <c r="H201" s="78">
        <f>ROUND(F201*G201,2)</f>
        <v>0</v>
      </c>
      <c r="K201" s="115"/>
    </row>
    <row r="202" spans="3:11" x14ac:dyDescent="0.3">
      <c r="C202" s="17" t="s">
        <v>1109</v>
      </c>
      <c r="D202" s="221">
        <f>D149</f>
        <v>1686.0389293361886</v>
      </c>
      <c r="E202" s="73">
        <f>I168</f>
        <v>1932.7</v>
      </c>
      <c r="F202" s="73">
        <f>ROUND((D202/E202)/60,2)</f>
        <v>0.01</v>
      </c>
      <c r="G202" s="73">
        <f>E172</f>
        <v>3</v>
      </c>
      <c r="H202" s="78">
        <f>ROUND(F202*G202,2)</f>
        <v>0.03</v>
      </c>
      <c r="K202" s="115"/>
    </row>
    <row r="203" spans="3:11" x14ac:dyDescent="0.3">
      <c r="C203" s="1009" t="str">
        <f>C169</f>
        <v>Сестра медична з фізіотерапії</v>
      </c>
      <c r="D203" s="1010"/>
      <c r="E203" s="1010"/>
      <c r="F203" s="1010"/>
      <c r="G203" s="1010"/>
      <c r="H203" s="1011"/>
      <c r="K203" s="115"/>
    </row>
    <row r="204" spans="3:11" x14ac:dyDescent="0.3">
      <c r="C204" s="17" t="s">
        <v>951</v>
      </c>
      <c r="D204" s="221">
        <f>D199</f>
        <v>12188.608008565312</v>
      </c>
      <c r="E204" s="73">
        <f>I169</f>
        <v>1932.7</v>
      </c>
      <c r="F204" s="73">
        <f>ROUND((D204/E204)/60,2)</f>
        <v>0.11</v>
      </c>
      <c r="G204" s="73">
        <f>E173</f>
        <v>15</v>
      </c>
      <c r="H204" s="78">
        <f>ROUND(F204*G204,2)</f>
        <v>1.65</v>
      </c>
      <c r="K204" s="115"/>
    </row>
    <row r="205" spans="3:11" x14ac:dyDescent="0.3">
      <c r="C205" s="17" t="s">
        <v>952</v>
      </c>
      <c r="D205" s="221">
        <f>D200</f>
        <v>53.149721627408987</v>
      </c>
      <c r="E205" s="73">
        <f>I169</f>
        <v>1932.7</v>
      </c>
      <c r="F205" s="73">
        <f>ROUND((D205/E205)/60,2)</f>
        <v>0</v>
      </c>
      <c r="G205" s="73">
        <f>E173</f>
        <v>15</v>
      </c>
      <c r="H205" s="78">
        <f>ROUND(F205*G205,2)</f>
        <v>0</v>
      </c>
      <c r="K205" s="115"/>
    </row>
    <row r="206" spans="3:11" x14ac:dyDescent="0.3">
      <c r="C206" s="17" t="s">
        <v>953</v>
      </c>
      <c r="D206" s="221">
        <f>D201</f>
        <v>374.98368308351178</v>
      </c>
      <c r="E206" s="73">
        <f>I169</f>
        <v>1932.7</v>
      </c>
      <c r="F206" s="73">
        <f>ROUND((D206/E206)/60,2)</f>
        <v>0</v>
      </c>
      <c r="G206" s="73">
        <f>E173</f>
        <v>15</v>
      </c>
      <c r="H206" s="78">
        <f>ROUND(F206*G206,2)</f>
        <v>0</v>
      </c>
      <c r="K206" s="115"/>
    </row>
    <row r="207" spans="3:11" x14ac:dyDescent="0.3">
      <c r="C207" s="17" t="s">
        <v>1109</v>
      </c>
      <c r="D207" s="221">
        <f>D202</f>
        <v>1686.0389293361886</v>
      </c>
      <c r="E207" s="73">
        <f>I168</f>
        <v>1932.7</v>
      </c>
      <c r="F207" s="73">
        <f>ROUND((D207/E207)/60,2)</f>
        <v>0.01</v>
      </c>
      <c r="G207" s="73">
        <f>E173</f>
        <v>15</v>
      </c>
      <c r="H207" s="78">
        <f>ROUND(F207*G207,2)</f>
        <v>0.15</v>
      </c>
      <c r="K207" s="115"/>
    </row>
    <row r="208" spans="3:11" x14ac:dyDescent="0.3">
      <c r="C208" s="1012" t="s">
        <v>957</v>
      </c>
      <c r="D208" s="1013"/>
      <c r="E208" s="1013"/>
      <c r="F208" s="1013"/>
      <c r="G208" s="1014"/>
      <c r="H208" s="299">
        <f>SUM(H199:H207)</f>
        <v>2.1599999999999997</v>
      </c>
      <c r="K208" s="115"/>
    </row>
    <row r="209" spans="2:15" x14ac:dyDescent="0.3">
      <c r="K209" s="115"/>
    </row>
    <row r="210" spans="2:15" x14ac:dyDescent="0.3">
      <c r="C210" s="1015" t="s">
        <v>959</v>
      </c>
      <c r="D210" s="1015"/>
      <c r="E210" s="1015"/>
      <c r="F210" s="1015"/>
      <c r="G210" s="1015"/>
      <c r="H210" s="334">
        <f>F165+F177+F195+F190</f>
        <v>31.8</v>
      </c>
      <c r="K210" s="115"/>
    </row>
    <row r="211" spans="2:15" x14ac:dyDescent="0.3">
      <c r="C211" s="33"/>
      <c r="D211" s="33"/>
      <c r="E211" s="33"/>
      <c r="F211" s="33"/>
      <c r="G211" s="33"/>
      <c r="H211" s="335"/>
      <c r="K211" s="115"/>
    </row>
    <row r="212" spans="2:15" x14ac:dyDescent="0.3">
      <c r="C212" s="1015" t="s">
        <v>960</v>
      </c>
      <c r="D212" s="1015"/>
      <c r="E212" s="1015"/>
      <c r="F212" s="1015"/>
      <c r="G212" s="1015"/>
      <c r="H212" s="334">
        <f>ROUND(H210,0)</f>
        <v>32</v>
      </c>
      <c r="K212" s="115"/>
    </row>
    <row r="213" spans="2:15" x14ac:dyDescent="0.3">
      <c r="K213" s="115"/>
    </row>
    <row r="214" spans="2:15" x14ac:dyDescent="0.3">
      <c r="K214" s="115"/>
    </row>
    <row r="215" spans="2:15" s="54" customFormat="1" ht="19.8" x14ac:dyDescent="0.4">
      <c r="B215" s="1016" t="s">
        <v>958</v>
      </c>
      <c r="C215" s="1016"/>
      <c r="D215" s="1016"/>
      <c r="E215" s="1016"/>
      <c r="F215" s="1016"/>
      <c r="G215" s="1016"/>
      <c r="H215" s="1016"/>
      <c r="I215" s="1016"/>
      <c r="J215" s="1016"/>
      <c r="K215" s="115"/>
      <c r="L215" s="114"/>
      <c r="M215" s="636"/>
      <c r="N215" s="7"/>
      <c r="O215" s="53"/>
    </row>
    <row r="216" spans="2:15" x14ac:dyDescent="0.3">
      <c r="K216" s="115"/>
    </row>
    <row r="217" spans="2:15" s="54" customFormat="1" ht="19.8" x14ac:dyDescent="0.4">
      <c r="B217" s="669" t="s">
        <v>851</v>
      </c>
      <c r="C217" s="1017" t="s">
        <v>483</v>
      </c>
      <c r="D217" s="1017"/>
      <c r="E217" s="1017"/>
      <c r="F217" s="653">
        <f>H263</f>
        <v>51</v>
      </c>
      <c r="G217" s="296" t="s">
        <v>971</v>
      </c>
      <c r="H217" s="225"/>
      <c r="I217" s="225"/>
      <c r="J217" s="225"/>
      <c r="K217" s="115"/>
      <c r="L217" s="114"/>
      <c r="M217" s="636"/>
      <c r="N217" s="7"/>
      <c r="O217" s="53"/>
    </row>
    <row r="218" spans="2:15" x14ac:dyDescent="0.3">
      <c r="K218" s="115"/>
    </row>
    <row r="219" spans="2:15" x14ac:dyDescent="0.3">
      <c r="C219" s="1018" t="s">
        <v>932</v>
      </c>
      <c r="D219" s="1018"/>
      <c r="E219" s="297"/>
      <c r="F219" s="298">
        <f>F226+F229+F227</f>
        <v>35.61</v>
      </c>
      <c r="G219" s="227" t="s">
        <v>971</v>
      </c>
      <c r="K219" s="115"/>
    </row>
    <row r="220" spans="2:15" x14ac:dyDescent="0.3">
      <c r="K220" s="115"/>
    </row>
    <row r="221" spans="2:15" ht="27.6" x14ac:dyDescent="0.3">
      <c r="C221" s="13" t="s">
        <v>929</v>
      </c>
      <c r="D221" s="14" t="s">
        <v>928</v>
      </c>
      <c r="E221" s="14" t="s">
        <v>514</v>
      </c>
      <c r="F221" s="14" t="s">
        <v>515</v>
      </c>
      <c r="G221" s="14" t="s">
        <v>962</v>
      </c>
      <c r="H221" s="14" t="s">
        <v>926</v>
      </c>
      <c r="I221" s="14" t="s">
        <v>516</v>
      </c>
      <c r="J221" s="14" t="s">
        <v>961</v>
      </c>
      <c r="K221" s="115"/>
    </row>
    <row r="222" spans="2:15" x14ac:dyDescent="0.3">
      <c r="C222" s="17" t="str">
        <f>C168</f>
        <v>Лікар-фізіотерапевт</v>
      </c>
      <c r="D222" s="78">
        <f>D168</f>
        <v>10799.43</v>
      </c>
      <c r="E222" s="78">
        <f>D222*12</f>
        <v>129593.16</v>
      </c>
      <c r="F222" s="78">
        <f>F168</f>
        <v>8307.26</v>
      </c>
      <c r="G222" s="78">
        <f>G168</f>
        <v>4153.63</v>
      </c>
      <c r="H222" s="78">
        <f>E222+F222+G222</f>
        <v>142054.05000000002</v>
      </c>
      <c r="I222" s="73">
        <v>1932.7</v>
      </c>
      <c r="J222" s="78">
        <f>ROUND((H222/I222)/60,2)</f>
        <v>1.23</v>
      </c>
      <c r="K222" s="115"/>
    </row>
    <row r="223" spans="2:15" x14ac:dyDescent="0.3">
      <c r="C223" s="17" t="str">
        <f>C169</f>
        <v>Сестра медична з фізіотерапії</v>
      </c>
      <c r="D223" s="78">
        <f>D169</f>
        <v>7482.48</v>
      </c>
      <c r="E223" s="78">
        <f>D223*12</f>
        <v>89789.759999999995</v>
      </c>
      <c r="F223" s="78">
        <f>F169</f>
        <v>5755.75</v>
      </c>
      <c r="G223" s="78">
        <f>G169</f>
        <v>2877.875</v>
      </c>
      <c r="H223" s="78">
        <f>E223+F223+G223</f>
        <v>98423.384999999995</v>
      </c>
      <c r="I223" s="73">
        <v>1932.7</v>
      </c>
      <c r="J223" s="78">
        <f>ROUND((H223/I223)/60,2)</f>
        <v>0.85</v>
      </c>
      <c r="K223" s="115"/>
    </row>
    <row r="224" spans="2:15" x14ac:dyDescent="0.3">
      <c r="K224" s="115"/>
    </row>
    <row r="225" spans="2:15" ht="27.6" x14ac:dyDescent="0.3">
      <c r="C225" s="13" t="s">
        <v>929</v>
      </c>
      <c r="D225" s="14" t="s">
        <v>961</v>
      </c>
      <c r="E225" s="14" t="s">
        <v>930</v>
      </c>
      <c r="F225" s="14" t="s">
        <v>931</v>
      </c>
      <c r="K225" s="115"/>
    </row>
    <row r="226" spans="2:15" x14ac:dyDescent="0.3">
      <c r="C226" s="15" t="str">
        <f>C222</f>
        <v>Лікар-фізіотерапевт</v>
      </c>
      <c r="D226" s="78">
        <f>J222</f>
        <v>1.23</v>
      </c>
      <c r="E226" s="73">
        <v>3</v>
      </c>
      <c r="F226" s="299">
        <f>ROUND(D226*E226,2)</f>
        <v>3.69</v>
      </c>
      <c r="K226" s="115"/>
    </row>
    <row r="227" spans="2:15" x14ac:dyDescent="0.3">
      <c r="C227" s="15" t="str">
        <f>C223</f>
        <v>Сестра медична з фізіотерапії</v>
      </c>
      <c r="D227" s="78">
        <f>J223</f>
        <v>0.85</v>
      </c>
      <c r="E227" s="73">
        <v>30</v>
      </c>
      <c r="F227" s="299">
        <f>ROUND(D227*E227,2)</f>
        <v>25.5</v>
      </c>
      <c r="K227" s="115"/>
    </row>
    <row r="228" spans="2:15" x14ac:dyDescent="0.3">
      <c r="D228" s="19"/>
      <c r="K228" s="115"/>
    </row>
    <row r="229" spans="2:15" x14ac:dyDescent="0.3">
      <c r="C229" s="17" t="s">
        <v>933</v>
      </c>
      <c r="D229" s="78">
        <f>F226+F227</f>
        <v>29.19</v>
      </c>
      <c r="E229" s="300">
        <v>0.22</v>
      </c>
      <c r="F229" s="301">
        <f>ROUND(D229*E229,2)</f>
        <v>6.42</v>
      </c>
      <c r="K229" s="115"/>
    </row>
    <row r="230" spans="2:15" x14ac:dyDescent="0.3">
      <c r="K230" s="115"/>
    </row>
    <row r="231" spans="2:15" x14ac:dyDescent="0.3">
      <c r="C231" s="12" t="s">
        <v>946</v>
      </c>
      <c r="D231" s="227"/>
      <c r="E231" s="227"/>
      <c r="F231" s="227">
        <f>G239</f>
        <v>10.66</v>
      </c>
      <c r="G231" s="227" t="s">
        <v>971</v>
      </c>
      <c r="K231" s="115"/>
    </row>
    <row r="232" spans="2:15" x14ac:dyDescent="0.3">
      <c r="K232" s="115"/>
    </row>
    <row r="233" spans="2:15" x14ac:dyDescent="0.3">
      <c r="C233" s="27" t="str">
        <f t="shared" ref="C233:F234" si="6">C179</f>
        <v>Антисептик для обробки рук</v>
      </c>
      <c r="D233" s="303" t="str">
        <f t="shared" si="6"/>
        <v>мл</v>
      </c>
      <c r="E233" s="303">
        <f t="shared" si="6"/>
        <v>1</v>
      </c>
      <c r="F233" s="303">
        <f t="shared" si="6"/>
        <v>0.375</v>
      </c>
      <c r="G233" s="228">
        <f t="shared" ref="G233:G238" si="7">ROUND(F233*E233,2)</f>
        <v>0.38</v>
      </c>
      <c r="K233" s="115"/>
    </row>
    <row r="234" spans="2:15" x14ac:dyDescent="0.3">
      <c r="C234" s="27" t="str">
        <f t="shared" si="6"/>
        <v>Антисептик швидкої дії</v>
      </c>
      <c r="D234" s="303" t="str">
        <f t="shared" si="6"/>
        <v>мл</v>
      </c>
      <c r="E234" s="303">
        <f t="shared" si="6"/>
        <v>1</v>
      </c>
      <c r="F234" s="303">
        <f t="shared" si="6"/>
        <v>0.28799999999999998</v>
      </c>
      <c r="G234" s="228">
        <f t="shared" si="7"/>
        <v>0.28999999999999998</v>
      </c>
      <c r="K234" s="115"/>
    </row>
    <row r="235" spans="2:15" x14ac:dyDescent="0.3">
      <c r="C235" s="27" t="str">
        <f>C183</f>
        <v>Маска одноразова тришарова на резинці</v>
      </c>
      <c r="D235" s="303" t="str">
        <f>D183</f>
        <v>шт</v>
      </c>
      <c r="E235" s="303">
        <f>E183</f>
        <v>1</v>
      </c>
      <c r="F235" s="303">
        <f>F183</f>
        <v>2</v>
      </c>
      <c r="G235" s="228">
        <f t="shared" si="7"/>
        <v>2</v>
      </c>
      <c r="K235" s="115"/>
    </row>
    <row r="236" spans="2:15" x14ac:dyDescent="0.3">
      <c r="C236" s="27" t="str">
        <f t="shared" ref="C236:F237" si="8">C185</f>
        <v>Рукавиці не стерильні</v>
      </c>
      <c r="D236" s="303" t="str">
        <f t="shared" si="8"/>
        <v>пара</v>
      </c>
      <c r="E236" s="303">
        <f t="shared" si="8"/>
        <v>0.1</v>
      </c>
      <c r="F236" s="303">
        <f t="shared" si="8"/>
        <v>7.39</v>
      </c>
      <c r="G236" s="228">
        <f t="shared" si="7"/>
        <v>0.74</v>
      </c>
      <c r="K236" s="115"/>
    </row>
    <row r="237" spans="2:15" s="184" customFormat="1" x14ac:dyDescent="0.3">
      <c r="B237" s="672"/>
      <c r="C237" s="27" t="str">
        <f t="shared" si="8"/>
        <v>Рушник паперовий</v>
      </c>
      <c r="D237" s="303" t="str">
        <f t="shared" si="8"/>
        <v>шт</v>
      </c>
      <c r="E237" s="303">
        <f t="shared" si="8"/>
        <v>0.3</v>
      </c>
      <c r="F237" s="303">
        <f t="shared" si="8"/>
        <v>17.5</v>
      </c>
      <c r="G237" s="228">
        <f t="shared" si="7"/>
        <v>5.25</v>
      </c>
      <c r="H237" s="74"/>
      <c r="I237" s="74"/>
      <c r="J237" s="74"/>
      <c r="K237" s="115"/>
      <c r="L237" s="189"/>
      <c r="M237" s="637"/>
      <c r="N237" s="180"/>
      <c r="O237" s="180"/>
    </row>
    <row r="238" spans="2:15" x14ac:dyDescent="0.3">
      <c r="C238" s="27" t="str">
        <f>'МЕДИЧНІ М'!B315</f>
        <v>Бахіли одноразові</v>
      </c>
      <c r="D238" s="303" t="str">
        <f>'МЕДИЧНІ М'!D315</f>
        <v>шт</v>
      </c>
      <c r="E238" s="303">
        <v>1</v>
      </c>
      <c r="F238" s="303">
        <f>'МЕДИЧНІ М'!F315</f>
        <v>2</v>
      </c>
      <c r="G238" s="228">
        <f t="shared" si="7"/>
        <v>2</v>
      </c>
      <c r="K238" s="115"/>
    </row>
    <row r="239" spans="2:15" x14ac:dyDescent="0.3">
      <c r="C239" s="1012" t="s">
        <v>945</v>
      </c>
      <c r="D239" s="1013"/>
      <c r="E239" s="1013"/>
      <c r="F239" s="1014"/>
      <c r="G239" s="332">
        <f>SUM(G233:G238)</f>
        <v>10.66</v>
      </c>
      <c r="K239" s="115"/>
    </row>
    <row r="240" spans="2:15" x14ac:dyDescent="0.3">
      <c r="K240" s="115"/>
    </row>
    <row r="241" spans="3:11" x14ac:dyDescent="0.3">
      <c r="C241" s="12" t="s">
        <v>968</v>
      </c>
      <c r="D241" s="227"/>
      <c r="E241" s="227"/>
      <c r="F241" s="298">
        <f>H244</f>
        <v>0.3</v>
      </c>
      <c r="G241" s="227" t="s">
        <v>971</v>
      </c>
      <c r="K241" s="115"/>
    </row>
    <row r="242" spans="3:11" x14ac:dyDescent="0.3">
      <c r="C242" s="22"/>
      <c r="D242" s="36"/>
      <c r="E242" s="36"/>
      <c r="F242" s="302"/>
      <c r="G242" s="36"/>
      <c r="K242" s="115"/>
    </row>
    <row r="243" spans="3:11" ht="27.6" x14ac:dyDescent="0.3">
      <c r="C243" s="14" t="s">
        <v>513</v>
      </c>
      <c r="D243" s="14" t="s">
        <v>969</v>
      </c>
      <c r="E243" s="14" t="s">
        <v>516</v>
      </c>
      <c r="F243" s="14" t="s">
        <v>970</v>
      </c>
      <c r="G243" s="14" t="s">
        <v>930</v>
      </c>
      <c r="H243" s="14" t="s">
        <v>961</v>
      </c>
      <c r="K243" s="115"/>
    </row>
    <row r="244" spans="3:11" x14ac:dyDescent="0.3">
      <c r="C244" s="17" t="s">
        <v>1107</v>
      </c>
      <c r="D244" s="73">
        <f>D193</f>
        <v>7000</v>
      </c>
      <c r="E244" s="73">
        <v>12562.55</v>
      </c>
      <c r="F244" s="73">
        <f>ROUND((D244/E244)/60,2)</f>
        <v>0.01</v>
      </c>
      <c r="G244" s="73">
        <f>E227</f>
        <v>30</v>
      </c>
      <c r="H244" s="78">
        <f>ROUND(F244*G244,2)</f>
        <v>0.3</v>
      </c>
      <c r="I244" s="333"/>
      <c r="K244" s="115"/>
    </row>
    <row r="245" spans="3:11" x14ac:dyDescent="0.3">
      <c r="K245" s="115"/>
    </row>
    <row r="246" spans="3:11" x14ac:dyDescent="0.3">
      <c r="C246" s="12" t="s">
        <v>948</v>
      </c>
      <c r="D246" s="227"/>
      <c r="E246" s="227"/>
      <c r="F246" s="298">
        <f>H259</f>
        <v>3.9599999999999995</v>
      </c>
      <c r="G246" s="227" t="s">
        <v>971</v>
      </c>
      <c r="K246" s="115"/>
    </row>
    <row r="247" spans="3:11" x14ac:dyDescent="0.3">
      <c r="C247" s="22"/>
      <c r="D247" s="36"/>
      <c r="E247" s="36"/>
      <c r="F247" s="302"/>
      <c r="K247" s="115"/>
    </row>
    <row r="248" spans="3:11" ht="41.4" x14ac:dyDescent="0.3">
      <c r="C248" s="14" t="s">
        <v>948</v>
      </c>
      <c r="D248" s="14" t="s">
        <v>955</v>
      </c>
      <c r="E248" s="14" t="s">
        <v>516</v>
      </c>
      <c r="F248" s="14" t="s">
        <v>954</v>
      </c>
      <c r="G248" s="14" t="s">
        <v>930</v>
      </c>
      <c r="H248" s="14" t="s">
        <v>956</v>
      </c>
      <c r="K248" s="115"/>
    </row>
    <row r="249" spans="3:11" x14ac:dyDescent="0.3">
      <c r="C249" s="1009" t="str">
        <f>C222</f>
        <v>Лікар-фізіотерапевт</v>
      </c>
      <c r="D249" s="1010"/>
      <c r="E249" s="1010"/>
      <c r="F249" s="1010"/>
      <c r="G249" s="1010"/>
      <c r="H249" s="1011"/>
      <c r="K249" s="115"/>
    </row>
    <row r="250" spans="3:11" x14ac:dyDescent="0.3">
      <c r="C250" s="17" t="s">
        <v>951</v>
      </c>
      <c r="D250" s="221">
        <f>D199</f>
        <v>12188.608008565312</v>
      </c>
      <c r="E250" s="73">
        <f>I222</f>
        <v>1932.7</v>
      </c>
      <c r="F250" s="73">
        <f>ROUND((D250/E250)/60,2)</f>
        <v>0.11</v>
      </c>
      <c r="G250" s="73">
        <f>E226</f>
        <v>3</v>
      </c>
      <c r="H250" s="78">
        <f>ROUND(F250*G250,2)</f>
        <v>0.33</v>
      </c>
      <c r="K250" s="115"/>
    </row>
    <row r="251" spans="3:11" x14ac:dyDescent="0.3">
      <c r="C251" s="17" t="s">
        <v>952</v>
      </c>
      <c r="D251" s="221">
        <f>D200</f>
        <v>53.149721627408987</v>
      </c>
      <c r="E251" s="73">
        <f>I222</f>
        <v>1932.7</v>
      </c>
      <c r="F251" s="73">
        <f>ROUND((D251/E251)/60,2)</f>
        <v>0</v>
      </c>
      <c r="G251" s="73">
        <f>E226</f>
        <v>3</v>
      </c>
      <c r="H251" s="78">
        <f>ROUND(F251*G251,2)</f>
        <v>0</v>
      </c>
      <c r="K251" s="115"/>
    </row>
    <row r="252" spans="3:11" x14ac:dyDescent="0.3">
      <c r="C252" s="17" t="s">
        <v>953</v>
      </c>
      <c r="D252" s="221">
        <f>D201</f>
        <v>374.98368308351178</v>
      </c>
      <c r="E252" s="73">
        <f>I222</f>
        <v>1932.7</v>
      </c>
      <c r="F252" s="73">
        <f>ROUND((D252/E252)/60,2)</f>
        <v>0</v>
      </c>
      <c r="G252" s="73">
        <f>E226</f>
        <v>3</v>
      </c>
      <c r="H252" s="78">
        <f>ROUND(F252*G252,2)</f>
        <v>0</v>
      </c>
      <c r="K252" s="115"/>
    </row>
    <row r="253" spans="3:11" x14ac:dyDescent="0.3">
      <c r="C253" s="17" t="s">
        <v>1109</v>
      </c>
      <c r="D253" s="221">
        <f>D202</f>
        <v>1686.0389293361886</v>
      </c>
      <c r="E253" s="73">
        <f>I222</f>
        <v>1932.7</v>
      </c>
      <c r="F253" s="73">
        <f>ROUND((D253/E253)/60,2)</f>
        <v>0.01</v>
      </c>
      <c r="G253" s="73">
        <f>E226</f>
        <v>3</v>
      </c>
      <c r="H253" s="78">
        <f>ROUND(F253*G253,2)</f>
        <v>0.03</v>
      </c>
      <c r="K253" s="115"/>
    </row>
    <row r="254" spans="3:11" x14ac:dyDescent="0.3">
      <c r="C254" s="1009" t="str">
        <f>C223</f>
        <v>Сестра медична з фізіотерапії</v>
      </c>
      <c r="D254" s="1010"/>
      <c r="E254" s="1010"/>
      <c r="F254" s="1010"/>
      <c r="G254" s="1010"/>
      <c r="H254" s="1011"/>
      <c r="K254" s="115"/>
    </row>
    <row r="255" spans="3:11" x14ac:dyDescent="0.3">
      <c r="C255" s="17" t="s">
        <v>951</v>
      </c>
      <c r="D255" s="221">
        <f>D250</f>
        <v>12188.608008565312</v>
      </c>
      <c r="E255" s="73">
        <f>I223</f>
        <v>1932.7</v>
      </c>
      <c r="F255" s="73">
        <f>ROUND((D255/E255)/60,2)</f>
        <v>0.11</v>
      </c>
      <c r="G255" s="73">
        <f>E227</f>
        <v>30</v>
      </c>
      <c r="H255" s="78">
        <f>ROUND(F255*G255,2)</f>
        <v>3.3</v>
      </c>
      <c r="K255" s="115"/>
    </row>
    <row r="256" spans="3:11" x14ac:dyDescent="0.3">
      <c r="C256" s="17" t="s">
        <v>952</v>
      </c>
      <c r="D256" s="221">
        <f>D251</f>
        <v>53.149721627408987</v>
      </c>
      <c r="E256" s="73">
        <f>I223</f>
        <v>1932.7</v>
      </c>
      <c r="F256" s="73">
        <f>ROUND((D256/E256)/60,2)</f>
        <v>0</v>
      </c>
      <c r="G256" s="73">
        <f>E227</f>
        <v>30</v>
      </c>
      <c r="H256" s="78">
        <f>ROUND(F256*G256,2)</f>
        <v>0</v>
      </c>
      <c r="K256" s="115"/>
    </row>
    <row r="257" spans="2:15" x14ac:dyDescent="0.3">
      <c r="C257" s="17" t="s">
        <v>953</v>
      </c>
      <c r="D257" s="221">
        <f>D252</f>
        <v>374.98368308351178</v>
      </c>
      <c r="E257" s="73">
        <f>I223</f>
        <v>1932.7</v>
      </c>
      <c r="F257" s="73">
        <f>ROUND((D257/E257)/60,2)</f>
        <v>0</v>
      </c>
      <c r="G257" s="73">
        <f>E227</f>
        <v>30</v>
      </c>
      <c r="H257" s="78">
        <f>ROUND(F257*G257,2)</f>
        <v>0</v>
      </c>
      <c r="K257" s="115"/>
    </row>
    <row r="258" spans="2:15" x14ac:dyDescent="0.3">
      <c r="C258" s="17" t="s">
        <v>1109</v>
      </c>
      <c r="D258" s="221">
        <f>D253</f>
        <v>1686.0389293361886</v>
      </c>
      <c r="E258" s="73">
        <f>I222</f>
        <v>1932.7</v>
      </c>
      <c r="F258" s="73">
        <f>ROUND((D258/E258)/60,2)</f>
        <v>0.01</v>
      </c>
      <c r="G258" s="73">
        <f>E227</f>
        <v>30</v>
      </c>
      <c r="H258" s="78">
        <f>ROUND(F258*G258,2)</f>
        <v>0.3</v>
      </c>
      <c r="K258" s="115"/>
    </row>
    <row r="259" spans="2:15" x14ac:dyDescent="0.3">
      <c r="C259" s="1012" t="s">
        <v>957</v>
      </c>
      <c r="D259" s="1013"/>
      <c r="E259" s="1013"/>
      <c r="F259" s="1013"/>
      <c r="G259" s="1014"/>
      <c r="H259" s="299">
        <f>SUM(H250:H258)</f>
        <v>3.9599999999999995</v>
      </c>
      <c r="K259" s="115"/>
    </row>
    <row r="260" spans="2:15" x14ac:dyDescent="0.3">
      <c r="K260" s="115"/>
    </row>
    <row r="261" spans="2:15" x14ac:dyDescent="0.3">
      <c r="C261" s="1068" t="s">
        <v>959</v>
      </c>
      <c r="D261" s="1069"/>
      <c r="E261" s="1069"/>
      <c r="F261" s="1069"/>
      <c r="G261" s="1070"/>
      <c r="H261" s="334">
        <f>F219+F231+F246+F241</f>
        <v>50.529999999999994</v>
      </c>
      <c r="K261" s="115"/>
    </row>
    <row r="262" spans="2:15" x14ac:dyDescent="0.3">
      <c r="C262" s="33"/>
      <c r="D262" s="33"/>
      <c r="E262" s="33"/>
      <c r="F262" s="33"/>
      <c r="G262" s="33"/>
      <c r="H262" s="335"/>
      <c r="K262" s="115"/>
    </row>
    <row r="263" spans="2:15" x14ac:dyDescent="0.3">
      <c r="C263" s="1068" t="s">
        <v>960</v>
      </c>
      <c r="D263" s="1069"/>
      <c r="E263" s="1069"/>
      <c r="F263" s="1069"/>
      <c r="G263" s="1070"/>
      <c r="H263" s="334">
        <f>ROUND(H261,0)</f>
        <v>51</v>
      </c>
      <c r="K263" s="115"/>
    </row>
    <row r="264" spans="2:15" x14ac:dyDescent="0.3">
      <c r="K264" s="115"/>
    </row>
    <row r="265" spans="2:15" ht="3.75" customHeight="1" x14ac:dyDescent="0.3">
      <c r="K265" s="115"/>
    </row>
    <row r="266" spans="2:15" ht="3.75" customHeight="1" x14ac:dyDescent="0.3">
      <c r="K266" s="115"/>
    </row>
    <row r="267" spans="2:15" s="54" customFormat="1" ht="19.8" x14ac:dyDescent="0.4">
      <c r="B267" s="1016" t="s">
        <v>958</v>
      </c>
      <c r="C267" s="1016"/>
      <c r="D267" s="1016"/>
      <c r="E267" s="1016"/>
      <c r="F267" s="1016"/>
      <c r="G267" s="1016"/>
      <c r="H267" s="1016"/>
      <c r="I267" s="1016"/>
      <c r="J267" s="1016"/>
      <c r="K267" s="115"/>
      <c r="L267" s="114"/>
      <c r="M267" s="636"/>
      <c r="N267" s="7"/>
      <c r="O267" s="53"/>
    </row>
    <row r="268" spans="2:15" ht="3" customHeight="1" x14ac:dyDescent="0.3">
      <c r="K268" s="115"/>
    </row>
    <row r="269" spans="2:15" s="54" customFormat="1" ht="36.75" customHeight="1" x14ac:dyDescent="0.4">
      <c r="B269" s="669" t="s">
        <v>853</v>
      </c>
      <c r="C269" s="1033" t="s">
        <v>480</v>
      </c>
      <c r="D269" s="1033"/>
      <c r="E269" s="1033"/>
      <c r="F269" s="653">
        <f>H319</f>
        <v>26</v>
      </c>
      <c r="G269" s="296" t="s">
        <v>971</v>
      </c>
      <c r="H269" s="225"/>
      <c r="I269" s="225"/>
      <c r="J269" s="225"/>
      <c r="K269" s="115"/>
      <c r="L269" s="114"/>
      <c r="M269" s="636"/>
      <c r="N269" s="7"/>
      <c r="O269" s="53"/>
    </row>
    <row r="270" spans="2:15" ht="16.5" customHeight="1" x14ac:dyDescent="0.3">
      <c r="K270" s="115"/>
    </row>
    <row r="271" spans="2:15" x14ac:dyDescent="0.3">
      <c r="C271" s="1018" t="s">
        <v>932</v>
      </c>
      <c r="D271" s="1018"/>
      <c r="E271" s="297"/>
      <c r="F271" s="298">
        <f>F278+F281+F279</f>
        <v>14.870000000000001</v>
      </c>
      <c r="G271" s="227" t="s">
        <v>971</v>
      </c>
      <c r="K271" s="115"/>
    </row>
    <row r="272" spans="2:15" ht="4.5" customHeight="1" x14ac:dyDescent="0.3">
      <c r="K272" s="115"/>
    </row>
    <row r="273" spans="3:11" ht="27.6" x14ac:dyDescent="0.3">
      <c r="C273" s="13" t="s">
        <v>929</v>
      </c>
      <c r="D273" s="14" t="s">
        <v>928</v>
      </c>
      <c r="E273" s="14" t="s">
        <v>514</v>
      </c>
      <c r="F273" s="14" t="s">
        <v>515</v>
      </c>
      <c r="G273" s="14" t="s">
        <v>962</v>
      </c>
      <c r="H273" s="14" t="s">
        <v>926</v>
      </c>
      <c r="I273" s="14" t="s">
        <v>516</v>
      </c>
      <c r="J273" s="14" t="s">
        <v>961</v>
      </c>
      <c r="K273" s="115"/>
    </row>
    <row r="274" spans="3:11" x14ac:dyDescent="0.3">
      <c r="C274" s="17" t="str">
        <f>C222</f>
        <v>Лікар-фізіотерапевт</v>
      </c>
      <c r="D274" s="78">
        <f>D222</f>
        <v>10799.43</v>
      </c>
      <c r="E274" s="78">
        <f>D274*12</f>
        <v>129593.16</v>
      </c>
      <c r="F274" s="78">
        <f>F222</f>
        <v>8307.26</v>
      </c>
      <c r="G274" s="78">
        <f>G222</f>
        <v>4153.63</v>
      </c>
      <c r="H274" s="78">
        <f>E274+F274+G274</f>
        <v>142054.05000000002</v>
      </c>
      <c r="I274" s="73">
        <v>1932.7</v>
      </c>
      <c r="J274" s="78">
        <f>ROUND((H274/I274)/60,2)</f>
        <v>1.23</v>
      </c>
      <c r="K274" s="115"/>
    </row>
    <row r="275" spans="3:11" x14ac:dyDescent="0.3">
      <c r="C275" s="17" t="str">
        <f>C223</f>
        <v>Сестра медична з фізіотерапії</v>
      </c>
      <c r="D275" s="78">
        <f>D223</f>
        <v>7482.48</v>
      </c>
      <c r="E275" s="78">
        <f>D275*12</f>
        <v>89789.759999999995</v>
      </c>
      <c r="F275" s="78">
        <f>F223</f>
        <v>5755.75</v>
      </c>
      <c r="G275" s="78">
        <f>G223</f>
        <v>2877.875</v>
      </c>
      <c r="H275" s="78">
        <f>E275+F275+G275</f>
        <v>98423.384999999995</v>
      </c>
      <c r="I275" s="73">
        <v>1932.7</v>
      </c>
      <c r="J275" s="78">
        <f>ROUND((H275/I275)/60,2)</f>
        <v>0.85</v>
      </c>
      <c r="K275" s="115"/>
    </row>
    <row r="276" spans="3:11" ht="5.25" customHeight="1" x14ac:dyDescent="0.3">
      <c r="K276" s="115"/>
    </row>
    <row r="277" spans="3:11" ht="27.6" x14ac:dyDescent="0.3">
      <c r="C277" s="13" t="s">
        <v>929</v>
      </c>
      <c r="D277" s="14" t="s">
        <v>961</v>
      </c>
      <c r="E277" s="14" t="s">
        <v>930</v>
      </c>
      <c r="F277" s="14" t="s">
        <v>931</v>
      </c>
      <c r="K277" s="115"/>
    </row>
    <row r="278" spans="3:11" x14ac:dyDescent="0.3">
      <c r="C278" s="15" t="str">
        <f>C274</f>
        <v>Лікар-фізіотерапевт</v>
      </c>
      <c r="D278" s="78">
        <f>J274</f>
        <v>1.23</v>
      </c>
      <c r="E278" s="73">
        <v>3</v>
      </c>
      <c r="F278" s="299">
        <f>ROUND(D278*E278,2)</f>
        <v>3.69</v>
      </c>
      <c r="K278" s="115"/>
    </row>
    <row r="279" spans="3:11" x14ac:dyDescent="0.3">
      <c r="C279" s="15" t="str">
        <f>C275</f>
        <v>Сестра медична з фізіотерапії</v>
      </c>
      <c r="D279" s="78">
        <f>J275</f>
        <v>0.85</v>
      </c>
      <c r="E279" s="73">
        <v>10</v>
      </c>
      <c r="F279" s="299">
        <f>ROUND(D279*E279,2)</f>
        <v>8.5</v>
      </c>
      <c r="K279" s="115"/>
    </row>
    <row r="280" spans="3:11" ht="6" customHeight="1" x14ac:dyDescent="0.3">
      <c r="D280" s="19"/>
      <c r="K280" s="115"/>
    </row>
    <row r="281" spans="3:11" x14ac:dyDescent="0.3">
      <c r="C281" s="17" t="s">
        <v>933</v>
      </c>
      <c r="D281" s="78">
        <f>F278+F279</f>
        <v>12.19</v>
      </c>
      <c r="E281" s="300">
        <v>0.22</v>
      </c>
      <c r="F281" s="301">
        <f>ROUND(D281*E281,2)</f>
        <v>2.68</v>
      </c>
      <c r="K281" s="115"/>
    </row>
    <row r="282" spans="3:11" ht="1.5" customHeight="1" x14ac:dyDescent="0.3">
      <c r="K282" s="115"/>
    </row>
    <row r="283" spans="3:11" x14ac:dyDescent="0.3">
      <c r="C283" s="12" t="s">
        <v>946</v>
      </c>
      <c r="D283" s="227"/>
      <c r="E283" s="227"/>
      <c r="F283" s="227">
        <f>G294</f>
        <v>9.43</v>
      </c>
      <c r="G283" s="227" t="s">
        <v>971</v>
      </c>
      <c r="K283" s="115"/>
    </row>
    <row r="284" spans="3:11" ht="4.5" customHeight="1" x14ac:dyDescent="0.3">
      <c r="K284" s="115"/>
    </row>
    <row r="285" spans="3:11" x14ac:dyDescent="0.3">
      <c r="C285" s="27" t="str">
        <f>C341</f>
        <v>Антисептик для обробки рук</v>
      </c>
      <c r="D285" s="303" t="str">
        <f>D341</f>
        <v>мл</v>
      </c>
      <c r="E285" s="303">
        <f>E341</f>
        <v>1</v>
      </c>
      <c r="F285" s="303">
        <f>F341</f>
        <v>0.375</v>
      </c>
      <c r="G285" s="228">
        <f t="shared" ref="G285:G293" si="9">ROUND(F285*E285,2)</f>
        <v>0.38</v>
      </c>
      <c r="K285" s="115"/>
    </row>
    <row r="286" spans="3:11" x14ac:dyDescent="0.3">
      <c r="C286" s="27" t="str">
        <f t="shared" ref="C286:F293" si="10">C342</f>
        <v>Антисептик швидкої дії</v>
      </c>
      <c r="D286" s="303" t="str">
        <f t="shared" si="10"/>
        <v>мл</v>
      </c>
      <c r="E286" s="303">
        <f t="shared" si="10"/>
        <v>1</v>
      </c>
      <c r="F286" s="303">
        <f t="shared" si="10"/>
        <v>0.28799999999999998</v>
      </c>
      <c r="G286" s="228">
        <f t="shared" si="9"/>
        <v>0.28999999999999998</v>
      </c>
      <c r="K286" s="115"/>
    </row>
    <row r="287" spans="3:11" x14ac:dyDescent="0.3">
      <c r="C287" s="27" t="str">
        <f t="shared" si="10"/>
        <v>Вата 100 гр.</v>
      </c>
      <c r="D287" s="303" t="str">
        <f t="shared" si="10"/>
        <v>г</v>
      </c>
      <c r="E287" s="303">
        <f t="shared" si="10"/>
        <v>0.01</v>
      </c>
      <c r="F287" s="303">
        <f t="shared" si="10"/>
        <v>6.72</v>
      </c>
      <c r="G287" s="228">
        <f t="shared" si="9"/>
        <v>7.0000000000000007E-2</v>
      </c>
      <c r="K287" s="115"/>
    </row>
    <row r="288" spans="3:11" x14ac:dyDescent="0.3">
      <c r="C288" s="27" t="str">
        <f t="shared" si="10"/>
        <v>Деззасоби</v>
      </c>
      <c r="D288" s="303" t="str">
        <f t="shared" si="10"/>
        <v>г</v>
      </c>
      <c r="E288" s="303">
        <f t="shared" si="10"/>
        <v>0.5</v>
      </c>
      <c r="F288" s="303">
        <f t="shared" si="10"/>
        <v>0.5</v>
      </c>
      <c r="G288" s="228">
        <f t="shared" si="9"/>
        <v>0.25</v>
      </c>
      <c r="K288" s="115"/>
    </row>
    <row r="289" spans="2:15" x14ac:dyDescent="0.3">
      <c r="C289" s="27" t="str">
        <f t="shared" si="10"/>
        <v>Маска одноразова тришарова на резинці</v>
      </c>
      <c r="D289" s="303" t="str">
        <f t="shared" si="10"/>
        <v>шт</v>
      </c>
      <c r="E289" s="303">
        <f t="shared" si="10"/>
        <v>1</v>
      </c>
      <c r="F289" s="303">
        <f t="shared" si="10"/>
        <v>2</v>
      </c>
      <c r="G289" s="228">
        <f t="shared" si="9"/>
        <v>2</v>
      </c>
      <c r="K289" s="115"/>
    </row>
    <row r="290" spans="2:15" s="184" customFormat="1" x14ac:dyDescent="0.3">
      <c r="B290" s="672"/>
      <c r="C290" s="27" t="str">
        <f t="shared" si="10"/>
        <v>Мило рідке</v>
      </c>
      <c r="D290" s="303" t="str">
        <f t="shared" si="10"/>
        <v>мл</v>
      </c>
      <c r="E290" s="303">
        <f t="shared" si="10"/>
        <v>1</v>
      </c>
      <c r="F290" s="303">
        <f t="shared" si="10"/>
        <v>0.19600000000000001</v>
      </c>
      <c r="G290" s="228">
        <f t="shared" si="9"/>
        <v>0.2</v>
      </c>
      <c r="H290" s="336"/>
      <c r="I290" s="336"/>
      <c r="J290" s="336"/>
      <c r="K290" s="115"/>
      <c r="L290" s="189"/>
      <c r="M290" s="637"/>
      <c r="N290" s="180"/>
      <c r="O290" s="180"/>
    </row>
    <row r="291" spans="2:15" x14ac:dyDescent="0.3">
      <c r="C291" s="27" t="str">
        <f t="shared" si="10"/>
        <v>Рукавиці не стерильні</v>
      </c>
      <c r="D291" s="303" t="str">
        <f t="shared" si="10"/>
        <v>пара</v>
      </c>
      <c r="E291" s="303">
        <f t="shared" si="10"/>
        <v>0.1</v>
      </c>
      <c r="F291" s="303">
        <f t="shared" si="10"/>
        <v>7.39</v>
      </c>
      <c r="G291" s="228">
        <f t="shared" si="9"/>
        <v>0.74</v>
      </c>
      <c r="K291" s="115"/>
    </row>
    <row r="292" spans="2:15" x14ac:dyDescent="0.3">
      <c r="C292" s="27" t="str">
        <f t="shared" si="10"/>
        <v>Рушник паперовий</v>
      </c>
      <c r="D292" s="303" t="str">
        <f t="shared" si="10"/>
        <v>шт</v>
      </c>
      <c r="E292" s="303">
        <f t="shared" si="10"/>
        <v>0.3</v>
      </c>
      <c r="F292" s="303">
        <f t="shared" si="10"/>
        <v>17.5</v>
      </c>
      <c r="G292" s="228">
        <f t="shared" si="9"/>
        <v>5.25</v>
      </c>
      <c r="K292" s="115"/>
    </row>
    <row r="293" spans="2:15" s="184" customFormat="1" x14ac:dyDescent="0.3">
      <c r="B293" s="672"/>
      <c r="C293" s="27" t="str">
        <f t="shared" si="10"/>
        <v xml:space="preserve">Спирт 70% 100мл </v>
      </c>
      <c r="D293" s="303" t="str">
        <f t="shared" si="10"/>
        <v>фл/гр.</v>
      </c>
      <c r="E293" s="303">
        <f t="shared" si="10"/>
        <v>0.01</v>
      </c>
      <c r="F293" s="303">
        <f t="shared" si="10"/>
        <v>24.6</v>
      </c>
      <c r="G293" s="228">
        <f t="shared" si="9"/>
        <v>0.25</v>
      </c>
      <c r="H293" s="336"/>
      <c r="I293" s="336"/>
      <c r="J293" s="336"/>
      <c r="K293" s="115"/>
      <c r="L293" s="189"/>
      <c r="M293" s="637"/>
      <c r="N293" s="180"/>
      <c r="O293" s="180"/>
    </row>
    <row r="294" spans="2:15" x14ac:dyDescent="0.3">
      <c r="C294" s="1019" t="s">
        <v>945</v>
      </c>
      <c r="D294" s="1019"/>
      <c r="E294" s="1019"/>
      <c r="F294" s="1019"/>
      <c r="G294" s="332">
        <f>SUM(G285:G293)</f>
        <v>9.43</v>
      </c>
      <c r="K294" s="115"/>
    </row>
    <row r="295" spans="2:15" ht="6.75" customHeight="1" x14ac:dyDescent="0.3">
      <c r="K295" s="115"/>
    </row>
    <row r="296" spans="2:15" x14ac:dyDescent="0.3">
      <c r="C296" s="12" t="s">
        <v>968</v>
      </c>
      <c r="D296" s="227"/>
      <c r="E296" s="227"/>
      <c r="F296" s="298">
        <f>H299</f>
        <v>0.1</v>
      </c>
      <c r="G296" s="227" t="s">
        <v>971</v>
      </c>
      <c r="K296" s="115"/>
    </row>
    <row r="297" spans="2:15" ht="1.5" customHeight="1" x14ac:dyDescent="0.3">
      <c r="C297" s="22"/>
      <c r="D297" s="36"/>
      <c r="E297" s="36"/>
      <c r="F297" s="302"/>
      <c r="G297" s="36"/>
      <c r="K297" s="115"/>
    </row>
    <row r="298" spans="2:15" ht="27.6" x14ac:dyDescent="0.3">
      <c r="C298" s="14" t="s">
        <v>513</v>
      </c>
      <c r="D298" s="14" t="s">
        <v>969</v>
      </c>
      <c r="E298" s="14" t="s">
        <v>516</v>
      </c>
      <c r="F298" s="14" t="s">
        <v>970</v>
      </c>
      <c r="G298" s="14" t="s">
        <v>930</v>
      </c>
      <c r="H298" s="14" t="s">
        <v>961</v>
      </c>
      <c r="K298" s="115"/>
    </row>
    <row r="299" spans="2:15" x14ac:dyDescent="0.3">
      <c r="C299" s="17" t="s">
        <v>1107</v>
      </c>
      <c r="D299" s="73">
        <f>D244</f>
        <v>7000</v>
      </c>
      <c r="E299" s="73">
        <v>12562.55</v>
      </c>
      <c r="F299" s="73">
        <f>ROUND((D299/E299)/60,2)</f>
        <v>0.01</v>
      </c>
      <c r="G299" s="73">
        <f>E279</f>
        <v>10</v>
      </c>
      <c r="H299" s="78">
        <f>ROUND(F299*G299,2)</f>
        <v>0.1</v>
      </c>
      <c r="I299" s="333"/>
      <c r="K299" s="115"/>
    </row>
    <row r="300" spans="2:15" ht="3.75" customHeight="1" x14ac:dyDescent="0.3">
      <c r="K300" s="115"/>
    </row>
    <row r="301" spans="2:15" x14ac:dyDescent="0.3">
      <c r="C301" s="12" t="s">
        <v>948</v>
      </c>
      <c r="D301" s="227"/>
      <c r="E301" s="227"/>
      <c r="F301" s="298">
        <f>H314</f>
        <v>1.56</v>
      </c>
      <c r="G301" s="227" t="s">
        <v>971</v>
      </c>
      <c r="K301" s="115"/>
    </row>
    <row r="302" spans="2:15" ht="0.75" customHeight="1" x14ac:dyDescent="0.3">
      <c r="C302" s="22"/>
      <c r="D302" s="36"/>
      <c r="E302" s="36"/>
      <c r="F302" s="302"/>
      <c r="K302" s="115"/>
    </row>
    <row r="303" spans="2:15" ht="27.6" x14ac:dyDescent="0.3">
      <c r="C303" s="14" t="s">
        <v>948</v>
      </c>
      <c r="D303" s="14" t="s">
        <v>1110</v>
      </c>
      <c r="E303" s="14" t="s">
        <v>516</v>
      </c>
      <c r="F303" s="14" t="s">
        <v>954</v>
      </c>
      <c r="G303" s="14" t="s">
        <v>930</v>
      </c>
      <c r="H303" s="14" t="s">
        <v>1111</v>
      </c>
      <c r="K303" s="115"/>
    </row>
    <row r="304" spans="2:15" x14ac:dyDescent="0.3">
      <c r="C304" s="1009" t="str">
        <f>C274</f>
        <v>Лікар-фізіотерапевт</v>
      </c>
      <c r="D304" s="1010"/>
      <c r="E304" s="1010"/>
      <c r="F304" s="1010"/>
      <c r="G304" s="1010"/>
      <c r="H304" s="1011"/>
      <c r="K304" s="115"/>
    </row>
    <row r="305" spans="3:11" x14ac:dyDescent="0.3">
      <c r="C305" s="17" t="s">
        <v>951</v>
      </c>
      <c r="D305" s="221">
        <f>D250</f>
        <v>12188.608008565312</v>
      </c>
      <c r="E305" s="73">
        <f>I274</f>
        <v>1932.7</v>
      </c>
      <c r="F305" s="73">
        <f>ROUND((D305/E305)/60,2)</f>
        <v>0.11</v>
      </c>
      <c r="G305" s="73">
        <f>E278</f>
        <v>3</v>
      </c>
      <c r="H305" s="78">
        <f>ROUND(F305*G305,2)</f>
        <v>0.33</v>
      </c>
      <c r="K305" s="115"/>
    </row>
    <row r="306" spans="3:11" x14ac:dyDescent="0.3">
      <c r="C306" s="17" t="s">
        <v>952</v>
      </c>
      <c r="D306" s="221">
        <f>D251</f>
        <v>53.149721627408987</v>
      </c>
      <c r="E306" s="73">
        <f>I274</f>
        <v>1932.7</v>
      </c>
      <c r="F306" s="73">
        <f>ROUND((D306/E306)/60,2)</f>
        <v>0</v>
      </c>
      <c r="G306" s="73">
        <f>E278</f>
        <v>3</v>
      </c>
      <c r="H306" s="78">
        <f>ROUND(F306*G306,2)</f>
        <v>0</v>
      </c>
      <c r="K306" s="115"/>
    </row>
    <row r="307" spans="3:11" x14ac:dyDescent="0.3">
      <c r="C307" s="17" t="s">
        <v>953</v>
      </c>
      <c r="D307" s="221">
        <f>D252</f>
        <v>374.98368308351178</v>
      </c>
      <c r="E307" s="73">
        <f>I274</f>
        <v>1932.7</v>
      </c>
      <c r="F307" s="73">
        <f>ROUND((D307/E307)/60,2)</f>
        <v>0</v>
      </c>
      <c r="G307" s="73">
        <f>E278</f>
        <v>3</v>
      </c>
      <c r="H307" s="78">
        <f>ROUND(F307*G307,2)</f>
        <v>0</v>
      </c>
      <c r="K307" s="115"/>
    </row>
    <row r="308" spans="3:11" x14ac:dyDescent="0.3">
      <c r="C308" s="17" t="s">
        <v>1109</v>
      </c>
      <c r="D308" s="221">
        <f>D253</f>
        <v>1686.0389293361886</v>
      </c>
      <c r="E308" s="73">
        <f>I274</f>
        <v>1932.7</v>
      </c>
      <c r="F308" s="73">
        <f>ROUND((D308/E308)/60,2)</f>
        <v>0.01</v>
      </c>
      <c r="G308" s="73">
        <f>E278</f>
        <v>3</v>
      </c>
      <c r="H308" s="78">
        <f>ROUND(F308*G308,2)</f>
        <v>0.03</v>
      </c>
      <c r="K308" s="115"/>
    </row>
    <row r="309" spans="3:11" x14ac:dyDescent="0.3">
      <c r="C309" s="1009" t="str">
        <f>C275</f>
        <v>Сестра медична з фізіотерапії</v>
      </c>
      <c r="D309" s="1010"/>
      <c r="E309" s="1010"/>
      <c r="F309" s="1010"/>
      <c r="G309" s="1010"/>
      <c r="H309" s="1011"/>
      <c r="K309" s="115"/>
    </row>
    <row r="310" spans="3:11" x14ac:dyDescent="0.3">
      <c r="C310" s="17" t="s">
        <v>951</v>
      </c>
      <c r="D310" s="221">
        <f>D305</f>
        <v>12188.608008565312</v>
      </c>
      <c r="E310" s="73">
        <f>I275</f>
        <v>1932.7</v>
      </c>
      <c r="F310" s="73">
        <f>ROUND((D310/E310)/60,2)</f>
        <v>0.11</v>
      </c>
      <c r="G310" s="73">
        <f>E279</f>
        <v>10</v>
      </c>
      <c r="H310" s="78">
        <f>ROUND(F310*G310,2)</f>
        <v>1.1000000000000001</v>
      </c>
      <c r="K310" s="115"/>
    </row>
    <row r="311" spans="3:11" x14ac:dyDescent="0.3">
      <c r="C311" s="17" t="s">
        <v>952</v>
      </c>
      <c r="D311" s="221">
        <f>D306</f>
        <v>53.149721627408987</v>
      </c>
      <c r="E311" s="73">
        <f>I275</f>
        <v>1932.7</v>
      </c>
      <c r="F311" s="73">
        <f>ROUND((D311/E311)/60,2)</f>
        <v>0</v>
      </c>
      <c r="G311" s="73">
        <f>E279</f>
        <v>10</v>
      </c>
      <c r="H311" s="78">
        <f>ROUND(F311*G311,2)</f>
        <v>0</v>
      </c>
      <c r="K311" s="115"/>
    </row>
    <row r="312" spans="3:11" x14ac:dyDescent="0.3">
      <c r="C312" s="17" t="s">
        <v>953</v>
      </c>
      <c r="D312" s="221">
        <f>D307</f>
        <v>374.98368308351178</v>
      </c>
      <c r="E312" s="73">
        <f>I275</f>
        <v>1932.7</v>
      </c>
      <c r="F312" s="73">
        <f>ROUND((D312/E312)/60,2)</f>
        <v>0</v>
      </c>
      <c r="G312" s="73">
        <f>E279</f>
        <v>10</v>
      </c>
      <c r="H312" s="78">
        <f>ROUND(F312*G312,2)</f>
        <v>0</v>
      </c>
      <c r="K312" s="115"/>
    </row>
    <row r="313" spans="3:11" x14ac:dyDescent="0.3">
      <c r="C313" s="17" t="s">
        <v>1109</v>
      </c>
      <c r="D313" s="221">
        <f>D308</f>
        <v>1686.0389293361886</v>
      </c>
      <c r="E313" s="73">
        <f>I275</f>
        <v>1932.7</v>
      </c>
      <c r="F313" s="73">
        <f>ROUND((D313/E313)/60,2)</f>
        <v>0.01</v>
      </c>
      <c r="G313" s="73">
        <f>E279</f>
        <v>10</v>
      </c>
      <c r="H313" s="78">
        <f>ROUND(F313*G313,2)</f>
        <v>0.1</v>
      </c>
      <c r="K313" s="115"/>
    </row>
    <row r="314" spans="3:11" x14ac:dyDescent="0.3">
      <c r="C314" s="1012" t="s">
        <v>957</v>
      </c>
      <c r="D314" s="1013"/>
      <c r="E314" s="1013"/>
      <c r="F314" s="1013"/>
      <c r="G314" s="1014"/>
      <c r="H314" s="299">
        <f>SUM(H305:H313)</f>
        <v>1.56</v>
      </c>
      <c r="K314" s="115"/>
    </row>
    <row r="315" spans="3:11" ht="3.75" customHeight="1" x14ac:dyDescent="0.3">
      <c r="K315" s="115"/>
    </row>
    <row r="316" spans="3:11" x14ac:dyDescent="0.3">
      <c r="K316" s="115"/>
    </row>
    <row r="317" spans="3:11" x14ac:dyDescent="0.3">
      <c r="C317" s="1015" t="s">
        <v>959</v>
      </c>
      <c r="D317" s="1015"/>
      <c r="E317" s="1015"/>
      <c r="F317" s="1015"/>
      <c r="G317" s="1015"/>
      <c r="H317" s="334">
        <f>F271+F283+F301+F296</f>
        <v>25.96</v>
      </c>
      <c r="K317" s="115"/>
    </row>
    <row r="318" spans="3:11" ht="9.75" customHeight="1" x14ac:dyDescent="0.3">
      <c r="C318" s="33"/>
      <c r="D318" s="33"/>
      <c r="E318" s="33"/>
      <c r="F318" s="33"/>
      <c r="G318" s="33"/>
      <c r="H318" s="335"/>
      <c r="K318" s="115"/>
    </row>
    <row r="319" spans="3:11" x14ac:dyDescent="0.3">
      <c r="C319" s="1015" t="s">
        <v>960</v>
      </c>
      <c r="D319" s="1015"/>
      <c r="E319" s="1015"/>
      <c r="F319" s="1015"/>
      <c r="G319" s="1015"/>
      <c r="H319" s="334">
        <f>ROUND(H317,0)</f>
        <v>26</v>
      </c>
      <c r="K319" s="115"/>
    </row>
    <row r="320" spans="3:11" x14ac:dyDescent="0.3">
      <c r="K320" s="115"/>
    </row>
    <row r="321" spans="2:15" s="54" customFormat="1" ht="19.8" x14ac:dyDescent="0.4">
      <c r="B321" s="1016" t="s">
        <v>958</v>
      </c>
      <c r="C321" s="1016"/>
      <c r="D321" s="1016"/>
      <c r="E321" s="1016"/>
      <c r="F321" s="1016"/>
      <c r="G321" s="1016"/>
      <c r="H321" s="1016"/>
      <c r="I321" s="1016"/>
      <c r="J321" s="1016"/>
      <c r="K321" s="115"/>
      <c r="L321" s="114"/>
      <c r="M321" s="636"/>
      <c r="N321" s="7"/>
      <c r="O321" s="53"/>
    </row>
    <row r="322" spans="2:15" ht="3" customHeight="1" x14ac:dyDescent="0.3">
      <c r="K322" s="115"/>
    </row>
    <row r="323" spans="2:15" s="54" customFormat="1" ht="36.75" customHeight="1" x14ac:dyDescent="0.4">
      <c r="B323" s="673" t="s">
        <v>410</v>
      </c>
      <c r="C323" s="1017" t="s">
        <v>411</v>
      </c>
      <c r="D323" s="1017"/>
      <c r="E323" s="1017"/>
      <c r="F323" s="653">
        <f>H375</f>
        <v>69</v>
      </c>
      <c r="G323" s="296" t="s">
        <v>971</v>
      </c>
      <c r="H323" s="225"/>
      <c r="I323" s="225"/>
      <c r="J323" s="225"/>
      <c r="K323" s="115"/>
      <c r="L323" s="114"/>
      <c r="M323" s="636"/>
      <c r="N323" s="7"/>
      <c r="O323" s="53"/>
    </row>
    <row r="324" spans="2:15" ht="16.5" customHeight="1" x14ac:dyDescent="0.3">
      <c r="K324" s="115"/>
    </row>
    <row r="325" spans="2:15" x14ac:dyDescent="0.3">
      <c r="C325" s="1018" t="s">
        <v>932</v>
      </c>
      <c r="D325" s="1018"/>
      <c r="E325" s="297"/>
      <c r="F325" s="298">
        <f>F332+F335+F333</f>
        <v>25.240000000000002</v>
      </c>
      <c r="G325" s="227" t="s">
        <v>971</v>
      </c>
      <c r="K325" s="115"/>
    </row>
    <row r="326" spans="2:15" ht="4.5" customHeight="1" x14ac:dyDescent="0.3">
      <c r="K326" s="115"/>
    </row>
    <row r="327" spans="2:15" ht="27.6" x14ac:dyDescent="0.3">
      <c r="C327" s="13" t="s">
        <v>929</v>
      </c>
      <c r="D327" s="14" t="s">
        <v>928</v>
      </c>
      <c r="E327" s="14" t="s">
        <v>514</v>
      </c>
      <c r="F327" s="14" t="s">
        <v>515</v>
      </c>
      <c r="G327" s="14" t="s">
        <v>962</v>
      </c>
      <c r="H327" s="14" t="s">
        <v>926</v>
      </c>
      <c r="I327" s="14" t="s">
        <v>516</v>
      </c>
      <c r="J327" s="14" t="s">
        <v>961</v>
      </c>
      <c r="K327" s="115"/>
    </row>
    <row r="328" spans="2:15" x14ac:dyDescent="0.3">
      <c r="C328" s="17" t="str">
        <f t="shared" ref="C328:G329" si="11">C222</f>
        <v>Лікар-фізіотерапевт</v>
      </c>
      <c r="D328" s="221">
        <f t="shared" si="11"/>
        <v>10799.43</v>
      </c>
      <c r="E328" s="221">
        <f t="shared" si="11"/>
        <v>129593.16</v>
      </c>
      <c r="F328" s="221">
        <f t="shared" si="11"/>
        <v>8307.26</v>
      </c>
      <c r="G328" s="221">
        <f t="shared" si="11"/>
        <v>4153.63</v>
      </c>
      <c r="H328" s="221">
        <f>E328+F328+G328</f>
        <v>142054.05000000002</v>
      </c>
      <c r="I328" s="73">
        <v>1932.7</v>
      </c>
      <c r="J328" s="78">
        <f>ROUND((H328/I328)/60,2)</f>
        <v>1.23</v>
      </c>
      <c r="K328" s="115"/>
    </row>
    <row r="329" spans="2:15" x14ac:dyDescent="0.3">
      <c r="C329" s="17" t="str">
        <f t="shared" si="11"/>
        <v>Сестра медична з фізіотерапії</v>
      </c>
      <c r="D329" s="221">
        <f t="shared" si="11"/>
        <v>7482.48</v>
      </c>
      <c r="E329" s="221">
        <f t="shared" si="11"/>
        <v>89789.759999999995</v>
      </c>
      <c r="F329" s="221">
        <f t="shared" si="11"/>
        <v>5755.75</v>
      </c>
      <c r="G329" s="221">
        <f t="shared" si="11"/>
        <v>2877.875</v>
      </c>
      <c r="H329" s="221">
        <f>E329+F329+G329</f>
        <v>98423.384999999995</v>
      </c>
      <c r="I329" s="73">
        <v>1932.7</v>
      </c>
      <c r="J329" s="78">
        <f>ROUND((H329/I329)/60,2)</f>
        <v>0.85</v>
      </c>
      <c r="K329" s="115"/>
    </row>
    <row r="330" spans="2:15" ht="5.25" customHeight="1" x14ac:dyDescent="0.3">
      <c r="K330" s="115"/>
    </row>
    <row r="331" spans="2:15" ht="27.6" x14ac:dyDescent="0.3">
      <c r="C331" s="13" t="s">
        <v>929</v>
      </c>
      <c r="D331" s="14" t="s">
        <v>961</v>
      </c>
      <c r="E331" s="14" t="s">
        <v>930</v>
      </c>
      <c r="F331" s="14" t="s">
        <v>931</v>
      </c>
      <c r="K331" s="115"/>
    </row>
    <row r="332" spans="2:15" x14ac:dyDescent="0.3">
      <c r="C332" s="15" t="str">
        <f>C328</f>
        <v>Лікар-фізіотерапевт</v>
      </c>
      <c r="D332" s="78">
        <f>J328</f>
        <v>1.23</v>
      </c>
      <c r="E332" s="73">
        <v>3</v>
      </c>
      <c r="F332" s="299">
        <f>ROUND(D332*E332,2)</f>
        <v>3.69</v>
      </c>
      <c r="K332" s="115"/>
    </row>
    <row r="333" spans="2:15" x14ac:dyDescent="0.3">
      <c r="C333" s="15" t="str">
        <f>C329</f>
        <v>Сестра медична з фізіотерапії</v>
      </c>
      <c r="D333" s="78">
        <f>J329</f>
        <v>0.85</v>
      </c>
      <c r="E333" s="73">
        <v>20</v>
      </c>
      <c r="F333" s="299">
        <f>ROUND(D333*E333,2)</f>
        <v>17</v>
      </c>
      <c r="K333" s="115"/>
    </row>
    <row r="334" spans="2:15" ht="6" customHeight="1" x14ac:dyDescent="0.3">
      <c r="D334" s="19"/>
      <c r="K334" s="115"/>
    </row>
    <row r="335" spans="2:15" x14ac:dyDescent="0.3">
      <c r="C335" s="17" t="s">
        <v>933</v>
      </c>
      <c r="D335" s="78">
        <f>F332+F333</f>
        <v>20.69</v>
      </c>
      <c r="E335" s="300">
        <v>0.22</v>
      </c>
      <c r="F335" s="301">
        <f>ROUND(D335*E335,2)</f>
        <v>4.55</v>
      </c>
      <c r="K335" s="115"/>
    </row>
    <row r="336" spans="2:15" ht="1.5" customHeight="1" x14ac:dyDescent="0.3">
      <c r="K336" s="115"/>
    </row>
    <row r="337" spans="2:15" x14ac:dyDescent="0.3">
      <c r="C337" s="12" t="s">
        <v>946</v>
      </c>
      <c r="D337" s="227"/>
      <c r="E337" s="227"/>
      <c r="F337" s="227">
        <f>G350</f>
        <v>40.6</v>
      </c>
      <c r="G337" s="227" t="s">
        <v>971</v>
      </c>
      <c r="K337" s="115"/>
    </row>
    <row r="338" spans="2:15" ht="4.5" customHeight="1" x14ac:dyDescent="0.3">
      <c r="K338" s="115"/>
    </row>
    <row r="339" spans="2:15" x14ac:dyDescent="0.3">
      <c r="C339" s="27" t="str">
        <f>'МЕДИЧНІ М'!B276</f>
        <v>Кальцій хлорид р-н д/ін. 10 % - 5 мл № 10</v>
      </c>
      <c r="D339" s="28" t="str">
        <f>'МЕДИЧНІ М'!D276</f>
        <v>амп</v>
      </c>
      <c r="E339" s="158">
        <v>0.1</v>
      </c>
      <c r="F339" s="81">
        <f>'МЕДИЧНІ М'!F276</f>
        <v>31.7</v>
      </c>
      <c r="G339" s="228">
        <f>ROUND(F339*E339,2)</f>
        <v>3.17</v>
      </c>
      <c r="K339" s="115"/>
    </row>
    <row r="340" spans="2:15" ht="27.6" x14ac:dyDescent="0.3">
      <c r="C340" s="27" t="str">
        <f>'МЕДИЧНІ М'!B274</f>
        <v>Електроди одноразові поверхневі з гідрофільною прокладкою з целюлози прямокутні № 25</v>
      </c>
      <c r="D340" s="28" t="str">
        <f>'МЕДИЧНІ М'!D274</f>
        <v>шт</v>
      </c>
      <c r="E340" s="158">
        <v>2</v>
      </c>
      <c r="F340" s="81">
        <f>'МЕДИЧНІ М'!F274</f>
        <v>14</v>
      </c>
      <c r="G340" s="228">
        <f t="shared" ref="G340:G349" si="12">ROUND(F340*E340,2)</f>
        <v>28</v>
      </c>
      <c r="K340" s="115"/>
    </row>
    <row r="341" spans="2:15" x14ac:dyDescent="0.3">
      <c r="C341" s="27" t="str">
        <f>'МЕДИЧНІ М'!B285</f>
        <v>Антисептик для обробки рук</v>
      </c>
      <c r="D341" s="28" t="str">
        <f>'МЕДИЧНІ М'!D285</f>
        <v>мл</v>
      </c>
      <c r="E341" s="651">
        <v>1</v>
      </c>
      <c r="F341" s="81">
        <f>'МЕДИЧНІ М'!F285</f>
        <v>0.375</v>
      </c>
      <c r="G341" s="228">
        <f t="shared" si="12"/>
        <v>0.38</v>
      </c>
      <c r="K341" s="115"/>
    </row>
    <row r="342" spans="2:15" x14ac:dyDescent="0.3">
      <c r="C342" s="27" t="str">
        <f>'МЕДИЧНІ М'!B286</f>
        <v>Антисептик швидкої дії</v>
      </c>
      <c r="D342" s="28" t="str">
        <f>'МЕДИЧНІ М'!D286</f>
        <v>мл</v>
      </c>
      <c r="E342" s="651">
        <v>1</v>
      </c>
      <c r="F342" s="81">
        <f>'МЕДИЧНІ М'!F286</f>
        <v>0.28799999999999998</v>
      </c>
      <c r="G342" s="228">
        <f t="shared" si="12"/>
        <v>0.28999999999999998</v>
      </c>
      <c r="K342" s="115"/>
    </row>
    <row r="343" spans="2:15" x14ac:dyDescent="0.3">
      <c r="C343" s="27" t="str">
        <f>'МЕДИЧНІ М'!B287</f>
        <v>Вата 100 гр.</v>
      </c>
      <c r="D343" s="28" t="str">
        <f>'МЕДИЧНІ М'!D287</f>
        <v>г</v>
      </c>
      <c r="E343" s="651">
        <v>0.01</v>
      </c>
      <c r="F343" s="81">
        <f>'МЕДИЧНІ М'!F287</f>
        <v>6.72</v>
      </c>
      <c r="G343" s="228">
        <f t="shared" si="12"/>
        <v>7.0000000000000007E-2</v>
      </c>
      <c r="K343" s="115"/>
    </row>
    <row r="344" spans="2:15" s="184" customFormat="1" x14ac:dyDescent="0.3">
      <c r="B344" s="672"/>
      <c r="C344" s="27" t="str">
        <f>'МЕДИЧНІ М'!B288</f>
        <v>Деззасоби</v>
      </c>
      <c r="D344" s="28" t="str">
        <f>'МЕДИЧНІ М'!D288</f>
        <v>г</v>
      </c>
      <c r="E344" s="651">
        <v>0.5</v>
      </c>
      <c r="F344" s="81">
        <f>'МЕДИЧНІ М'!F288</f>
        <v>0.5</v>
      </c>
      <c r="G344" s="228">
        <f t="shared" si="12"/>
        <v>0.25</v>
      </c>
      <c r="H344" s="336"/>
      <c r="I344" s="336"/>
      <c r="J344" s="336"/>
      <c r="K344" s="115"/>
      <c r="L344" s="189"/>
      <c r="M344" s="637"/>
      <c r="N344" s="180"/>
      <c r="O344" s="180"/>
    </row>
    <row r="345" spans="2:15" x14ac:dyDescent="0.3">
      <c r="C345" s="27" t="str">
        <f>'МЕДИЧНІ М'!B289</f>
        <v>Маска одноразова тришарова на резинці</v>
      </c>
      <c r="D345" s="28" t="str">
        <f>'МЕДИЧНІ М'!D289</f>
        <v>шт</v>
      </c>
      <c r="E345" s="651">
        <v>1</v>
      </c>
      <c r="F345" s="81">
        <f>'МЕДИЧНІ М'!F289</f>
        <v>2</v>
      </c>
      <c r="G345" s="228">
        <f t="shared" si="12"/>
        <v>2</v>
      </c>
      <c r="K345" s="115"/>
    </row>
    <row r="346" spans="2:15" x14ac:dyDescent="0.3">
      <c r="C346" s="27" t="str">
        <f>'МЕДИЧНІ М'!B290</f>
        <v>Мило рідке</v>
      </c>
      <c r="D346" s="28" t="str">
        <f>'МЕДИЧНІ М'!D290</f>
        <v>мл</v>
      </c>
      <c r="E346" s="651">
        <v>1</v>
      </c>
      <c r="F346" s="81">
        <f>'МЕДИЧНІ М'!F290</f>
        <v>0.19600000000000001</v>
      </c>
      <c r="G346" s="228">
        <f t="shared" si="12"/>
        <v>0.2</v>
      </c>
      <c r="K346" s="115"/>
    </row>
    <row r="347" spans="2:15" s="184" customFormat="1" x14ac:dyDescent="0.3">
      <c r="B347" s="672"/>
      <c r="C347" s="27" t="str">
        <f>'МЕДИЧНІ М'!B291</f>
        <v>Рукавиці не стерильні</v>
      </c>
      <c r="D347" s="28" t="str">
        <f>'МЕДИЧНІ М'!D291</f>
        <v>пара</v>
      </c>
      <c r="E347" s="651">
        <v>0.1</v>
      </c>
      <c r="F347" s="81">
        <f>'МЕДИЧНІ М'!F291</f>
        <v>7.39</v>
      </c>
      <c r="G347" s="228">
        <f t="shared" si="12"/>
        <v>0.74</v>
      </c>
      <c r="H347" s="336"/>
      <c r="I347" s="336"/>
      <c r="J347" s="336"/>
      <c r="K347" s="115"/>
      <c r="L347" s="189"/>
      <c r="M347" s="637"/>
      <c r="N347" s="180"/>
      <c r="O347" s="180"/>
    </row>
    <row r="348" spans="2:15" s="184" customFormat="1" x14ac:dyDescent="0.3">
      <c r="B348" s="672"/>
      <c r="C348" s="27" t="str">
        <f>'МЕДИЧНІ М'!B292</f>
        <v>Рушник паперовий</v>
      </c>
      <c r="D348" s="28" t="str">
        <f>'МЕДИЧНІ М'!D292</f>
        <v>шт</v>
      </c>
      <c r="E348" s="651">
        <v>0.3</v>
      </c>
      <c r="F348" s="81">
        <f>'МЕДИЧНІ М'!F292</f>
        <v>17.5</v>
      </c>
      <c r="G348" s="228">
        <f t="shared" si="12"/>
        <v>5.25</v>
      </c>
      <c r="H348" s="336"/>
      <c r="I348" s="336"/>
      <c r="J348" s="336"/>
      <c r="K348" s="115"/>
      <c r="L348" s="189"/>
      <c r="M348" s="637"/>
      <c r="N348" s="180"/>
      <c r="O348" s="180"/>
    </row>
    <row r="349" spans="2:15" x14ac:dyDescent="0.3">
      <c r="C349" s="27" t="str">
        <f>'МЕДИЧНІ М'!B293</f>
        <v xml:space="preserve">Спирт 70% 100мл </v>
      </c>
      <c r="D349" s="28" t="str">
        <f>'МЕДИЧНІ М'!D293</f>
        <v>фл/гр.</v>
      </c>
      <c r="E349" s="651">
        <v>0.01</v>
      </c>
      <c r="F349" s="81">
        <f>'МЕДИЧНІ М'!F293</f>
        <v>24.6</v>
      </c>
      <c r="G349" s="228">
        <f t="shared" si="12"/>
        <v>0.25</v>
      </c>
      <c r="K349" s="115"/>
    </row>
    <row r="350" spans="2:15" x14ac:dyDescent="0.3">
      <c r="C350" s="1019" t="s">
        <v>945</v>
      </c>
      <c r="D350" s="1019"/>
      <c r="E350" s="1019"/>
      <c r="F350" s="1019"/>
      <c r="G350" s="332">
        <f>SUM(G339:G349)</f>
        <v>40.6</v>
      </c>
      <c r="K350" s="115"/>
    </row>
    <row r="351" spans="2:15" ht="6.75" customHeight="1" x14ac:dyDescent="0.3">
      <c r="K351" s="115"/>
    </row>
    <row r="352" spans="2:15" x14ac:dyDescent="0.3">
      <c r="C352" s="12" t="s">
        <v>968</v>
      </c>
      <c r="D352" s="227"/>
      <c r="E352" s="227"/>
      <c r="F352" s="298">
        <f>H355</f>
        <v>0.2</v>
      </c>
      <c r="G352" s="227" t="s">
        <v>971</v>
      </c>
      <c r="K352" s="115"/>
    </row>
    <row r="353" spans="3:11" ht="1.5" customHeight="1" x14ac:dyDescent="0.3">
      <c r="C353" s="22"/>
      <c r="D353" s="36"/>
      <c r="E353" s="36"/>
      <c r="F353" s="302"/>
      <c r="G353" s="36"/>
      <c r="K353" s="115"/>
    </row>
    <row r="354" spans="3:11" ht="27.6" x14ac:dyDescent="0.3">
      <c r="C354" s="14" t="s">
        <v>513</v>
      </c>
      <c r="D354" s="14" t="s">
        <v>969</v>
      </c>
      <c r="E354" s="14" t="s">
        <v>516</v>
      </c>
      <c r="F354" s="14" t="s">
        <v>970</v>
      </c>
      <c r="G354" s="14" t="s">
        <v>930</v>
      </c>
      <c r="H354" s="14" t="s">
        <v>961</v>
      </c>
      <c r="K354" s="115"/>
    </row>
    <row r="355" spans="3:11" x14ac:dyDescent="0.3">
      <c r="C355" s="17" t="s">
        <v>1107</v>
      </c>
      <c r="D355" s="73">
        <f>D299</f>
        <v>7000</v>
      </c>
      <c r="E355" s="73">
        <v>12562.55</v>
      </c>
      <c r="F355" s="73">
        <f>ROUND((D355/E355)/60,2)</f>
        <v>0.01</v>
      </c>
      <c r="G355" s="73">
        <f>E333</f>
        <v>20</v>
      </c>
      <c r="H355" s="78">
        <f>ROUND(F355*G355,2)</f>
        <v>0.2</v>
      </c>
      <c r="I355" s="333"/>
      <c r="K355" s="115"/>
    </row>
    <row r="356" spans="3:11" ht="3.75" customHeight="1" x14ac:dyDescent="0.3">
      <c r="K356" s="115"/>
    </row>
    <row r="357" spans="3:11" x14ac:dyDescent="0.3">
      <c r="C357" s="12" t="s">
        <v>948</v>
      </c>
      <c r="D357" s="227"/>
      <c r="E357" s="227"/>
      <c r="F357" s="298">
        <f>H370</f>
        <v>2.7600000000000002</v>
      </c>
      <c r="G357" s="227" t="s">
        <v>971</v>
      </c>
      <c r="K357" s="115"/>
    </row>
    <row r="358" spans="3:11" ht="0.75" customHeight="1" x14ac:dyDescent="0.3">
      <c r="C358" s="22"/>
      <c r="D358" s="36"/>
      <c r="E358" s="36"/>
      <c r="F358" s="302"/>
      <c r="K358" s="115"/>
    </row>
    <row r="359" spans="3:11" ht="27.6" x14ac:dyDescent="0.3">
      <c r="C359" s="14" t="s">
        <v>948</v>
      </c>
      <c r="D359" s="14" t="s">
        <v>1110</v>
      </c>
      <c r="E359" s="14" t="s">
        <v>516</v>
      </c>
      <c r="F359" s="14" t="s">
        <v>954</v>
      </c>
      <c r="G359" s="14" t="s">
        <v>930</v>
      </c>
      <c r="H359" s="14" t="s">
        <v>1111</v>
      </c>
      <c r="K359" s="115"/>
    </row>
    <row r="360" spans="3:11" x14ac:dyDescent="0.3">
      <c r="C360" s="1009" t="str">
        <f>C328</f>
        <v>Лікар-фізіотерапевт</v>
      </c>
      <c r="D360" s="1010"/>
      <c r="E360" s="1010"/>
      <c r="F360" s="1010"/>
      <c r="G360" s="1010"/>
      <c r="H360" s="1011"/>
      <c r="K360" s="115"/>
    </row>
    <row r="361" spans="3:11" x14ac:dyDescent="0.3">
      <c r="C361" s="17" t="s">
        <v>951</v>
      </c>
      <c r="D361" s="221">
        <f>D305</f>
        <v>12188.608008565312</v>
      </c>
      <c r="E361" s="73">
        <f>I328</f>
        <v>1932.7</v>
      </c>
      <c r="F361" s="73">
        <f>ROUND((D361/E361)/60,2)</f>
        <v>0.11</v>
      </c>
      <c r="G361" s="73">
        <f>E332</f>
        <v>3</v>
      </c>
      <c r="H361" s="78">
        <f>ROUND(F361*G361,2)</f>
        <v>0.33</v>
      </c>
      <c r="K361" s="115"/>
    </row>
    <row r="362" spans="3:11" x14ac:dyDescent="0.3">
      <c r="C362" s="17" t="s">
        <v>952</v>
      </c>
      <c r="D362" s="221">
        <f>D306</f>
        <v>53.149721627408987</v>
      </c>
      <c r="E362" s="73">
        <f>I328</f>
        <v>1932.7</v>
      </c>
      <c r="F362" s="73">
        <f>ROUND((D362/E362)/60,2)</f>
        <v>0</v>
      </c>
      <c r="G362" s="73">
        <f>E332</f>
        <v>3</v>
      </c>
      <c r="H362" s="78">
        <f>ROUND(F362*G362,2)</f>
        <v>0</v>
      </c>
      <c r="K362" s="115"/>
    </row>
    <row r="363" spans="3:11" x14ac:dyDescent="0.3">
      <c r="C363" s="17" t="s">
        <v>953</v>
      </c>
      <c r="D363" s="221">
        <f>D307</f>
        <v>374.98368308351178</v>
      </c>
      <c r="E363" s="73">
        <f>I328</f>
        <v>1932.7</v>
      </c>
      <c r="F363" s="73">
        <f>ROUND((D363/E363)/60,2)</f>
        <v>0</v>
      </c>
      <c r="G363" s="73">
        <f>E332</f>
        <v>3</v>
      </c>
      <c r="H363" s="78">
        <f>ROUND(F363*G363,2)</f>
        <v>0</v>
      </c>
      <c r="K363" s="115"/>
    </row>
    <row r="364" spans="3:11" x14ac:dyDescent="0.3">
      <c r="C364" s="17" t="s">
        <v>1109</v>
      </c>
      <c r="D364" s="221">
        <f>D308</f>
        <v>1686.0389293361886</v>
      </c>
      <c r="E364" s="73">
        <f>I328</f>
        <v>1932.7</v>
      </c>
      <c r="F364" s="73">
        <f>ROUND((D364/E364)/60,2)</f>
        <v>0.01</v>
      </c>
      <c r="G364" s="73">
        <f>E332</f>
        <v>3</v>
      </c>
      <c r="H364" s="78">
        <f>ROUND(F364*G364,2)</f>
        <v>0.03</v>
      </c>
      <c r="K364" s="115"/>
    </row>
    <row r="365" spans="3:11" x14ac:dyDescent="0.3">
      <c r="C365" s="1009" t="str">
        <f>C329</f>
        <v>Сестра медична з фізіотерапії</v>
      </c>
      <c r="D365" s="1010"/>
      <c r="E365" s="1010"/>
      <c r="F365" s="1010"/>
      <c r="G365" s="1010"/>
      <c r="H365" s="1011"/>
      <c r="K365" s="115"/>
    </row>
    <row r="366" spans="3:11" x14ac:dyDescent="0.3">
      <c r="C366" s="17" t="s">
        <v>951</v>
      </c>
      <c r="D366" s="221">
        <f>D361</f>
        <v>12188.608008565312</v>
      </c>
      <c r="E366" s="73">
        <f>I329</f>
        <v>1932.7</v>
      </c>
      <c r="F366" s="73">
        <f>ROUND((D366/E366)/60,2)</f>
        <v>0.11</v>
      </c>
      <c r="G366" s="73">
        <f>E333</f>
        <v>20</v>
      </c>
      <c r="H366" s="78">
        <f>ROUND(F366*G366,2)</f>
        <v>2.2000000000000002</v>
      </c>
      <c r="K366" s="115"/>
    </row>
    <row r="367" spans="3:11" x14ac:dyDescent="0.3">
      <c r="C367" s="17" t="s">
        <v>952</v>
      </c>
      <c r="D367" s="221">
        <f>D362</f>
        <v>53.149721627408987</v>
      </c>
      <c r="E367" s="73">
        <f>I329</f>
        <v>1932.7</v>
      </c>
      <c r="F367" s="73">
        <f>ROUND((D367/E367)/60,2)</f>
        <v>0</v>
      </c>
      <c r="G367" s="73">
        <f>E333</f>
        <v>20</v>
      </c>
      <c r="H367" s="78">
        <f>ROUND(F367*G367,2)</f>
        <v>0</v>
      </c>
      <c r="K367" s="115"/>
    </row>
    <row r="368" spans="3:11" x14ac:dyDescent="0.3">
      <c r="C368" s="17" t="s">
        <v>953</v>
      </c>
      <c r="D368" s="221">
        <f>D363</f>
        <v>374.98368308351178</v>
      </c>
      <c r="E368" s="73">
        <f>I329</f>
        <v>1932.7</v>
      </c>
      <c r="F368" s="73">
        <f>ROUND((D368/E368)/60,2)</f>
        <v>0</v>
      </c>
      <c r="G368" s="73">
        <f>E333</f>
        <v>20</v>
      </c>
      <c r="H368" s="78">
        <f>ROUND(F368*G368,2)</f>
        <v>0</v>
      </c>
      <c r="K368" s="115"/>
    </row>
    <row r="369" spans="2:15" x14ac:dyDescent="0.3">
      <c r="C369" s="17" t="s">
        <v>1109</v>
      </c>
      <c r="D369" s="221">
        <f>D364</f>
        <v>1686.0389293361886</v>
      </c>
      <c r="E369" s="73">
        <f>I329</f>
        <v>1932.7</v>
      </c>
      <c r="F369" s="73">
        <f>ROUND((D369/E369)/60,2)</f>
        <v>0.01</v>
      </c>
      <c r="G369" s="73">
        <f>E333</f>
        <v>20</v>
      </c>
      <c r="H369" s="78">
        <f>ROUND(F369*G369,2)</f>
        <v>0.2</v>
      </c>
      <c r="K369" s="115"/>
    </row>
    <row r="370" spans="2:15" x14ac:dyDescent="0.3">
      <c r="C370" s="1012" t="s">
        <v>957</v>
      </c>
      <c r="D370" s="1013"/>
      <c r="E370" s="1013"/>
      <c r="F370" s="1013"/>
      <c r="G370" s="1014"/>
      <c r="H370" s="299">
        <f>SUM(H361:H369)</f>
        <v>2.7600000000000002</v>
      </c>
      <c r="K370" s="115"/>
    </row>
    <row r="371" spans="2:15" ht="3.75" customHeight="1" x14ac:dyDescent="0.3">
      <c r="K371" s="115"/>
    </row>
    <row r="372" spans="2:15" x14ac:dyDescent="0.3">
      <c r="K372" s="115"/>
    </row>
    <row r="373" spans="2:15" x14ac:dyDescent="0.3">
      <c r="C373" s="1015" t="s">
        <v>959</v>
      </c>
      <c r="D373" s="1015"/>
      <c r="E373" s="1015"/>
      <c r="F373" s="1015"/>
      <c r="G373" s="1015"/>
      <c r="H373" s="334">
        <f>F325+F337+F357+F352</f>
        <v>68.800000000000011</v>
      </c>
      <c r="K373" s="115"/>
    </row>
    <row r="374" spans="2:15" ht="9.75" customHeight="1" x14ac:dyDescent="0.3">
      <c r="C374" s="33"/>
      <c r="D374" s="33"/>
      <c r="E374" s="33"/>
      <c r="F374" s="33"/>
      <c r="G374" s="33"/>
      <c r="H374" s="335"/>
      <c r="K374" s="115"/>
    </row>
    <row r="375" spans="2:15" x14ac:dyDescent="0.3">
      <c r="C375" s="1015" t="s">
        <v>960</v>
      </c>
      <c r="D375" s="1015"/>
      <c r="E375" s="1015"/>
      <c r="F375" s="1015"/>
      <c r="G375" s="1015"/>
      <c r="H375" s="334">
        <f>ROUND(H373,0)</f>
        <v>69</v>
      </c>
      <c r="K375" s="115"/>
    </row>
    <row r="376" spans="2:15" x14ac:dyDescent="0.3">
      <c r="K376" s="115"/>
    </row>
    <row r="377" spans="2:15" x14ac:dyDescent="0.3">
      <c r="K377" s="115"/>
    </row>
    <row r="378" spans="2:15" s="54" customFormat="1" ht="19.8" x14ac:dyDescent="0.4">
      <c r="B378" s="1016" t="s">
        <v>958</v>
      </c>
      <c r="C378" s="1016"/>
      <c r="D378" s="1016"/>
      <c r="E378" s="1016"/>
      <c r="F378" s="1016"/>
      <c r="G378" s="1016"/>
      <c r="H378" s="1016"/>
      <c r="I378" s="1016"/>
      <c r="J378" s="1016"/>
      <c r="K378" s="115"/>
      <c r="L378" s="114"/>
      <c r="M378" s="636"/>
      <c r="N378" s="7"/>
      <c r="O378" s="53"/>
    </row>
    <row r="379" spans="2:15" ht="3" customHeight="1" x14ac:dyDescent="0.3">
      <c r="K379" s="115"/>
    </row>
    <row r="380" spans="2:15" s="54" customFormat="1" ht="36" customHeight="1" x14ac:dyDescent="0.4">
      <c r="B380" s="673" t="s">
        <v>412</v>
      </c>
      <c r="C380" s="1017" t="s">
        <v>413</v>
      </c>
      <c r="D380" s="1017"/>
      <c r="E380" s="1017"/>
      <c r="F380" s="653">
        <f>H432</f>
        <v>45</v>
      </c>
      <c r="G380" s="296" t="s">
        <v>971</v>
      </c>
      <c r="H380" s="225"/>
      <c r="I380" s="225"/>
      <c r="J380" s="225"/>
      <c r="K380" s="115"/>
      <c r="L380" s="114"/>
      <c r="M380" s="636"/>
      <c r="N380" s="7"/>
      <c r="O380" s="53"/>
    </row>
    <row r="381" spans="2:15" ht="16.5" customHeight="1" x14ac:dyDescent="0.3">
      <c r="K381" s="115"/>
    </row>
    <row r="382" spans="2:15" x14ac:dyDescent="0.3">
      <c r="C382" s="1018" t="s">
        <v>932</v>
      </c>
      <c r="D382" s="1018"/>
      <c r="E382" s="297"/>
      <c r="F382" s="298">
        <f>F389+F392+F390</f>
        <v>25.240000000000002</v>
      </c>
      <c r="G382" s="227" t="s">
        <v>971</v>
      </c>
      <c r="K382" s="115"/>
    </row>
    <row r="383" spans="2:15" ht="4.5" customHeight="1" x14ac:dyDescent="0.3">
      <c r="K383" s="115"/>
    </row>
    <row r="384" spans="2:15" ht="27.6" x14ac:dyDescent="0.3">
      <c r="C384" s="13" t="s">
        <v>929</v>
      </c>
      <c r="D384" s="14" t="s">
        <v>928</v>
      </c>
      <c r="E384" s="14" t="s">
        <v>514</v>
      </c>
      <c r="F384" s="14" t="s">
        <v>515</v>
      </c>
      <c r="G384" s="14" t="s">
        <v>962</v>
      </c>
      <c r="H384" s="14" t="s">
        <v>926</v>
      </c>
      <c r="I384" s="14" t="s">
        <v>516</v>
      </c>
      <c r="J384" s="14" t="s">
        <v>961</v>
      </c>
      <c r="K384" s="115"/>
    </row>
    <row r="385" spans="3:11" x14ac:dyDescent="0.3">
      <c r="C385" s="17" t="str">
        <f t="shared" ref="C385:G386" si="13">C328</f>
        <v>Лікар-фізіотерапевт</v>
      </c>
      <c r="D385" s="221">
        <f t="shared" si="13"/>
        <v>10799.43</v>
      </c>
      <c r="E385" s="221">
        <f t="shared" si="13"/>
        <v>129593.16</v>
      </c>
      <c r="F385" s="221">
        <f t="shared" si="13"/>
        <v>8307.26</v>
      </c>
      <c r="G385" s="221">
        <f t="shared" si="13"/>
        <v>4153.63</v>
      </c>
      <c r="H385" s="221">
        <f>E385+F385+G385</f>
        <v>142054.05000000002</v>
      </c>
      <c r="I385" s="73">
        <v>1932.7</v>
      </c>
      <c r="J385" s="78">
        <f>ROUND((H385/I385)/60,2)</f>
        <v>1.23</v>
      </c>
      <c r="K385" s="115"/>
    </row>
    <row r="386" spans="3:11" x14ac:dyDescent="0.3">
      <c r="C386" s="17" t="str">
        <f t="shared" si="13"/>
        <v>Сестра медична з фізіотерапії</v>
      </c>
      <c r="D386" s="221">
        <f t="shared" si="13"/>
        <v>7482.48</v>
      </c>
      <c r="E386" s="221">
        <f t="shared" si="13"/>
        <v>89789.759999999995</v>
      </c>
      <c r="F386" s="221">
        <f t="shared" si="13"/>
        <v>5755.75</v>
      </c>
      <c r="G386" s="221">
        <f t="shared" si="13"/>
        <v>2877.875</v>
      </c>
      <c r="H386" s="221">
        <f>E386+F386+G386</f>
        <v>98423.384999999995</v>
      </c>
      <c r="I386" s="73">
        <v>1932.7</v>
      </c>
      <c r="J386" s="78">
        <f>ROUND((H386/I386)/60,2)</f>
        <v>0.85</v>
      </c>
      <c r="K386" s="115"/>
    </row>
    <row r="387" spans="3:11" ht="5.25" customHeight="1" x14ac:dyDescent="0.3">
      <c r="K387" s="115"/>
    </row>
    <row r="388" spans="3:11" ht="27.6" x14ac:dyDescent="0.3">
      <c r="C388" s="13" t="s">
        <v>929</v>
      </c>
      <c r="D388" s="14" t="s">
        <v>961</v>
      </c>
      <c r="E388" s="14" t="s">
        <v>930</v>
      </c>
      <c r="F388" s="14" t="s">
        <v>931</v>
      </c>
      <c r="K388" s="115"/>
    </row>
    <row r="389" spans="3:11" x14ac:dyDescent="0.3">
      <c r="C389" s="15" t="str">
        <f>C385</f>
        <v>Лікар-фізіотерапевт</v>
      </c>
      <c r="D389" s="78">
        <f>J385</f>
        <v>1.23</v>
      </c>
      <c r="E389" s="73">
        <v>3</v>
      </c>
      <c r="F389" s="299">
        <f>ROUND(D389*E389,2)</f>
        <v>3.69</v>
      </c>
      <c r="K389" s="115"/>
    </row>
    <row r="390" spans="3:11" x14ac:dyDescent="0.3">
      <c r="C390" s="15" t="str">
        <f>C386</f>
        <v>Сестра медична з фізіотерапії</v>
      </c>
      <c r="D390" s="78">
        <f>J386</f>
        <v>0.85</v>
      </c>
      <c r="E390" s="73">
        <v>20</v>
      </c>
      <c r="F390" s="299">
        <f>ROUND(D390*E390,2)</f>
        <v>17</v>
      </c>
      <c r="K390" s="115"/>
    </row>
    <row r="391" spans="3:11" ht="6" customHeight="1" x14ac:dyDescent="0.3">
      <c r="D391" s="19"/>
      <c r="K391" s="115"/>
    </row>
    <row r="392" spans="3:11" x14ac:dyDescent="0.3">
      <c r="C392" s="17" t="s">
        <v>933</v>
      </c>
      <c r="D392" s="78">
        <f>F389+F390</f>
        <v>20.69</v>
      </c>
      <c r="E392" s="300">
        <v>0.22</v>
      </c>
      <c r="F392" s="301">
        <f>ROUND(D392*E392,2)</f>
        <v>4.55</v>
      </c>
      <c r="K392" s="115"/>
    </row>
    <row r="393" spans="3:11" ht="1.5" customHeight="1" x14ac:dyDescent="0.3">
      <c r="K393" s="115"/>
    </row>
    <row r="394" spans="3:11" x14ac:dyDescent="0.3">
      <c r="C394" s="12" t="s">
        <v>946</v>
      </c>
      <c r="D394" s="227"/>
      <c r="E394" s="227"/>
      <c r="F394" s="227">
        <f>G407</f>
        <v>16.600000000000001</v>
      </c>
      <c r="G394" s="227" t="s">
        <v>971</v>
      </c>
      <c r="K394" s="115"/>
    </row>
    <row r="395" spans="3:11" ht="4.5" customHeight="1" x14ac:dyDescent="0.3">
      <c r="K395" s="115"/>
    </row>
    <row r="396" spans="3:11" x14ac:dyDescent="0.3">
      <c r="C396" s="27" t="str">
        <f>C339</f>
        <v>Кальцій хлорид р-н д/ін. 10 % - 5 мл № 10</v>
      </c>
      <c r="D396" s="303" t="str">
        <f>D339</f>
        <v>амп</v>
      </c>
      <c r="E396" s="303">
        <f>E339</f>
        <v>0.1</v>
      </c>
      <c r="F396" s="303">
        <f>F339</f>
        <v>31.7</v>
      </c>
      <c r="G396" s="228">
        <f>ROUND(F396*E396,2)</f>
        <v>3.17</v>
      </c>
      <c r="K396" s="115"/>
    </row>
    <row r="397" spans="3:11" ht="30" customHeight="1" x14ac:dyDescent="0.3">
      <c r="C397" s="27" t="str">
        <f>'МЕДИЧНІ М'!B275</f>
        <v>Гідрофільні прокладки багаторазові поверхневі</v>
      </c>
      <c r="D397" s="303" t="str">
        <f t="shared" ref="C397:F406" si="14">D340</f>
        <v>шт</v>
      </c>
      <c r="E397" s="303">
        <f t="shared" si="14"/>
        <v>2</v>
      </c>
      <c r="F397" s="651">
        <f>'МЕДИЧНІ М'!F275</f>
        <v>2</v>
      </c>
      <c r="G397" s="228">
        <f t="shared" ref="G397:G406" si="15">ROUND(F397*E397,2)</f>
        <v>4</v>
      </c>
      <c r="K397" s="115"/>
    </row>
    <row r="398" spans="3:11" x14ac:dyDescent="0.3">
      <c r="C398" s="27" t="str">
        <f t="shared" si="14"/>
        <v>Антисептик для обробки рук</v>
      </c>
      <c r="D398" s="303" t="str">
        <f t="shared" si="14"/>
        <v>мл</v>
      </c>
      <c r="E398" s="303">
        <f t="shared" si="14"/>
        <v>1</v>
      </c>
      <c r="F398" s="303">
        <f t="shared" si="14"/>
        <v>0.375</v>
      </c>
      <c r="G398" s="228">
        <f t="shared" si="15"/>
        <v>0.38</v>
      </c>
      <c r="K398" s="115"/>
    </row>
    <row r="399" spans="3:11" x14ac:dyDescent="0.3">
      <c r="C399" s="27" t="str">
        <f t="shared" si="14"/>
        <v>Антисептик швидкої дії</v>
      </c>
      <c r="D399" s="303" t="str">
        <f t="shared" si="14"/>
        <v>мл</v>
      </c>
      <c r="E399" s="303">
        <f t="shared" si="14"/>
        <v>1</v>
      </c>
      <c r="F399" s="303">
        <f t="shared" si="14"/>
        <v>0.28799999999999998</v>
      </c>
      <c r="G399" s="228">
        <f t="shared" si="15"/>
        <v>0.28999999999999998</v>
      </c>
      <c r="K399" s="115"/>
    </row>
    <row r="400" spans="3:11" x14ac:dyDescent="0.3">
      <c r="C400" s="27" t="str">
        <f t="shared" si="14"/>
        <v>Вата 100 гр.</v>
      </c>
      <c r="D400" s="303" t="str">
        <f t="shared" si="14"/>
        <v>г</v>
      </c>
      <c r="E400" s="303">
        <f t="shared" si="14"/>
        <v>0.01</v>
      </c>
      <c r="F400" s="303">
        <f t="shared" si="14"/>
        <v>6.72</v>
      </c>
      <c r="G400" s="228">
        <f t="shared" si="15"/>
        <v>7.0000000000000007E-2</v>
      </c>
      <c r="K400" s="115"/>
    </row>
    <row r="401" spans="2:15" s="184" customFormat="1" x14ac:dyDescent="0.3">
      <c r="B401" s="672"/>
      <c r="C401" s="27" t="str">
        <f t="shared" si="14"/>
        <v>Деззасоби</v>
      </c>
      <c r="D401" s="303" t="str">
        <f t="shared" si="14"/>
        <v>г</v>
      </c>
      <c r="E401" s="303">
        <f t="shared" si="14"/>
        <v>0.5</v>
      </c>
      <c r="F401" s="303">
        <f t="shared" si="14"/>
        <v>0.5</v>
      </c>
      <c r="G401" s="228">
        <f t="shared" si="15"/>
        <v>0.25</v>
      </c>
      <c r="H401" s="336"/>
      <c r="I401" s="336"/>
      <c r="J401" s="336"/>
      <c r="K401" s="115"/>
      <c r="L401" s="189"/>
      <c r="M401" s="637"/>
      <c r="N401" s="180"/>
      <c r="O401" s="180"/>
    </row>
    <row r="402" spans="2:15" x14ac:dyDescent="0.3">
      <c r="C402" s="27" t="str">
        <f t="shared" si="14"/>
        <v>Маска одноразова тришарова на резинці</v>
      </c>
      <c r="D402" s="303" t="str">
        <f t="shared" si="14"/>
        <v>шт</v>
      </c>
      <c r="E402" s="303">
        <f t="shared" si="14"/>
        <v>1</v>
      </c>
      <c r="F402" s="303">
        <f t="shared" si="14"/>
        <v>2</v>
      </c>
      <c r="G402" s="228">
        <f t="shared" si="15"/>
        <v>2</v>
      </c>
      <c r="K402" s="115"/>
    </row>
    <row r="403" spans="2:15" x14ac:dyDescent="0.3">
      <c r="C403" s="27" t="str">
        <f t="shared" si="14"/>
        <v>Мило рідке</v>
      </c>
      <c r="D403" s="303" t="str">
        <f t="shared" si="14"/>
        <v>мл</v>
      </c>
      <c r="E403" s="303">
        <f t="shared" si="14"/>
        <v>1</v>
      </c>
      <c r="F403" s="303">
        <f t="shared" si="14"/>
        <v>0.19600000000000001</v>
      </c>
      <c r="G403" s="228">
        <f t="shared" si="15"/>
        <v>0.2</v>
      </c>
      <c r="K403" s="115"/>
    </row>
    <row r="404" spans="2:15" s="184" customFormat="1" x14ac:dyDescent="0.3">
      <c r="B404" s="672"/>
      <c r="C404" s="27" t="str">
        <f t="shared" si="14"/>
        <v>Рукавиці не стерильні</v>
      </c>
      <c r="D404" s="303" t="str">
        <f t="shared" si="14"/>
        <v>пара</v>
      </c>
      <c r="E404" s="303">
        <f t="shared" si="14"/>
        <v>0.1</v>
      </c>
      <c r="F404" s="303">
        <f t="shared" si="14"/>
        <v>7.39</v>
      </c>
      <c r="G404" s="228">
        <f t="shared" si="15"/>
        <v>0.74</v>
      </c>
      <c r="H404" s="336"/>
      <c r="I404" s="336"/>
      <c r="J404" s="336"/>
      <c r="K404" s="115"/>
      <c r="L404" s="189"/>
      <c r="M404" s="637"/>
      <c r="N404" s="180"/>
      <c r="O404" s="180"/>
    </row>
    <row r="405" spans="2:15" s="184" customFormat="1" x14ac:dyDescent="0.3">
      <c r="B405" s="672"/>
      <c r="C405" s="27" t="str">
        <f t="shared" si="14"/>
        <v>Рушник паперовий</v>
      </c>
      <c r="D405" s="303" t="str">
        <f t="shared" si="14"/>
        <v>шт</v>
      </c>
      <c r="E405" s="303">
        <f t="shared" si="14"/>
        <v>0.3</v>
      </c>
      <c r="F405" s="303">
        <f t="shared" si="14"/>
        <v>17.5</v>
      </c>
      <c r="G405" s="228">
        <f t="shared" si="15"/>
        <v>5.25</v>
      </c>
      <c r="H405" s="336"/>
      <c r="I405" s="336"/>
      <c r="J405" s="336"/>
      <c r="K405" s="115"/>
      <c r="L405" s="189"/>
      <c r="M405" s="637"/>
      <c r="N405" s="180"/>
      <c r="O405" s="180"/>
    </row>
    <row r="406" spans="2:15" x14ac:dyDescent="0.3">
      <c r="C406" s="27" t="str">
        <f t="shared" si="14"/>
        <v xml:space="preserve">Спирт 70% 100мл </v>
      </c>
      <c r="D406" s="303" t="str">
        <f t="shared" si="14"/>
        <v>фл/гр.</v>
      </c>
      <c r="E406" s="303">
        <f t="shared" si="14"/>
        <v>0.01</v>
      </c>
      <c r="F406" s="303">
        <f t="shared" si="14"/>
        <v>24.6</v>
      </c>
      <c r="G406" s="228">
        <f t="shared" si="15"/>
        <v>0.25</v>
      </c>
      <c r="K406" s="115"/>
    </row>
    <row r="407" spans="2:15" x14ac:dyDescent="0.3">
      <c r="C407" s="1012" t="s">
        <v>945</v>
      </c>
      <c r="D407" s="1013"/>
      <c r="E407" s="1013"/>
      <c r="F407" s="1014"/>
      <c r="G407" s="332">
        <f>SUM(G396:G406)</f>
        <v>16.600000000000001</v>
      </c>
      <c r="K407" s="115"/>
    </row>
    <row r="408" spans="2:15" ht="6.75" customHeight="1" x14ac:dyDescent="0.3">
      <c r="K408" s="115"/>
    </row>
    <row r="409" spans="2:15" x14ac:dyDescent="0.3">
      <c r="C409" s="12" t="s">
        <v>968</v>
      </c>
      <c r="D409" s="227"/>
      <c r="E409" s="227"/>
      <c r="F409" s="298">
        <f>H412</f>
        <v>0.2</v>
      </c>
      <c r="G409" s="227" t="s">
        <v>971</v>
      </c>
      <c r="K409" s="115"/>
    </row>
    <row r="410" spans="2:15" ht="1.5" customHeight="1" x14ac:dyDescent="0.3">
      <c r="C410" s="22"/>
      <c r="D410" s="36"/>
      <c r="E410" s="36"/>
      <c r="F410" s="302"/>
      <c r="G410" s="36"/>
      <c r="K410" s="115"/>
    </row>
    <row r="411" spans="2:15" ht="27.6" x14ac:dyDescent="0.3">
      <c r="C411" s="14" t="s">
        <v>513</v>
      </c>
      <c r="D411" s="14" t="s">
        <v>969</v>
      </c>
      <c r="E411" s="14" t="s">
        <v>516</v>
      </c>
      <c r="F411" s="14" t="s">
        <v>970</v>
      </c>
      <c r="G411" s="14" t="s">
        <v>930</v>
      </c>
      <c r="H411" s="14" t="s">
        <v>961</v>
      </c>
      <c r="K411" s="115"/>
    </row>
    <row r="412" spans="2:15" x14ac:dyDescent="0.3">
      <c r="C412" s="17" t="s">
        <v>1107</v>
      </c>
      <c r="D412" s="73">
        <f>D299</f>
        <v>7000</v>
      </c>
      <c r="E412" s="73">
        <v>12562.55</v>
      </c>
      <c r="F412" s="73">
        <f>ROUND((D412/E412)/60,2)</f>
        <v>0.01</v>
      </c>
      <c r="G412" s="73">
        <f>E390</f>
        <v>20</v>
      </c>
      <c r="H412" s="78">
        <f>ROUND(F412*G412,2)</f>
        <v>0.2</v>
      </c>
      <c r="I412" s="333"/>
      <c r="K412" s="115"/>
    </row>
    <row r="413" spans="2:15" ht="3.75" customHeight="1" x14ac:dyDescent="0.3">
      <c r="K413" s="115"/>
    </row>
    <row r="414" spans="2:15" x14ac:dyDescent="0.3">
      <c r="C414" s="12" t="s">
        <v>948</v>
      </c>
      <c r="D414" s="227"/>
      <c r="E414" s="227"/>
      <c r="F414" s="298">
        <f>H427</f>
        <v>2.7600000000000002</v>
      </c>
      <c r="G414" s="227" t="s">
        <v>971</v>
      </c>
      <c r="K414" s="115"/>
    </row>
    <row r="415" spans="2:15" ht="0.75" customHeight="1" x14ac:dyDescent="0.3">
      <c r="C415" s="22"/>
      <c r="D415" s="36"/>
      <c r="E415" s="36"/>
      <c r="F415" s="302"/>
      <c r="K415" s="115"/>
    </row>
    <row r="416" spans="2:15" ht="27.6" x14ac:dyDescent="0.3">
      <c r="C416" s="14" t="s">
        <v>948</v>
      </c>
      <c r="D416" s="14" t="s">
        <v>1110</v>
      </c>
      <c r="E416" s="14" t="s">
        <v>516</v>
      </c>
      <c r="F416" s="14" t="s">
        <v>954</v>
      </c>
      <c r="G416" s="14" t="s">
        <v>930</v>
      </c>
      <c r="H416" s="14" t="s">
        <v>1111</v>
      </c>
      <c r="K416" s="115"/>
    </row>
    <row r="417" spans="3:11" x14ac:dyDescent="0.3">
      <c r="C417" s="1009" t="str">
        <f>C385</f>
        <v>Лікар-фізіотерапевт</v>
      </c>
      <c r="D417" s="1010"/>
      <c r="E417" s="1010"/>
      <c r="F417" s="1010"/>
      <c r="G417" s="1010"/>
      <c r="H417" s="1011"/>
      <c r="K417" s="115"/>
    </row>
    <row r="418" spans="3:11" x14ac:dyDescent="0.3">
      <c r="C418" s="17" t="s">
        <v>951</v>
      </c>
      <c r="D418" s="221">
        <f>D305</f>
        <v>12188.608008565312</v>
      </c>
      <c r="E418" s="73">
        <f>I385</f>
        <v>1932.7</v>
      </c>
      <c r="F418" s="73">
        <f>ROUND((D418/E418)/60,2)</f>
        <v>0.11</v>
      </c>
      <c r="G418" s="73">
        <f>E389</f>
        <v>3</v>
      </c>
      <c r="H418" s="78">
        <f>ROUND(F418*G418,2)</f>
        <v>0.33</v>
      </c>
      <c r="K418" s="115"/>
    </row>
    <row r="419" spans="3:11" x14ac:dyDescent="0.3">
      <c r="C419" s="17" t="s">
        <v>952</v>
      </c>
      <c r="D419" s="221">
        <f>D306</f>
        <v>53.149721627408987</v>
      </c>
      <c r="E419" s="73">
        <f>I385</f>
        <v>1932.7</v>
      </c>
      <c r="F419" s="73">
        <f>ROUND((D419/E419)/60,2)</f>
        <v>0</v>
      </c>
      <c r="G419" s="73">
        <f>E389</f>
        <v>3</v>
      </c>
      <c r="H419" s="78">
        <f>ROUND(F419*G419,2)</f>
        <v>0</v>
      </c>
      <c r="K419" s="115"/>
    </row>
    <row r="420" spans="3:11" x14ac:dyDescent="0.3">
      <c r="C420" s="17" t="s">
        <v>953</v>
      </c>
      <c r="D420" s="221">
        <f>D307</f>
        <v>374.98368308351178</v>
      </c>
      <c r="E420" s="73">
        <f>I385</f>
        <v>1932.7</v>
      </c>
      <c r="F420" s="73">
        <f>ROUND((D420/E420)/60,2)</f>
        <v>0</v>
      </c>
      <c r="G420" s="73">
        <f>E389</f>
        <v>3</v>
      </c>
      <c r="H420" s="78">
        <f>ROUND(F420*G420,2)</f>
        <v>0</v>
      </c>
      <c r="K420" s="115"/>
    </row>
    <row r="421" spans="3:11" x14ac:dyDescent="0.3">
      <c r="C421" s="17" t="s">
        <v>1109</v>
      </c>
      <c r="D421" s="221">
        <f>D308</f>
        <v>1686.0389293361886</v>
      </c>
      <c r="E421" s="73">
        <f>I385</f>
        <v>1932.7</v>
      </c>
      <c r="F421" s="73">
        <f>ROUND((D421/E421)/60,2)</f>
        <v>0.01</v>
      </c>
      <c r="G421" s="73">
        <f>E389</f>
        <v>3</v>
      </c>
      <c r="H421" s="78">
        <f>ROUND(F421*G421,2)</f>
        <v>0.03</v>
      </c>
      <c r="K421" s="115"/>
    </row>
    <row r="422" spans="3:11" x14ac:dyDescent="0.3">
      <c r="C422" s="1009" t="str">
        <f>C386</f>
        <v>Сестра медична з фізіотерапії</v>
      </c>
      <c r="D422" s="1010"/>
      <c r="E422" s="1010"/>
      <c r="F422" s="1010"/>
      <c r="G422" s="1010"/>
      <c r="H422" s="1011"/>
      <c r="K422" s="115"/>
    </row>
    <row r="423" spans="3:11" x14ac:dyDescent="0.3">
      <c r="C423" s="17" t="s">
        <v>951</v>
      </c>
      <c r="D423" s="221">
        <f>D418</f>
        <v>12188.608008565312</v>
      </c>
      <c r="E423" s="73">
        <f>I386</f>
        <v>1932.7</v>
      </c>
      <c r="F423" s="73">
        <f>ROUND((D423/E423)/60,2)</f>
        <v>0.11</v>
      </c>
      <c r="G423" s="73">
        <f>E390</f>
        <v>20</v>
      </c>
      <c r="H423" s="78">
        <f>ROUND(F423*G423,2)</f>
        <v>2.2000000000000002</v>
      </c>
      <c r="K423" s="115"/>
    </row>
    <row r="424" spans="3:11" x14ac:dyDescent="0.3">
      <c r="C424" s="17" t="s">
        <v>952</v>
      </c>
      <c r="D424" s="221">
        <f>D419</f>
        <v>53.149721627408987</v>
      </c>
      <c r="E424" s="73">
        <f>I386</f>
        <v>1932.7</v>
      </c>
      <c r="F424" s="73">
        <f>ROUND((D424/E424)/60,2)</f>
        <v>0</v>
      </c>
      <c r="G424" s="73">
        <f>E390</f>
        <v>20</v>
      </c>
      <c r="H424" s="78">
        <f>ROUND(F424*G424,2)</f>
        <v>0</v>
      </c>
      <c r="K424" s="115"/>
    </row>
    <row r="425" spans="3:11" x14ac:dyDescent="0.3">
      <c r="C425" s="17" t="s">
        <v>953</v>
      </c>
      <c r="D425" s="221">
        <f>D420</f>
        <v>374.98368308351178</v>
      </c>
      <c r="E425" s="73">
        <f>I386</f>
        <v>1932.7</v>
      </c>
      <c r="F425" s="73">
        <f>ROUND((D425/E425)/60,2)</f>
        <v>0</v>
      </c>
      <c r="G425" s="73">
        <f>E390</f>
        <v>20</v>
      </c>
      <c r="H425" s="78">
        <f>ROUND(F425*G425,2)</f>
        <v>0</v>
      </c>
      <c r="K425" s="115"/>
    </row>
    <row r="426" spans="3:11" x14ac:dyDescent="0.3">
      <c r="C426" s="17" t="s">
        <v>1109</v>
      </c>
      <c r="D426" s="221">
        <f>D421</f>
        <v>1686.0389293361886</v>
      </c>
      <c r="E426" s="73">
        <f>I386</f>
        <v>1932.7</v>
      </c>
      <c r="F426" s="73">
        <f>ROUND((D426/E426)/60,2)</f>
        <v>0.01</v>
      </c>
      <c r="G426" s="73">
        <f>E390</f>
        <v>20</v>
      </c>
      <c r="H426" s="78">
        <f>ROUND(F426*G426,2)</f>
        <v>0.2</v>
      </c>
      <c r="K426" s="115"/>
    </row>
    <row r="427" spans="3:11" x14ac:dyDescent="0.3">
      <c r="C427" s="1012" t="s">
        <v>957</v>
      </c>
      <c r="D427" s="1013"/>
      <c r="E427" s="1013"/>
      <c r="F427" s="1013"/>
      <c r="G427" s="1014"/>
      <c r="H427" s="299">
        <f>SUM(H418:H426)</f>
        <v>2.7600000000000002</v>
      </c>
      <c r="K427" s="115"/>
    </row>
    <row r="428" spans="3:11" ht="3.75" customHeight="1" x14ac:dyDescent="0.3">
      <c r="K428" s="115"/>
    </row>
    <row r="429" spans="3:11" x14ac:dyDescent="0.3">
      <c r="K429" s="115"/>
    </row>
    <row r="430" spans="3:11" x14ac:dyDescent="0.3">
      <c r="C430" s="1068" t="s">
        <v>959</v>
      </c>
      <c r="D430" s="1069"/>
      <c r="E430" s="1069"/>
      <c r="F430" s="1069"/>
      <c r="G430" s="1070"/>
      <c r="H430" s="334">
        <f>F382+F394+F414+F409</f>
        <v>44.800000000000004</v>
      </c>
      <c r="K430" s="115"/>
    </row>
    <row r="431" spans="3:11" ht="9.75" customHeight="1" x14ac:dyDescent="0.3">
      <c r="C431" s="33"/>
      <c r="D431" s="33"/>
      <c r="E431" s="33"/>
      <c r="F431" s="33"/>
      <c r="G431" s="33"/>
      <c r="H431" s="335"/>
      <c r="K431" s="115"/>
    </row>
    <row r="432" spans="3:11" x14ac:dyDescent="0.3">
      <c r="C432" s="1068" t="s">
        <v>960</v>
      </c>
      <c r="D432" s="1069"/>
      <c r="E432" s="1069"/>
      <c r="F432" s="1069"/>
      <c r="G432" s="1070"/>
      <c r="H432" s="334">
        <f>ROUND(H430,0)</f>
        <v>45</v>
      </c>
      <c r="K432" s="115"/>
    </row>
    <row r="433" spans="2:15" x14ac:dyDescent="0.3">
      <c r="K433" s="115"/>
    </row>
    <row r="434" spans="2:15" x14ac:dyDescent="0.3">
      <c r="K434" s="115"/>
    </row>
    <row r="435" spans="2:15" s="54" customFormat="1" ht="19.8" x14ac:dyDescent="0.4">
      <c r="B435" s="1016" t="s">
        <v>958</v>
      </c>
      <c r="C435" s="1016"/>
      <c r="D435" s="1016"/>
      <c r="E435" s="1016"/>
      <c r="F435" s="1016"/>
      <c r="G435" s="1016"/>
      <c r="H435" s="1016"/>
      <c r="I435" s="1016"/>
      <c r="J435" s="1016"/>
      <c r="K435" s="115"/>
      <c r="L435" s="114"/>
      <c r="M435" s="636"/>
      <c r="N435" s="7"/>
      <c r="O435" s="53"/>
    </row>
    <row r="436" spans="2:15" ht="3" customHeight="1" x14ac:dyDescent="0.3">
      <c r="K436" s="115"/>
    </row>
    <row r="437" spans="2:15" s="54" customFormat="1" ht="37.5" customHeight="1" x14ac:dyDescent="0.4">
      <c r="B437" s="673" t="s">
        <v>414</v>
      </c>
      <c r="C437" s="1017" t="s">
        <v>418</v>
      </c>
      <c r="D437" s="1017"/>
      <c r="E437" s="1017"/>
      <c r="F437" s="653">
        <f>H489</f>
        <v>71</v>
      </c>
      <c r="G437" s="296" t="s">
        <v>971</v>
      </c>
      <c r="H437" s="225"/>
      <c r="I437" s="225"/>
      <c r="J437" s="225"/>
      <c r="K437" s="115"/>
      <c r="L437" s="114"/>
      <c r="M437" s="636"/>
      <c r="N437" s="7"/>
      <c r="O437" s="53"/>
    </row>
    <row r="438" spans="2:15" ht="16.5" customHeight="1" x14ac:dyDescent="0.3">
      <c r="K438" s="115"/>
    </row>
    <row r="439" spans="2:15" x14ac:dyDescent="0.3">
      <c r="C439" s="1018" t="s">
        <v>932</v>
      </c>
      <c r="D439" s="1018"/>
      <c r="E439" s="297"/>
      <c r="F439" s="298">
        <f>F446+F449+F447</f>
        <v>25.240000000000002</v>
      </c>
      <c r="G439" s="227" t="s">
        <v>971</v>
      </c>
      <c r="K439" s="115"/>
    </row>
    <row r="440" spans="2:15" ht="4.5" customHeight="1" x14ac:dyDescent="0.3">
      <c r="K440" s="115"/>
    </row>
    <row r="441" spans="2:15" ht="27.6" x14ac:dyDescent="0.3">
      <c r="C441" s="13" t="s">
        <v>929</v>
      </c>
      <c r="D441" s="14" t="s">
        <v>928</v>
      </c>
      <c r="E441" s="14" t="s">
        <v>514</v>
      </c>
      <c r="F441" s="14" t="s">
        <v>515</v>
      </c>
      <c r="G441" s="14" t="s">
        <v>962</v>
      </c>
      <c r="H441" s="14" t="s">
        <v>926</v>
      </c>
      <c r="I441" s="14" t="s">
        <v>516</v>
      </c>
      <c r="J441" s="14" t="s">
        <v>961</v>
      </c>
      <c r="K441" s="115"/>
    </row>
    <row r="442" spans="2:15" x14ac:dyDescent="0.3">
      <c r="C442" s="17" t="str">
        <f t="shared" ref="C442:G443" si="16">C385</f>
        <v>Лікар-фізіотерапевт</v>
      </c>
      <c r="D442" s="221">
        <f t="shared" si="16"/>
        <v>10799.43</v>
      </c>
      <c r="E442" s="221">
        <f t="shared" si="16"/>
        <v>129593.16</v>
      </c>
      <c r="F442" s="221">
        <f t="shared" si="16"/>
        <v>8307.26</v>
      </c>
      <c r="G442" s="221">
        <f t="shared" si="16"/>
        <v>4153.63</v>
      </c>
      <c r="H442" s="221">
        <f>E442+F442+G442</f>
        <v>142054.05000000002</v>
      </c>
      <c r="I442" s="73">
        <v>1932.7</v>
      </c>
      <c r="J442" s="78">
        <f>ROUND((H442/I442)/60,2)</f>
        <v>1.23</v>
      </c>
      <c r="K442" s="115"/>
    </row>
    <row r="443" spans="2:15" x14ac:dyDescent="0.3">
      <c r="C443" s="17" t="str">
        <f t="shared" si="16"/>
        <v>Сестра медична з фізіотерапії</v>
      </c>
      <c r="D443" s="221">
        <f t="shared" si="16"/>
        <v>7482.48</v>
      </c>
      <c r="E443" s="221">
        <f t="shared" si="16"/>
        <v>89789.759999999995</v>
      </c>
      <c r="F443" s="221">
        <f t="shared" si="16"/>
        <v>5755.75</v>
      </c>
      <c r="G443" s="221">
        <f t="shared" si="16"/>
        <v>2877.875</v>
      </c>
      <c r="H443" s="221">
        <f>E443+F443+G443</f>
        <v>98423.384999999995</v>
      </c>
      <c r="I443" s="73">
        <v>1932.7</v>
      </c>
      <c r="J443" s="78">
        <f>ROUND((H443/I443)/60,2)</f>
        <v>0.85</v>
      </c>
      <c r="K443" s="115"/>
    </row>
    <row r="444" spans="2:15" ht="5.25" customHeight="1" x14ac:dyDescent="0.3">
      <c r="K444" s="115"/>
    </row>
    <row r="445" spans="2:15" ht="27.6" x14ac:dyDescent="0.3">
      <c r="C445" s="13" t="s">
        <v>929</v>
      </c>
      <c r="D445" s="14" t="s">
        <v>961</v>
      </c>
      <c r="E445" s="14" t="s">
        <v>930</v>
      </c>
      <c r="F445" s="14" t="s">
        <v>931</v>
      </c>
      <c r="K445" s="115"/>
    </row>
    <row r="446" spans="2:15" x14ac:dyDescent="0.3">
      <c r="C446" s="15" t="str">
        <f>C442</f>
        <v>Лікар-фізіотерапевт</v>
      </c>
      <c r="D446" s="78">
        <f>J442</f>
        <v>1.23</v>
      </c>
      <c r="E446" s="73">
        <v>3</v>
      </c>
      <c r="F446" s="299">
        <f>ROUND(D446*E446,2)</f>
        <v>3.69</v>
      </c>
      <c r="K446" s="115"/>
    </row>
    <row r="447" spans="2:15" x14ac:dyDescent="0.3">
      <c r="C447" s="15" t="str">
        <f>C443</f>
        <v>Сестра медична з фізіотерапії</v>
      </c>
      <c r="D447" s="78">
        <f>J443</f>
        <v>0.85</v>
      </c>
      <c r="E447" s="73">
        <v>20</v>
      </c>
      <c r="F447" s="299">
        <f>ROUND(D447*E447,2)</f>
        <v>17</v>
      </c>
      <c r="K447" s="115"/>
    </row>
    <row r="448" spans="2:15" ht="6" customHeight="1" x14ac:dyDescent="0.3">
      <c r="D448" s="19"/>
      <c r="K448" s="115"/>
    </row>
    <row r="449" spans="2:15" x14ac:dyDescent="0.3">
      <c r="C449" s="17" t="s">
        <v>933</v>
      </c>
      <c r="D449" s="78">
        <f>F446+F447</f>
        <v>20.69</v>
      </c>
      <c r="E449" s="300">
        <v>0.22</v>
      </c>
      <c r="F449" s="301">
        <f>ROUND(D449*E449,2)</f>
        <v>4.55</v>
      </c>
      <c r="K449" s="115"/>
    </row>
    <row r="450" spans="2:15" ht="1.5" customHeight="1" x14ac:dyDescent="0.3">
      <c r="K450" s="115"/>
    </row>
    <row r="451" spans="2:15" x14ac:dyDescent="0.3">
      <c r="C451" s="12" t="s">
        <v>946</v>
      </c>
      <c r="D451" s="227"/>
      <c r="E451" s="227"/>
      <c r="F451" s="227">
        <f>G464</f>
        <v>42.320000000000007</v>
      </c>
      <c r="G451" s="227" t="s">
        <v>971</v>
      </c>
      <c r="K451" s="115"/>
    </row>
    <row r="452" spans="2:15" ht="4.5" customHeight="1" x14ac:dyDescent="0.3">
      <c r="K452" s="115"/>
    </row>
    <row r="453" spans="2:15" x14ac:dyDescent="0.3">
      <c r="C453" s="27" t="str">
        <f>'МЕДИЧНІ М'!B277</f>
        <v>Нікотинова кислота р-н д/ін 1 % - 1 мл № 10</v>
      </c>
      <c r="D453" s="303" t="str">
        <f>D396</f>
        <v>амп</v>
      </c>
      <c r="E453" s="303">
        <f>E396</f>
        <v>0.1</v>
      </c>
      <c r="F453" s="303">
        <f>'МЕДИЧНІ М'!F277</f>
        <v>48.9</v>
      </c>
      <c r="G453" s="228">
        <f>ROUND(F453*E453,2)</f>
        <v>4.8899999999999997</v>
      </c>
      <c r="K453" s="115"/>
    </row>
    <row r="454" spans="2:15" ht="27.6" x14ac:dyDescent="0.3">
      <c r="C454" s="27" t="str">
        <f>'МЕДИЧНІ М'!B274</f>
        <v>Електроди одноразові поверхневі з гідрофільною прокладкою з целюлози прямокутні № 25</v>
      </c>
      <c r="D454" s="303" t="str">
        <f t="shared" ref="D454:D463" si="17">D397</f>
        <v>шт</v>
      </c>
      <c r="E454" s="652">
        <f>E340</f>
        <v>2</v>
      </c>
      <c r="F454" s="652">
        <f>F340</f>
        <v>14</v>
      </c>
      <c r="G454" s="228">
        <f t="shared" ref="G454:G463" si="18">ROUND(F454*E454,2)</f>
        <v>28</v>
      </c>
      <c r="K454" s="115"/>
    </row>
    <row r="455" spans="2:15" x14ac:dyDescent="0.3">
      <c r="C455" s="27" t="str">
        <f t="shared" ref="C455:C463" si="19">C398</f>
        <v>Антисептик для обробки рук</v>
      </c>
      <c r="D455" s="303" t="str">
        <f t="shared" si="17"/>
        <v>мл</v>
      </c>
      <c r="E455" s="303">
        <f t="shared" ref="E455:F463" si="20">E398</f>
        <v>1</v>
      </c>
      <c r="F455" s="303">
        <f t="shared" si="20"/>
        <v>0.375</v>
      </c>
      <c r="G455" s="228">
        <f t="shared" si="18"/>
        <v>0.38</v>
      </c>
      <c r="K455" s="115"/>
    </row>
    <row r="456" spans="2:15" x14ac:dyDescent="0.3">
      <c r="C456" s="27" t="str">
        <f t="shared" si="19"/>
        <v>Антисептик швидкої дії</v>
      </c>
      <c r="D456" s="303" t="str">
        <f t="shared" si="17"/>
        <v>мл</v>
      </c>
      <c r="E456" s="303">
        <f t="shared" si="20"/>
        <v>1</v>
      </c>
      <c r="F456" s="303">
        <f t="shared" si="20"/>
        <v>0.28799999999999998</v>
      </c>
      <c r="G456" s="228">
        <f t="shared" si="18"/>
        <v>0.28999999999999998</v>
      </c>
      <c r="K456" s="115"/>
    </row>
    <row r="457" spans="2:15" x14ac:dyDescent="0.3">
      <c r="C457" s="27" t="str">
        <f t="shared" si="19"/>
        <v>Вата 100 гр.</v>
      </c>
      <c r="D457" s="303" t="str">
        <f t="shared" si="17"/>
        <v>г</v>
      </c>
      <c r="E457" s="303">
        <f t="shared" si="20"/>
        <v>0.01</v>
      </c>
      <c r="F457" s="303">
        <f t="shared" si="20"/>
        <v>6.72</v>
      </c>
      <c r="G457" s="228">
        <f t="shared" si="18"/>
        <v>7.0000000000000007E-2</v>
      </c>
      <c r="K457" s="115"/>
    </row>
    <row r="458" spans="2:15" s="184" customFormat="1" x14ac:dyDescent="0.3">
      <c r="B458" s="672"/>
      <c r="C458" s="27" t="str">
        <f t="shared" si="19"/>
        <v>Деззасоби</v>
      </c>
      <c r="D458" s="303" t="str">
        <f t="shared" si="17"/>
        <v>г</v>
      </c>
      <c r="E458" s="303">
        <f t="shared" si="20"/>
        <v>0.5</v>
      </c>
      <c r="F458" s="303">
        <f t="shared" si="20"/>
        <v>0.5</v>
      </c>
      <c r="G458" s="228">
        <f t="shared" si="18"/>
        <v>0.25</v>
      </c>
      <c r="H458" s="336"/>
      <c r="I458" s="336"/>
      <c r="J458" s="336"/>
      <c r="K458" s="115"/>
      <c r="L458" s="189"/>
      <c r="M458" s="637"/>
      <c r="N458" s="180"/>
      <c r="O458" s="180"/>
    </row>
    <row r="459" spans="2:15" x14ac:dyDescent="0.3">
      <c r="C459" s="27" t="str">
        <f t="shared" si="19"/>
        <v>Маска одноразова тришарова на резинці</v>
      </c>
      <c r="D459" s="303" t="str">
        <f t="shared" si="17"/>
        <v>шт</v>
      </c>
      <c r="E459" s="303">
        <f t="shared" si="20"/>
        <v>1</v>
      </c>
      <c r="F459" s="303">
        <f t="shared" si="20"/>
        <v>2</v>
      </c>
      <c r="G459" s="228">
        <f t="shared" si="18"/>
        <v>2</v>
      </c>
      <c r="K459" s="115"/>
    </row>
    <row r="460" spans="2:15" x14ac:dyDescent="0.3">
      <c r="C460" s="27" t="str">
        <f t="shared" si="19"/>
        <v>Мило рідке</v>
      </c>
      <c r="D460" s="303" t="str">
        <f t="shared" si="17"/>
        <v>мл</v>
      </c>
      <c r="E460" s="303">
        <f t="shared" si="20"/>
        <v>1</v>
      </c>
      <c r="F460" s="303">
        <f t="shared" si="20"/>
        <v>0.19600000000000001</v>
      </c>
      <c r="G460" s="228">
        <f t="shared" si="18"/>
        <v>0.2</v>
      </c>
      <c r="K460" s="115"/>
    </row>
    <row r="461" spans="2:15" s="184" customFormat="1" x14ac:dyDescent="0.3">
      <c r="B461" s="672"/>
      <c r="C461" s="27" t="str">
        <f t="shared" si="19"/>
        <v>Рукавиці не стерильні</v>
      </c>
      <c r="D461" s="303" t="str">
        <f t="shared" si="17"/>
        <v>пара</v>
      </c>
      <c r="E461" s="303">
        <f t="shared" si="20"/>
        <v>0.1</v>
      </c>
      <c r="F461" s="303">
        <f t="shared" si="20"/>
        <v>7.39</v>
      </c>
      <c r="G461" s="228">
        <f t="shared" si="18"/>
        <v>0.74</v>
      </c>
      <c r="H461" s="336"/>
      <c r="I461" s="336"/>
      <c r="J461" s="336"/>
      <c r="K461" s="115"/>
      <c r="L461" s="189"/>
      <c r="M461" s="637"/>
      <c r="N461" s="180"/>
      <c r="O461" s="180"/>
    </row>
    <row r="462" spans="2:15" s="184" customFormat="1" x14ac:dyDescent="0.3">
      <c r="B462" s="672"/>
      <c r="C462" s="27" t="str">
        <f t="shared" si="19"/>
        <v>Рушник паперовий</v>
      </c>
      <c r="D462" s="303" t="str">
        <f t="shared" si="17"/>
        <v>шт</v>
      </c>
      <c r="E462" s="303">
        <f t="shared" si="20"/>
        <v>0.3</v>
      </c>
      <c r="F462" s="303">
        <f t="shared" si="20"/>
        <v>17.5</v>
      </c>
      <c r="G462" s="228">
        <f t="shared" si="18"/>
        <v>5.25</v>
      </c>
      <c r="H462" s="336"/>
      <c r="I462" s="336"/>
      <c r="J462" s="336"/>
      <c r="K462" s="115"/>
      <c r="L462" s="189"/>
      <c r="M462" s="637"/>
      <c r="N462" s="180"/>
      <c r="O462" s="180"/>
    </row>
    <row r="463" spans="2:15" x14ac:dyDescent="0.3">
      <c r="C463" s="27" t="str">
        <f t="shared" si="19"/>
        <v xml:space="preserve">Спирт 70% 100мл </v>
      </c>
      <c r="D463" s="303" t="str">
        <f t="shared" si="17"/>
        <v>фл/гр.</v>
      </c>
      <c r="E463" s="303">
        <f t="shared" si="20"/>
        <v>0.01</v>
      </c>
      <c r="F463" s="303">
        <f t="shared" si="20"/>
        <v>24.6</v>
      </c>
      <c r="G463" s="228">
        <f t="shared" si="18"/>
        <v>0.25</v>
      </c>
      <c r="K463" s="115"/>
    </row>
    <row r="464" spans="2:15" x14ac:dyDescent="0.3">
      <c r="C464" s="1012" t="s">
        <v>945</v>
      </c>
      <c r="D464" s="1013"/>
      <c r="E464" s="1013"/>
      <c r="F464" s="1014"/>
      <c r="G464" s="332">
        <f>SUM(G453:G463)</f>
        <v>42.320000000000007</v>
      </c>
      <c r="K464" s="115"/>
    </row>
    <row r="465" spans="3:11" x14ac:dyDescent="0.3">
      <c r="K465" s="115"/>
    </row>
    <row r="466" spans="3:11" x14ac:dyDescent="0.3">
      <c r="C466" s="12" t="s">
        <v>968</v>
      </c>
      <c r="D466" s="227"/>
      <c r="E466" s="227"/>
      <c r="F466" s="298">
        <f>H469</f>
        <v>0.2</v>
      </c>
      <c r="G466" s="227" t="s">
        <v>971</v>
      </c>
      <c r="K466" s="115"/>
    </row>
    <row r="467" spans="3:11" ht="6.75" customHeight="1" x14ac:dyDescent="0.3">
      <c r="C467" s="22"/>
      <c r="D467" s="36"/>
      <c r="E467" s="36"/>
      <c r="F467" s="302"/>
      <c r="G467" s="36"/>
      <c r="K467" s="115"/>
    </row>
    <row r="468" spans="3:11" ht="27.6" x14ac:dyDescent="0.3">
      <c r="C468" s="14" t="s">
        <v>513</v>
      </c>
      <c r="D468" s="14" t="s">
        <v>969</v>
      </c>
      <c r="E468" s="14" t="s">
        <v>516</v>
      </c>
      <c r="F468" s="14" t="s">
        <v>970</v>
      </c>
      <c r="G468" s="14" t="s">
        <v>930</v>
      </c>
      <c r="H468" s="14" t="s">
        <v>961</v>
      </c>
      <c r="K468" s="115"/>
    </row>
    <row r="469" spans="3:11" x14ac:dyDescent="0.3">
      <c r="C469" s="17" t="s">
        <v>1107</v>
      </c>
      <c r="D469" s="73">
        <f>D355</f>
        <v>7000</v>
      </c>
      <c r="E469" s="73">
        <v>12562.55</v>
      </c>
      <c r="F469" s="73">
        <f>ROUND((D469/E469)/60,2)</f>
        <v>0.01</v>
      </c>
      <c r="G469" s="73">
        <f>E447</f>
        <v>20</v>
      </c>
      <c r="H469" s="78">
        <f>ROUND(F469*G469,2)</f>
        <v>0.2</v>
      </c>
      <c r="I469" s="333"/>
      <c r="K469" s="115"/>
    </row>
    <row r="470" spans="3:11" x14ac:dyDescent="0.3">
      <c r="K470" s="115"/>
    </row>
    <row r="471" spans="3:11" x14ac:dyDescent="0.3">
      <c r="C471" s="12" t="s">
        <v>948</v>
      </c>
      <c r="D471" s="227"/>
      <c r="E471" s="227"/>
      <c r="F471" s="298">
        <f>H484</f>
        <v>2.7600000000000002</v>
      </c>
      <c r="G471" s="227" t="s">
        <v>971</v>
      </c>
      <c r="K471" s="115"/>
    </row>
    <row r="472" spans="3:11" ht="3.75" customHeight="1" x14ac:dyDescent="0.3">
      <c r="C472" s="22"/>
      <c r="D472" s="36"/>
      <c r="E472" s="36"/>
      <c r="F472" s="302"/>
      <c r="K472" s="115"/>
    </row>
    <row r="473" spans="3:11" ht="27.6" x14ac:dyDescent="0.3">
      <c r="C473" s="14" t="s">
        <v>948</v>
      </c>
      <c r="D473" s="14" t="s">
        <v>1110</v>
      </c>
      <c r="E473" s="14" t="s">
        <v>516</v>
      </c>
      <c r="F473" s="14" t="s">
        <v>954</v>
      </c>
      <c r="G473" s="14" t="s">
        <v>930</v>
      </c>
      <c r="H473" s="14" t="s">
        <v>1111</v>
      </c>
      <c r="K473" s="115"/>
    </row>
    <row r="474" spans="3:11" x14ac:dyDescent="0.3">
      <c r="C474" s="1071" t="str">
        <f>C442</f>
        <v>Лікар-фізіотерапевт</v>
      </c>
      <c r="D474" s="1071"/>
      <c r="E474" s="1071"/>
      <c r="F474" s="1071"/>
      <c r="G474" s="1071"/>
      <c r="H474" s="1071"/>
      <c r="K474" s="115"/>
    </row>
    <row r="475" spans="3:11" x14ac:dyDescent="0.3">
      <c r="C475" s="17" t="s">
        <v>951</v>
      </c>
      <c r="D475" s="221">
        <f>D361</f>
        <v>12188.608008565312</v>
      </c>
      <c r="E475" s="73">
        <f>I442</f>
        <v>1932.7</v>
      </c>
      <c r="F475" s="73">
        <f>ROUND((D475/E475)/60,2)</f>
        <v>0.11</v>
      </c>
      <c r="G475" s="73">
        <f>E446</f>
        <v>3</v>
      </c>
      <c r="H475" s="78">
        <f>ROUND(F475*G475,2)</f>
        <v>0.33</v>
      </c>
      <c r="K475" s="115"/>
    </row>
    <row r="476" spans="3:11" x14ac:dyDescent="0.3">
      <c r="C476" s="17" t="s">
        <v>952</v>
      </c>
      <c r="D476" s="221">
        <f>D362</f>
        <v>53.149721627408987</v>
      </c>
      <c r="E476" s="73">
        <f>I442</f>
        <v>1932.7</v>
      </c>
      <c r="F476" s="73">
        <f>ROUND((D476/E476)/60,2)</f>
        <v>0</v>
      </c>
      <c r="G476" s="73">
        <f>E446</f>
        <v>3</v>
      </c>
      <c r="H476" s="78">
        <f>ROUND(F476*G476,2)</f>
        <v>0</v>
      </c>
      <c r="K476" s="115"/>
    </row>
    <row r="477" spans="3:11" x14ac:dyDescent="0.3">
      <c r="C477" s="17" t="s">
        <v>953</v>
      </c>
      <c r="D477" s="221">
        <f>D363</f>
        <v>374.98368308351178</v>
      </c>
      <c r="E477" s="73">
        <f>I442</f>
        <v>1932.7</v>
      </c>
      <c r="F477" s="73">
        <f>ROUND((D477/E477)/60,2)</f>
        <v>0</v>
      </c>
      <c r="G477" s="73">
        <f>E446</f>
        <v>3</v>
      </c>
      <c r="H477" s="78">
        <f>ROUND(F477*G477,2)</f>
        <v>0</v>
      </c>
      <c r="K477" s="115"/>
    </row>
    <row r="478" spans="3:11" x14ac:dyDescent="0.3">
      <c r="C478" s="17" t="s">
        <v>1109</v>
      </c>
      <c r="D478" s="221">
        <f>D364</f>
        <v>1686.0389293361886</v>
      </c>
      <c r="E478" s="73">
        <f>I442</f>
        <v>1932.7</v>
      </c>
      <c r="F478" s="73">
        <f>ROUND((D478/E478)/60,2)</f>
        <v>0.01</v>
      </c>
      <c r="G478" s="73">
        <f>E446</f>
        <v>3</v>
      </c>
      <c r="H478" s="78">
        <f>ROUND(F478*G478,2)</f>
        <v>0.03</v>
      </c>
      <c r="K478" s="115"/>
    </row>
    <row r="479" spans="3:11" x14ac:dyDescent="0.3">
      <c r="C479" s="1071" t="str">
        <f>C443</f>
        <v>Сестра медична з фізіотерапії</v>
      </c>
      <c r="D479" s="1071"/>
      <c r="E479" s="1071"/>
      <c r="F479" s="1071"/>
      <c r="G479" s="1071"/>
      <c r="H479" s="1071"/>
      <c r="K479" s="115"/>
    </row>
    <row r="480" spans="3:11" x14ac:dyDescent="0.3">
      <c r="C480" s="17" t="s">
        <v>951</v>
      </c>
      <c r="D480" s="221">
        <f>D475</f>
        <v>12188.608008565312</v>
      </c>
      <c r="E480" s="73">
        <f>I443</f>
        <v>1932.7</v>
      </c>
      <c r="F480" s="73">
        <f>ROUND((D480/E480)/60,2)</f>
        <v>0.11</v>
      </c>
      <c r="G480" s="73">
        <f>E447</f>
        <v>20</v>
      </c>
      <c r="H480" s="78">
        <f>ROUND(F480*G480,2)</f>
        <v>2.2000000000000002</v>
      </c>
      <c r="K480" s="115"/>
    </row>
    <row r="481" spans="2:15" x14ac:dyDescent="0.3">
      <c r="C481" s="17" t="s">
        <v>952</v>
      </c>
      <c r="D481" s="221">
        <f>D476</f>
        <v>53.149721627408987</v>
      </c>
      <c r="E481" s="73">
        <f>I443</f>
        <v>1932.7</v>
      </c>
      <c r="F481" s="73">
        <f>ROUND((D481/E481)/60,2)</f>
        <v>0</v>
      </c>
      <c r="G481" s="73">
        <f>E447</f>
        <v>20</v>
      </c>
      <c r="H481" s="78">
        <f>ROUND(F481*G481,2)</f>
        <v>0</v>
      </c>
      <c r="K481" s="115"/>
    </row>
    <row r="482" spans="2:15" x14ac:dyDescent="0.3">
      <c r="C482" s="17" t="s">
        <v>953</v>
      </c>
      <c r="D482" s="221">
        <f>D477</f>
        <v>374.98368308351178</v>
      </c>
      <c r="E482" s="73">
        <f>I443</f>
        <v>1932.7</v>
      </c>
      <c r="F482" s="73">
        <f>ROUND((D482/E482)/60,2)</f>
        <v>0</v>
      </c>
      <c r="G482" s="73">
        <f>E447</f>
        <v>20</v>
      </c>
      <c r="H482" s="78">
        <f>ROUND(F482*G482,2)</f>
        <v>0</v>
      </c>
      <c r="K482" s="115"/>
    </row>
    <row r="483" spans="2:15" x14ac:dyDescent="0.3">
      <c r="C483" s="17" t="s">
        <v>1109</v>
      </c>
      <c r="D483" s="221">
        <f>D478</f>
        <v>1686.0389293361886</v>
      </c>
      <c r="E483" s="73">
        <f>I443</f>
        <v>1932.7</v>
      </c>
      <c r="F483" s="73">
        <f>ROUND((D483/E483)/60,2)</f>
        <v>0.01</v>
      </c>
      <c r="G483" s="73">
        <f>E447</f>
        <v>20</v>
      </c>
      <c r="H483" s="78">
        <f>ROUND(F483*G483,2)</f>
        <v>0.2</v>
      </c>
      <c r="K483" s="115"/>
    </row>
    <row r="484" spans="2:15" x14ac:dyDescent="0.3">
      <c r="C484" s="1019" t="s">
        <v>957</v>
      </c>
      <c r="D484" s="1019"/>
      <c r="E484" s="1019"/>
      <c r="F484" s="1019"/>
      <c r="G484" s="1019"/>
      <c r="H484" s="299">
        <f>SUM(H475:H483)</f>
        <v>2.7600000000000002</v>
      </c>
      <c r="K484" s="115"/>
    </row>
    <row r="485" spans="2:15" x14ac:dyDescent="0.3">
      <c r="K485" s="115"/>
    </row>
    <row r="486" spans="2:15" x14ac:dyDescent="0.3">
      <c r="K486" s="115"/>
    </row>
    <row r="487" spans="2:15" x14ac:dyDescent="0.3">
      <c r="C487" s="1068" t="s">
        <v>959</v>
      </c>
      <c r="D487" s="1069"/>
      <c r="E487" s="1069"/>
      <c r="F487" s="1069"/>
      <c r="G487" s="1070"/>
      <c r="H487" s="334">
        <f>F439+F451+F471+F466</f>
        <v>70.52000000000001</v>
      </c>
      <c r="K487" s="115"/>
    </row>
    <row r="488" spans="2:15" x14ac:dyDescent="0.3">
      <c r="C488" s="33"/>
      <c r="D488" s="33"/>
      <c r="E488" s="33"/>
      <c r="F488" s="33"/>
      <c r="G488" s="33"/>
      <c r="H488" s="335"/>
      <c r="K488" s="115"/>
    </row>
    <row r="489" spans="2:15" x14ac:dyDescent="0.3">
      <c r="C489" s="1068" t="s">
        <v>960</v>
      </c>
      <c r="D489" s="1069"/>
      <c r="E489" s="1069"/>
      <c r="F489" s="1069"/>
      <c r="G489" s="1070"/>
      <c r="H489" s="334">
        <f>ROUND(H487,0)</f>
        <v>71</v>
      </c>
      <c r="K489" s="115"/>
    </row>
    <row r="490" spans="2:15" ht="9.75" customHeight="1" x14ac:dyDescent="0.3">
      <c r="K490" s="115"/>
    </row>
    <row r="491" spans="2:15" x14ac:dyDescent="0.3">
      <c r="K491" s="115"/>
    </row>
    <row r="492" spans="2:15" s="54" customFormat="1" ht="19.8" x14ac:dyDescent="0.4">
      <c r="B492" s="1016" t="s">
        <v>958</v>
      </c>
      <c r="C492" s="1016"/>
      <c r="D492" s="1016"/>
      <c r="E492" s="1016"/>
      <c r="F492" s="1016"/>
      <c r="G492" s="1016"/>
      <c r="H492" s="1016"/>
      <c r="I492" s="1016"/>
      <c r="J492" s="1016"/>
      <c r="K492" s="115"/>
      <c r="L492" s="114"/>
      <c r="M492" s="636"/>
      <c r="N492" s="7"/>
      <c r="O492" s="53"/>
    </row>
    <row r="493" spans="2:15" ht="3" customHeight="1" x14ac:dyDescent="0.3">
      <c r="K493" s="115"/>
    </row>
    <row r="494" spans="2:15" s="54" customFormat="1" ht="36" customHeight="1" x14ac:dyDescent="0.4">
      <c r="B494" s="673" t="s">
        <v>415</v>
      </c>
      <c r="C494" s="1017" t="s">
        <v>419</v>
      </c>
      <c r="D494" s="1017"/>
      <c r="E494" s="1017"/>
      <c r="F494" s="653">
        <f>H546</f>
        <v>47</v>
      </c>
      <c r="G494" s="296" t="s">
        <v>971</v>
      </c>
      <c r="H494" s="225"/>
      <c r="I494" s="225"/>
      <c r="J494" s="225"/>
      <c r="K494" s="115"/>
      <c r="L494" s="114"/>
      <c r="M494" s="636"/>
      <c r="N494" s="7"/>
      <c r="O494" s="53"/>
    </row>
    <row r="495" spans="2:15" ht="16.5" customHeight="1" x14ac:dyDescent="0.3">
      <c r="K495" s="115"/>
    </row>
    <row r="496" spans="2:15" x14ac:dyDescent="0.3">
      <c r="C496" s="575" t="s">
        <v>932</v>
      </c>
      <c r="D496" s="575"/>
      <c r="E496" s="297"/>
      <c r="F496" s="298">
        <f>F503+F506+F504</f>
        <v>25.240000000000002</v>
      </c>
      <c r="G496" s="227" t="s">
        <v>971</v>
      </c>
      <c r="K496" s="115"/>
    </row>
    <row r="497" spans="3:11" ht="4.5" customHeight="1" x14ac:dyDescent="0.3">
      <c r="K497" s="115"/>
    </row>
    <row r="498" spans="3:11" ht="27.6" x14ac:dyDescent="0.3">
      <c r="C498" s="13" t="s">
        <v>929</v>
      </c>
      <c r="D498" s="14" t="s">
        <v>928</v>
      </c>
      <c r="E498" s="14" t="s">
        <v>514</v>
      </c>
      <c r="F498" s="14" t="s">
        <v>515</v>
      </c>
      <c r="G498" s="14" t="s">
        <v>962</v>
      </c>
      <c r="H498" s="14" t="s">
        <v>926</v>
      </c>
      <c r="I498" s="14" t="s">
        <v>516</v>
      </c>
      <c r="J498" s="14" t="s">
        <v>961</v>
      </c>
      <c r="K498" s="115"/>
    </row>
    <row r="499" spans="3:11" x14ac:dyDescent="0.3">
      <c r="C499" s="17" t="str">
        <f t="shared" ref="C499:G500" si="21">C442</f>
        <v>Лікар-фізіотерапевт</v>
      </c>
      <c r="D499" s="221">
        <f t="shared" si="21"/>
        <v>10799.43</v>
      </c>
      <c r="E499" s="221">
        <f t="shared" si="21"/>
        <v>129593.16</v>
      </c>
      <c r="F499" s="221">
        <f t="shared" si="21"/>
        <v>8307.26</v>
      </c>
      <c r="G499" s="221">
        <f t="shared" si="21"/>
        <v>4153.63</v>
      </c>
      <c r="H499" s="221">
        <f>E499+F499+G499</f>
        <v>142054.05000000002</v>
      </c>
      <c r="I499" s="73">
        <v>1932.7</v>
      </c>
      <c r="J499" s="78">
        <f>ROUND((H499/I499)/60,2)</f>
        <v>1.23</v>
      </c>
      <c r="K499" s="115"/>
    </row>
    <row r="500" spans="3:11" x14ac:dyDescent="0.3">
      <c r="C500" s="17" t="str">
        <f t="shared" si="21"/>
        <v>Сестра медична з фізіотерапії</v>
      </c>
      <c r="D500" s="221">
        <f t="shared" si="21"/>
        <v>7482.48</v>
      </c>
      <c r="E500" s="221">
        <f t="shared" si="21"/>
        <v>89789.759999999995</v>
      </c>
      <c r="F500" s="221">
        <f t="shared" si="21"/>
        <v>5755.75</v>
      </c>
      <c r="G500" s="221">
        <f t="shared" si="21"/>
        <v>2877.875</v>
      </c>
      <c r="H500" s="221">
        <f>E500+F500+G500</f>
        <v>98423.384999999995</v>
      </c>
      <c r="I500" s="73">
        <v>1932.7</v>
      </c>
      <c r="J500" s="78">
        <f>ROUND((H500/I500)/60,2)</f>
        <v>0.85</v>
      </c>
      <c r="K500" s="115"/>
    </row>
    <row r="501" spans="3:11" ht="5.25" customHeight="1" x14ac:dyDescent="0.3">
      <c r="K501" s="115"/>
    </row>
    <row r="502" spans="3:11" ht="27.6" x14ac:dyDescent="0.3">
      <c r="C502" s="13" t="s">
        <v>929</v>
      </c>
      <c r="D502" s="14" t="s">
        <v>961</v>
      </c>
      <c r="E502" s="14" t="s">
        <v>930</v>
      </c>
      <c r="F502" s="14" t="s">
        <v>931</v>
      </c>
      <c r="K502" s="115"/>
    </row>
    <row r="503" spans="3:11" x14ac:dyDescent="0.3">
      <c r="C503" s="15" t="str">
        <f>C499</f>
        <v>Лікар-фізіотерапевт</v>
      </c>
      <c r="D503" s="78">
        <f>J499</f>
        <v>1.23</v>
      </c>
      <c r="E503" s="73">
        <v>3</v>
      </c>
      <c r="F503" s="299">
        <f>ROUND(D503*E503,2)</f>
        <v>3.69</v>
      </c>
      <c r="K503" s="115"/>
    </row>
    <row r="504" spans="3:11" x14ac:dyDescent="0.3">
      <c r="C504" s="15" t="str">
        <f>C500</f>
        <v>Сестра медична з фізіотерапії</v>
      </c>
      <c r="D504" s="78">
        <f>J500</f>
        <v>0.85</v>
      </c>
      <c r="E504" s="73">
        <v>20</v>
      </c>
      <c r="F504" s="299">
        <f>ROUND(D504*E504,2)</f>
        <v>17</v>
      </c>
      <c r="K504" s="115"/>
    </row>
    <row r="505" spans="3:11" ht="6" customHeight="1" x14ac:dyDescent="0.3">
      <c r="D505" s="19"/>
      <c r="K505" s="115"/>
    </row>
    <row r="506" spans="3:11" x14ac:dyDescent="0.3">
      <c r="C506" s="17" t="s">
        <v>933</v>
      </c>
      <c r="D506" s="78">
        <f>F503+F504</f>
        <v>20.69</v>
      </c>
      <c r="E506" s="300">
        <v>0.22</v>
      </c>
      <c r="F506" s="301">
        <f>ROUND(D506*E506,2)</f>
        <v>4.55</v>
      </c>
      <c r="K506" s="115"/>
    </row>
    <row r="507" spans="3:11" ht="1.5" customHeight="1" x14ac:dyDescent="0.3">
      <c r="K507" s="115"/>
    </row>
    <row r="508" spans="3:11" x14ac:dyDescent="0.3">
      <c r="C508" s="12" t="s">
        <v>946</v>
      </c>
      <c r="D508" s="227"/>
      <c r="E508" s="227"/>
      <c r="F508" s="227">
        <f>G521</f>
        <v>18.32</v>
      </c>
      <c r="G508" s="227" t="s">
        <v>971</v>
      </c>
      <c r="K508" s="115"/>
    </row>
    <row r="509" spans="3:11" ht="4.5" customHeight="1" x14ac:dyDescent="0.3">
      <c r="K509" s="115"/>
    </row>
    <row r="510" spans="3:11" x14ac:dyDescent="0.3">
      <c r="C510" s="27" t="str">
        <f>C453</f>
        <v>Нікотинова кислота р-н д/ін 1 % - 1 мл № 10</v>
      </c>
      <c r="D510" s="303" t="str">
        <f>D453</f>
        <v>амп</v>
      </c>
      <c r="E510" s="303">
        <f>E453</f>
        <v>0.1</v>
      </c>
      <c r="F510" s="303">
        <f>F453</f>
        <v>48.9</v>
      </c>
      <c r="G510" s="228">
        <f>ROUND(F510*E510,2)</f>
        <v>4.8899999999999997</v>
      </c>
      <c r="K510" s="115"/>
    </row>
    <row r="511" spans="3:11" x14ac:dyDescent="0.3">
      <c r="C511" s="27" t="str">
        <f>C397</f>
        <v>Гідрофільні прокладки багаторазові поверхневі</v>
      </c>
      <c r="D511" s="303" t="str">
        <f>D397</f>
        <v>шт</v>
      </c>
      <c r="E511" s="303">
        <f>E397</f>
        <v>2</v>
      </c>
      <c r="F511" s="303">
        <f>F397</f>
        <v>2</v>
      </c>
      <c r="G511" s="228">
        <f t="shared" ref="G511:G520" si="22">ROUND(F511*E511,2)</f>
        <v>4</v>
      </c>
      <c r="K511" s="115"/>
    </row>
    <row r="512" spans="3:11" x14ac:dyDescent="0.3">
      <c r="C512" s="27" t="str">
        <f t="shared" ref="C512:F520" si="23">C455</f>
        <v>Антисептик для обробки рук</v>
      </c>
      <c r="D512" s="303" t="str">
        <f t="shared" si="23"/>
        <v>мл</v>
      </c>
      <c r="E512" s="303">
        <f t="shared" si="23"/>
        <v>1</v>
      </c>
      <c r="F512" s="303">
        <f t="shared" si="23"/>
        <v>0.375</v>
      </c>
      <c r="G512" s="228">
        <f t="shared" si="22"/>
        <v>0.38</v>
      </c>
      <c r="K512" s="115"/>
    </row>
    <row r="513" spans="2:15" x14ac:dyDescent="0.3">
      <c r="C513" s="27" t="str">
        <f t="shared" si="23"/>
        <v>Антисептик швидкої дії</v>
      </c>
      <c r="D513" s="303" t="str">
        <f t="shared" si="23"/>
        <v>мл</v>
      </c>
      <c r="E513" s="303">
        <f t="shared" si="23"/>
        <v>1</v>
      </c>
      <c r="F513" s="303">
        <f t="shared" si="23"/>
        <v>0.28799999999999998</v>
      </c>
      <c r="G513" s="228">
        <f t="shared" si="22"/>
        <v>0.28999999999999998</v>
      </c>
      <c r="K513" s="115"/>
    </row>
    <row r="514" spans="2:15" x14ac:dyDescent="0.3">
      <c r="C514" s="27" t="str">
        <f t="shared" si="23"/>
        <v>Вата 100 гр.</v>
      </c>
      <c r="D514" s="303" t="str">
        <f t="shared" si="23"/>
        <v>г</v>
      </c>
      <c r="E514" s="303">
        <f t="shared" si="23"/>
        <v>0.01</v>
      </c>
      <c r="F514" s="303">
        <f t="shared" si="23"/>
        <v>6.72</v>
      </c>
      <c r="G514" s="228">
        <f t="shared" si="22"/>
        <v>7.0000000000000007E-2</v>
      </c>
      <c r="K514" s="115"/>
    </row>
    <row r="515" spans="2:15" s="184" customFormat="1" x14ac:dyDescent="0.3">
      <c r="B515" s="672"/>
      <c r="C515" s="27" t="str">
        <f t="shared" si="23"/>
        <v>Деззасоби</v>
      </c>
      <c r="D515" s="303" t="str">
        <f t="shared" si="23"/>
        <v>г</v>
      </c>
      <c r="E515" s="303">
        <f t="shared" si="23"/>
        <v>0.5</v>
      </c>
      <c r="F515" s="303">
        <f t="shared" si="23"/>
        <v>0.5</v>
      </c>
      <c r="G515" s="228">
        <f t="shared" si="22"/>
        <v>0.25</v>
      </c>
      <c r="H515" s="336"/>
      <c r="I515" s="336"/>
      <c r="J515" s="336"/>
      <c r="K515" s="115"/>
      <c r="L515" s="189"/>
      <c r="M515" s="637"/>
      <c r="N515" s="180"/>
      <c r="O515" s="180"/>
    </row>
    <row r="516" spans="2:15" x14ac:dyDescent="0.3">
      <c r="C516" s="27" t="str">
        <f t="shared" si="23"/>
        <v>Маска одноразова тришарова на резинці</v>
      </c>
      <c r="D516" s="303" t="str">
        <f t="shared" si="23"/>
        <v>шт</v>
      </c>
      <c r="E516" s="303">
        <f t="shared" si="23"/>
        <v>1</v>
      </c>
      <c r="F516" s="303">
        <f t="shared" si="23"/>
        <v>2</v>
      </c>
      <c r="G516" s="228">
        <f t="shared" si="22"/>
        <v>2</v>
      </c>
      <c r="K516" s="115"/>
    </row>
    <row r="517" spans="2:15" x14ac:dyDescent="0.3">
      <c r="C517" s="27" t="str">
        <f t="shared" si="23"/>
        <v>Мило рідке</v>
      </c>
      <c r="D517" s="303" t="str">
        <f t="shared" si="23"/>
        <v>мл</v>
      </c>
      <c r="E517" s="303">
        <f t="shared" si="23"/>
        <v>1</v>
      </c>
      <c r="F517" s="303">
        <f t="shared" si="23"/>
        <v>0.19600000000000001</v>
      </c>
      <c r="G517" s="228">
        <f t="shared" si="22"/>
        <v>0.2</v>
      </c>
      <c r="K517" s="115"/>
    </row>
    <row r="518" spans="2:15" s="184" customFormat="1" x14ac:dyDescent="0.3">
      <c r="B518" s="672"/>
      <c r="C518" s="27" t="str">
        <f t="shared" si="23"/>
        <v>Рукавиці не стерильні</v>
      </c>
      <c r="D518" s="303" t="str">
        <f t="shared" si="23"/>
        <v>пара</v>
      </c>
      <c r="E518" s="303">
        <f t="shared" si="23"/>
        <v>0.1</v>
      </c>
      <c r="F518" s="303">
        <f t="shared" si="23"/>
        <v>7.39</v>
      </c>
      <c r="G518" s="228">
        <f t="shared" si="22"/>
        <v>0.74</v>
      </c>
      <c r="H518" s="336"/>
      <c r="I518" s="336"/>
      <c r="J518" s="336"/>
      <c r="K518" s="115"/>
      <c r="L518" s="189"/>
      <c r="M518" s="637"/>
      <c r="N518" s="180"/>
      <c r="O518" s="180"/>
    </row>
    <row r="519" spans="2:15" s="184" customFormat="1" x14ac:dyDescent="0.3">
      <c r="B519" s="672"/>
      <c r="C519" s="27" t="str">
        <f t="shared" si="23"/>
        <v>Рушник паперовий</v>
      </c>
      <c r="D519" s="303" t="str">
        <f t="shared" si="23"/>
        <v>шт</v>
      </c>
      <c r="E519" s="303">
        <f t="shared" si="23"/>
        <v>0.3</v>
      </c>
      <c r="F519" s="303">
        <f t="shared" si="23"/>
        <v>17.5</v>
      </c>
      <c r="G519" s="228">
        <f t="shared" si="22"/>
        <v>5.25</v>
      </c>
      <c r="H519" s="336"/>
      <c r="I519" s="336"/>
      <c r="J519" s="336"/>
      <c r="K519" s="115"/>
      <c r="L519" s="189"/>
      <c r="M519" s="637"/>
      <c r="N519" s="180"/>
      <c r="O519" s="180"/>
    </row>
    <row r="520" spans="2:15" x14ac:dyDescent="0.3">
      <c r="C520" s="27" t="str">
        <f t="shared" si="23"/>
        <v xml:space="preserve">Спирт 70% 100мл </v>
      </c>
      <c r="D520" s="303" t="str">
        <f t="shared" si="23"/>
        <v>фл/гр.</v>
      </c>
      <c r="E520" s="303">
        <f t="shared" si="23"/>
        <v>0.01</v>
      </c>
      <c r="F520" s="303">
        <f t="shared" si="23"/>
        <v>24.6</v>
      </c>
      <c r="G520" s="228">
        <f t="shared" si="22"/>
        <v>0.25</v>
      </c>
      <c r="K520" s="115"/>
    </row>
    <row r="521" spans="2:15" x14ac:dyDescent="0.3">
      <c r="C521" s="577" t="s">
        <v>945</v>
      </c>
      <c r="D521" s="578"/>
      <c r="E521" s="578"/>
      <c r="F521" s="579"/>
      <c r="G521" s="332">
        <f>SUM(G510:G520)</f>
        <v>18.32</v>
      </c>
      <c r="K521" s="115"/>
    </row>
    <row r="522" spans="2:15" x14ac:dyDescent="0.3">
      <c r="K522" s="115"/>
    </row>
    <row r="523" spans="2:15" x14ac:dyDescent="0.3">
      <c r="C523" s="12" t="s">
        <v>968</v>
      </c>
      <c r="D523" s="227"/>
      <c r="E523" s="227"/>
      <c r="F523" s="298">
        <f>H526</f>
        <v>0.2</v>
      </c>
      <c r="G523" s="227" t="s">
        <v>971</v>
      </c>
      <c r="K523" s="115"/>
    </row>
    <row r="524" spans="2:15" ht="6.75" customHeight="1" x14ac:dyDescent="0.3">
      <c r="C524" s="22"/>
      <c r="D524" s="36"/>
      <c r="E524" s="36"/>
      <c r="F524" s="302"/>
      <c r="G524" s="36"/>
      <c r="K524" s="115"/>
    </row>
    <row r="525" spans="2:15" ht="27.6" x14ac:dyDescent="0.3">
      <c r="C525" s="14" t="s">
        <v>513</v>
      </c>
      <c r="D525" s="14" t="s">
        <v>969</v>
      </c>
      <c r="E525" s="14" t="s">
        <v>516</v>
      </c>
      <c r="F525" s="14" t="s">
        <v>970</v>
      </c>
      <c r="G525" s="14" t="s">
        <v>930</v>
      </c>
      <c r="H525" s="14" t="s">
        <v>961</v>
      </c>
      <c r="K525" s="115"/>
    </row>
    <row r="526" spans="2:15" x14ac:dyDescent="0.3">
      <c r="C526" s="17" t="s">
        <v>1107</v>
      </c>
      <c r="D526" s="73">
        <f>D412</f>
        <v>7000</v>
      </c>
      <c r="E526" s="73">
        <v>12562.55</v>
      </c>
      <c r="F526" s="73">
        <f>ROUND((D526/E526)/60,2)</f>
        <v>0.01</v>
      </c>
      <c r="G526" s="73">
        <f>E504</f>
        <v>20</v>
      </c>
      <c r="H526" s="78">
        <f>ROUND(F526*G526,2)</f>
        <v>0.2</v>
      </c>
      <c r="I526" s="333"/>
      <c r="K526" s="115"/>
    </row>
    <row r="527" spans="2:15" x14ac:dyDescent="0.3">
      <c r="K527" s="115"/>
    </row>
    <row r="528" spans="2:15" x14ac:dyDescent="0.3">
      <c r="C528" s="12" t="s">
        <v>948</v>
      </c>
      <c r="D528" s="227"/>
      <c r="E528" s="227"/>
      <c r="F528" s="298">
        <f>H541</f>
        <v>2.7600000000000002</v>
      </c>
      <c r="G528" s="227" t="s">
        <v>971</v>
      </c>
      <c r="K528" s="115"/>
    </row>
    <row r="529" spans="3:11" x14ac:dyDescent="0.3">
      <c r="C529" s="22"/>
      <c r="D529" s="36"/>
      <c r="E529" s="36"/>
      <c r="F529" s="302"/>
      <c r="K529" s="115"/>
    </row>
    <row r="530" spans="3:11" ht="27.6" x14ac:dyDescent="0.3">
      <c r="C530" s="14" t="s">
        <v>948</v>
      </c>
      <c r="D530" s="14" t="s">
        <v>1110</v>
      </c>
      <c r="E530" s="14" t="s">
        <v>516</v>
      </c>
      <c r="F530" s="14" t="s">
        <v>954</v>
      </c>
      <c r="G530" s="14" t="s">
        <v>930</v>
      </c>
      <c r="H530" s="14" t="s">
        <v>1111</v>
      </c>
      <c r="K530" s="115"/>
    </row>
    <row r="531" spans="3:11" x14ac:dyDescent="0.3">
      <c r="C531" s="14" t="str">
        <f>C499</f>
        <v>Лікар-фізіотерапевт</v>
      </c>
      <c r="D531" s="14"/>
      <c r="E531" s="14"/>
      <c r="F531" s="14"/>
      <c r="G531" s="14"/>
      <c r="H531" s="14"/>
      <c r="K531" s="115"/>
    </row>
    <row r="532" spans="3:11" x14ac:dyDescent="0.3">
      <c r="C532" s="17" t="s">
        <v>951</v>
      </c>
      <c r="D532" s="221">
        <f>D418</f>
        <v>12188.608008565312</v>
      </c>
      <c r="E532" s="73">
        <f>I499</f>
        <v>1932.7</v>
      </c>
      <c r="F532" s="73">
        <f>ROUND((D532/E532)/60,2)</f>
        <v>0.11</v>
      </c>
      <c r="G532" s="73">
        <f>E503</f>
        <v>3</v>
      </c>
      <c r="H532" s="78">
        <f>ROUND(F532*G532,2)</f>
        <v>0.33</v>
      </c>
      <c r="K532" s="115"/>
    </row>
    <row r="533" spans="3:11" x14ac:dyDescent="0.3">
      <c r="C533" s="17" t="s">
        <v>952</v>
      </c>
      <c r="D533" s="221">
        <f>D419</f>
        <v>53.149721627408987</v>
      </c>
      <c r="E533" s="73">
        <f>I499</f>
        <v>1932.7</v>
      </c>
      <c r="F533" s="73">
        <f>ROUND((D533/E533)/60,2)</f>
        <v>0</v>
      </c>
      <c r="G533" s="73">
        <f>E503</f>
        <v>3</v>
      </c>
      <c r="H533" s="78">
        <f>ROUND(F533*G533,2)</f>
        <v>0</v>
      </c>
      <c r="K533" s="115"/>
    </row>
    <row r="534" spans="3:11" x14ac:dyDescent="0.3">
      <c r="C534" s="17" t="s">
        <v>953</v>
      </c>
      <c r="D534" s="221">
        <f>D420</f>
        <v>374.98368308351178</v>
      </c>
      <c r="E534" s="73">
        <f>I499</f>
        <v>1932.7</v>
      </c>
      <c r="F534" s="73">
        <f>ROUND((D534/E534)/60,2)</f>
        <v>0</v>
      </c>
      <c r="G534" s="73">
        <f>E503</f>
        <v>3</v>
      </c>
      <c r="H534" s="78">
        <f>ROUND(F534*G534,2)</f>
        <v>0</v>
      </c>
      <c r="K534" s="115"/>
    </row>
    <row r="535" spans="3:11" x14ac:dyDescent="0.3">
      <c r="C535" s="17" t="s">
        <v>1109</v>
      </c>
      <c r="D535" s="221">
        <f>D421</f>
        <v>1686.0389293361886</v>
      </c>
      <c r="E535" s="73">
        <f>I499</f>
        <v>1932.7</v>
      </c>
      <c r="F535" s="73">
        <f>ROUND((D535/E535)/60,2)</f>
        <v>0.01</v>
      </c>
      <c r="G535" s="73">
        <f>E503</f>
        <v>3</v>
      </c>
      <c r="H535" s="78">
        <f>ROUND(F535*G535,2)</f>
        <v>0.03</v>
      </c>
      <c r="K535" s="115"/>
    </row>
    <row r="536" spans="3:11" x14ac:dyDescent="0.3">
      <c r="C536" s="14" t="str">
        <f>C500</f>
        <v>Сестра медична з фізіотерапії</v>
      </c>
      <c r="D536" s="14"/>
      <c r="E536" s="14"/>
      <c r="F536" s="14"/>
      <c r="G536" s="14"/>
      <c r="H536" s="14"/>
      <c r="K536" s="115"/>
    </row>
    <row r="537" spans="3:11" x14ac:dyDescent="0.3">
      <c r="C537" s="17" t="s">
        <v>951</v>
      </c>
      <c r="D537" s="221">
        <f>D532</f>
        <v>12188.608008565312</v>
      </c>
      <c r="E537" s="73">
        <f>I500</f>
        <v>1932.7</v>
      </c>
      <c r="F537" s="73">
        <f>ROUND((D537/E537)/60,2)</f>
        <v>0.11</v>
      </c>
      <c r="G537" s="73">
        <f>E504</f>
        <v>20</v>
      </c>
      <c r="H537" s="78">
        <f>ROUND(F537*G537,2)</f>
        <v>2.2000000000000002</v>
      </c>
      <c r="K537" s="115"/>
    </row>
    <row r="538" spans="3:11" x14ac:dyDescent="0.3">
      <c r="C538" s="17" t="s">
        <v>952</v>
      </c>
      <c r="D538" s="221">
        <f>D533</f>
        <v>53.149721627408987</v>
      </c>
      <c r="E538" s="73">
        <f>I500</f>
        <v>1932.7</v>
      </c>
      <c r="F538" s="73">
        <f>ROUND((D538/E538)/60,2)</f>
        <v>0</v>
      </c>
      <c r="G538" s="73">
        <f>E504</f>
        <v>20</v>
      </c>
      <c r="H538" s="78">
        <f>ROUND(F538*G538,2)</f>
        <v>0</v>
      </c>
      <c r="K538" s="115"/>
    </row>
    <row r="539" spans="3:11" x14ac:dyDescent="0.3">
      <c r="C539" s="17" t="s">
        <v>953</v>
      </c>
      <c r="D539" s="221">
        <f>D534</f>
        <v>374.98368308351178</v>
      </c>
      <c r="E539" s="73">
        <f>I500</f>
        <v>1932.7</v>
      </c>
      <c r="F539" s="73">
        <f>ROUND((D539/E539)/60,2)</f>
        <v>0</v>
      </c>
      <c r="G539" s="73">
        <f>E504</f>
        <v>20</v>
      </c>
      <c r="H539" s="78">
        <f>ROUND(F539*G539,2)</f>
        <v>0</v>
      </c>
      <c r="K539" s="115"/>
    </row>
    <row r="540" spans="3:11" x14ac:dyDescent="0.3">
      <c r="C540" s="17" t="s">
        <v>1109</v>
      </c>
      <c r="D540" s="221">
        <f>D535</f>
        <v>1686.0389293361886</v>
      </c>
      <c r="E540" s="73">
        <f>I500</f>
        <v>1932.7</v>
      </c>
      <c r="F540" s="73">
        <f>ROUND((D540/E540)/60,2)</f>
        <v>0.01</v>
      </c>
      <c r="G540" s="73">
        <f>E504</f>
        <v>20</v>
      </c>
      <c r="H540" s="78">
        <f>ROUND(F540*G540,2)</f>
        <v>0.2</v>
      </c>
      <c r="K540" s="115"/>
    </row>
    <row r="541" spans="3:11" x14ac:dyDescent="0.3">
      <c r="C541" s="576" t="s">
        <v>957</v>
      </c>
      <c r="D541" s="576"/>
      <c r="E541" s="576"/>
      <c r="F541" s="576"/>
      <c r="G541" s="576"/>
      <c r="H541" s="299">
        <f>SUM(H532:H540)</f>
        <v>2.7600000000000002</v>
      </c>
      <c r="K541" s="115"/>
    </row>
    <row r="542" spans="3:11" x14ac:dyDescent="0.3">
      <c r="K542" s="115"/>
    </row>
    <row r="543" spans="3:11" x14ac:dyDescent="0.3">
      <c r="K543" s="115"/>
    </row>
    <row r="544" spans="3:11" x14ac:dyDescent="0.3">
      <c r="C544" s="379" t="s">
        <v>959</v>
      </c>
      <c r="D544" s="286"/>
      <c r="E544" s="286"/>
      <c r="F544" s="286"/>
      <c r="G544" s="287"/>
      <c r="H544" s="334">
        <f>F496+F508+F528+F523</f>
        <v>46.52</v>
      </c>
      <c r="K544" s="115"/>
    </row>
    <row r="545" spans="2:15" x14ac:dyDescent="0.3">
      <c r="C545" s="33"/>
      <c r="D545" s="33"/>
      <c r="E545" s="33"/>
      <c r="F545" s="33"/>
      <c r="G545" s="33"/>
      <c r="H545" s="335"/>
      <c r="K545" s="115"/>
    </row>
    <row r="546" spans="2:15" x14ac:dyDescent="0.3">
      <c r="C546" s="379" t="s">
        <v>960</v>
      </c>
      <c r="D546" s="286"/>
      <c r="E546" s="286"/>
      <c r="F546" s="286"/>
      <c r="G546" s="287"/>
      <c r="H546" s="334">
        <f>ROUND(H544,0)</f>
        <v>47</v>
      </c>
      <c r="K546" s="115"/>
    </row>
    <row r="547" spans="2:15" x14ac:dyDescent="0.3">
      <c r="K547" s="115"/>
    </row>
    <row r="548" spans="2:15" x14ac:dyDescent="0.3">
      <c r="K548" s="115"/>
    </row>
    <row r="549" spans="2:15" s="54" customFormat="1" ht="19.8" x14ac:dyDescent="0.4">
      <c r="B549" s="1016" t="s">
        <v>958</v>
      </c>
      <c r="C549" s="1016"/>
      <c r="D549" s="1016"/>
      <c r="E549" s="1016"/>
      <c r="F549" s="1016"/>
      <c r="G549" s="1016"/>
      <c r="H549" s="1016"/>
      <c r="I549" s="1016"/>
      <c r="J549" s="1016"/>
      <c r="K549" s="115"/>
      <c r="L549" s="114"/>
      <c r="M549" s="636"/>
      <c r="N549" s="7"/>
      <c r="O549" s="53"/>
    </row>
    <row r="550" spans="2:15" ht="3" customHeight="1" x14ac:dyDescent="0.3">
      <c r="K550" s="115"/>
    </row>
    <row r="551" spans="2:15" s="54" customFormat="1" ht="38.25" customHeight="1" x14ac:dyDescent="0.4">
      <c r="B551" s="673" t="s">
        <v>416</v>
      </c>
      <c r="C551" s="1017" t="s">
        <v>420</v>
      </c>
      <c r="D551" s="1017"/>
      <c r="E551" s="1017"/>
      <c r="F551" s="653">
        <f>H603</f>
        <v>69</v>
      </c>
      <c r="G551" s="296" t="s">
        <v>971</v>
      </c>
      <c r="H551" s="225"/>
      <c r="I551" s="225"/>
      <c r="J551" s="225"/>
      <c r="K551" s="115"/>
      <c r="L551" s="114"/>
      <c r="M551" s="636"/>
      <c r="N551" s="7"/>
      <c r="O551" s="53"/>
    </row>
    <row r="552" spans="2:15" ht="16.5" customHeight="1" x14ac:dyDescent="0.3">
      <c r="K552" s="115"/>
    </row>
    <row r="553" spans="2:15" x14ac:dyDescent="0.3">
      <c r="C553" s="575" t="s">
        <v>932</v>
      </c>
      <c r="D553" s="575"/>
      <c r="E553" s="297"/>
      <c r="F553" s="298">
        <f>F560+F563+F561</f>
        <v>25.240000000000002</v>
      </c>
      <c r="G553" s="227" t="s">
        <v>971</v>
      </c>
      <c r="K553" s="115"/>
    </row>
    <row r="554" spans="2:15" x14ac:dyDescent="0.3">
      <c r="K554" s="115"/>
    </row>
    <row r="555" spans="2:15" ht="27.6" x14ac:dyDescent="0.3">
      <c r="C555" s="13" t="s">
        <v>929</v>
      </c>
      <c r="D555" s="14" t="s">
        <v>928</v>
      </c>
      <c r="E555" s="14" t="s">
        <v>514</v>
      </c>
      <c r="F555" s="14" t="s">
        <v>515</v>
      </c>
      <c r="G555" s="14" t="s">
        <v>962</v>
      </c>
      <c r="H555" s="14" t="s">
        <v>926</v>
      </c>
      <c r="I555" s="14" t="s">
        <v>516</v>
      </c>
      <c r="J555" s="14" t="s">
        <v>961</v>
      </c>
      <c r="K555" s="115"/>
    </row>
    <row r="556" spans="2:15" x14ac:dyDescent="0.3">
      <c r="C556" s="17" t="str">
        <f t="shared" ref="C556:G557" si="24">C499</f>
        <v>Лікар-фізіотерапевт</v>
      </c>
      <c r="D556" s="221">
        <f t="shared" si="24"/>
        <v>10799.43</v>
      </c>
      <c r="E556" s="221">
        <f t="shared" si="24"/>
        <v>129593.16</v>
      </c>
      <c r="F556" s="221">
        <f t="shared" si="24"/>
        <v>8307.26</v>
      </c>
      <c r="G556" s="221">
        <f t="shared" si="24"/>
        <v>4153.63</v>
      </c>
      <c r="H556" s="221">
        <f>E556+F556+G556</f>
        <v>142054.05000000002</v>
      </c>
      <c r="I556" s="73">
        <v>1932.7</v>
      </c>
      <c r="J556" s="78">
        <f>ROUND((H556/I556)/60,2)</f>
        <v>1.23</v>
      </c>
      <c r="K556" s="115"/>
    </row>
    <row r="557" spans="2:15" x14ac:dyDescent="0.3">
      <c r="C557" s="17" t="str">
        <f t="shared" si="24"/>
        <v>Сестра медична з фізіотерапії</v>
      </c>
      <c r="D557" s="221">
        <f t="shared" si="24"/>
        <v>7482.48</v>
      </c>
      <c r="E557" s="221">
        <f t="shared" si="24"/>
        <v>89789.759999999995</v>
      </c>
      <c r="F557" s="221">
        <f t="shared" si="24"/>
        <v>5755.75</v>
      </c>
      <c r="G557" s="221">
        <f t="shared" si="24"/>
        <v>2877.875</v>
      </c>
      <c r="H557" s="221">
        <f>E557+F557+G557</f>
        <v>98423.384999999995</v>
      </c>
      <c r="I557" s="73">
        <v>1932.7</v>
      </c>
      <c r="J557" s="78">
        <f>ROUND((H557/I557)/60,2)</f>
        <v>0.85</v>
      </c>
      <c r="K557" s="115"/>
    </row>
    <row r="558" spans="2:15" x14ac:dyDescent="0.3">
      <c r="K558" s="115"/>
    </row>
    <row r="559" spans="2:15" ht="27.6" x14ac:dyDescent="0.3">
      <c r="C559" s="13" t="s">
        <v>929</v>
      </c>
      <c r="D559" s="14" t="s">
        <v>961</v>
      </c>
      <c r="E559" s="14" t="s">
        <v>930</v>
      </c>
      <c r="F559" s="14" t="s">
        <v>931</v>
      </c>
      <c r="K559" s="115"/>
    </row>
    <row r="560" spans="2:15" x14ac:dyDescent="0.3">
      <c r="C560" s="15" t="str">
        <f>C556</f>
        <v>Лікар-фізіотерапевт</v>
      </c>
      <c r="D560" s="78">
        <f>J556</f>
        <v>1.23</v>
      </c>
      <c r="E560" s="73">
        <v>3</v>
      </c>
      <c r="F560" s="299">
        <f>ROUND(D560*E560,2)</f>
        <v>3.69</v>
      </c>
      <c r="K560" s="115"/>
    </row>
    <row r="561" spans="2:15" x14ac:dyDescent="0.3">
      <c r="C561" s="15" t="str">
        <f>C557</f>
        <v>Сестра медична з фізіотерапії</v>
      </c>
      <c r="D561" s="78">
        <f>J557</f>
        <v>0.85</v>
      </c>
      <c r="E561" s="73">
        <v>20</v>
      </c>
      <c r="F561" s="299">
        <f>ROUND(D561*E561,2)</f>
        <v>17</v>
      </c>
      <c r="K561" s="115"/>
    </row>
    <row r="562" spans="2:15" x14ac:dyDescent="0.3">
      <c r="D562" s="19"/>
      <c r="K562" s="115"/>
    </row>
    <row r="563" spans="2:15" x14ac:dyDescent="0.3">
      <c r="C563" s="17" t="s">
        <v>933</v>
      </c>
      <c r="D563" s="78">
        <f>F560+F561</f>
        <v>20.69</v>
      </c>
      <c r="E563" s="300">
        <v>0.22</v>
      </c>
      <c r="F563" s="301">
        <f>ROUND(D563*E563,2)</f>
        <v>4.55</v>
      </c>
      <c r="K563" s="115"/>
    </row>
    <row r="564" spans="2:15" x14ac:dyDescent="0.3">
      <c r="K564" s="115"/>
    </row>
    <row r="565" spans="2:15" x14ac:dyDescent="0.3">
      <c r="C565" s="12" t="s">
        <v>946</v>
      </c>
      <c r="D565" s="227"/>
      <c r="E565" s="227"/>
      <c r="F565" s="227">
        <f>G578</f>
        <v>40.440000000000005</v>
      </c>
      <c r="G565" s="227" t="s">
        <v>971</v>
      </c>
      <c r="K565" s="115"/>
    </row>
    <row r="566" spans="2:15" x14ac:dyDescent="0.3">
      <c r="K566" s="115"/>
    </row>
    <row r="567" spans="2:15" x14ac:dyDescent="0.3">
      <c r="C567" s="27" t="str">
        <f>'МЕДИЧНІ М'!B278</f>
        <v>Новокаїн р-н д/ін 2 % - 2 мл № 10</v>
      </c>
      <c r="D567" s="303" t="str">
        <f>D510</f>
        <v>амп</v>
      </c>
      <c r="E567" s="303">
        <f>E510</f>
        <v>0.1</v>
      </c>
      <c r="F567" s="303">
        <f>'МЕДИЧНІ М'!F278</f>
        <v>30.1</v>
      </c>
      <c r="G567" s="228">
        <f>ROUND(F567*E567,2)</f>
        <v>3.01</v>
      </c>
      <c r="K567" s="115"/>
    </row>
    <row r="568" spans="2:15" ht="27.6" x14ac:dyDescent="0.3">
      <c r="C568" s="27" t="str">
        <f>C340</f>
        <v>Електроди одноразові поверхневі з гідрофільною прокладкою з целюлози прямокутні № 25</v>
      </c>
      <c r="D568" s="303" t="str">
        <f>D340</f>
        <v>шт</v>
      </c>
      <c r="E568" s="303">
        <f>E340</f>
        <v>2</v>
      </c>
      <c r="F568" s="303">
        <f>F340</f>
        <v>14</v>
      </c>
      <c r="G568" s="228">
        <f t="shared" ref="G568:G577" si="25">ROUND(F568*E568,2)</f>
        <v>28</v>
      </c>
      <c r="K568" s="115"/>
    </row>
    <row r="569" spans="2:15" x14ac:dyDescent="0.3">
      <c r="C569" s="27" t="str">
        <f t="shared" ref="C569:F577" si="26">C512</f>
        <v>Антисептик для обробки рук</v>
      </c>
      <c r="D569" s="303" t="str">
        <f t="shared" si="26"/>
        <v>мл</v>
      </c>
      <c r="E569" s="303">
        <f t="shared" si="26"/>
        <v>1</v>
      </c>
      <c r="F569" s="303">
        <f t="shared" si="26"/>
        <v>0.375</v>
      </c>
      <c r="G569" s="228">
        <f t="shared" si="25"/>
        <v>0.38</v>
      </c>
      <c r="K569" s="115"/>
    </row>
    <row r="570" spans="2:15" x14ac:dyDescent="0.3">
      <c r="C570" s="27" t="str">
        <f t="shared" si="26"/>
        <v>Антисептик швидкої дії</v>
      </c>
      <c r="D570" s="303" t="str">
        <f t="shared" si="26"/>
        <v>мл</v>
      </c>
      <c r="E570" s="303">
        <f t="shared" si="26"/>
        <v>1</v>
      </c>
      <c r="F570" s="303">
        <f t="shared" si="26"/>
        <v>0.28799999999999998</v>
      </c>
      <c r="G570" s="228">
        <f t="shared" si="25"/>
        <v>0.28999999999999998</v>
      </c>
      <c r="K570" s="115"/>
    </row>
    <row r="571" spans="2:15" x14ac:dyDescent="0.3">
      <c r="C571" s="27" t="str">
        <f t="shared" si="26"/>
        <v>Вата 100 гр.</v>
      </c>
      <c r="D571" s="303" t="str">
        <f t="shared" si="26"/>
        <v>г</v>
      </c>
      <c r="E571" s="303">
        <f t="shared" si="26"/>
        <v>0.01</v>
      </c>
      <c r="F571" s="303">
        <f t="shared" si="26"/>
        <v>6.72</v>
      </c>
      <c r="G571" s="228">
        <f t="shared" si="25"/>
        <v>7.0000000000000007E-2</v>
      </c>
      <c r="K571" s="115"/>
    </row>
    <row r="572" spans="2:15" s="184" customFormat="1" x14ac:dyDescent="0.3">
      <c r="B572" s="672"/>
      <c r="C572" s="27" t="str">
        <f t="shared" si="26"/>
        <v>Деззасоби</v>
      </c>
      <c r="D572" s="303" t="str">
        <f t="shared" si="26"/>
        <v>г</v>
      </c>
      <c r="E572" s="303">
        <f t="shared" si="26"/>
        <v>0.5</v>
      </c>
      <c r="F572" s="303">
        <f t="shared" si="26"/>
        <v>0.5</v>
      </c>
      <c r="G572" s="228">
        <f t="shared" si="25"/>
        <v>0.25</v>
      </c>
      <c r="H572" s="336"/>
      <c r="I572" s="336"/>
      <c r="J572" s="336"/>
      <c r="K572" s="115"/>
      <c r="L572" s="189"/>
      <c r="M572" s="637"/>
      <c r="N572" s="180"/>
      <c r="O572" s="180"/>
    </row>
    <row r="573" spans="2:15" x14ac:dyDescent="0.3">
      <c r="C573" s="27" t="str">
        <f t="shared" si="26"/>
        <v>Маска одноразова тришарова на резинці</v>
      </c>
      <c r="D573" s="303" t="str">
        <f t="shared" si="26"/>
        <v>шт</v>
      </c>
      <c r="E573" s="303">
        <f t="shared" si="26"/>
        <v>1</v>
      </c>
      <c r="F573" s="303">
        <f t="shared" si="26"/>
        <v>2</v>
      </c>
      <c r="G573" s="228">
        <f t="shared" si="25"/>
        <v>2</v>
      </c>
      <c r="K573" s="115"/>
    </row>
    <row r="574" spans="2:15" x14ac:dyDescent="0.3">
      <c r="C574" s="27" t="str">
        <f t="shared" si="26"/>
        <v>Мило рідке</v>
      </c>
      <c r="D574" s="303" t="str">
        <f t="shared" si="26"/>
        <v>мл</v>
      </c>
      <c r="E574" s="303">
        <f t="shared" si="26"/>
        <v>1</v>
      </c>
      <c r="F574" s="303">
        <f t="shared" si="26"/>
        <v>0.19600000000000001</v>
      </c>
      <c r="G574" s="228">
        <f t="shared" si="25"/>
        <v>0.2</v>
      </c>
      <c r="K574" s="115"/>
    </row>
    <row r="575" spans="2:15" s="184" customFormat="1" x14ac:dyDescent="0.3">
      <c r="B575" s="672"/>
      <c r="C575" s="27" t="str">
        <f t="shared" si="26"/>
        <v>Рукавиці не стерильні</v>
      </c>
      <c r="D575" s="303" t="str">
        <f t="shared" si="26"/>
        <v>пара</v>
      </c>
      <c r="E575" s="303">
        <f t="shared" si="26"/>
        <v>0.1</v>
      </c>
      <c r="F575" s="303">
        <f t="shared" si="26"/>
        <v>7.39</v>
      </c>
      <c r="G575" s="228">
        <f t="shared" si="25"/>
        <v>0.74</v>
      </c>
      <c r="H575" s="336"/>
      <c r="I575" s="336"/>
      <c r="J575" s="336"/>
      <c r="K575" s="115"/>
      <c r="L575" s="189"/>
      <c r="M575" s="637"/>
      <c r="N575" s="180"/>
      <c r="O575" s="180"/>
    </row>
    <row r="576" spans="2:15" s="184" customFormat="1" x14ac:dyDescent="0.3">
      <c r="B576" s="672"/>
      <c r="C576" s="27" t="str">
        <f t="shared" si="26"/>
        <v>Рушник паперовий</v>
      </c>
      <c r="D576" s="303" t="str">
        <f t="shared" si="26"/>
        <v>шт</v>
      </c>
      <c r="E576" s="303">
        <f t="shared" si="26"/>
        <v>0.3</v>
      </c>
      <c r="F576" s="303">
        <f t="shared" si="26"/>
        <v>17.5</v>
      </c>
      <c r="G576" s="228">
        <f t="shared" si="25"/>
        <v>5.25</v>
      </c>
      <c r="H576" s="336"/>
      <c r="I576" s="336"/>
      <c r="J576" s="336"/>
      <c r="K576" s="115"/>
      <c r="L576" s="189"/>
      <c r="M576" s="637"/>
      <c r="N576" s="180"/>
      <c r="O576" s="180"/>
    </row>
    <row r="577" spans="3:11" x14ac:dyDescent="0.3">
      <c r="C577" s="27" t="str">
        <f t="shared" si="26"/>
        <v xml:space="preserve">Спирт 70% 100мл </v>
      </c>
      <c r="D577" s="303" t="str">
        <f t="shared" si="26"/>
        <v>фл/гр.</v>
      </c>
      <c r="E577" s="303">
        <f t="shared" si="26"/>
        <v>0.01</v>
      </c>
      <c r="F577" s="303">
        <f t="shared" si="26"/>
        <v>24.6</v>
      </c>
      <c r="G577" s="228">
        <f t="shared" si="25"/>
        <v>0.25</v>
      </c>
      <c r="K577" s="115"/>
    </row>
    <row r="578" spans="3:11" x14ac:dyDescent="0.3">
      <c r="C578" s="577" t="s">
        <v>945</v>
      </c>
      <c r="D578" s="578"/>
      <c r="E578" s="578"/>
      <c r="F578" s="579"/>
      <c r="G578" s="332">
        <f>SUM(G567:G577)</f>
        <v>40.440000000000005</v>
      </c>
      <c r="K578" s="115"/>
    </row>
    <row r="579" spans="3:11" x14ac:dyDescent="0.3">
      <c r="K579" s="115"/>
    </row>
    <row r="580" spans="3:11" x14ac:dyDescent="0.3">
      <c r="C580" s="12" t="s">
        <v>968</v>
      </c>
      <c r="D580" s="227"/>
      <c r="E580" s="227"/>
      <c r="F580" s="298">
        <f>H583</f>
        <v>0.2</v>
      </c>
      <c r="G580" s="227" t="s">
        <v>971</v>
      </c>
      <c r="K580" s="115"/>
    </row>
    <row r="581" spans="3:11" x14ac:dyDescent="0.3">
      <c r="C581" s="22"/>
      <c r="D581" s="36"/>
      <c r="E581" s="36"/>
      <c r="F581" s="302"/>
      <c r="G581" s="36"/>
      <c r="K581" s="115"/>
    </row>
    <row r="582" spans="3:11" ht="27.6" x14ac:dyDescent="0.3">
      <c r="C582" s="14" t="s">
        <v>513</v>
      </c>
      <c r="D582" s="14" t="s">
        <v>969</v>
      </c>
      <c r="E582" s="14" t="s">
        <v>516</v>
      </c>
      <c r="F582" s="14" t="s">
        <v>970</v>
      </c>
      <c r="G582" s="14" t="s">
        <v>930</v>
      </c>
      <c r="H582" s="14" t="s">
        <v>961</v>
      </c>
      <c r="K582" s="115"/>
    </row>
    <row r="583" spans="3:11" x14ac:dyDescent="0.3">
      <c r="C583" s="17" t="s">
        <v>1107</v>
      </c>
      <c r="D583" s="73">
        <f>D469</f>
        <v>7000</v>
      </c>
      <c r="E583" s="73">
        <v>12562.55</v>
      </c>
      <c r="F583" s="73">
        <f>ROUND((D583/E583)/60,2)</f>
        <v>0.01</v>
      </c>
      <c r="G583" s="73">
        <f>E561</f>
        <v>20</v>
      </c>
      <c r="H583" s="78">
        <f>ROUND(F583*G583,2)</f>
        <v>0.2</v>
      </c>
      <c r="I583" s="333"/>
      <c r="K583" s="115"/>
    </row>
    <row r="584" spans="3:11" x14ac:dyDescent="0.3">
      <c r="K584" s="115"/>
    </row>
    <row r="585" spans="3:11" x14ac:dyDescent="0.3">
      <c r="C585" s="12" t="s">
        <v>948</v>
      </c>
      <c r="D585" s="227"/>
      <c r="E585" s="227"/>
      <c r="F585" s="298">
        <f>H598</f>
        <v>2.7600000000000002</v>
      </c>
      <c r="G585" s="227" t="s">
        <v>971</v>
      </c>
      <c r="K585" s="115"/>
    </row>
    <row r="586" spans="3:11" x14ac:dyDescent="0.3">
      <c r="C586" s="22"/>
      <c r="D586" s="36"/>
      <c r="E586" s="36"/>
      <c r="F586" s="302"/>
      <c r="K586" s="115"/>
    </row>
    <row r="587" spans="3:11" ht="27.6" x14ac:dyDescent="0.3">
      <c r="C587" s="14" t="s">
        <v>948</v>
      </c>
      <c r="D587" s="14" t="s">
        <v>1110</v>
      </c>
      <c r="E587" s="14" t="s">
        <v>516</v>
      </c>
      <c r="F587" s="14" t="s">
        <v>954</v>
      </c>
      <c r="G587" s="14" t="s">
        <v>930</v>
      </c>
      <c r="H587" s="14" t="s">
        <v>1111</v>
      </c>
      <c r="K587" s="115"/>
    </row>
    <row r="588" spans="3:11" x14ac:dyDescent="0.3">
      <c r="C588" s="14" t="str">
        <f>C556</f>
        <v>Лікар-фізіотерапевт</v>
      </c>
      <c r="D588" s="14"/>
      <c r="E588" s="14"/>
      <c r="F588" s="14"/>
      <c r="G588" s="14"/>
      <c r="H588" s="14"/>
      <c r="K588" s="115"/>
    </row>
    <row r="589" spans="3:11" x14ac:dyDescent="0.3">
      <c r="C589" s="17" t="s">
        <v>951</v>
      </c>
      <c r="D589" s="221">
        <f>D475</f>
        <v>12188.608008565312</v>
      </c>
      <c r="E589" s="73">
        <f>I556</f>
        <v>1932.7</v>
      </c>
      <c r="F589" s="73">
        <f>ROUND((D589/E589)/60,2)</f>
        <v>0.11</v>
      </c>
      <c r="G589" s="73">
        <f>E560</f>
        <v>3</v>
      </c>
      <c r="H589" s="78">
        <f>ROUND(F589*G589,2)</f>
        <v>0.33</v>
      </c>
      <c r="K589" s="115"/>
    </row>
    <row r="590" spans="3:11" x14ac:dyDescent="0.3">
      <c r="C590" s="17" t="s">
        <v>952</v>
      </c>
      <c r="D590" s="221">
        <f>D476</f>
        <v>53.149721627408987</v>
      </c>
      <c r="E590" s="73">
        <f>I556</f>
        <v>1932.7</v>
      </c>
      <c r="F590" s="73">
        <f>ROUND((D590/E590)/60,2)</f>
        <v>0</v>
      </c>
      <c r="G590" s="73">
        <f>E560</f>
        <v>3</v>
      </c>
      <c r="H590" s="78">
        <f>ROUND(F590*G590,2)</f>
        <v>0</v>
      </c>
      <c r="K590" s="115"/>
    </row>
    <row r="591" spans="3:11" x14ac:dyDescent="0.3">
      <c r="C591" s="17" t="s">
        <v>953</v>
      </c>
      <c r="D591" s="221">
        <f>D477</f>
        <v>374.98368308351178</v>
      </c>
      <c r="E591" s="73">
        <f>I556</f>
        <v>1932.7</v>
      </c>
      <c r="F591" s="73">
        <f>ROUND((D591/E591)/60,2)</f>
        <v>0</v>
      </c>
      <c r="G591" s="73">
        <f>E560</f>
        <v>3</v>
      </c>
      <c r="H591" s="78">
        <f>ROUND(F591*G591,2)</f>
        <v>0</v>
      </c>
      <c r="K591" s="115"/>
    </row>
    <row r="592" spans="3:11" x14ac:dyDescent="0.3">
      <c r="C592" s="17" t="s">
        <v>1109</v>
      </c>
      <c r="D592" s="221">
        <f>D478</f>
        <v>1686.0389293361886</v>
      </c>
      <c r="E592" s="73">
        <f>I556</f>
        <v>1932.7</v>
      </c>
      <c r="F592" s="73">
        <f>ROUND((D592/E592)/60,2)</f>
        <v>0.01</v>
      </c>
      <c r="G592" s="73">
        <f>E560</f>
        <v>3</v>
      </c>
      <c r="H592" s="78">
        <f>ROUND(F592*G592,2)</f>
        <v>0.03</v>
      </c>
      <c r="K592" s="115"/>
    </row>
    <row r="593" spans="2:15" x14ac:dyDescent="0.3">
      <c r="C593" s="14" t="str">
        <f>C557</f>
        <v>Сестра медична з фізіотерапії</v>
      </c>
      <c r="D593" s="14"/>
      <c r="E593" s="14"/>
      <c r="F593" s="14"/>
      <c r="G593" s="14"/>
      <c r="H593" s="14"/>
      <c r="K593" s="115"/>
    </row>
    <row r="594" spans="2:15" x14ac:dyDescent="0.3">
      <c r="C594" s="17" t="s">
        <v>951</v>
      </c>
      <c r="D594" s="221">
        <f>D589</f>
        <v>12188.608008565312</v>
      </c>
      <c r="E594" s="73">
        <f>I557</f>
        <v>1932.7</v>
      </c>
      <c r="F594" s="73">
        <f>ROUND((D594/E594)/60,2)</f>
        <v>0.11</v>
      </c>
      <c r="G594" s="73">
        <f>E561</f>
        <v>20</v>
      </c>
      <c r="H594" s="78">
        <f>ROUND(F594*G594,2)</f>
        <v>2.2000000000000002</v>
      </c>
      <c r="K594" s="115"/>
    </row>
    <row r="595" spans="2:15" x14ac:dyDescent="0.3">
      <c r="C595" s="17" t="s">
        <v>952</v>
      </c>
      <c r="D595" s="221">
        <f>D590</f>
        <v>53.149721627408987</v>
      </c>
      <c r="E595" s="73">
        <f>I557</f>
        <v>1932.7</v>
      </c>
      <c r="F595" s="73">
        <f>ROUND((D595/E595)/60,2)</f>
        <v>0</v>
      </c>
      <c r="G595" s="73">
        <f>E561</f>
        <v>20</v>
      </c>
      <c r="H595" s="78">
        <f>ROUND(F595*G595,2)</f>
        <v>0</v>
      </c>
      <c r="K595" s="115"/>
    </row>
    <row r="596" spans="2:15" x14ac:dyDescent="0.3">
      <c r="C596" s="17" t="s">
        <v>953</v>
      </c>
      <c r="D596" s="221">
        <f>D591</f>
        <v>374.98368308351178</v>
      </c>
      <c r="E596" s="73">
        <f>I557</f>
        <v>1932.7</v>
      </c>
      <c r="F596" s="73">
        <f>ROUND((D596/E596)/60,2)</f>
        <v>0</v>
      </c>
      <c r="G596" s="73">
        <f>E561</f>
        <v>20</v>
      </c>
      <c r="H596" s="78">
        <f>ROUND(F596*G596,2)</f>
        <v>0</v>
      </c>
      <c r="K596" s="115"/>
    </row>
    <row r="597" spans="2:15" x14ac:dyDescent="0.3">
      <c r="C597" s="17" t="s">
        <v>1109</v>
      </c>
      <c r="D597" s="221">
        <f>D592</f>
        <v>1686.0389293361886</v>
      </c>
      <c r="E597" s="73">
        <f>I557</f>
        <v>1932.7</v>
      </c>
      <c r="F597" s="73">
        <f>ROUND((D597/E597)/60,2)</f>
        <v>0.01</v>
      </c>
      <c r="G597" s="73">
        <f>E561</f>
        <v>20</v>
      </c>
      <c r="H597" s="78">
        <f>ROUND(F597*G597,2)</f>
        <v>0.2</v>
      </c>
      <c r="K597" s="115"/>
    </row>
    <row r="598" spans="2:15" x14ac:dyDescent="0.3">
      <c r="C598" s="576" t="s">
        <v>957</v>
      </c>
      <c r="D598" s="576"/>
      <c r="E598" s="576"/>
      <c r="F598" s="576"/>
      <c r="G598" s="576"/>
      <c r="H598" s="299">
        <f>SUM(H589:H597)</f>
        <v>2.7600000000000002</v>
      </c>
      <c r="K598" s="115"/>
    </row>
    <row r="599" spans="2:15" x14ac:dyDescent="0.3">
      <c r="K599" s="115"/>
    </row>
    <row r="600" spans="2:15" x14ac:dyDescent="0.3">
      <c r="K600" s="115"/>
    </row>
    <row r="601" spans="2:15" x14ac:dyDescent="0.3">
      <c r="C601" s="379" t="s">
        <v>959</v>
      </c>
      <c r="D601" s="286"/>
      <c r="E601" s="286"/>
      <c r="F601" s="286"/>
      <c r="G601" s="287"/>
      <c r="H601" s="334">
        <f>F553+F565+F585+F580</f>
        <v>68.640000000000015</v>
      </c>
      <c r="K601" s="115"/>
    </row>
    <row r="602" spans="2:15" x14ac:dyDescent="0.3">
      <c r="C602" s="33"/>
      <c r="D602" s="33"/>
      <c r="E602" s="33"/>
      <c r="F602" s="33"/>
      <c r="G602" s="33"/>
      <c r="H602" s="335"/>
      <c r="K602" s="115"/>
    </row>
    <row r="603" spans="2:15" x14ac:dyDescent="0.3">
      <c r="C603" s="379" t="s">
        <v>960</v>
      </c>
      <c r="D603" s="286"/>
      <c r="E603" s="286"/>
      <c r="F603" s="286"/>
      <c r="G603" s="287"/>
      <c r="H603" s="334">
        <f>ROUND(H601,0)</f>
        <v>69</v>
      </c>
      <c r="K603" s="115"/>
    </row>
    <row r="604" spans="2:15" x14ac:dyDescent="0.3">
      <c r="C604" s="33"/>
      <c r="D604" s="33"/>
      <c r="E604" s="33"/>
      <c r="F604" s="33"/>
      <c r="G604" s="33"/>
      <c r="H604" s="335"/>
      <c r="K604" s="115"/>
    </row>
    <row r="605" spans="2:15" x14ac:dyDescent="0.3">
      <c r="K605" s="115"/>
    </row>
    <row r="606" spans="2:15" s="54" customFormat="1" ht="19.8" x14ac:dyDescent="0.4">
      <c r="B606" s="1016" t="s">
        <v>958</v>
      </c>
      <c r="C606" s="1016"/>
      <c r="D606" s="1016"/>
      <c r="E606" s="1016"/>
      <c r="F606" s="1016"/>
      <c r="G606" s="1016"/>
      <c r="H606" s="1016"/>
      <c r="I606" s="1016"/>
      <c r="J606" s="1016"/>
      <c r="K606" s="115"/>
      <c r="L606" s="114"/>
      <c r="M606" s="636"/>
      <c r="N606" s="7"/>
      <c r="O606" s="53"/>
    </row>
    <row r="607" spans="2:15" ht="3" customHeight="1" x14ac:dyDescent="0.3">
      <c r="K607" s="115"/>
    </row>
    <row r="608" spans="2:15" s="54" customFormat="1" ht="36.75" customHeight="1" x14ac:dyDescent="0.4">
      <c r="B608" s="673" t="s">
        <v>417</v>
      </c>
      <c r="C608" s="1017" t="s">
        <v>421</v>
      </c>
      <c r="D608" s="1017"/>
      <c r="E608" s="1017"/>
      <c r="F608" s="653">
        <f>H660</f>
        <v>45</v>
      </c>
      <c r="G608" s="296" t="s">
        <v>971</v>
      </c>
      <c r="H608" s="225"/>
      <c r="I608" s="225"/>
      <c r="J608" s="225"/>
      <c r="K608" s="115"/>
      <c r="L608" s="114"/>
      <c r="M608" s="636"/>
      <c r="N608" s="7"/>
      <c r="O608" s="53"/>
    </row>
    <row r="609" spans="3:11" ht="16.5" customHeight="1" x14ac:dyDescent="0.3">
      <c r="K609" s="115"/>
    </row>
    <row r="610" spans="3:11" x14ac:dyDescent="0.3">
      <c r="C610" s="575" t="s">
        <v>932</v>
      </c>
      <c r="D610" s="575"/>
      <c r="E610" s="297"/>
      <c r="F610" s="298">
        <f>F617+F620+F618</f>
        <v>25.240000000000002</v>
      </c>
      <c r="G610" s="227" t="s">
        <v>971</v>
      </c>
      <c r="K610" s="115"/>
    </row>
    <row r="611" spans="3:11" x14ac:dyDescent="0.3">
      <c r="K611" s="115"/>
    </row>
    <row r="612" spans="3:11" ht="27.6" x14ac:dyDescent="0.3">
      <c r="C612" s="13" t="s">
        <v>929</v>
      </c>
      <c r="D612" s="14" t="s">
        <v>928</v>
      </c>
      <c r="E612" s="14" t="s">
        <v>514</v>
      </c>
      <c r="F612" s="14" t="s">
        <v>515</v>
      </c>
      <c r="G612" s="14" t="s">
        <v>962</v>
      </c>
      <c r="H612" s="14" t="s">
        <v>926</v>
      </c>
      <c r="I612" s="14" t="s">
        <v>516</v>
      </c>
      <c r="J612" s="14" t="s">
        <v>961</v>
      </c>
      <c r="K612" s="115"/>
    </row>
    <row r="613" spans="3:11" x14ac:dyDescent="0.3">
      <c r="C613" s="17" t="str">
        <f t="shared" ref="C613:G614" si="27">C556</f>
        <v>Лікар-фізіотерапевт</v>
      </c>
      <c r="D613" s="221">
        <f t="shared" si="27"/>
        <v>10799.43</v>
      </c>
      <c r="E613" s="221">
        <f t="shared" si="27"/>
        <v>129593.16</v>
      </c>
      <c r="F613" s="221">
        <f t="shared" si="27"/>
        <v>8307.26</v>
      </c>
      <c r="G613" s="221">
        <f t="shared" si="27"/>
        <v>4153.63</v>
      </c>
      <c r="H613" s="221">
        <f>E613+F613+G613</f>
        <v>142054.05000000002</v>
      </c>
      <c r="I613" s="73">
        <v>1932.7</v>
      </c>
      <c r="J613" s="78">
        <f>ROUND((H613/I613)/60,2)</f>
        <v>1.23</v>
      </c>
      <c r="K613" s="115"/>
    </row>
    <row r="614" spans="3:11" x14ac:dyDescent="0.3">
      <c r="C614" s="17" t="str">
        <f t="shared" si="27"/>
        <v>Сестра медична з фізіотерапії</v>
      </c>
      <c r="D614" s="221">
        <f t="shared" si="27"/>
        <v>7482.48</v>
      </c>
      <c r="E614" s="221">
        <f t="shared" si="27"/>
        <v>89789.759999999995</v>
      </c>
      <c r="F614" s="221">
        <f t="shared" si="27"/>
        <v>5755.75</v>
      </c>
      <c r="G614" s="221">
        <f t="shared" si="27"/>
        <v>2877.875</v>
      </c>
      <c r="H614" s="221">
        <f>E614+F614+G614</f>
        <v>98423.384999999995</v>
      </c>
      <c r="I614" s="73">
        <v>1932.7</v>
      </c>
      <c r="J614" s="78">
        <f>ROUND((H614/I614)/60,2)</f>
        <v>0.85</v>
      </c>
      <c r="K614" s="115"/>
    </row>
    <row r="615" spans="3:11" x14ac:dyDescent="0.3">
      <c r="K615" s="115"/>
    </row>
    <row r="616" spans="3:11" ht="27.6" x14ac:dyDescent="0.3">
      <c r="C616" s="13" t="s">
        <v>929</v>
      </c>
      <c r="D616" s="14" t="s">
        <v>961</v>
      </c>
      <c r="E616" s="14" t="s">
        <v>930</v>
      </c>
      <c r="F616" s="14" t="s">
        <v>931</v>
      </c>
      <c r="K616" s="115"/>
    </row>
    <row r="617" spans="3:11" x14ac:dyDescent="0.3">
      <c r="C617" s="15" t="str">
        <f>C613</f>
        <v>Лікар-фізіотерапевт</v>
      </c>
      <c r="D617" s="78">
        <f>J613</f>
        <v>1.23</v>
      </c>
      <c r="E617" s="73">
        <v>3</v>
      </c>
      <c r="F617" s="299">
        <f>ROUND(D617*E617,2)</f>
        <v>3.69</v>
      </c>
      <c r="K617" s="115"/>
    </row>
    <row r="618" spans="3:11" x14ac:dyDescent="0.3">
      <c r="C618" s="15" t="str">
        <f>C614</f>
        <v>Сестра медична з фізіотерапії</v>
      </c>
      <c r="D618" s="78">
        <f>J614</f>
        <v>0.85</v>
      </c>
      <c r="E618" s="73">
        <v>20</v>
      </c>
      <c r="F618" s="299">
        <f>ROUND(D618*E618,2)</f>
        <v>17</v>
      </c>
      <c r="K618" s="115"/>
    </row>
    <row r="619" spans="3:11" x14ac:dyDescent="0.3">
      <c r="D619" s="19"/>
      <c r="K619" s="115"/>
    </row>
    <row r="620" spans="3:11" x14ac:dyDescent="0.3">
      <c r="C620" s="17" t="s">
        <v>933</v>
      </c>
      <c r="D620" s="78">
        <f>F617+F618</f>
        <v>20.69</v>
      </c>
      <c r="E620" s="300">
        <v>0.22</v>
      </c>
      <c r="F620" s="301">
        <f>ROUND(D620*E620,2)</f>
        <v>4.55</v>
      </c>
      <c r="K620" s="115"/>
    </row>
    <row r="621" spans="3:11" x14ac:dyDescent="0.3">
      <c r="K621" s="115"/>
    </row>
    <row r="622" spans="3:11" x14ac:dyDescent="0.3">
      <c r="C622" s="12" t="s">
        <v>946</v>
      </c>
      <c r="D622" s="227"/>
      <c r="E622" s="227"/>
      <c r="F622" s="227">
        <f>G635</f>
        <v>16.439999999999998</v>
      </c>
      <c r="G622" s="227" t="s">
        <v>971</v>
      </c>
      <c r="K622" s="115"/>
    </row>
    <row r="623" spans="3:11" x14ac:dyDescent="0.3">
      <c r="K623" s="115"/>
    </row>
    <row r="624" spans="3:11" x14ac:dyDescent="0.3">
      <c r="C624" s="27" t="str">
        <f>C567</f>
        <v>Новокаїн р-н д/ін 2 % - 2 мл № 10</v>
      </c>
      <c r="D624" s="303" t="str">
        <f>D567</f>
        <v>амп</v>
      </c>
      <c r="E624" s="303">
        <f>E567</f>
        <v>0.1</v>
      </c>
      <c r="F624" s="303">
        <f>F567</f>
        <v>30.1</v>
      </c>
      <c r="G624" s="228">
        <f>ROUND(F624*E624,2)</f>
        <v>3.01</v>
      </c>
      <c r="K624" s="115"/>
    </row>
    <row r="625" spans="2:15" x14ac:dyDescent="0.3">
      <c r="C625" s="27" t="str">
        <f>C511</f>
        <v>Гідрофільні прокладки багаторазові поверхневі</v>
      </c>
      <c r="D625" s="303" t="str">
        <f>D511</f>
        <v>шт</v>
      </c>
      <c r="E625" s="303">
        <f>E511</f>
        <v>2</v>
      </c>
      <c r="F625" s="303">
        <f>F511</f>
        <v>2</v>
      </c>
      <c r="G625" s="228">
        <f t="shared" ref="G625:G634" si="28">ROUND(F625*E625,2)</f>
        <v>4</v>
      </c>
      <c r="K625" s="115"/>
    </row>
    <row r="626" spans="2:15" x14ac:dyDescent="0.3">
      <c r="C626" s="27" t="str">
        <f t="shared" ref="C626:F634" si="29">C569</f>
        <v>Антисептик для обробки рук</v>
      </c>
      <c r="D626" s="303" t="str">
        <f t="shared" si="29"/>
        <v>мл</v>
      </c>
      <c r="E626" s="303">
        <f t="shared" si="29"/>
        <v>1</v>
      </c>
      <c r="F626" s="303">
        <f t="shared" si="29"/>
        <v>0.375</v>
      </c>
      <c r="G626" s="228">
        <f t="shared" si="28"/>
        <v>0.38</v>
      </c>
      <c r="K626" s="115"/>
    </row>
    <row r="627" spans="2:15" x14ac:dyDescent="0.3">
      <c r="C627" s="27" t="str">
        <f t="shared" si="29"/>
        <v>Антисептик швидкої дії</v>
      </c>
      <c r="D627" s="303" t="str">
        <f t="shared" si="29"/>
        <v>мл</v>
      </c>
      <c r="E627" s="303">
        <f t="shared" si="29"/>
        <v>1</v>
      </c>
      <c r="F627" s="303">
        <f t="shared" si="29"/>
        <v>0.28799999999999998</v>
      </c>
      <c r="G627" s="228">
        <f t="shared" si="28"/>
        <v>0.28999999999999998</v>
      </c>
      <c r="K627" s="115"/>
    </row>
    <row r="628" spans="2:15" x14ac:dyDescent="0.3">
      <c r="C628" s="27" t="str">
        <f t="shared" si="29"/>
        <v>Вата 100 гр.</v>
      </c>
      <c r="D628" s="303" t="str">
        <f t="shared" si="29"/>
        <v>г</v>
      </c>
      <c r="E628" s="303">
        <f t="shared" si="29"/>
        <v>0.01</v>
      </c>
      <c r="F628" s="303">
        <f t="shared" si="29"/>
        <v>6.72</v>
      </c>
      <c r="G628" s="228">
        <f t="shared" si="28"/>
        <v>7.0000000000000007E-2</v>
      </c>
      <c r="K628" s="115"/>
    </row>
    <row r="629" spans="2:15" s="184" customFormat="1" x14ac:dyDescent="0.3">
      <c r="B629" s="672"/>
      <c r="C629" s="27" t="str">
        <f t="shared" si="29"/>
        <v>Деззасоби</v>
      </c>
      <c r="D629" s="303" t="str">
        <f t="shared" si="29"/>
        <v>г</v>
      </c>
      <c r="E629" s="303">
        <f t="shared" si="29"/>
        <v>0.5</v>
      </c>
      <c r="F629" s="303">
        <f t="shared" si="29"/>
        <v>0.5</v>
      </c>
      <c r="G629" s="228">
        <f t="shared" si="28"/>
        <v>0.25</v>
      </c>
      <c r="H629" s="336"/>
      <c r="I629" s="336"/>
      <c r="J629" s="336"/>
      <c r="K629" s="115"/>
      <c r="L629" s="189"/>
      <c r="M629" s="637"/>
      <c r="N629" s="180"/>
      <c r="O629" s="180"/>
    </row>
    <row r="630" spans="2:15" x14ac:dyDescent="0.3">
      <c r="C630" s="27" t="str">
        <f t="shared" si="29"/>
        <v>Маска одноразова тришарова на резинці</v>
      </c>
      <c r="D630" s="303" t="str">
        <f t="shared" si="29"/>
        <v>шт</v>
      </c>
      <c r="E630" s="303">
        <f t="shared" si="29"/>
        <v>1</v>
      </c>
      <c r="F630" s="303">
        <f t="shared" si="29"/>
        <v>2</v>
      </c>
      <c r="G630" s="228">
        <f t="shared" si="28"/>
        <v>2</v>
      </c>
      <c r="K630" s="115"/>
    </row>
    <row r="631" spans="2:15" x14ac:dyDescent="0.3">
      <c r="C631" s="27" t="str">
        <f t="shared" si="29"/>
        <v>Мило рідке</v>
      </c>
      <c r="D631" s="303" t="str">
        <f t="shared" si="29"/>
        <v>мл</v>
      </c>
      <c r="E631" s="303">
        <f t="shared" si="29"/>
        <v>1</v>
      </c>
      <c r="F631" s="303">
        <f t="shared" si="29"/>
        <v>0.19600000000000001</v>
      </c>
      <c r="G631" s="228">
        <f t="shared" si="28"/>
        <v>0.2</v>
      </c>
      <c r="K631" s="115"/>
    </row>
    <row r="632" spans="2:15" s="184" customFormat="1" x14ac:dyDescent="0.3">
      <c r="B632" s="672"/>
      <c r="C632" s="27" t="str">
        <f t="shared" si="29"/>
        <v>Рукавиці не стерильні</v>
      </c>
      <c r="D632" s="303" t="str">
        <f t="shared" si="29"/>
        <v>пара</v>
      </c>
      <c r="E632" s="303">
        <f t="shared" si="29"/>
        <v>0.1</v>
      </c>
      <c r="F632" s="303">
        <f t="shared" si="29"/>
        <v>7.39</v>
      </c>
      <c r="G632" s="228">
        <f t="shared" si="28"/>
        <v>0.74</v>
      </c>
      <c r="H632" s="336"/>
      <c r="I632" s="336"/>
      <c r="J632" s="336"/>
      <c r="K632" s="115"/>
      <c r="L632" s="189"/>
      <c r="M632" s="637"/>
      <c r="N632" s="180"/>
      <c r="O632" s="180"/>
    </row>
    <row r="633" spans="2:15" s="184" customFormat="1" x14ac:dyDescent="0.3">
      <c r="B633" s="672"/>
      <c r="C633" s="27" t="str">
        <f t="shared" si="29"/>
        <v>Рушник паперовий</v>
      </c>
      <c r="D633" s="303" t="str">
        <f t="shared" si="29"/>
        <v>шт</v>
      </c>
      <c r="E633" s="303">
        <f t="shared" si="29"/>
        <v>0.3</v>
      </c>
      <c r="F633" s="303">
        <f t="shared" si="29"/>
        <v>17.5</v>
      </c>
      <c r="G633" s="228">
        <f t="shared" si="28"/>
        <v>5.25</v>
      </c>
      <c r="H633" s="336"/>
      <c r="I633" s="336"/>
      <c r="J633" s="336"/>
      <c r="K633" s="115"/>
      <c r="L633" s="189"/>
      <c r="M633" s="637"/>
      <c r="N633" s="180"/>
      <c r="O633" s="180"/>
    </row>
    <row r="634" spans="2:15" x14ac:dyDescent="0.3">
      <c r="C634" s="27" t="str">
        <f t="shared" si="29"/>
        <v xml:space="preserve">Спирт 70% 100мл </v>
      </c>
      <c r="D634" s="303" t="str">
        <f t="shared" si="29"/>
        <v>фл/гр.</v>
      </c>
      <c r="E634" s="303">
        <f t="shared" si="29"/>
        <v>0.01</v>
      </c>
      <c r="F634" s="303">
        <f t="shared" si="29"/>
        <v>24.6</v>
      </c>
      <c r="G634" s="228">
        <f t="shared" si="28"/>
        <v>0.25</v>
      </c>
      <c r="K634" s="115"/>
    </row>
    <row r="635" spans="2:15" x14ac:dyDescent="0.3">
      <c r="C635" s="577" t="s">
        <v>945</v>
      </c>
      <c r="D635" s="578"/>
      <c r="E635" s="578"/>
      <c r="F635" s="579"/>
      <c r="G635" s="332">
        <f>SUM(G624:G634)</f>
        <v>16.439999999999998</v>
      </c>
      <c r="K635" s="115"/>
    </row>
    <row r="636" spans="2:15" x14ac:dyDescent="0.3">
      <c r="K636" s="115"/>
    </row>
    <row r="637" spans="2:15" x14ac:dyDescent="0.3">
      <c r="C637" s="12" t="s">
        <v>968</v>
      </c>
      <c r="D637" s="227"/>
      <c r="E637" s="227"/>
      <c r="F637" s="298">
        <f>H640</f>
        <v>0.2</v>
      </c>
      <c r="G637" s="227" t="s">
        <v>971</v>
      </c>
      <c r="K637" s="115"/>
    </row>
    <row r="638" spans="2:15" x14ac:dyDescent="0.3">
      <c r="C638" s="22"/>
      <c r="D638" s="36"/>
      <c r="E638" s="36"/>
      <c r="F638" s="302"/>
      <c r="G638" s="36"/>
      <c r="K638" s="115"/>
    </row>
    <row r="639" spans="2:15" ht="27.6" x14ac:dyDescent="0.3">
      <c r="C639" s="14" t="s">
        <v>513</v>
      </c>
      <c r="D639" s="14" t="s">
        <v>969</v>
      </c>
      <c r="E639" s="14" t="s">
        <v>516</v>
      </c>
      <c r="F639" s="14" t="s">
        <v>970</v>
      </c>
      <c r="G639" s="14" t="s">
        <v>930</v>
      </c>
      <c r="H639" s="14" t="s">
        <v>961</v>
      </c>
      <c r="K639" s="115"/>
    </row>
    <row r="640" spans="2:15" x14ac:dyDescent="0.3">
      <c r="C640" s="17" t="s">
        <v>1107</v>
      </c>
      <c r="D640" s="73">
        <f>D526</f>
        <v>7000</v>
      </c>
      <c r="E640" s="73">
        <v>12562.55</v>
      </c>
      <c r="F640" s="73">
        <f>ROUND((D640/E640)/60,2)</f>
        <v>0.01</v>
      </c>
      <c r="G640" s="73">
        <f>E618</f>
        <v>20</v>
      </c>
      <c r="H640" s="78">
        <f>ROUND(F640*G640,2)</f>
        <v>0.2</v>
      </c>
      <c r="I640" s="333"/>
      <c r="K640" s="115"/>
    </row>
    <row r="641" spans="3:11" x14ac:dyDescent="0.3">
      <c r="K641" s="115"/>
    </row>
    <row r="642" spans="3:11" x14ac:dyDescent="0.3">
      <c r="C642" s="12" t="s">
        <v>948</v>
      </c>
      <c r="D642" s="227"/>
      <c r="E642" s="227"/>
      <c r="F642" s="298">
        <f>H655</f>
        <v>2.7600000000000002</v>
      </c>
      <c r="G642" s="227" t="s">
        <v>971</v>
      </c>
      <c r="K642" s="115"/>
    </row>
    <row r="643" spans="3:11" x14ac:dyDescent="0.3">
      <c r="C643" s="22"/>
      <c r="D643" s="36"/>
      <c r="E643" s="36"/>
      <c r="F643" s="302"/>
      <c r="K643" s="115"/>
    </row>
    <row r="644" spans="3:11" ht="27.6" x14ac:dyDescent="0.3">
      <c r="C644" s="14" t="s">
        <v>948</v>
      </c>
      <c r="D644" s="14" t="s">
        <v>1110</v>
      </c>
      <c r="E644" s="14" t="s">
        <v>516</v>
      </c>
      <c r="F644" s="14" t="s">
        <v>954</v>
      </c>
      <c r="G644" s="14" t="s">
        <v>930</v>
      </c>
      <c r="H644" s="14" t="s">
        <v>1111</v>
      </c>
      <c r="K644" s="115"/>
    </row>
    <row r="645" spans="3:11" x14ac:dyDescent="0.3">
      <c r="C645" s="14" t="str">
        <f>C613</f>
        <v>Лікар-фізіотерапевт</v>
      </c>
      <c r="D645" s="14"/>
      <c r="E645" s="14"/>
      <c r="F645" s="14"/>
      <c r="G645" s="14"/>
      <c r="H645" s="14"/>
      <c r="K645" s="115"/>
    </row>
    <row r="646" spans="3:11" x14ac:dyDescent="0.3">
      <c r="C646" s="17" t="s">
        <v>951</v>
      </c>
      <c r="D646" s="221">
        <f>D532</f>
        <v>12188.608008565312</v>
      </c>
      <c r="E646" s="73">
        <f>I613</f>
        <v>1932.7</v>
      </c>
      <c r="F646" s="73">
        <f>ROUND((D646/E646)/60,2)</f>
        <v>0.11</v>
      </c>
      <c r="G646" s="73">
        <f>E617</f>
        <v>3</v>
      </c>
      <c r="H646" s="78">
        <f>ROUND(F646*G646,2)</f>
        <v>0.33</v>
      </c>
      <c r="K646" s="115"/>
    </row>
    <row r="647" spans="3:11" x14ac:dyDescent="0.3">
      <c r="C647" s="17" t="s">
        <v>952</v>
      </c>
      <c r="D647" s="221">
        <f>D533</f>
        <v>53.149721627408987</v>
      </c>
      <c r="E647" s="73">
        <f>I613</f>
        <v>1932.7</v>
      </c>
      <c r="F647" s="73">
        <f>ROUND((D647/E647)/60,2)</f>
        <v>0</v>
      </c>
      <c r="G647" s="73">
        <f>E617</f>
        <v>3</v>
      </c>
      <c r="H647" s="78">
        <f>ROUND(F647*G647,2)</f>
        <v>0</v>
      </c>
      <c r="K647" s="115"/>
    </row>
    <row r="648" spans="3:11" x14ac:dyDescent="0.3">
      <c r="C648" s="17" t="s">
        <v>953</v>
      </c>
      <c r="D648" s="221">
        <f>D534</f>
        <v>374.98368308351178</v>
      </c>
      <c r="E648" s="73">
        <f>I613</f>
        <v>1932.7</v>
      </c>
      <c r="F648" s="73">
        <f>ROUND((D648/E648)/60,2)</f>
        <v>0</v>
      </c>
      <c r="G648" s="73">
        <f>E617</f>
        <v>3</v>
      </c>
      <c r="H648" s="78">
        <f>ROUND(F648*G648,2)</f>
        <v>0</v>
      </c>
      <c r="K648" s="115"/>
    </row>
    <row r="649" spans="3:11" x14ac:dyDescent="0.3">
      <c r="C649" s="17" t="s">
        <v>1109</v>
      </c>
      <c r="D649" s="221">
        <f>D535</f>
        <v>1686.0389293361886</v>
      </c>
      <c r="E649" s="73">
        <f>I613</f>
        <v>1932.7</v>
      </c>
      <c r="F649" s="73">
        <f>ROUND((D649/E649)/60,2)</f>
        <v>0.01</v>
      </c>
      <c r="G649" s="73">
        <f>E617</f>
        <v>3</v>
      </c>
      <c r="H649" s="78">
        <f>ROUND(F649*G649,2)</f>
        <v>0.03</v>
      </c>
      <c r="K649" s="115"/>
    </row>
    <row r="650" spans="3:11" x14ac:dyDescent="0.3">
      <c r="C650" s="14" t="str">
        <f>C614</f>
        <v>Сестра медична з фізіотерапії</v>
      </c>
      <c r="D650" s="14"/>
      <c r="E650" s="14"/>
      <c r="F650" s="14"/>
      <c r="G650" s="14"/>
      <c r="H650" s="14"/>
      <c r="K650" s="115"/>
    </row>
    <row r="651" spans="3:11" x14ac:dyDescent="0.3">
      <c r="C651" s="17" t="s">
        <v>951</v>
      </c>
      <c r="D651" s="221">
        <f>D646</f>
        <v>12188.608008565312</v>
      </c>
      <c r="E651" s="73">
        <f>I614</f>
        <v>1932.7</v>
      </c>
      <c r="F651" s="73">
        <f>ROUND((D651/E651)/60,2)</f>
        <v>0.11</v>
      </c>
      <c r="G651" s="73">
        <f>E618</f>
        <v>20</v>
      </c>
      <c r="H651" s="78">
        <f>ROUND(F651*G651,2)</f>
        <v>2.2000000000000002</v>
      </c>
      <c r="K651" s="115"/>
    </row>
    <row r="652" spans="3:11" x14ac:dyDescent="0.3">
      <c r="C652" s="17" t="s">
        <v>952</v>
      </c>
      <c r="D652" s="221">
        <f>D647</f>
        <v>53.149721627408987</v>
      </c>
      <c r="E652" s="73">
        <f>I614</f>
        <v>1932.7</v>
      </c>
      <c r="F652" s="73">
        <f>ROUND((D652/E652)/60,2)</f>
        <v>0</v>
      </c>
      <c r="G652" s="73">
        <f>E618</f>
        <v>20</v>
      </c>
      <c r="H652" s="78">
        <f>ROUND(F652*G652,2)</f>
        <v>0</v>
      </c>
      <c r="K652" s="115"/>
    </row>
    <row r="653" spans="3:11" x14ac:dyDescent="0.3">
      <c r="C653" s="17" t="s">
        <v>953</v>
      </c>
      <c r="D653" s="221">
        <f>D648</f>
        <v>374.98368308351178</v>
      </c>
      <c r="E653" s="73">
        <f>I614</f>
        <v>1932.7</v>
      </c>
      <c r="F653" s="73">
        <f>ROUND((D653/E653)/60,2)</f>
        <v>0</v>
      </c>
      <c r="G653" s="73">
        <f>E618</f>
        <v>20</v>
      </c>
      <c r="H653" s="78">
        <f>ROUND(F653*G653,2)</f>
        <v>0</v>
      </c>
      <c r="K653" s="115"/>
    </row>
    <row r="654" spans="3:11" x14ac:dyDescent="0.3">
      <c r="C654" s="17" t="s">
        <v>1109</v>
      </c>
      <c r="D654" s="221">
        <f>D649</f>
        <v>1686.0389293361886</v>
      </c>
      <c r="E654" s="73">
        <f>I614</f>
        <v>1932.7</v>
      </c>
      <c r="F654" s="73">
        <f>ROUND((D654/E654)/60,2)</f>
        <v>0.01</v>
      </c>
      <c r="G654" s="73">
        <f>E618</f>
        <v>20</v>
      </c>
      <c r="H654" s="78">
        <f>ROUND(F654*G654,2)</f>
        <v>0.2</v>
      </c>
      <c r="K654" s="115"/>
    </row>
    <row r="655" spans="3:11" x14ac:dyDescent="0.3">
      <c r="C655" s="576" t="s">
        <v>957</v>
      </c>
      <c r="D655" s="576"/>
      <c r="E655" s="576"/>
      <c r="F655" s="576"/>
      <c r="G655" s="576"/>
      <c r="H655" s="299">
        <f>SUM(H646:H654)</f>
        <v>2.7600000000000002</v>
      </c>
      <c r="K655" s="115"/>
    </row>
    <row r="656" spans="3:11" x14ac:dyDescent="0.3">
      <c r="K656" s="115"/>
    </row>
    <row r="657" spans="2:15" x14ac:dyDescent="0.3">
      <c r="K657" s="115"/>
    </row>
    <row r="658" spans="2:15" x14ac:dyDescent="0.3">
      <c r="C658" s="379" t="s">
        <v>959</v>
      </c>
      <c r="D658" s="286"/>
      <c r="E658" s="286"/>
      <c r="F658" s="286"/>
      <c r="G658" s="287"/>
      <c r="H658" s="334">
        <f>F610+F622+F642+F637</f>
        <v>44.64</v>
      </c>
      <c r="K658" s="115"/>
    </row>
    <row r="659" spans="2:15" x14ac:dyDescent="0.3">
      <c r="C659" s="33"/>
      <c r="D659" s="33"/>
      <c r="E659" s="33"/>
      <c r="F659" s="33"/>
      <c r="G659" s="33"/>
      <c r="H659" s="335"/>
      <c r="K659" s="115"/>
    </row>
    <row r="660" spans="2:15" x14ac:dyDescent="0.3">
      <c r="C660" s="379" t="s">
        <v>960</v>
      </c>
      <c r="D660" s="286"/>
      <c r="E660" s="286"/>
      <c r="F660" s="286"/>
      <c r="G660" s="287"/>
      <c r="H660" s="334">
        <f>ROUND(H658,0)</f>
        <v>45</v>
      </c>
      <c r="K660" s="115"/>
    </row>
    <row r="661" spans="2:15" x14ac:dyDescent="0.3">
      <c r="C661" s="33"/>
      <c r="D661" s="33"/>
      <c r="E661" s="33"/>
      <c r="F661" s="33"/>
      <c r="G661" s="33"/>
      <c r="H661" s="335"/>
      <c r="K661" s="115"/>
    </row>
    <row r="662" spans="2:15" x14ac:dyDescent="0.3">
      <c r="K662" s="115"/>
    </row>
    <row r="663" spans="2:15" s="54" customFormat="1" ht="19.8" x14ac:dyDescent="0.4">
      <c r="B663" s="1016" t="s">
        <v>958</v>
      </c>
      <c r="C663" s="1016"/>
      <c r="D663" s="1016"/>
      <c r="E663" s="1016"/>
      <c r="F663" s="1016"/>
      <c r="G663" s="1016"/>
      <c r="H663" s="1016"/>
      <c r="I663" s="1016"/>
      <c r="J663" s="1016"/>
      <c r="K663" s="115"/>
      <c r="L663" s="114"/>
      <c r="M663" s="636"/>
      <c r="N663" s="7"/>
      <c r="O663" s="53"/>
    </row>
    <row r="664" spans="2:15" ht="3" customHeight="1" x14ac:dyDescent="0.3">
      <c r="K664" s="115"/>
    </row>
    <row r="665" spans="2:15" s="54" customFormat="1" ht="36" customHeight="1" x14ac:dyDescent="0.4">
      <c r="B665" s="673" t="s">
        <v>422</v>
      </c>
      <c r="C665" s="1017" t="s">
        <v>434</v>
      </c>
      <c r="D665" s="1017"/>
      <c r="E665" s="1017"/>
      <c r="F665" s="653">
        <f>H717</f>
        <v>70</v>
      </c>
      <c r="G665" s="296" t="s">
        <v>971</v>
      </c>
      <c r="H665" s="225"/>
      <c r="I665" s="225"/>
      <c r="J665" s="225"/>
      <c r="K665" s="115"/>
      <c r="L665" s="114"/>
      <c r="M665" s="636"/>
      <c r="N665" s="7"/>
      <c r="O665" s="53"/>
    </row>
    <row r="666" spans="2:15" x14ac:dyDescent="0.3">
      <c r="K666" s="115"/>
    </row>
    <row r="667" spans="2:15" x14ac:dyDescent="0.3">
      <c r="C667" s="575" t="s">
        <v>932</v>
      </c>
      <c r="D667" s="575"/>
      <c r="E667" s="297"/>
      <c r="F667" s="298">
        <f>F674+F677+F675</f>
        <v>25.240000000000002</v>
      </c>
      <c r="G667" s="227" t="s">
        <v>971</v>
      </c>
      <c r="K667" s="115"/>
    </row>
    <row r="668" spans="2:15" x14ac:dyDescent="0.3">
      <c r="K668" s="115"/>
    </row>
    <row r="669" spans="2:15" ht="27.6" x14ac:dyDescent="0.3">
      <c r="C669" s="13" t="s">
        <v>929</v>
      </c>
      <c r="D669" s="14" t="s">
        <v>928</v>
      </c>
      <c r="E669" s="14" t="s">
        <v>514</v>
      </c>
      <c r="F669" s="14" t="s">
        <v>515</v>
      </c>
      <c r="G669" s="14" t="s">
        <v>962</v>
      </c>
      <c r="H669" s="14" t="s">
        <v>926</v>
      </c>
      <c r="I669" s="14" t="s">
        <v>516</v>
      </c>
      <c r="J669" s="14" t="s">
        <v>961</v>
      </c>
      <c r="K669" s="115"/>
    </row>
    <row r="670" spans="2:15" x14ac:dyDescent="0.3">
      <c r="C670" s="17" t="str">
        <f t="shared" ref="C670:G671" si="30">C613</f>
        <v>Лікар-фізіотерапевт</v>
      </c>
      <c r="D670" s="221">
        <f t="shared" si="30"/>
        <v>10799.43</v>
      </c>
      <c r="E670" s="221">
        <f t="shared" si="30"/>
        <v>129593.16</v>
      </c>
      <c r="F670" s="221">
        <f t="shared" si="30"/>
        <v>8307.26</v>
      </c>
      <c r="G670" s="221">
        <f t="shared" si="30"/>
        <v>4153.63</v>
      </c>
      <c r="H670" s="221">
        <f>E670+F670+G670</f>
        <v>142054.05000000002</v>
      </c>
      <c r="I670" s="73">
        <v>1932.7</v>
      </c>
      <c r="J670" s="78">
        <f>ROUND((H670/I670)/60,2)</f>
        <v>1.23</v>
      </c>
      <c r="K670" s="115"/>
    </row>
    <row r="671" spans="2:15" x14ac:dyDescent="0.3">
      <c r="C671" s="17" t="str">
        <f t="shared" si="30"/>
        <v>Сестра медична з фізіотерапії</v>
      </c>
      <c r="D671" s="221">
        <f t="shared" si="30"/>
        <v>7482.48</v>
      </c>
      <c r="E671" s="221">
        <f t="shared" si="30"/>
        <v>89789.759999999995</v>
      </c>
      <c r="F671" s="221">
        <f t="shared" si="30"/>
        <v>5755.75</v>
      </c>
      <c r="G671" s="221">
        <f t="shared" si="30"/>
        <v>2877.875</v>
      </c>
      <c r="H671" s="221">
        <f>E671+F671+G671</f>
        <v>98423.384999999995</v>
      </c>
      <c r="I671" s="73">
        <v>1932.7</v>
      </c>
      <c r="J671" s="78">
        <f>ROUND((H671/I671)/60,2)</f>
        <v>0.85</v>
      </c>
      <c r="K671" s="115"/>
    </row>
    <row r="672" spans="2:15" x14ac:dyDescent="0.3">
      <c r="K672" s="115"/>
    </row>
    <row r="673" spans="2:15" ht="27.6" x14ac:dyDescent="0.3">
      <c r="C673" s="13" t="s">
        <v>929</v>
      </c>
      <c r="D673" s="14" t="s">
        <v>961</v>
      </c>
      <c r="E673" s="14" t="s">
        <v>930</v>
      </c>
      <c r="F673" s="14" t="s">
        <v>931</v>
      </c>
      <c r="K673" s="115"/>
    </row>
    <row r="674" spans="2:15" x14ac:dyDescent="0.3">
      <c r="C674" s="15" t="str">
        <f>C670</f>
        <v>Лікар-фізіотерапевт</v>
      </c>
      <c r="D674" s="78">
        <f>J670</f>
        <v>1.23</v>
      </c>
      <c r="E674" s="73">
        <v>3</v>
      </c>
      <c r="F674" s="299">
        <f>ROUND(D674*E674,2)</f>
        <v>3.69</v>
      </c>
      <c r="K674" s="115"/>
    </row>
    <row r="675" spans="2:15" x14ac:dyDescent="0.3">
      <c r="C675" s="15" t="str">
        <f>C671</f>
        <v>Сестра медична з фізіотерапії</v>
      </c>
      <c r="D675" s="78">
        <f>J671</f>
        <v>0.85</v>
      </c>
      <c r="E675" s="73">
        <v>20</v>
      </c>
      <c r="F675" s="299">
        <f>ROUND(D675*E675,2)</f>
        <v>17</v>
      </c>
      <c r="K675" s="115"/>
    </row>
    <row r="676" spans="2:15" x14ac:dyDescent="0.3">
      <c r="D676" s="19"/>
      <c r="K676" s="115"/>
    </row>
    <row r="677" spans="2:15" x14ac:dyDescent="0.3">
      <c r="C677" s="17" t="s">
        <v>933</v>
      </c>
      <c r="D677" s="78">
        <f>F674+F675</f>
        <v>20.69</v>
      </c>
      <c r="E677" s="300">
        <v>0.22</v>
      </c>
      <c r="F677" s="301">
        <f>ROUND(D677*E677,2)</f>
        <v>4.55</v>
      </c>
      <c r="K677" s="115"/>
    </row>
    <row r="678" spans="2:15" x14ac:dyDescent="0.3">
      <c r="K678" s="115"/>
    </row>
    <row r="679" spans="2:15" x14ac:dyDescent="0.3">
      <c r="C679" s="12" t="s">
        <v>946</v>
      </c>
      <c r="D679" s="227"/>
      <c r="E679" s="227"/>
      <c r="F679" s="227">
        <f>G692</f>
        <v>41.530000000000008</v>
      </c>
      <c r="G679" s="227" t="s">
        <v>971</v>
      </c>
      <c r="K679" s="115"/>
    </row>
    <row r="680" spans="2:15" x14ac:dyDescent="0.3">
      <c r="K680" s="115"/>
    </row>
    <row r="681" spans="2:15" x14ac:dyDescent="0.3">
      <c r="C681" s="27" t="str">
        <f>'МЕДИЧНІ М'!B279</f>
        <v>Медична жовч фл. - 250 мл.</v>
      </c>
      <c r="D681" s="303" t="s">
        <v>937</v>
      </c>
      <c r="E681" s="303">
        <v>3.5000000000000003E-2</v>
      </c>
      <c r="F681" s="303">
        <f>'МЕДИЧНІ М'!F279</f>
        <v>117</v>
      </c>
      <c r="G681" s="228">
        <f>ROUND(F681*E681,2)</f>
        <v>4.0999999999999996</v>
      </c>
      <c r="K681" s="115"/>
    </row>
    <row r="682" spans="2:15" ht="27.6" x14ac:dyDescent="0.3">
      <c r="C682" s="27" t="str">
        <f>C568</f>
        <v>Електроди одноразові поверхневі з гідрофільною прокладкою з целюлози прямокутні № 25</v>
      </c>
      <c r="D682" s="303" t="str">
        <f>D568</f>
        <v>шт</v>
      </c>
      <c r="E682" s="303">
        <f>E568</f>
        <v>2</v>
      </c>
      <c r="F682" s="303">
        <f>F568</f>
        <v>14</v>
      </c>
      <c r="G682" s="228">
        <f t="shared" ref="G682:G691" si="31">ROUND(F682*E682,2)</f>
        <v>28</v>
      </c>
      <c r="K682" s="115"/>
    </row>
    <row r="683" spans="2:15" x14ac:dyDescent="0.3">
      <c r="C683" s="27" t="str">
        <f t="shared" ref="C683:F691" si="32">C626</f>
        <v>Антисептик для обробки рук</v>
      </c>
      <c r="D683" s="303" t="str">
        <f t="shared" si="32"/>
        <v>мл</v>
      </c>
      <c r="E683" s="303">
        <f t="shared" si="32"/>
        <v>1</v>
      </c>
      <c r="F683" s="303">
        <f t="shared" si="32"/>
        <v>0.375</v>
      </c>
      <c r="G683" s="228">
        <f t="shared" si="31"/>
        <v>0.38</v>
      </c>
      <c r="K683" s="115"/>
    </row>
    <row r="684" spans="2:15" x14ac:dyDescent="0.3">
      <c r="C684" s="27" t="str">
        <f t="shared" si="32"/>
        <v>Антисептик швидкої дії</v>
      </c>
      <c r="D684" s="303" t="str">
        <f t="shared" si="32"/>
        <v>мл</v>
      </c>
      <c r="E684" s="303">
        <f t="shared" si="32"/>
        <v>1</v>
      </c>
      <c r="F684" s="303">
        <f t="shared" si="32"/>
        <v>0.28799999999999998</v>
      </c>
      <c r="G684" s="228">
        <f t="shared" si="31"/>
        <v>0.28999999999999998</v>
      </c>
      <c r="K684" s="115"/>
    </row>
    <row r="685" spans="2:15" x14ac:dyDescent="0.3">
      <c r="C685" s="27" t="str">
        <f t="shared" si="32"/>
        <v>Вата 100 гр.</v>
      </c>
      <c r="D685" s="303" t="str">
        <f t="shared" si="32"/>
        <v>г</v>
      </c>
      <c r="E685" s="303">
        <f t="shared" si="32"/>
        <v>0.01</v>
      </c>
      <c r="F685" s="303">
        <f t="shared" si="32"/>
        <v>6.72</v>
      </c>
      <c r="G685" s="228">
        <f t="shared" si="31"/>
        <v>7.0000000000000007E-2</v>
      </c>
      <c r="K685" s="115"/>
    </row>
    <row r="686" spans="2:15" s="184" customFormat="1" x14ac:dyDescent="0.3">
      <c r="B686" s="672"/>
      <c r="C686" s="27" t="str">
        <f t="shared" si="32"/>
        <v>Деззасоби</v>
      </c>
      <c r="D686" s="303" t="str">
        <f t="shared" si="32"/>
        <v>г</v>
      </c>
      <c r="E686" s="303">
        <f t="shared" si="32"/>
        <v>0.5</v>
      </c>
      <c r="F686" s="303">
        <f t="shared" si="32"/>
        <v>0.5</v>
      </c>
      <c r="G686" s="228">
        <f t="shared" si="31"/>
        <v>0.25</v>
      </c>
      <c r="H686" s="336"/>
      <c r="I686" s="336"/>
      <c r="J686" s="336"/>
      <c r="K686" s="115"/>
      <c r="L686" s="189"/>
      <c r="M686" s="637"/>
      <c r="N686" s="180"/>
      <c r="O686" s="180"/>
    </row>
    <row r="687" spans="2:15" x14ac:dyDescent="0.3">
      <c r="C687" s="27" t="str">
        <f t="shared" si="32"/>
        <v>Маска одноразова тришарова на резинці</v>
      </c>
      <c r="D687" s="303" t="str">
        <f t="shared" si="32"/>
        <v>шт</v>
      </c>
      <c r="E687" s="303">
        <f t="shared" si="32"/>
        <v>1</v>
      </c>
      <c r="F687" s="303">
        <f t="shared" si="32"/>
        <v>2</v>
      </c>
      <c r="G687" s="228">
        <f t="shared" si="31"/>
        <v>2</v>
      </c>
      <c r="K687" s="115"/>
    </row>
    <row r="688" spans="2:15" x14ac:dyDescent="0.3">
      <c r="C688" s="27" t="str">
        <f t="shared" si="32"/>
        <v>Мило рідке</v>
      </c>
      <c r="D688" s="303" t="str">
        <f t="shared" si="32"/>
        <v>мл</v>
      </c>
      <c r="E688" s="303">
        <f t="shared" si="32"/>
        <v>1</v>
      </c>
      <c r="F688" s="303">
        <f t="shared" si="32"/>
        <v>0.19600000000000001</v>
      </c>
      <c r="G688" s="228">
        <f t="shared" si="31"/>
        <v>0.2</v>
      </c>
      <c r="K688" s="115"/>
    </row>
    <row r="689" spans="2:15" s="184" customFormat="1" x14ac:dyDescent="0.3">
      <c r="B689" s="672"/>
      <c r="C689" s="27" t="str">
        <f t="shared" si="32"/>
        <v>Рукавиці не стерильні</v>
      </c>
      <c r="D689" s="303" t="str">
        <f t="shared" si="32"/>
        <v>пара</v>
      </c>
      <c r="E689" s="303">
        <f t="shared" si="32"/>
        <v>0.1</v>
      </c>
      <c r="F689" s="303">
        <f t="shared" si="32"/>
        <v>7.39</v>
      </c>
      <c r="G689" s="228">
        <f t="shared" si="31"/>
        <v>0.74</v>
      </c>
      <c r="H689" s="336"/>
      <c r="I689" s="336"/>
      <c r="J689" s="336"/>
      <c r="K689" s="115"/>
      <c r="L689" s="189"/>
      <c r="M689" s="637"/>
      <c r="N689" s="180"/>
      <c r="O689" s="180"/>
    </row>
    <row r="690" spans="2:15" s="184" customFormat="1" x14ac:dyDescent="0.3">
      <c r="B690" s="672"/>
      <c r="C690" s="27" t="str">
        <f t="shared" si="32"/>
        <v>Рушник паперовий</v>
      </c>
      <c r="D690" s="303" t="str">
        <f t="shared" si="32"/>
        <v>шт</v>
      </c>
      <c r="E690" s="303">
        <f t="shared" si="32"/>
        <v>0.3</v>
      </c>
      <c r="F690" s="303">
        <f t="shared" si="32"/>
        <v>17.5</v>
      </c>
      <c r="G690" s="228">
        <f t="shared" si="31"/>
        <v>5.25</v>
      </c>
      <c r="H690" s="336"/>
      <c r="I690" s="336"/>
      <c r="J690" s="336"/>
      <c r="K690" s="115"/>
      <c r="L690" s="189"/>
      <c r="M690" s="637"/>
      <c r="N690" s="180"/>
      <c r="O690" s="180"/>
    </row>
    <row r="691" spans="2:15" x14ac:dyDescent="0.3">
      <c r="C691" s="27" t="str">
        <f t="shared" si="32"/>
        <v xml:space="preserve">Спирт 70% 100мл </v>
      </c>
      <c r="D691" s="303" t="str">
        <f t="shared" si="32"/>
        <v>фл/гр.</v>
      </c>
      <c r="E691" s="303">
        <f t="shared" si="32"/>
        <v>0.01</v>
      </c>
      <c r="F691" s="303">
        <f t="shared" si="32"/>
        <v>24.6</v>
      </c>
      <c r="G691" s="228">
        <f t="shared" si="31"/>
        <v>0.25</v>
      </c>
      <c r="K691" s="115"/>
    </row>
    <row r="692" spans="2:15" x14ac:dyDescent="0.3">
      <c r="C692" s="577" t="s">
        <v>945</v>
      </c>
      <c r="D692" s="578"/>
      <c r="E692" s="578"/>
      <c r="F692" s="579"/>
      <c r="G692" s="332">
        <f>SUM(G681:G691)</f>
        <v>41.530000000000008</v>
      </c>
      <c r="K692" s="115"/>
    </row>
    <row r="693" spans="2:15" x14ac:dyDescent="0.3">
      <c r="K693" s="115"/>
    </row>
    <row r="694" spans="2:15" x14ac:dyDescent="0.3">
      <c r="C694" s="12" t="s">
        <v>968</v>
      </c>
      <c r="D694" s="227"/>
      <c r="E694" s="227"/>
      <c r="F694" s="298">
        <f>H697</f>
        <v>0.2</v>
      </c>
      <c r="G694" s="227" t="s">
        <v>971</v>
      </c>
      <c r="K694" s="115"/>
    </row>
    <row r="695" spans="2:15" x14ac:dyDescent="0.3">
      <c r="C695" s="22"/>
      <c r="D695" s="36"/>
      <c r="E695" s="36"/>
      <c r="F695" s="302"/>
      <c r="G695" s="36"/>
      <c r="K695" s="115"/>
    </row>
    <row r="696" spans="2:15" ht="27.6" x14ac:dyDescent="0.3">
      <c r="C696" s="14" t="s">
        <v>513</v>
      </c>
      <c r="D696" s="14" t="s">
        <v>969</v>
      </c>
      <c r="E696" s="14" t="s">
        <v>516</v>
      </c>
      <c r="F696" s="14" t="s">
        <v>970</v>
      </c>
      <c r="G696" s="14" t="s">
        <v>930</v>
      </c>
      <c r="H696" s="14" t="s">
        <v>961</v>
      </c>
      <c r="K696" s="115"/>
    </row>
    <row r="697" spans="2:15" x14ac:dyDescent="0.3">
      <c r="C697" s="17" t="s">
        <v>1107</v>
      </c>
      <c r="D697" s="73">
        <f>D583</f>
        <v>7000</v>
      </c>
      <c r="E697" s="73">
        <v>12562.55</v>
      </c>
      <c r="F697" s="73">
        <f>ROUND((D697/E697)/60,2)</f>
        <v>0.01</v>
      </c>
      <c r="G697" s="73">
        <f>E675</f>
        <v>20</v>
      </c>
      <c r="H697" s="78">
        <f>ROUND(F697*G697,2)</f>
        <v>0.2</v>
      </c>
      <c r="I697" s="333"/>
      <c r="K697" s="115"/>
    </row>
    <row r="698" spans="2:15" x14ac:dyDescent="0.3">
      <c r="K698" s="115"/>
    </row>
    <row r="699" spans="2:15" x14ac:dyDescent="0.3">
      <c r="C699" s="12" t="s">
        <v>948</v>
      </c>
      <c r="D699" s="227"/>
      <c r="E699" s="227"/>
      <c r="F699" s="298">
        <f>H712</f>
        <v>2.7600000000000002</v>
      </c>
      <c r="G699" s="227" t="s">
        <v>971</v>
      </c>
      <c r="K699" s="115"/>
    </row>
    <row r="700" spans="2:15" x14ac:dyDescent="0.3">
      <c r="C700" s="22"/>
      <c r="D700" s="36"/>
      <c r="E700" s="36"/>
      <c r="F700" s="302"/>
      <c r="K700" s="115"/>
    </row>
    <row r="701" spans="2:15" ht="27.6" x14ac:dyDescent="0.3">
      <c r="C701" s="14" t="s">
        <v>948</v>
      </c>
      <c r="D701" s="14" t="s">
        <v>1110</v>
      </c>
      <c r="E701" s="14" t="s">
        <v>516</v>
      </c>
      <c r="F701" s="14" t="s">
        <v>954</v>
      </c>
      <c r="G701" s="14" t="s">
        <v>930</v>
      </c>
      <c r="H701" s="14" t="s">
        <v>1111</v>
      </c>
      <c r="K701" s="115"/>
    </row>
    <row r="702" spans="2:15" x14ac:dyDescent="0.3">
      <c r="C702" s="14" t="str">
        <f>C670</f>
        <v>Лікар-фізіотерапевт</v>
      </c>
      <c r="D702" s="14"/>
      <c r="E702" s="14"/>
      <c r="F702" s="14"/>
      <c r="G702" s="14"/>
      <c r="H702" s="14"/>
      <c r="K702" s="115"/>
    </row>
    <row r="703" spans="2:15" x14ac:dyDescent="0.3">
      <c r="C703" s="17" t="s">
        <v>951</v>
      </c>
      <c r="D703" s="221">
        <f>D589</f>
        <v>12188.608008565312</v>
      </c>
      <c r="E703" s="73">
        <f>I670</f>
        <v>1932.7</v>
      </c>
      <c r="F703" s="73">
        <f>ROUND((D703/E703)/60,2)</f>
        <v>0.11</v>
      </c>
      <c r="G703" s="73">
        <f>E674</f>
        <v>3</v>
      </c>
      <c r="H703" s="78">
        <f>ROUND(F703*G703,2)</f>
        <v>0.33</v>
      </c>
      <c r="K703" s="115"/>
    </row>
    <row r="704" spans="2:15" x14ac:dyDescent="0.3">
      <c r="C704" s="17" t="s">
        <v>952</v>
      </c>
      <c r="D704" s="221">
        <f>D590</f>
        <v>53.149721627408987</v>
      </c>
      <c r="E704" s="73">
        <f>I670</f>
        <v>1932.7</v>
      </c>
      <c r="F704" s="73">
        <f>ROUND((D704/E704)/60,2)</f>
        <v>0</v>
      </c>
      <c r="G704" s="73">
        <f>E674</f>
        <v>3</v>
      </c>
      <c r="H704" s="78">
        <f>ROUND(F704*G704,2)</f>
        <v>0</v>
      </c>
      <c r="K704" s="115"/>
    </row>
    <row r="705" spans="2:15" x14ac:dyDescent="0.3">
      <c r="C705" s="17" t="s">
        <v>953</v>
      </c>
      <c r="D705" s="221">
        <f>D591</f>
        <v>374.98368308351178</v>
      </c>
      <c r="E705" s="73">
        <f>I670</f>
        <v>1932.7</v>
      </c>
      <c r="F705" s="73">
        <f>ROUND((D705/E705)/60,2)</f>
        <v>0</v>
      </c>
      <c r="G705" s="73">
        <f>E674</f>
        <v>3</v>
      </c>
      <c r="H705" s="78">
        <f>ROUND(F705*G705,2)</f>
        <v>0</v>
      </c>
      <c r="K705" s="115"/>
    </row>
    <row r="706" spans="2:15" x14ac:dyDescent="0.3">
      <c r="C706" s="17" t="s">
        <v>1109</v>
      </c>
      <c r="D706" s="221">
        <f>D592</f>
        <v>1686.0389293361886</v>
      </c>
      <c r="E706" s="73">
        <f>I670</f>
        <v>1932.7</v>
      </c>
      <c r="F706" s="73">
        <f>ROUND((D706/E706)/60,2)</f>
        <v>0.01</v>
      </c>
      <c r="G706" s="73">
        <f>E674</f>
        <v>3</v>
      </c>
      <c r="H706" s="78">
        <f>ROUND(F706*G706,2)</f>
        <v>0.03</v>
      </c>
      <c r="K706" s="115"/>
    </row>
    <row r="707" spans="2:15" x14ac:dyDescent="0.3">
      <c r="C707" s="14" t="str">
        <f>C671</f>
        <v>Сестра медична з фізіотерапії</v>
      </c>
      <c r="D707" s="14"/>
      <c r="E707" s="14"/>
      <c r="F707" s="14"/>
      <c r="G707" s="14"/>
      <c r="H707" s="14"/>
      <c r="K707" s="115"/>
    </row>
    <row r="708" spans="2:15" x14ac:dyDescent="0.3">
      <c r="C708" s="17" t="s">
        <v>951</v>
      </c>
      <c r="D708" s="221">
        <f>D703</f>
        <v>12188.608008565312</v>
      </c>
      <c r="E708" s="73">
        <f>I671</f>
        <v>1932.7</v>
      </c>
      <c r="F708" s="73">
        <f>ROUND((D708/E708)/60,2)</f>
        <v>0.11</v>
      </c>
      <c r="G708" s="73">
        <f>E675</f>
        <v>20</v>
      </c>
      <c r="H708" s="78">
        <f>ROUND(F708*G708,2)</f>
        <v>2.2000000000000002</v>
      </c>
      <c r="K708" s="115"/>
    </row>
    <row r="709" spans="2:15" x14ac:dyDescent="0.3">
      <c r="C709" s="17" t="s">
        <v>952</v>
      </c>
      <c r="D709" s="221">
        <f>D704</f>
        <v>53.149721627408987</v>
      </c>
      <c r="E709" s="73">
        <f>I671</f>
        <v>1932.7</v>
      </c>
      <c r="F709" s="73">
        <f>ROUND((D709/E709)/60,2)</f>
        <v>0</v>
      </c>
      <c r="G709" s="73">
        <f>E675</f>
        <v>20</v>
      </c>
      <c r="H709" s="78">
        <f>ROUND(F709*G709,2)</f>
        <v>0</v>
      </c>
      <c r="K709" s="115"/>
    </row>
    <row r="710" spans="2:15" x14ac:dyDescent="0.3">
      <c r="C710" s="17" t="s">
        <v>953</v>
      </c>
      <c r="D710" s="221">
        <f>D705</f>
        <v>374.98368308351178</v>
      </c>
      <c r="E710" s="73">
        <f>I671</f>
        <v>1932.7</v>
      </c>
      <c r="F710" s="73">
        <f>ROUND((D710/E710)/60,2)</f>
        <v>0</v>
      </c>
      <c r="G710" s="73">
        <f>E675</f>
        <v>20</v>
      </c>
      <c r="H710" s="78">
        <f>ROUND(F710*G710,2)</f>
        <v>0</v>
      </c>
      <c r="K710" s="115"/>
    </row>
    <row r="711" spans="2:15" x14ac:dyDescent="0.3">
      <c r="C711" s="17" t="s">
        <v>1109</v>
      </c>
      <c r="D711" s="221">
        <f>D706</f>
        <v>1686.0389293361886</v>
      </c>
      <c r="E711" s="73">
        <f>I671</f>
        <v>1932.7</v>
      </c>
      <c r="F711" s="73">
        <f>ROUND((D711/E711)/60,2)</f>
        <v>0.01</v>
      </c>
      <c r="G711" s="73">
        <f>E675</f>
        <v>20</v>
      </c>
      <c r="H711" s="78">
        <f>ROUND(F711*G711,2)</f>
        <v>0.2</v>
      </c>
      <c r="K711" s="115"/>
    </row>
    <row r="712" spans="2:15" x14ac:dyDescent="0.3">
      <c r="C712" s="576" t="s">
        <v>957</v>
      </c>
      <c r="D712" s="576"/>
      <c r="E712" s="576"/>
      <c r="F712" s="576"/>
      <c r="G712" s="576"/>
      <c r="H712" s="299">
        <f>SUM(H703:H711)</f>
        <v>2.7600000000000002</v>
      </c>
      <c r="K712" s="115"/>
    </row>
    <row r="713" spans="2:15" x14ac:dyDescent="0.3">
      <c r="K713" s="115"/>
    </row>
    <row r="714" spans="2:15" x14ac:dyDescent="0.3">
      <c r="K714" s="115"/>
    </row>
    <row r="715" spans="2:15" x14ac:dyDescent="0.3">
      <c r="C715" s="379" t="s">
        <v>959</v>
      </c>
      <c r="D715" s="286"/>
      <c r="E715" s="286"/>
      <c r="F715" s="286"/>
      <c r="G715" s="287"/>
      <c r="H715" s="334">
        <f>F667+F679+F699+F694</f>
        <v>69.730000000000018</v>
      </c>
      <c r="K715" s="115"/>
    </row>
    <row r="716" spans="2:15" x14ac:dyDescent="0.3">
      <c r="C716" s="33"/>
      <c r="D716" s="33"/>
      <c r="E716" s="33"/>
      <c r="F716" s="33"/>
      <c r="G716" s="33"/>
      <c r="H716" s="335"/>
      <c r="K716" s="115"/>
    </row>
    <row r="717" spans="2:15" x14ac:dyDescent="0.3">
      <c r="C717" s="379" t="s">
        <v>960</v>
      </c>
      <c r="D717" s="286"/>
      <c r="E717" s="286"/>
      <c r="F717" s="286"/>
      <c r="G717" s="287"/>
      <c r="H717" s="334">
        <f>ROUND(H715,0)</f>
        <v>70</v>
      </c>
      <c r="K717" s="115"/>
    </row>
    <row r="718" spans="2:15" x14ac:dyDescent="0.3">
      <c r="K718" s="115"/>
    </row>
    <row r="719" spans="2:15" x14ac:dyDescent="0.3">
      <c r="K719" s="115"/>
    </row>
    <row r="720" spans="2:15" s="54" customFormat="1" ht="19.8" x14ac:dyDescent="0.4">
      <c r="B720" s="1016" t="s">
        <v>958</v>
      </c>
      <c r="C720" s="1016"/>
      <c r="D720" s="1016"/>
      <c r="E720" s="1016"/>
      <c r="F720" s="1016"/>
      <c r="G720" s="1016"/>
      <c r="H720" s="1016"/>
      <c r="I720" s="1016"/>
      <c r="J720" s="1016"/>
      <c r="K720" s="115"/>
      <c r="L720" s="114"/>
      <c r="M720" s="636"/>
      <c r="N720" s="7"/>
      <c r="O720" s="53"/>
    </row>
    <row r="721" spans="2:15" ht="3" customHeight="1" x14ac:dyDescent="0.3">
      <c r="K721" s="115"/>
    </row>
    <row r="722" spans="2:15" s="54" customFormat="1" ht="36" customHeight="1" x14ac:dyDescent="0.4">
      <c r="B722" s="673" t="s">
        <v>423</v>
      </c>
      <c r="C722" s="1017" t="s">
        <v>435</v>
      </c>
      <c r="D722" s="1017"/>
      <c r="E722" s="1017"/>
      <c r="F722" s="653">
        <f>H774</f>
        <v>46</v>
      </c>
      <c r="G722" s="296" t="s">
        <v>971</v>
      </c>
      <c r="H722" s="225"/>
      <c r="I722" s="225"/>
      <c r="J722" s="225"/>
      <c r="K722" s="115"/>
      <c r="L722" s="114"/>
      <c r="M722" s="636"/>
      <c r="N722" s="7"/>
      <c r="O722" s="53"/>
    </row>
    <row r="723" spans="2:15" ht="16.5" customHeight="1" x14ac:dyDescent="0.3">
      <c r="K723" s="115"/>
    </row>
    <row r="724" spans="2:15" x14ac:dyDescent="0.3">
      <c r="C724" s="575" t="s">
        <v>932</v>
      </c>
      <c r="D724" s="575"/>
      <c r="E724" s="297"/>
      <c r="F724" s="298">
        <f>F731+F734+F732</f>
        <v>25.240000000000002</v>
      </c>
      <c r="G724" s="227" t="s">
        <v>971</v>
      </c>
      <c r="K724" s="115"/>
    </row>
    <row r="725" spans="2:15" x14ac:dyDescent="0.3">
      <c r="K725" s="115"/>
    </row>
    <row r="726" spans="2:15" ht="27.6" x14ac:dyDescent="0.3">
      <c r="C726" s="13" t="s">
        <v>929</v>
      </c>
      <c r="D726" s="14" t="s">
        <v>928</v>
      </c>
      <c r="E726" s="14" t="s">
        <v>514</v>
      </c>
      <c r="F726" s="14" t="s">
        <v>515</v>
      </c>
      <c r="G726" s="14" t="s">
        <v>962</v>
      </c>
      <c r="H726" s="14" t="s">
        <v>926</v>
      </c>
      <c r="I726" s="14" t="s">
        <v>516</v>
      </c>
      <c r="J726" s="14" t="s">
        <v>961</v>
      </c>
      <c r="K726" s="115"/>
    </row>
    <row r="727" spans="2:15" x14ac:dyDescent="0.3">
      <c r="C727" s="17" t="str">
        <f t="shared" ref="C727:G728" si="33">C670</f>
        <v>Лікар-фізіотерапевт</v>
      </c>
      <c r="D727" s="221">
        <f t="shared" si="33"/>
        <v>10799.43</v>
      </c>
      <c r="E727" s="221">
        <f t="shared" si="33"/>
        <v>129593.16</v>
      </c>
      <c r="F727" s="221">
        <f t="shared" si="33"/>
        <v>8307.26</v>
      </c>
      <c r="G727" s="221">
        <f t="shared" si="33"/>
        <v>4153.63</v>
      </c>
      <c r="H727" s="221">
        <f>E727+F727+G727</f>
        <v>142054.05000000002</v>
      </c>
      <c r="I727" s="73">
        <v>1932.7</v>
      </c>
      <c r="J727" s="78">
        <f>ROUND((H727/I727)/60,2)</f>
        <v>1.23</v>
      </c>
      <c r="K727" s="115"/>
    </row>
    <row r="728" spans="2:15" x14ac:dyDescent="0.3">
      <c r="C728" s="17" t="str">
        <f t="shared" si="33"/>
        <v>Сестра медична з фізіотерапії</v>
      </c>
      <c r="D728" s="221">
        <f t="shared" si="33"/>
        <v>7482.48</v>
      </c>
      <c r="E728" s="221">
        <f t="shared" si="33"/>
        <v>89789.759999999995</v>
      </c>
      <c r="F728" s="221">
        <f t="shared" si="33"/>
        <v>5755.75</v>
      </c>
      <c r="G728" s="221">
        <f t="shared" si="33"/>
        <v>2877.875</v>
      </c>
      <c r="H728" s="221">
        <f>E728+F728+G728</f>
        <v>98423.384999999995</v>
      </c>
      <c r="I728" s="73">
        <v>1932.7</v>
      </c>
      <c r="J728" s="78">
        <f>ROUND((H728/I728)/60,2)</f>
        <v>0.85</v>
      </c>
      <c r="K728" s="115"/>
    </row>
    <row r="729" spans="2:15" x14ac:dyDescent="0.3">
      <c r="K729" s="115"/>
    </row>
    <row r="730" spans="2:15" ht="27.6" x14ac:dyDescent="0.3">
      <c r="C730" s="13" t="s">
        <v>929</v>
      </c>
      <c r="D730" s="14" t="s">
        <v>961</v>
      </c>
      <c r="E730" s="14" t="s">
        <v>930</v>
      </c>
      <c r="F730" s="14" t="s">
        <v>931</v>
      </c>
      <c r="K730" s="115"/>
    </row>
    <row r="731" spans="2:15" x14ac:dyDescent="0.3">
      <c r="C731" s="15" t="str">
        <f>C727</f>
        <v>Лікар-фізіотерапевт</v>
      </c>
      <c r="D731" s="78">
        <f>J727</f>
        <v>1.23</v>
      </c>
      <c r="E731" s="73">
        <v>3</v>
      </c>
      <c r="F731" s="299">
        <f>ROUND(D731*E731,2)</f>
        <v>3.69</v>
      </c>
      <c r="K731" s="115"/>
    </row>
    <row r="732" spans="2:15" x14ac:dyDescent="0.3">
      <c r="C732" s="15" t="str">
        <f>C728</f>
        <v>Сестра медична з фізіотерапії</v>
      </c>
      <c r="D732" s="78">
        <f>J728</f>
        <v>0.85</v>
      </c>
      <c r="E732" s="73">
        <v>20</v>
      </c>
      <c r="F732" s="299">
        <f>ROUND(D732*E732,2)</f>
        <v>17</v>
      </c>
      <c r="K732" s="115"/>
    </row>
    <row r="733" spans="2:15" x14ac:dyDescent="0.3">
      <c r="D733" s="19"/>
      <c r="K733" s="115"/>
    </row>
    <row r="734" spans="2:15" x14ac:dyDescent="0.3">
      <c r="C734" s="17" t="s">
        <v>933</v>
      </c>
      <c r="D734" s="78">
        <f>F731+F732</f>
        <v>20.69</v>
      </c>
      <c r="E734" s="300">
        <v>0.22</v>
      </c>
      <c r="F734" s="301">
        <f>ROUND(D734*E734,2)</f>
        <v>4.55</v>
      </c>
      <c r="K734" s="115"/>
    </row>
    <row r="735" spans="2:15" x14ac:dyDescent="0.3">
      <c r="K735" s="115"/>
    </row>
    <row r="736" spans="2:15" x14ac:dyDescent="0.3">
      <c r="C736" s="12" t="s">
        <v>946</v>
      </c>
      <c r="D736" s="227"/>
      <c r="E736" s="227"/>
      <c r="F736" s="227">
        <f>G749</f>
        <v>17.53</v>
      </c>
      <c r="G736" s="227" t="s">
        <v>971</v>
      </c>
      <c r="K736" s="115"/>
    </row>
    <row r="737" spans="2:15" x14ac:dyDescent="0.3">
      <c r="K737" s="115"/>
    </row>
    <row r="738" spans="2:15" x14ac:dyDescent="0.3">
      <c r="C738" s="27" t="str">
        <f>C681</f>
        <v>Медична жовч фл. - 250 мл.</v>
      </c>
      <c r="D738" s="303" t="str">
        <f>D681</f>
        <v>мл</v>
      </c>
      <c r="E738" s="303">
        <f>E681</f>
        <v>3.5000000000000003E-2</v>
      </c>
      <c r="F738" s="303">
        <f>F681</f>
        <v>117</v>
      </c>
      <c r="G738" s="228">
        <f>ROUND(F738*E738,2)</f>
        <v>4.0999999999999996</v>
      </c>
      <c r="K738" s="115"/>
    </row>
    <row r="739" spans="2:15" x14ac:dyDescent="0.3">
      <c r="C739" s="27" t="str">
        <f>C625</f>
        <v>Гідрофільні прокладки багаторазові поверхневі</v>
      </c>
      <c r="D739" s="303" t="str">
        <f>D625</f>
        <v>шт</v>
      </c>
      <c r="E739" s="303">
        <f>E625</f>
        <v>2</v>
      </c>
      <c r="F739" s="303">
        <f>F625</f>
        <v>2</v>
      </c>
      <c r="G739" s="228">
        <f t="shared" ref="G739:G748" si="34">ROUND(F739*E739,2)</f>
        <v>4</v>
      </c>
      <c r="K739" s="115"/>
    </row>
    <row r="740" spans="2:15" x14ac:dyDescent="0.3">
      <c r="C740" s="27" t="str">
        <f t="shared" ref="C740:F748" si="35">C683</f>
        <v>Антисептик для обробки рук</v>
      </c>
      <c r="D740" s="303" t="str">
        <f t="shared" si="35"/>
        <v>мл</v>
      </c>
      <c r="E740" s="303">
        <f t="shared" si="35"/>
        <v>1</v>
      </c>
      <c r="F740" s="303">
        <f t="shared" si="35"/>
        <v>0.375</v>
      </c>
      <c r="G740" s="228">
        <f t="shared" si="34"/>
        <v>0.38</v>
      </c>
      <c r="K740" s="115"/>
    </row>
    <row r="741" spans="2:15" x14ac:dyDescent="0.3">
      <c r="C741" s="27" t="str">
        <f t="shared" si="35"/>
        <v>Антисептик швидкої дії</v>
      </c>
      <c r="D741" s="303" t="str">
        <f t="shared" si="35"/>
        <v>мл</v>
      </c>
      <c r="E741" s="303">
        <f t="shared" si="35"/>
        <v>1</v>
      </c>
      <c r="F741" s="303">
        <f t="shared" si="35"/>
        <v>0.28799999999999998</v>
      </c>
      <c r="G741" s="228">
        <f t="shared" si="34"/>
        <v>0.28999999999999998</v>
      </c>
      <c r="K741" s="115"/>
    </row>
    <row r="742" spans="2:15" x14ac:dyDescent="0.3">
      <c r="C742" s="27" t="str">
        <f t="shared" si="35"/>
        <v>Вата 100 гр.</v>
      </c>
      <c r="D742" s="303" t="str">
        <f t="shared" si="35"/>
        <v>г</v>
      </c>
      <c r="E742" s="303">
        <f t="shared" si="35"/>
        <v>0.01</v>
      </c>
      <c r="F742" s="303">
        <f t="shared" si="35"/>
        <v>6.72</v>
      </c>
      <c r="G742" s="228">
        <f t="shared" si="34"/>
        <v>7.0000000000000007E-2</v>
      </c>
      <c r="K742" s="115"/>
    </row>
    <row r="743" spans="2:15" s="184" customFormat="1" x14ac:dyDescent="0.3">
      <c r="B743" s="672"/>
      <c r="C743" s="27" t="str">
        <f t="shared" si="35"/>
        <v>Деззасоби</v>
      </c>
      <c r="D743" s="303" t="str">
        <f t="shared" si="35"/>
        <v>г</v>
      </c>
      <c r="E743" s="303">
        <f t="shared" si="35"/>
        <v>0.5</v>
      </c>
      <c r="F743" s="303">
        <f t="shared" si="35"/>
        <v>0.5</v>
      </c>
      <c r="G743" s="228">
        <f t="shared" si="34"/>
        <v>0.25</v>
      </c>
      <c r="H743" s="336"/>
      <c r="I743" s="336"/>
      <c r="J743" s="336"/>
      <c r="K743" s="115"/>
      <c r="L743" s="189"/>
      <c r="M743" s="637"/>
      <c r="N743" s="180"/>
      <c r="O743" s="180"/>
    </row>
    <row r="744" spans="2:15" x14ac:dyDescent="0.3">
      <c r="C744" s="27" t="str">
        <f t="shared" si="35"/>
        <v>Маска одноразова тришарова на резинці</v>
      </c>
      <c r="D744" s="303" t="str">
        <f t="shared" si="35"/>
        <v>шт</v>
      </c>
      <c r="E744" s="303">
        <f t="shared" si="35"/>
        <v>1</v>
      </c>
      <c r="F744" s="303">
        <f t="shared" si="35"/>
        <v>2</v>
      </c>
      <c r="G744" s="228">
        <f t="shared" si="34"/>
        <v>2</v>
      </c>
      <c r="K744" s="115"/>
    </row>
    <row r="745" spans="2:15" x14ac:dyDescent="0.3">
      <c r="C745" s="27" t="str">
        <f t="shared" si="35"/>
        <v>Мило рідке</v>
      </c>
      <c r="D745" s="303" t="str">
        <f t="shared" si="35"/>
        <v>мл</v>
      </c>
      <c r="E745" s="303">
        <f t="shared" si="35"/>
        <v>1</v>
      </c>
      <c r="F745" s="303">
        <f t="shared" si="35"/>
        <v>0.19600000000000001</v>
      </c>
      <c r="G745" s="228">
        <f t="shared" si="34"/>
        <v>0.2</v>
      </c>
      <c r="K745" s="115"/>
    </row>
    <row r="746" spans="2:15" s="184" customFormat="1" x14ac:dyDescent="0.3">
      <c r="B746" s="672"/>
      <c r="C746" s="27" t="str">
        <f t="shared" si="35"/>
        <v>Рукавиці не стерильні</v>
      </c>
      <c r="D746" s="303" t="str">
        <f t="shared" si="35"/>
        <v>пара</v>
      </c>
      <c r="E746" s="303">
        <f t="shared" si="35"/>
        <v>0.1</v>
      </c>
      <c r="F746" s="303">
        <f t="shared" si="35"/>
        <v>7.39</v>
      </c>
      <c r="G746" s="228">
        <f t="shared" si="34"/>
        <v>0.74</v>
      </c>
      <c r="H746" s="336"/>
      <c r="I746" s="336"/>
      <c r="J746" s="336"/>
      <c r="K746" s="115"/>
      <c r="L746" s="189"/>
      <c r="M746" s="637"/>
      <c r="N746" s="180"/>
      <c r="O746" s="180"/>
    </row>
    <row r="747" spans="2:15" s="184" customFormat="1" x14ac:dyDescent="0.3">
      <c r="B747" s="672"/>
      <c r="C747" s="27" t="str">
        <f t="shared" si="35"/>
        <v>Рушник паперовий</v>
      </c>
      <c r="D747" s="303" t="str">
        <f t="shared" si="35"/>
        <v>шт</v>
      </c>
      <c r="E747" s="303">
        <f t="shared" si="35"/>
        <v>0.3</v>
      </c>
      <c r="F747" s="303">
        <f t="shared" si="35"/>
        <v>17.5</v>
      </c>
      <c r="G747" s="228">
        <f t="shared" si="34"/>
        <v>5.25</v>
      </c>
      <c r="H747" s="336"/>
      <c r="I747" s="336"/>
      <c r="J747" s="336"/>
      <c r="K747" s="115"/>
      <c r="L747" s="189"/>
      <c r="M747" s="637"/>
      <c r="N747" s="180"/>
      <c r="O747" s="180"/>
    </row>
    <row r="748" spans="2:15" x14ac:dyDescent="0.3">
      <c r="C748" s="27" t="str">
        <f t="shared" si="35"/>
        <v xml:space="preserve">Спирт 70% 100мл </v>
      </c>
      <c r="D748" s="303" t="str">
        <f t="shared" si="35"/>
        <v>фл/гр.</v>
      </c>
      <c r="E748" s="303">
        <f t="shared" si="35"/>
        <v>0.01</v>
      </c>
      <c r="F748" s="303">
        <f t="shared" si="35"/>
        <v>24.6</v>
      </c>
      <c r="G748" s="228">
        <f t="shared" si="34"/>
        <v>0.25</v>
      </c>
      <c r="K748" s="115"/>
    </row>
    <row r="749" spans="2:15" x14ac:dyDescent="0.3">
      <c r="C749" s="577" t="s">
        <v>945</v>
      </c>
      <c r="D749" s="578"/>
      <c r="E749" s="578"/>
      <c r="F749" s="579"/>
      <c r="G749" s="332">
        <f>SUM(G738:G748)</f>
        <v>17.53</v>
      </c>
      <c r="K749" s="115"/>
    </row>
    <row r="750" spans="2:15" x14ac:dyDescent="0.3">
      <c r="K750" s="115"/>
    </row>
    <row r="751" spans="2:15" x14ac:dyDescent="0.3">
      <c r="C751" s="12" t="s">
        <v>968</v>
      </c>
      <c r="D751" s="227"/>
      <c r="E751" s="227"/>
      <c r="F751" s="298">
        <f>H754</f>
        <v>0.2</v>
      </c>
      <c r="G751" s="227" t="s">
        <v>971</v>
      </c>
      <c r="K751" s="115"/>
    </row>
    <row r="752" spans="2:15" x14ac:dyDescent="0.3">
      <c r="C752" s="22"/>
      <c r="D752" s="36"/>
      <c r="E752" s="36"/>
      <c r="F752" s="302"/>
      <c r="G752" s="36"/>
      <c r="K752" s="115"/>
    </row>
    <row r="753" spans="3:11" ht="27.6" x14ac:dyDescent="0.3">
      <c r="C753" s="14" t="s">
        <v>513</v>
      </c>
      <c r="D753" s="14" t="s">
        <v>969</v>
      </c>
      <c r="E753" s="14" t="s">
        <v>516</v>
      </c>
      <c r="F753" s="14" t="s">
        <v>970</v>
      </c>
      <c r="G753" s="14" t="s">
        <v>930</v>
      </c>
      <c r="H753" s="14" t="s">
        <v>961</v>
      </c>
      <c r="K753" s="115"/>
    </row>
    <row r="754" spans="3:11" x14ac:dyDescent="0.3">
      <c r="C754" s="17" t="s">
        <v>1107</v>
      </c>
      <c r="D754" s="73">
        <f>D640</f>
        <v>7000</v>
      </c>
      <c r="E754" s="73">
        <v>12562.55</v>
      </c>
      <c r="F754" s="73">
        <f>ROUND((D754/E754)/60,2)</f>
        <v>0.01</v>
      </c>
      <c r="G754" s="73">
        <f>E732</f>
        <v>20</v>
      </c>
      <c r="H754" s="78">
        <f>ROUND(F754*G754,2)</f>
        <v>0.2</v>
      </c>
      <c r="I754" s="333"/>
      <c r="K754" s="115"/>
    </row>
    <row r="755" spans="3:11" x14ac:dyDescent="0.3">
      <c r="K755" s="115"/>
    </row>
    <row r="756" spans="3:11" x14ac:dyDescent="0.3">
      <c r="C756" s="12" t="s">
        <v>948</v>
      </c>
      <c r="D756" s="227"/>
      <c r="E756" s="227"/>
      <c r="F756" s="298">
        <f>H769</f>
        <v>2.7600000000000002</v>
      </c>
      <c r="G756" s="227" t="s">
        <v>971</v>
      </c>
      <c r="K756" s="115"/>
    </row>
    <row r="757" spans="3:11" x14ac:dyDescent="0.3">
      <c r="C757" s="22"/>
      <c r="D757" s="36"/>
      <c r="E757" s="36"/>
      <c r="F757" s="302"/>
      <c r="K757" s="115"/>
    </row>
    <row r="758" spans="3:11" ht="27.6" x14ac:dyDescent="0.3">
      <c r="C758" s="14" t="s">
        <v>948</v>
      </c>
      <c r="D758" s="14" t="s">
        <v>1110</v>
      </c>
      <c r="E758" s="14" t="s">
        <v>516</v>
      </c>
      <c r="F758" s="14" t="s">
        <v>954</v>
      </c>
      <c r="G758" s="14" t="s">
        <v>930</v>
      </c>
      <c r="H758" s="14" t="s">
        <v>1111</v>
      </c>
      <c r="K758" s="115"/>
    </row>
    <row r="759" spans="3:11" x14ac:dyDescent="0.3">
      <c r="C759" s="14" t="str">
        <f>C727</f>
        <v>Лікар-фізіотерапевт</v>
      </c>
      <c r="D759" s="14"/>
      <c r="E759" s="14"/>
      <c r="F759" s="14"/>
      <c r="G759" s="14"/>
      <c r="H759" s="14"/>
      <c r="K759" s="115"/>
    </row>
    <row r="760" spans="3:11" x14ac:dyDescent="0.3">
      <c r="C760" s="17" t="s">
        <v>951</v>
      </c>
      <c r="D760" s="221">
        <f>D646</f>
        <v>12188.608008565312</v>
      </c>
      <c r="E760" s="73">
        <f>I727</f>
        <v>1932.7</v>
      </c>
      <c r="F760" s="73">
        <f>ROUND((D760/E760)/60,2)</f>
        <v>0.11</v>
      </c>
      <c r="G760" s="73">
        <f>E731</f>
        <v>3</v>
      </c>
      <c r="H760" s="78">
        <f>ROUND(F760*G760,2)</f>
        <v>0.33</v>
      </c>
      <c r="K760" s="115"/>
    </row>
    <row r="761" spans="3:11" x14ac:dyDescent="0.3">
      <c r="C761" s="17" t="s">
        <v>952</v>
      </c>
      <c r="D761" s="221">
        <f>D647</f>
        <v>53.149721627408987</v>
      </c>
      <c r="E761" s="73">
        <f>I727</f>
        <v>1932.7</v>
      </c>
      <c r="F761" s="73">
        <f>ROUND((D761/E761)/60,2)</f>
        <v>0</v>
      </c>
      <c r="G761" s="73">
        <f>E731</f>
        <v>3</v>
      </c>
      <c r="H761" s="78">
        <f>ROUND(F761*G761,2)</f>
        <v>0</v>
      </c>
      <c r="K761" s="115"/>
    </row>
    <row r="762" spans="3:11" x14ac:dyDescent="0.3">
      <c r="C762" s="17" t="s">
        <v>953</v>
      </c>
      <c r="D762" s="221">
        <f>D648</f>
        <v>374.98368308351178</v>
      </c>
      <c r="E762" s="73">
        <f>I727</f>
        <v>1932.7</v>
      </c>
      <c r="F762" s="73">
        <f>ROUND((D762/E762)/60,2)</f>
        <v>0</v>
      </c>
      <c r="G762" s="73">
        <f>E731</f>
        <v>3</v>
      </c>
      <c r="H762" s="78">
        <f>ROUND(F762*G762,2)</f>
        <v>0</v>
      </c>
      <c r="K762" s="115"/>
    </row>
    <row r="763" spans="3:11" x14ac:dyDescent="0.3">
      <c r="C763" s="17" t="s">
        <v>1109</v>
      </c>
      <c r="D763" s="221">
        <f>D649</f>
        <v>1686.0389293361886</v>
      </c>
      <c r="E763" s="73">
        <f>I727</f>
        <v>1932.7</v>
      </c>
      <c r="F763" s="73">
        <f>ROUND((D763/E763)/60,2)</f>
        <v>0.01</v>
      </c>
      <c r="G763" s="73">
        <f>E731</f>
        <v>3</v>
      </c>
      <c r="H763" s="78">
        <f>ROUND(F763*G763,2)</f>
        <v>0.03</v>
      </c>
      <c r="K763" s="115"/>
    </row>
    <row r="764" spans="3:11" x14ac:dyDescent="0.3">
      <c r="C764" s="14" t="str">
        <f>C728</f>
        <v>Сестра медична з фізіотерапії</v>
      </c>
      <c r="D764" s="14"/>
      <c r="E764" s="14"/>
      <c r="F764" s="14"/>
      <c r="G764" s="14"/>
      <c r="H764" s="14"/>
      <c r="K764" s="115"/>
    </row>
    <row r="765" spans="3:11" x14ac:dyDescent="0.3">
      <c r="C765" s="17" t="s">
        <v>951</v>
      </c>
      <c r="D765" s="221">
        <f>D760</f>
        <v>12188.608008565312</v>
      </c>
      <c r="E765" s="73">
        <f>I728</f>
        <v>1932.7</v>
      </c>
      <c r="F765" s="73">
        <f>ROUND((D765/E765)/60,2)</f>
        <v>0.11</v>
      </c>
      <c r="G765" s="73">
        <f>E732</f>
        <v>20</v>
      </c>
      <c r="H765" s="78">
        <f>ROUND(F765*G765,2)</f>
        <v>2.2000000000000002</v>
      </c>
      <c r="K765" s="115"/>
    </row>
    <row r="766" spans="3:11" x14ac:dyDescent="0.3">
      <c r="C766" s="17" t="s">
        <v>952</v>
      </c>
      <c r="D766" s="221">
        <f>D761</f>
        <v>53.149721627408987</v>
      </c>
      <c r="E766" s="73">
        <f>I728</f>
        <v>1932.7</v>
      </c>
      <c r="F766" s="73">
        <f>ROUND((D766/E766)/60,2)</f>
        <v>0</v>
      </c>
      <c r="G766" s="73">
        <f>E732</f>
        <v>20</v>
      </c>
      <c r="H766" s="78">
        <f>ROUND(F766*G766,2)</f>
        <v>0</v>
      </c>
      <c r="K766" s="115"/>
    </row>
    <row r="767" spans="3:11" x14ac:dyDescent="0.3">
      <c r="C767" s="17" t="s">
        <v>953</v>
      </c>
      <c r="D767" s="221">
        <f>D762</f>
        <v>374.98368308351178</v>
      </c>
      <c r="E767" s="73">
        <f>I728</f>
        <v>1932.7</v>
      </c>
      <c r="F767" s="73">
        <f>ROUND((D767/E767)/60,2)</f>
        <v>0</v>
      </c>
      <c r="G767" s="73">
        <f>E732</f>
        <v>20</v>
      </c>
      <c r="H767" s="78">
        <f>ROUND(F767*G767,2)</f>
        <v>0</v>
      </c>
      <c r="K767" s="115"/>
    </row>
    <row r="768" spans="3:11" x14ac:dyDescent="0.3">
      <c r="C768" s="17" t="s">
        <v>1109</v>
      </c>
      <c r="D768" s="221">
        <f>D763</f>
        <v>1686.0389293361886</v>
      </c>
      <c r="E768" s="73">
        <f>I728</f>
        <v>1932.7</v>
      </c>
      <c r="F768" s="73">
        <f>ROUND((D768/E768)/60,2)</f>
        <v>0.01</v>
      </c>
      <c r="G768" s="73">
        <f>E732</f>
        <v>20</v>
      </c>
      <c r="H768" s="78">
        <f>ROUND(F768*G768,2)</f>
        <v>0.2</v>
      </c>
      <c r="K768" s="115"/>
    </row>
    <row r="769" spans="2:15" x14ac:dyDescent="0.3">
      <c r="C769" s="576" t="s">
        <v>957</v>
      </c>
      <c r="D769" s="576"/>
      <c r="E769" s="576"/>
      <c r="F769" s="576"/>
      <c r="G769" s="576"/>
      <c r="H769" s="299">
        <f>SUM(H760:H768)</f>
        <v>2.7600000000000002</v>
      </c>
      <c r="K769" s="115"/>
    </row>
    <row r="770" spans="2:15" x14ac:dyDescent="0.3">
      <c r="K770" s="115"/>
    </row>
    <row r="771" spans="2:15" x14ac:dyDescent="0.3">
      <c r="K771" s="115"/>
    </row>
    <row r="772" spans="2:15" x14ac:dyDescent="0.3">
      <c r="C772" s="379" t="s">
        <v>959</v>
      </c>
      <c r="D772" s="286"/>
      <c r="E772" s="286"/>
      <c r="F772" s="286"/>
      <c r="G772" s="287"/>
      <c r="H772" s="334">
        <f>F724+F736+F756+F751</f>
        <v>45.730000000000004</v>
      </c>
      <c r="K772" s="115"/>
    </row>
    <row r="773" spans="2:15" x14ac:dyDescent="0.3">
      <c r="C773" s="33"/>
      <c r="D773" s="33"/>
      <c r="E773" s="33"/>
      <c r="F773" s="33"/>
      <c r="G773" s="33"/>
      <c r="H773" s="335"/>
      <c r="K773" s="115"/>
    </row>
    <row r="774" spans="2:15" x14ac:dyDescent="0.3">
      <c r="C774" s="379" t="s">
        <v>960</v>
      </c>
      <c r="D774" s="286"/>
      <c r="E774" s="286"/>
      <c r="F774" s="286"/>
      <c r="G774" s="287"/>
      <c r="H774" s="334">
        <f>ROUND(H772,0)</f>
        <v>46</v>
      </c>
      <c r="K774" s="115"/>
    </row>
    <row r="775" spans="2:15" x14ac:dyDescent="0.3">
      <c r="K775" s="115"/>
    </row>
    <row r="776" spans="2:15" x14ac:dyDescent="0.3">
      <c r="K776" s="115"/>
    </row>
    <row r="777" spans="2:15" s="54" customFormat="1" ht="19.8" x14ac:dyDescent="0.4">
      <c r="B777" s="1016" t="s">
        <v>958</v>
      </c>
      <c r="C777" s="1016"/>
      <c r="D777" s="1016"/>
      <c r="E777" s="1016"/>
      <c r="F777" s="1016"/>
      <c r="G777" s="1016"/>
      <c r="H777" s="1016"/>
      <c r="I777" s="1016"/>
      <c r="J777" s="1016"/>
      <c r="K777" s="115"/>
      <c r="L777" s="114"/>
      <c r="M777" s="636"/>
      <c r="N777" s="7"/>
      <c r="O777" s="53"/>
    </row>
    <row r="778" spans="2:15" ht="3" customHeight="1" x14ac:dyDescent="0.3">
      <c r="K778" s="115"/>
    </row>
    <row r="779" spans="2:15" s="54" customFormat="1" ht="59.25" customHeight="1" x14ac:dyDescent="0.4">
      <c r="B779" s="673" t="s">
        <v>424</v>
      </c>
      <c r="C779" s="1017" t="s">
        <v>436</v>
      </c>
      <c r="D779" s="1017"/>
      <c r="E779" s="1017"/>
      <c r="F779" s="653">
        <f>H831</f>
        <v>63</v>
      </c>
      <c r="G779" s="296" t="s">
        <v>971</v>
      </c>
      <c r="H779" s="225"/>
      <c r="I779" s="225"/>
      <c r="J779" s="225"/>
      <c r="K779" s="115"/>
      <c r="L779" s="114"/>
      <c r="M779" s="636"/>
      <c r="N779" s="7"/>
      <c r="O779" s="53"/>
    </row>
    <row r="780" spans="2:15" ht="16.5" customHeight="1" x14ac:dyDescent="0.3">
      <c r="K780" s="115"/>
    </row>
    <row r="781" spans="2:15" x14ac:dyDescent="0.3">
      <c r="C781" s="575" t="s">
        <v>932</v>
      </c>
      <c r="D781" s="575"/>
      <c r="E781" s="297"/>
      <c r="F781" s="298">
        <f>F788+F791+F789</f>
        <v>20.060000000000002</v>
      </c>
      <c r="G781" s="227" t="s">
        <v>971</v>
      </c>
      <c r="K781" s="115"/>
    </row>
    <row r="782" spans="2:15" x14ac:dyDescent="0.3">
      <c r="K782" s="115"/>
    </row>
    <row r="783" spans="2:15" ht="27.6" x14ac:dyDescent="0.3">
      <c r="C783" s="13" t="s">
        <v>929</v>
      </c>
      <c r="D783" s="14" t="s">
        <v>928</v>
      </c>
      <c r="E783" s="14" t="s">
        <v>514</v>
      </c>
      <c r="F783" s="14" t="s">
        <v>515</v>
      </c>
      <c r="G783" s="14" t="s">
        <v>962</v>
      </c>
      <c r="H783" s="14" t="s">
        <v>926</v>
      </c>
      <c r="I783" s="14" t="s">
        <v>516</v>
      </c>
      <c r="J783" s="14" t="s">
        <v>961</v>
      </c>
      <c r="K783" s="115"/>
    </row>
    <row r="784" spans="2:15" x14ac:dyDescent="0.3">
      <c r="C784" s="17" t="str">
        <f t="shared" ref="C784:G785" si="36">C727</f>
        <v>Лікар-фізіотерапевт</v>
      </c>
      <c r="D784" s="221">
        <f t="shared" si="36"/>
        <v>10799.43</v>
      </c>
      <c r="E784" s="221">
        <f t="shared" si="36"/>
        <v>129593.16</v>
      </c>
      <c r="F784" s="221">
        <f t="shared" si="36"/>
        <v>8307.26</v>
      </c>
      <c r="G784" s="221">
        <f t="shared" si="36"/>
        <v>4153.63</v>
      </c>
      <c r="H784" s="221">
        <f>E784+F784+G784</f>
        <v>142054.05000000002</v>
      </c>
      <c r="I784" s="73">
        <v>1932.7</v>
      </c>
      <c r="J784" s="78">
        <f>ROUND((H784/I784)/60,2)</f>
        <v>1.23</v>
      </c>
      <c r="K784" s="115"/>
    </row>
    <row r="785" spans="2:15" x14ac:dyDescent="0.3">
      <c r="C785" s="17" t="str">
        <f t="shared" si="36"/>
        <v>Сестра медична з фізіотерапії</v>
      </c>
      <c r="D785" s="221">
        <f t="shared" si="36"/>
        <v>7482.48</v>
      </c>
      <c r="E785" s="221">
        <f t="shared" si="36"/>
        <v>89789.759999999995</v>
      </c>
      <c r="F785" s="221">
        <f t="shared" si="36"/>
        <v>5755.75</v>
      </c>
      <c r="G785" s="221">
        <f t="shared" si="36"/>
        <v>2877.875</v>
      </c>
      <c r="H785" s="221">
        <f>E785+F785+G785</f>
        <v>98423.384999999995</v>
      </c>
      <c r="I785" s="73">
        <v>1932.7</v>
      </c>
      <c r="J785" s="78">
        <f>ROUND((H785/I785)/60,2)</f>
        <v>0.85</v>
      </c>
      <c r="K785" s="115"/>
    </row>
    <row r="786" spans="2:15" x14ac:dyDescent="0.3">
      <c r="K786" s="115"/>
    </row>
    <row r="787" spans="2:15" ht="27.6" x14ac:dyDescent="0.3">
      <c r="C787" s="13" t="s">
        <v>929</v>
      </c>
      <c r="D787" s="14" t="s">
        <v>961</v>
      </c>
      <c r="E787" s="14" t="s">
        <v>930</v>
      </c>
      <c r="F787" s="14" t="s">
        <v>931</v>
      </c>
      <c r="K787" s="115"/>
    </row>
    <row r="788" spans="2:15" x14ac:dyDescent="0.3">
      <c r="C788" s="15" t="str">
        <f>C784</f>
        <v>Лікар-фізіотерапевт</v>
      </c>
      <c r="D788" s="78">
        <f>J784</f>
        <v>1.23</v>
      </c>
      <c r="E788" s="73">
        <v>3</v>
      </c>
      <c r="F788" s="299">
        <f>ROUND(D788*E788,2)</f>
        <v>3.69</v>
      </c>
      <c r="K788" s="115"/>
    </row>
    <row r="789" spans="2:15" x14ac:dyDescent="0.3">
      <c r="C789" s="15" t="str">
        <f>C785</f>
        <v>Сестра медична з фізіотерапії</v>
      </c>
      <c r="D789" s="78">
        <f>J785</f>
        <v>0.85</v>
      </c>
      <c r="E789" s="73">
        <v>15</v>
      </c>
      <c r="F789" s="299">
        <f>ROUND(D789*E789,2)</f>
        <v>12.75</v>
      </c>
      <c r="K789" s="115"/>
    </row>
    <row r="790" spans="2:15" x14ac:dyDescent="0.3">
      <c r="D790" s="19"/>
      <c r="K790" s="115"/>
    </row>
    <row r="791" spans="2:15" x14ac:dyDescent="0.3">
      <c r="C791" s="17" t="s">
        <v>933</v>
      </c>
      <c r="D791" s="78">
        <f>F788+F789</f>
        <v>16.440000000000001</v>
      </c>
      <c r="E791" s="300">
        <v>0.22</v>
      </c>
      <c r="F791" s="301">
        <f>ROUND(D791*E791,2)</f>
        <v>3.62</v>
      </c>
      <c r="K791" s="115"/>
    </row>
    <row r="792" spans="2:15" x14ac:dyDescent="0.3">
      <c r="K792" s="115"/>
    </row>
    <row r="793" spans="2:15" x14ac:dyDescent="0.3">
      <c r="C793" s="12" t="s">
        <v>946</v>
      </c>
      <c r="D793" s="227"/>
      <c r="E793" s="227"/>
      <c r="F793" s="227">
        <f>G806</f>
        <v>40.280000000000008</v>
      </c>
      <c r="G793" s="227" t="s">
        <v>971</v>
      </c>
      <c r="K793" s="115"/>
    </row>
    <row r="794" spans="2:15" x14ac:dyDescent="0.3">
      <c r="K794" s="115"/>
    </row>
    <row r="795" spans="2:15" x14ac:dyDescent="0.3">
      <c r="C795" s="27" t="str">
        <f>'МЕДИЧНІ М'!B280</f>
        <v>Магнію сульфат р-н д/ін. 25% - 5 мл № 10</v>
      </c>
      <c r="D795" s="303" t="str">
        <f>D738</f>
        <v>мл</v>
      </c>
      <c r="E795" s="303">
        <v>0.1</v>
      </c>
      <c r="F795" s="303">
        <f>'МЕДИЧНІ М'!F280</f>
        <v>28.5</v>
      </c>
      <c r="G795" s="228">
        <f>ROUND(F795*E795,2)</f>
        <v>2.85</v>
      </c>
      <c r="K795" s="115"/>
    </row>
    <row r="796" spans="2:15" ht="27.6" x14ac:dyDescent="0.3">
      <c r="C796" s="27" t="str">
        <f>C682</f>
        <v>Електроди одноразові поверхневі з гідрофільною прокладкою з целюлози прямокутні № 25</v>
      </c>
      <c r="D796" s="303" t="str">
        <f>D682</f>
        <v>шт</v>
      </c>
      <c r="E796" s="303">
        <f>E682</f>
        <v>2</v>
      </c>
      <c r="F796" s="303">
        <f>F682</f>
        <v>14</v>
      </c>
      <c r="G796" s="228">
        <f t="shared" ref="G796:G805" si="37">ROUND(F796*E796,2)</f>
        <v>28</v>
      </c>
      <c r="K796" s="115"/>
    </row>
    <row r="797" spans="2:15" x14ac:dyDescent="0.3">
      <c r="C797" s="27" t="str">
        <f t="shared" ref="C797:F805" si="38">C740</f>
        <v>Антисептик для обробки рук</v>
      </c>
      <c r="D797" s="303" t="str">
        <f t="shared" si="38"/>
        <v>мл</v>
      </c>
      <c r="E797" s="303">
        <f t="shared" si="38"/>
        <v>1</v>
      </c>
      <c r="F797" s="303">
        <f t="shared" si="38"/>
        <v>0.375</v>
      </c>
      <c r="G797" s="228">
        <f t="shared" si="37"/>
        <v>0.38</v>
      </c>
      <c r="K797" s="115"/>
    </row>
    <row r="798" spans="2:15" x14ac:dyDescent="0.3">
      <c r="C798" s="27" t="str">
        <f t="shared" si="38"/>
        <v>Антисептик швидкої дії</v>
      </c>
      <c r="D798" s="303" t="str">
        <f t="shared" si="38"/>
        <v>мл</v>
      </c>
      <c r="E798" s="303">
        <f t="shared" si="38"/>
        <v>1</v>
      </c>
      <c r="F798" s="303">
        <f t="shared" si="38"/>
        <v>0.28799999999999998</v>
      </c>
      <c r="G798" s="228">
        <f t="shared" si="37"/>
        <v>0.28999999999999998</v>
      </c>
      <c r="K798" s="115"/>
    </row>
    <row r="799" spans="2:15" x14ac:dyDescent="0.3">
      <c r="C799" s="27" t="str">
        <f t="shared" si="38"/>
        <v>Вата 100 гр.</v>
      </c>
      <c r="D799" s="303" t="str">
        <f t="shared" si="38"/>
        <v>г</v>
      </c>
      <c r="E799" s="303">
        <f t="shared" si="38"/>
        <v>0.01</v>
      </c>
      <c r="F799" s="303">
        <f t="shared" si="38"/>
        <v>6.72</v>
      </c>
      <c r="G799" s="228">
        <f t="shared" si="37"/>
        <v>7.0000000000000007E-2</v>
      </c>
      <c r="K799" s="115"/>
    </row>
    <row r="800" spans="2:15" s="184" customFormat="1" x14ac:dyDescent="0.3">
      <c r="B800" s="672"/>
      <c r="C800" s="27" t="str">
        <f t="shared" si="38"/>
        <v>Деззасоби</v>
      </c>
      <c r="D800" s="303" t="str">
        <f t="shared" si="38"/>
        <v>г</v>
      </c>
      <c r="E800" s="303">
        <f t="shared" si="38"/>
        <v>0.5</v>
      </c>
      <c r="F800" s="303">
        <f t="shared" si="38"/>
        <v>0.5</v>
      </c>
      <c r="G800" s="228">
        <f t="shared" si="37"/>
        <v>0.25</v>
      </c>
      <c r="H800" s="336"/>
      <c r="I800" s="336"/>
      <c r="J800" s="336"/>
      <c r="K800" s="115"/>
      <c r="L800" s="189"/>
      <c r="M800" s="637"/>
      <c r="N800" s="180"/>
      <c r="O800" s="180"/>
    </row>
    <row r="801" spans="2:15" x14ac:dyDescent="0.3">
      <c r="C801" s="27" t="str">
        <f t="shared" si="38"/>
        <v>Маска одноразова тришарова на резинці</v>
      </c>
      <c r="D801" s="303" t="str">
        <f t="shared" si="38"/>
        <v>шт</v>
      </c>
      <c r="E801" s="303">
        <f t="shared" si="38"/>
        <v>1</v>
      </c>
      <c r="F801" s="303">
        <f t="shared" si="38"/>
        <v>2</v>
      </c>
      <c r="G801" s="228">
        <f t="shared" si="37"/>
        <v>2</v>
      </c>
      <c r="K801" s="115"/>
    </row>
    <row r="802" spans="2:15" x14ac:dyDescent="0.3">
      <c r="C802" s="27" t="str">
        <f t="shared" si="38"/>
        <v>Мило рідке</v>
      </c>
      <c r="D802" s="303" t="str">
        <f t="shared" si="38"/>
        <v>мл</v>
      </c>
      <c r="E802" s="303">
        <f t="shared" si="38"/>
        <v>1</v>
      </c>
      <c r="F802" s="303">
        <f t="shared" si="38"/>
        <v>0.19600000000000001</v>
      </c>
      <c r="G802" s="228">
        <f t="shared" si="37"/>
        <v>0.2</v>
      </c>
      <c r="K802" s="115"/>
    </row>
    <row r="803" spans="2:15" s="184" customFormat="1" x14ac:dyDescent="0.3">
      <c r="B803" s="672"/>
      <c r="C803" s="27" t="str">
        <f t="shared" si="38"/>
        <v>Рукавиці не стерильні</v>
      </c>
      <c r="D803" s="303" t="str">
        <f t="shared" si="38"/>
        <v>пара</v>
      </c>
      <c r="E803" s="303">
        <f t="shared" si="38"/>
        <v>0.1</v>
      </c>
      <c r="F803" s="303">
        <f t="shared" si="38"/>
        <v>7.39</v>
      </c>
      <c r="G803" s="228">
        <f t="shared" si="37"/>
        <v>0.74</v>
      </c>
      <c r="H803" s="336"/>
      <c r="I803" s="336"/>
      <c r="J803" s="336"/>
      <c r="K803" s="115"/>
      <c r="L803" s="189"/>
      <c r="M803" s="637"/>
      <c r="N803" s="180"/>
      <c r="O803" s="180"/>
    </row>
    <row r="804" spans="2:15" s="184" customFormat="1" x14ac:dyDescent="0.3">
      <c r="B804" s="672"/>
      <c r="C804" s="27" t="str">
        <f t="shared" si="38"/>
        <v>Рушник паперовий</v>
      </c>
      <c r="D804" s="303" t="str">
        <f t="shared" si="38"/>
        <v>шт</v>
      </c>
      <c r="E804" s="303">
        <f t="shared" si="38"/>
        <v>0.3</v>
      </c>
      <c r="F804" s="303">
        <f t="shared" si="38"/>
        <v>17.5</v>
      </c>
      <c r="G804" s="228">
        <f t="shared" si="37"/>
        <v>5.25</v>
      </c>
      <c r="H804" s="336"/>
      <c r="I804" s="336"/>
      <c r="J804" s="336"/>
      <c r="K804" s="115"/>
      <c r="L804" s="189"/>
      <c r="M804" s="637"/>
      <c r="N804" s="180"/>
      <c r="O804" s="180"/>
    </row>
    <row r="805" spans="2:15" x14ac:dyDescent="0.3">
      <c r="C805" s="27" t="str">
        <f t="shared" si="38"/>
        <v xml:space="preserve">Спирт 70% 100мл </v>
      </c>
      <c r="D805" s="303" t="str">
        <f t="shared" si="38"/>
        <v>фл/гр.</v>
      </c>
      <c r="E805" s="303">
        <f t="shared" si="38"/>
        <v>0.01</v>
      </c>
      <c r="F805" s="303">
        <f t="shared" si="38"/>
        <v>24.6</v>
      </c>
      <c r="G805" s="228">
        <f t="shared" si="37"/>
        <v>0.25</v>
      </c>
      <c r="K805" s="115"/>
    </row>
    <row r="806" spans="2:15" x14ac:dyDescent="0.3">
      <c r="C806" s="577" t="s">
        <v>945</v>
      </c>
      <c r="D806" s="578"/>
      <c r="E806" s="578"/>
      <c r="F806" s="579"/>
      <c r="G806" s="332">
        <f>SUM(G795:G805)</f>
        <v>40.280000000000008</v>
      </c>
      <c r="K806" s="115"/>
    </row>
    <row r="807" spans="2:15" x14ac:dyDescent="0.3">
      <c r="K807" s="115"/>
    </row>
    <row r="808" spans="2:15" x14ac:dyDescent="0.3">
      <c r="C808" s="12" t="s">
        <v>968</v>
      </c>
      <c r="D808" s="227"/>
      <c r="E808" s="227"/>
      <c r="F808" s="298">
        <f>H811</f>
        <v>0.15</v>
      </c>
      <c r="G808" s="227" t="s">
        <v>971</v>
      </c>
      <c r="K808" s="115"/>
    </row>
    <row r="809" spans="2:15" x14ac:dyDescent="0.3">
      <c r="C809" s="22"/>
      <c r="D809" s="36"/>
      <c r="E809" s="36"/>
      <c r="F809" s="302"/>
      <c r="G809" s="36"/>
      <c r="K809" s="115"/>
    </row>
    <row r="810" spans="2:15" ht="27.6" x14ac:dyDescent="0.3">
      <c r="C810" s="14" t="s">
        <v>513</v>
      </c>
      <c r="D810" s="14" t="s">
        <v>969</v>
      </c>
      <c r="E810" s="14" t="s">
        <v>516</v>
      </c>
      <c r="F810" s="14" t="s">
        <v>970</v>
      </c>
      <c r="G810" s="14" t="s">
        <v>930</v>
      </c>
      <c r="H810" s="14" t="s">
        <v>961</v>
      </c>
      <c r="K810" s="115"/>
    </row>
    <row r="811" spans="2:15" x14ac:dyDescent="0.3">
      <c r="C811" s="17" t="s">
        <v>1107</v>
      </c>
      <c r="D811" s="73">
        <f>D697</f>
        <v>7000</v>
      </c>
      <c r="E811" s="73">
        <v>12562.55</v>
      </c>
      <c r="F811" s="73">
        <f>ROUND((D811/E811)/60,2)</f>
        <v>0.01</v>
      </c>
      <c r="G811" s="73">
        <f>E789</f>
        <v>15</v>
      </c>
      <c r="H811" s="78">
        <f>ROUND(F811*G811,2)</f>
        <v>0.15</v>
      </c>
      <c r="I811" s="333"/>
      <c r="K811" s="115"/>
    </row>
    <row r="812" spans="2:15" x14ac:dyDescent="0.3">
      <c r="K812" s="115"/>
    </row>
    <row r="813" spans="2:15" x14ac:dyDescent="0.3">
      <c r="C813" s="12" t="s">
        <v>948</v>
      </c>
      <c r="D813" s="227"/>
      <c r="E813" s="227"/>
      <c r="F813" s="298">
        <f>H826</f>
        <v>2.1599999999999997</v>
      </c>
      <c r="G813" s="227" t="s">
        <v>971</v>
      </c>
      <c r="K813" s="115"/>
    </row>
    <row r="814" spans="2:15" x14ac:dyDescent="0.3">
      <c r="C814" s="22"/>
      <c r="D814" s="36"/>
      <c r="E814" s="36"/>
      <c r="F814" s="302"/>
      <c r="K814" s="115"/>
    </row>
    <row r="815" spans="2:15" ht="27.6" x14ac:dyDescent="0.3">
      <c r="C815" s="14" t="s">
        <v>948</v>
      </c>
      <c r="D815" s="14" t="s">
        <v>1110</v>
      </c>
      <c r="E815" s="14" t="s">
        <v>516</v>
      </c>
      <c r="F815" s="14" t="s">
        <v>954</v>
      </c>
      <c r="G815" s="14" t="s">
        <v>930</v>
      </c>
      <c r="H815" s="14" t="s">
        <v>1111</v>
      </c>
      <c r="K815" s="115"/>
    </row>
    <row r="816" spans="2:15" x14ac:dyDescent="0.3">
      <c r="C816" s="14" t="str">
        <f>C784</f>
        <v>Лікар-фізіотерапевт</v>
      </c>
      <c r="D816" s="14"/>
      <c r="E816" s="14"/>
      <c r="F816" s="14"/>
      <c r="G816" s="14"/>
      <c r="H816" s="14"/>
      <c r="K816" s="115"/>
    </row>
    <row r="817" spans="3:11" x14ac:dyDescent="0.3">
      <c r="C817" s="17" t="s">
        <v>951</v>
      </c>
      <c r="D817" s="221">
        <f>D703</f>
        <v>12188.608008565312</v>
      </c>
      <c r="E817" s="73">
        <f>I784</f>
        <v>1932.7</v>
      </c>
      <c r="F817" s="73">
        <f>ROUND((D817/E817)/60,2)</f>
        <v>0.11</v>
      </c>
      <c r="G817" s="73">
        <f>E788</f>
        <v>3</v>
      </c>
      <c r="H817" s="78">
        <f>ROUND(F817*G817,2)</f>
        <v>0.33</v>
      </c>
      <c r="K817" s="115"/>
    </row>
    <row r="818" spans="3:11" x14ac:dyDescent="0.3">
      <c r="C818" s="17" t="s">
        <v>952</v>
      </c>
      <c r="D818" s="221">
        <f>D704</f>
        <v>53.149721627408987</v>
      </c>
      <c r="E818" s="73">
        <f>I784</f>
        <v>1932.7</v>
      </c>
      <c r="F818" s="73">
        <f>ROUND((D818/E818)/60,2)</f>
        <v>0</v>
      </c>
      <c r="G818" s="73">
        <f>E788</f>
        <v>3</v>
      </c>
      <c r="H818" s="78">
        <f>ROUND(F818*G818,2)</f>
        <v>0</v>
      </c>
      <c r="K818" s="115"/>
    </row>
    <row r="819" spans="3:11" x14ac:dyDescent="0.3">
      <c r="C819" s="17" t="s">
        <v>953</v>
      </c>
      <c r="D819" s="221">
        <f>D705</f>
        <v>374.98368308351178</v>
      </c>
      <c r="E819" s="73">
        <f>I784</f>
        <v>1932.7</v>
      </c>
      <c r="F819" s="73">
        <f>ROUND((D819/E819)/60,2)</f>
        <v>0</v>
      </c>
      <c r="G819" s="73">
        <f>E788</f>
        <v>3</v>
      </c>
      <c r="H819" s="78">
        <f>ROUND(F819*G819,2)</f>
        <v>0</v>
      </c>
      <c r="K819" s="115"/>
    </row>
    <row r="820" spans="3:11" x14ac:dyDescent="0.3">
      <c r="C820" s="17" t="s">
        <v>1109</v>
      </c>
      <c r="D820" s="221">
        <f>D706</f>
        <v>1686.0389293361886</v>
      </c>
      <c r="E820" s="73">
        <f>I784</f>
        <v>1932.7</v>
      </c>
      <c r="F820" s="73">
        <f>ROUND((D820/E820)/60,2)</f>
        <v>0.01</v>
      </c>
      <c r="G820" s="73">
        <f>E788</f>
        <v>3</v>
      </c>
      <c r="H820" s="78">
        <f>ROUND(F820*G820,2)</f>
        <v>0.03</v>
      </c>
      <c r="K820" s="115"/>
    </row>
    <row r="821" spans="3:11" x14ac:dyDescent="0.3">
      <c r="C821" s="14" t="str">
        <f>C785</f>
        <v>Сестра медична з фізіотерапії</v>
      </c>
      <c r="D821" s="14"/>
      <c r="E821" s="14"/>
      <c r="F821" s="14"/>
      <c r="G821" s="14"/>
      <c r="H821" s="14"/>
      <c r="K821" s="115"/>
    </row>
    <row r="822" spans="3:11" x14ac:dyDescent="0.3">
      <c r="C822" s="17" t="s">
        <v>951</v>
      </c>
      <c r="D822" s="221">
        <f>D817</f>
        <v>12188.608008565312</v>
      </c>
      <c r="E822" s="73">
        <f>I785</f>
        <v>1932.7</v>
      </c>
      <c r="F822" s="73">
        <f>ROUND((D822/E822)/60,2)</f>
        <v>0.11</v>
      </c>
      <c r="G822" s="73">
        <f>E789</f>
        <v>15</v>
      </c>
      <c r="H822" s="78">
        <f>ROUND(F822*G822,2)</f>
        <v>1.65</v>
      </c>
      <c r="K822" s="115"/>
    </row>
    <row r="823" spans="3:11" x14ac:dyDescent="0.3">
      <c r="C823" s="17" t="s">
        <v>952</v>
      </c>
      <c r="D823" s="221">
        <f>D818</f>
        <v>53.149721627408987</v>
      </c>
      <c r="E823" s="73">
        <f>I785</f>
        <v>1932.7</v>
      </c>
      <c r="F823" s="73">
        <f>ROUND((D823/E823)/60,2)</f>
        <v>0</v>
      </c>
      <c r="G823" s="73">
        <f>E789</f>
        <v>15</v>
      </c>
      <c r="H823" s="78">
        <f>ROUND(F823*G823,2)</f>
        <v>0</v>
      </c>
      <c r="K823" s="115"/>
    </row>
    <row r="824" spans="3:11" x14ac:dyDescent="0.3">
      <c r="C824" s="17" t="s">
        <v>953</v>
      </c>
      <c r="D824" s="221">
        <f>D819</f>
        <v>374.98368308351178</v>
      </c>
      <c r="E824" s="73">
        <f>I785</f>
        <v>1932.7</v>
      </c>
      <c r="F824" s="73">
        <f>ROUND((D824/E824)/60,2)</f>
        <v>0</v>
      </c>
      <c r="G824" s="73">
        <f>E789</f>
        <v>15</v>
      </c>
      <c r="H824" s="78">
        <f>ROUND(F824*G824,2)</f>
        <v>0</v>
      </c>
      <c r="K824" s="115"/>
    </row>
    <row r="825" spans="3:11" x14ac:dyDescent="0.3">
      <c r="C825" s="17" t="s">
        <v>1109</v>
      </c>
      <c r="D825" s="221">
        <f>D820</f>
        <v>1686.0389293361886</v>
      </c>
      <c r="E825" s="73">
        <f>I785</f>
        <v>1932.7</v>
      </c>
      <c r="F825" s="73">
        <f>ROUND((D825/E825)/60,2)</f>
        <v>0.01</v>
      </c>
      <c r="G825" s="73">
        <f>E789</f>
        <v>15</v>
      </c>
      <c r="H825" s="78">
        <f>ROUND(F825*G825,2)</f>
        <v>0.15</v>
      </c>
      <c r="K825" s="115"/>
    </row>
    <row r="826" spans="3:11" x14ac:dyDescent="0.3">
      <c r="C826" s="576" t="s">
        <v>957</v>
      </c>
      <c r="D826" s="576"/>
      <c r="E826" s="576"/>
      <c r="F826" s="576"/>
      <c r="G826" s="576"/>
      <c r="H826" s="299">
        <f>SUM(H817:H825)</f>
        <v>2.1599999999999997</v>
      </c>
      <c r="K826" s="115"/>
    </row>
    <row r="827" spans="3:11" x14ac:dyDescent="0.3">
      <c r="K827" s="115"/>
    </row>
    <row r="828" spans="3:11" x14ac:dyDescent="0.3">
      <c r="K828" s="115"/>
    </row>
    <row r="829" spans="3:11" x14ac:dyDescent="0.3">
      <c r="C829" s="379" t="s">
        <v>959</v>
      </c>
      <c r="D829" s="286"/>
      <c r="E829" s="286"/>
      <c r="F829" s="286"/>
      <c r="G829" s="287"/>
      <c r="H829" s="334">
        <f>F781+F793+F813+F808</f>
        <v>62.650000000000006</v>
      </c>
      <c r="K829" s="115"/>
    </row>
    <row r="830" spans="3:11" x14ac:dyDescent="0.3">
      <c r="C830" s="33"/>
      <c r="D830" s="33"/>
      <c r="E830" s="33"/>
      <c r="F830" s="33"/>
      <c r="G830" s="33"/>
      <c r="H830" s="335"/>
      <c r="K830" s="115"/>
    </row>
    <row r="831" spans="3:11" x14ac:dyDescent="0.3">
      <c r="C831" s="379" t="s">
        <v>960</v>
      </c>
      <c r="D831" s="286"/>
      <c r="E831" s="286"/>
      <c r="F831" s="286"/>
      <c r="G831" s="287"/>
      <c r="H831" s="334">
        <f>ROUND(H829,0)</f>
        <v>63</v>
      </c>
      <c r="K831" s="115"/>
    </row>
    <row r="832" spans="3:11" x14ac:dyDescent="0.3">
      <c r="C832" s="33"/>
      <c r="D832" s="33"/>
      <c r="E832" s="33"/>
      <c r="F832" s="33"/>
      <c r="G832" s="33"/>
      <c r="H832" s="335"/>
      <c r="K832" s="115"/>
    </row>
    <row r="833" spans="2:15" x14ac:dyDescent="0.3">
      <c r="K833" s="115"/>
    </row>
    <row r="834" spans="2:15" s="54" customFormat="1" ht="19.8" x14ac:dyDescent="0.4">
      <c r="B834" s="1016" t="s">
        <v>958</v>
      </c>
      <c r="C834" s="1016"/>
      <c r="D834" s="1016"/>
      <c r="E834" s="1016"/>
      <c r="F834" s="1016"/>
      <c r="G834" s="1016"/>
      <c r="H834" s="1016"/>
      <c r="I834" s="1016"/>
      <c r="J834" s="1016"/>
      <c r="K834" s="115"/>
      <c r="L834" s="114"/>
      <c r="M834" s="636"/>
      <c r="N834" s="7"/>
      <c r="O834" s="53"/>
    </row>
    <row r="835" spans="2:15" ht="3" customHeight="1" x14ac:dyDescent="0.3">
      <c r="K835" s="115"/>
    </row>
    <row r="836" spans="2:15" s="54" customFormat="1" ht="60" customHeight="1" x14ac:dyDescent="0.4">
      <c r="B836" s="673" t="s">
        <v>425</v>
      </c>
      <c r="C836" s="1017" t="s">
        <v>437</v>
      </c>
      <c r="D836" s="1017"/>
      <c r="E836" s="1017"/>
      <c r="F836" s="653">
        <f>H888</f>
        <v>39</v>
      </c>
      <c r="G836" s="296" t="s">
        <v>971</v>
      </c>
      <c r="H836" s="225"/>
      <c r="I836" s="225"/>
      <c r="J836" s="225"/>
      <c r="K836" s="115"/>
      <c r="L836" s="114"/>
      <c r="M836" s="636"/>
      <c r="N836" s="7"/>
      <c r="O836" s="53"/>
    </row>
    <row r="837" spans="2:15" ht="16.5" customHeight="1" x14ac:dyDescent="0.3">
      <c r="K837" s="115"/>
    </row>
    <row r="838" spans="2:15" x14ac:dyDescent="0.3">
      <c r="C838" s="575" t="s">
        <v>932</v>
      </c>
      <c r="D838" s="575"/>
      <c r="E838" s="297"/>
      <c r="F838" s="298">
        <f>F845+F848+F846</f>
        <v>20.060000000000002</v>
      </c>
      <c r="G838" s="227" t="s">
        <v>971</v>
      </c>
      <c r="K838" s="115"/>
    </row>
    <row r="839" spans="2:15" x14ac:dyDescent="0.3">
      <c r="K839" s="115"/>
    </row>
    <row r="840" spans="2:15" ht="27.6" x14ac:dyDescent="0.3">
      <c r="C840" s="13" t="s">
        <v>929</v>
      </c>
      <c r="D840" s="14" t="s">
        <v>928</v>
      </c>
      <c r="E840" s="14" t="s">
        <v>514</v>
      </c>
      <c r="F840" s="14" t="s">
        <v>515</v>
      </c>
      <c r="G840" s="14" t="s">
        <v>962</v>
      </c>
      <c r="H840" s="14" t="s">
        <v>926</v>
      </c>
      <c r="I840" s="14" t="s">
        <v>516</v>
      </c>
      <c r="J840" s="14" t="s">
        <v>961</v>
      </c>
      <c r="K840" s="115"/>
    </row>
    <row r="841" spans="2:15" x14ac:dyDescent="0.3">
      <c r="C841" s="17" t="str">
        <f t="shared" ref="C841:G842" si="39">C784</f>
        <v>Лікар-фізіотерапевт</v>
      </c>
      <c r="D841" s="221">
        <f t="shared" si="39"/>
        <v>10799.43</v>
      </c>
      <c r="E841" s="221">
        <f t="shared" si="39"/>
        <v>129593.16</v>
      </c>
      <c r="F841" s="221">
        <f t="shared" si="39"/>
        <v>8307.26</v>
      </c>
      <c r="G841" s="221">
        <f t="shared" si="39"/>
        <v>4153.63</v>
      </c>
      <c r="H841" s="221">
        <f>E841+F841+G841</f>
        <v>142054.05000000002</v>
      </c>
      <c r="I841" s="73">
        <v>1932.7</v>
      </c>
      <c r="J841" s="78">
        <f>ROUND((H841/I841)/60,2)</f>
        <v>1.23</v>
      </c>
      <c r="K841" s="115"/>
    </row>
    <row r="842" spans="2:15" x14ac:dyDescent="0.3">
      <c r="C842" s="17" t="str">
        <f t="shared" si="39"/>
        <v>Сестра медична з фізіотерапії</v>
      </c>
      <c r="D842" s="221">
        <f t="shared" si="39"/>
        <v>7482.48</v>
      </c>
      <c r="E842" s="221">
        <f t="shared" si="39"/>
        <v>89789.759999999995</v>
      </c>
      <c r="F842" s="221">
        <f t="shared" si="39"/>
        <v>5755.75</v>
      </c>
      <c r="G842" s="221">
        <f t="shared" si="39"/>
        <v>2877.875</v>
      </c>
      <c r="H842" s="221">
        <f>E842+F842+G842</f>
        <v>98423.384999999995</v>
      </c>
      <c r="I842" s="73">
        <v>1932.7</v>
      </c>
      <c r="J842" s="78">
        <f>ROUND((H842/I842)/60,2)</f>
        <v>0.85</v>
      </c>
      <c r="K842" s="115"/>
    </row>
    <row r="843" spans="2:15" x14ac:dyDescent="0.3">
      <c r="K843" s="115"/>
    </row>
    <row r="844" spans="2:15" ht="27.6" x14ac:dyDescent="0.3">
      <c r="C844" s="13" t="s">
        <v>929</v>
      </c>
      <c r="D844" s="14" t="s">
        <v>961</v>
      </c>
      <c r="E844" s="14" t="s">
        <v>930</v>
      </c>
      <c r="F844" s="14" t="s">
        <v>931</v>
      </c>
      <c r="K844" s="115"/>
    </row>
    <row r="845" spans="2:15" x14ac:dyDescent="0.3">
      <c r="C845" s="15" t="str">
        <f>C841</f>
        <v>Лікар-фізіотерапевт</v>
      </c>
      <c r="D845" s="78">
        <f>J841</f>
        <v>1.23</v>
      </c>
      <c r="E845" s="73">
        <v>3</v>
      </c>
      <c r="F845" s="299">
        <f>ROUND(D845*E845,2)</f>
        <v>3.69</v>
      </c>
      <c r="K845" s="115"/>
    </row>
    <row r="846" spans="2:15" x14ac:dyDescent="0.3">
      <c r="C846" s="15" t="str">
        <f>C842</f>
        <v>Сестра медична з фізіотерапії</v>
      </c>
      <c r="D846" s="78">
        <f>J842</f>
        <v>0.85</v>
      </c>
      <c r="E846" s="73">
        <v>15</v>
      </c>
      <c r="F846" s="299">
        <f>ROUND(D846*E846,2)</f>
        <v>12.75</v>
      </c>
      <c r="K846" s="115"/>
    </row>
    <row r="847" spans="2:15" x14ac:dyDescent="0.3">
      <c r="D847" s="19"/>
      <c r="K847" s="115"/>
    </row>
    <row r="848" spans="2:15" x14ac:dyDescent="0.3">
      <c r="C848" s="17" t="s">
        <v>933</v>
      </c>
      <c r="D848" s="78">
        <f>F845+F846</f>
        <v>16.440000000000001</v>
      </c>
      <c r="E848" s="300">
        <v>0.22</v>
      </c>
      <c r="F848" s="301">
        <f>ROUND(D848*E848,2)</f>
        <v>3.62</v>
      </c>
      <c r="K848" s="115"/>
    </row>
    <row r="849" spans="2:15" x14ac:dyDescent="0.3">
      <c r="K849" s="115"/>
    </row>
    <row r="850" spans="2:15" x14ac:dyDescent="0.3">
      <c r="C850" s="12" t="s">
        <v>946</v>
      </c>
      <c r="D850" s="227"/>
      <c r="E850" s="227"/>
      <c r="F850" s="227">
        <f>G863</f>
        <v>16.28</v>
      </c>
      <c r="G850" s="227" t="s">
        <v>971</v>
      </c>
      <c r="K850" s="115"/>
    </row>
    <row r="851" spans="2:15" x14ac:dyDescent="0.3">
      <c r="K851" s="115"/>
    </row>
    <row r="852" spans="2:15" x14ac:dyDescent="0.3">
      <c r="C852" s="27" t="str">
        <f>C795</f>
        <v>Магнію сульфат р-н д/ін. 25% - 5 мл № 10</v>
      </c>
      <c r="D852" s="303" t="str">
        <f>D795</f>
        <v>мл</v>
      </c>
      <c r="E852" s="303">
        <f>E795</f>
        <v>0.1</v>
      </c>
      <c r="F852" s="303">
        <f>F795</f>
        <v>28.5</v>
      </c>
      <c r="G852" s="228">
        <f>ROUND(F852*E852,2)</f>
        <v>2.85</v>
      </c>
      <c r="K852" s="115"/>
    </row>
    <row r="853" spans="2:15" x14ac:dyDescent="0.3">
      <c r="C853" s="27" t="str">
        <f>C739</f>
        <v>Гідрофільні прокладки багаторазові поверхневі</v>
      </c>
      <c r="D853" s="303" t="str">
        <f>D739</f>
        <v>шт</v>
      </c>
      <c r="E853" s="303">
        <f>E739</f>
        <v>2</v>
      </c>
      <c r="F853" s="303">
        <f>F739</f>
        <v>2</v>
      </c>
      <c r="G853" s="228">
        <f t="shared" ref="G853:G862" si="40">ROUND(F853*E853,2)</f>
        <v>4</v>
      </c>
      <c r="K853" s="115"/>
    </row>
    <row r="854" spans="2:15" x14ac:dyDescent="0.3">
      <c r="C854" s="27" t="str">
        <f t="shared" ref="C854:F862" si="41">C797</f>
        <v>Антисептик для обробки рук</v>
      </c>
      <c r="D854" s="303" t="str">
        <f t="shared" si="41"/>
        <v>мл</v>
      </c>
      <c r="E854" s="303">
        <f t="shared" si="41"/>
        <v>1</v>
      </c>
      <c r="F854" s="303">
        <f t="shared" si="41"/>
        <v>0.375</v>
      </c>
      <c r="G854" s="228">
        <f t="shared" si="40"/>
        <v>0.38</v>
      </c>
      <c r="K854" s="115"/>
    </row>
    <row r="855" spans="2:15" x14ac:dyDescent="0.3">
      <c r="C855" s="27" t="str">
        <f t="shared" si="41"/>
        <v>Антисептик швидкої дії</v>
      </c>
      <c r="D855" s="303" t="str">
        <f t="shared" si="41"/>
        <v>мл</v>
      </c>
      <c r="E855" s="303">
        <f t="shared" si="41"/>
        <v>1</v>
      </c>
      <c r="F855" s="303">
        <f t="shared" si="41"/>
        <v>0.28799999999999998</v>
      </c>
      <c r="G855" s="228">
        <f t="shared" si="40"/>
        <v>0.28999999999999998</v>
      </c>
      <c r="K855" s="115"/>
    </row>
    <row r="856" spans="2:15" x14ac:dyDescent="0.3">
      <c r="C856" s="27" t="str">
        <f t="shared" si="41"/>
        <v>Вата 100 гр.</v>
      </c>
      <c r="D856" s="303" t="str">
        <f t="shared" si="41"/>
        <v>г</v>
      </c>
      <c r="E856" s="303">
        <f t="shared" si="41"/>
        <v>0.01</v>
      </c>
      <c r="F856" s="303">
        <f t="shared" si="41"/>
        <v>6.72</v>
      </c>
      <c r="G856" s="228">
        <f t="shared" si="40"/>
        <v>7.0000000000000007E-2</v>
      </c>
      <c r="K856" s="115"/>
    </row>
    <row r="857" spans="2:15" s="184" customFormat="1" x14ac:dyDescent="0.3">
      <c r="B857" s="672"/>
      <c r="C857" s="27" t="str">
        <f t="shared" si="41"/>
        <v>Деззасоби</v>
      </c>
      <c r="D857" s="303" t="str">
        <f t="shared" si="41"/>
        <v>г</v>
      </c>
      <c r="E857" s="303">
        <f t="shared" si="41"/>
        <v>0.5</v>
      </c>
      <c r="F857" s="303">
        <f t="shared" si="41"/>
        <v>0.5</v>
      </c>
      <c r="G857" s="228">
        <f t="shared" si="40"/>
        <v>0.25</v>
      </c>
      <c r="H857" s="336"/>
      <c r="I857" s="336"/>
      <c r="J857" s="336"/>
      <c r="K857" s="115"/>
      <c r="L857" s="189"/>
      <c r="M857" s="637"/>
      <c r="N857" s="180"/>
      <c r="O857" s="180"/>
    </row>
    <row r="858" spans="2:15" x14ac:dyDescent="0.3">
      <c r="C858" s="27" t="str">
        <f t="shared" si="41"/>
        <v>Маска одноразова тришарова на резинці</v>
      </c>
      <c r="D858" s="303" t="str">
        <f t="shared" si="41"/>
        <v>шт</v>
      </c>
      <c r="E858" s="303">
        <f t="shared" si="41"/>
        <v>1</v>
      </c>
      <c r="F858" s="303">
        <f t="shared" si="41"/>
        <v>2</v>
      </c>
      <c r="G858" s="228">
        <f t="shared" si="40"/>
        <v>2</v>
      </c>
      <c r="K858" s="115"/>
    </row>
    <row r="859" spans="2:15" x14ac:dyDescent="0.3">
      <c r="C859" s="27" t="str">
        <f t="shared" si="41"/>
        <v>Мило рідке</v>
      </c>
      <c r="D859" s="303" t="str">
        <f t="shared" si="41"/>
        <v>мл</v>
      </c>
      <c r="E859" s="303">
        <f t="shared" si="41"/>
        <v>1</v>
      </c>
      <c r="F859" s="303">
        <f t="shared" si="41"/>
        <v>0.19600000000000001</v>
      </c>
      <c r="G859" s="228">
        <f t="shared" si="40"/>
        <v>0.2</v>
      </c>
      <c r="K859" s="115"/>
    </row>
    <row r="860" spans="2:15" s="184" customFormat="1" x14ac:dyDescent="0.3">
      <c r="B860" s="672"/>
      <c r="C860" s="27" t="str">
        <f t="shared" si="41"/>
        <v>Рукавиці не стерильні</v>
      </c>
      <c r="D860" s="303" t="str">
        <f t="shared" si="41"/>
        <v>пара</v>
      </c>
      <c r="E860" s="303">
        <f t="shared" si="41"/>
        <v>0.1</v>
      </c>
      <c r="F860" s="303">
        <f t="shared" si="41"/>
        <v>7.39</v>
      </c>
      <c r="G860" s="228">
        <f t="shared" si="40"/>
        <v>0.74</v>
      </c>
      <c r="H860" s="336"/>
      <c r="I860" s="336"/>
      <c r="J860" s="336"/>
      <c r="K860" s="115"/>
      <c r="L860" s="189"/>
      <c r="M860" s="637"/>
      <c r="N860" s="180"/>
      <c r="O860" s="180"/>
    </row>
    <row r="861" spans="2:15" s="184" customFormat="1" x14ac:dyDescent="0.3">
      <c r="B861" s="672"/>
      <c r="C861" s="27" t="str">
        <f t="shared" si="41"/>
        <v>Рушник паперовий</v>
      </c>
      <c r="D861" s="303" t="str">
        <f t="shared" si="41"/>
        <v>шт</v>
      </c>
      <c r="E861" s="303">
        <f t="shared" si="41"/>
        <v>0.3</v>
      </c>
      <c r="F861" s="303">
        <f t="shared" si="41"/>
        <v>17.5</v>
      </c>
      <c r="G861" s="228">
        <f t="shared" si="40"/>
        <v>5.25</v>
      </c>
      <c r="H861" s="336"/>
      <c r="I861" s="336"/>
      <c r="J861" s="336"/>
      <c r="K861" s="115"/>
      <c r="L861" s="189"/>
      <c r="M861" s="637"/>
      <c r="N861" s="180"/>
      <c r="O861" s="180"/>
    </row>
    <row r="862" spans="2:15" x14ac:dyDescent="0.3">
      <c r="C862" s="27" t="str">
        <f t="shared" si="41"/>
        <v xml:space="preserve">Спирт 70% 100мл </v>
      </c>
      <c r="D862" s="303" t="str">
        <f t="shared" si="41"/>
        <v>фл/гр.</v>
      </c>
      <c r="E862" s="303">
        <f t="shared" si="41"/>
        <v>0.01</v>
      </c>
      <c r="F862" s="303">
        <f t="shared" si="41"/>
        <v>24.6</v>
      </c>
      <c r="G862" s="228">
        <f t="shared" si="40"/>
        <v>0.25</v>
      </c>
      <c r="K862" s="115"/>
    </row>
    <row r="863" spans="2:15" x14ac:dyDescent="0.3">
      <c r="C863" s="577" t="s">
        <v>945</v>
      </c>
      <c r="D863" s="578"/>
      <c r="E863" s="578"/>
      <c r="F863" s="579"/>
      <c r="G863" s="332">
        <f>SUM(G852:G862)</f>
        <v>16.28</v>
      </c>
      <c r="K863" s="115"/>
    </row>
    <row r="864" spans="2:15" x14ac:dyDescent="0.3">
      <c r="K864" s="115"/>
    </row>
    <row r="865" spans="3:11" x14ac:dyDescent="0.3">
      <c r="C865" s="12" t="s">
        <v>968</v>
      </c>
      <c r="D865" s="227"/>
      <c r="E865" s="227"/>
      <c r="F865" s="298">
        <f>H868</f>
        <v>0.15</v>
      </c>
      <c r="G865" s="227" t="s">
        <v>971</v>
      </c>
      <c r="K865" s="115"/>
    </row>
    <row r="866" spans="3:11" x14ac:dyDescent="0.3">
      <c r="C866" s="22"/>
      <c r="D866" s="36"/>
      <c r="E866" s="36"/>
      <c r="F866" s="302"/>
      <c r="G866" s="36"/>
      <c r="K866" s="115"/>
    </row>
    <row r="867" spans="3:11" ht="27.6" x14ac:dyDescent="0.3">
      <c r="C867" s="14" t="s">
        <v>513</v>
      </c>
      <c r="D867" s="14" t="s">
        <v>969</v>
      </c>
      <c r="E867" s="14" t="s">
        <v>516</v>
      </c>
      <c r="F867" s="14" t="s">
        <v>970</v>
      </c>
      <c r="G867" s="14" t="s">
        <v>930</v>
      </c>
      <c r="H867" s="14" t="s">
        <v>961</v>
      </c>
      <c r="K867" s="115"/>
    </row>
    <row r="868" spans="3:11" x14ac:dyDescent="0.3">
      <c r="C868" s="17" t="s">
        <v>1107</v>
      </c>
      <c r="D868" s="73">
        <f>D754</f>
        <v>7000</v>
      </c>
      <c r="E868" s="73">
        <v>12562.55</v>
      </c>
      <c r="F868" s="73">
        <f>ROUND((D868/E868)/60,2)</f>
        <v>0.01</v>
      </c>
      <c r="G868" s="73">
        <f>E846</f>
        <v>15</v>
      </c>
      <c r="H868" s="78">
        <f>ROUND(F868*G868,2)</f>
        <v>0.15</v>
      </c>
      <c r="I868" s="333"/>
      <c r="K868" s="115"/>
    </row>
    <row r="869" spans="3:11" x14ac:dyDescent="0.3">
      <c r="K869" s="115"/>
    </row>
    <row r="870" spans="3:11" x14ac:dyDescent="0.3">
      <c r="C870" s="12" t="s">
        <v>948</v>
      </c>
      <c r="D870" s="227"/>
      <c r="E870" s="227"/>
      <c r="F870" s="298">
        <f>H883</f>
        <v>2.1599999999999997</v>
      </c>
      <c r="G870" s="227" t="s">
        <v>971</v>
      </c>
      <c r="K870" s="115"/>
    </row>
    <row r="871" spans="3:11" x14ac:dyDescent="0.3">
      <c r="C871" s="22"/>
      <c r="D871" s="36"/>
      <c r="E871" s="36"/>
      <c r="F871" s="302"/>
      <c r="K871" s="115"/>
    </row>
    <row r="872" spans="3:11" ht="27.6" x14ac:dyDescent="0.3">
      <c r="C872" s="14" t="s">
        <v>948</v>
      </c>
      <c r="D872" s="14" t="s">
        <v>1110</v>
      </c>
      <c r="E872" s="14" t="s">
        <v>516</v>
      </c>
      <c r="F872" s="14" t="s">
        <v>954</v>
      </c>
      <c r="G872" s="14" t="s">
        <v>930</v>
      </c>
      <c r="H872" s="14" t="s">
        <v>1111</v>
      </c>
      <c r="K872" s="115"/>
    </row>
    <row r="873" spans="3:11" x14ac:dyDescent="0.3">
      <c r="C873" s="14" t="str">
        <f>C841</f>
        <v>Лікар-фізіотерапевт</v>
      </c>
      <c r="D873" s="14"/>
      <c r="E873" s="14"/>
      <c r="F873" s="14"/>
      <c r="G873" s="14"/>
      <c r="H873" s="14"/>
      <c r="K873" s="115"/>
    </row>
    <row r="874" spans="3:11" x14ac:dyDescent="0.3">
      <c r="C874" s="17" t="s">
        <v>951</v>
      </c>
      <c r="D874" s="221">
        <f>D760</f>
        <v>12188.608008565312</v>
      </c>
      <c r="E874" s="73">
        <f>I841</f>
        <v>1932.7</v>
      </c>
      <c r="F874" s="73">
        <f>ROUND((D874/E874)/60,2)</f>
        <v>0.11</v>
      </c>
      <c r="G874" s="73">
        <f>E845</f>
        <v>3</v>
      </c>
      <c r="H874" s="78">
        <f>ROUND(F874*G874,2)</f>
        <v>0.33</v>
      </c>
      <c r="K874" s="115"/>
    </row>
    <row r="875" spans="3:11" x14ac:dyDescent="0.3">
      <c r="C875" s="17" t="s">
        <v>952</v>
      </c>
      <c r="D875" s="221">
        <f>D761</f>
        <v>53.149721627408987</v>
      </c>
      <c r="E875" s="73">
        <f>I841</f>
        <v>1932.7</v>
      </c>
      <c r="F875" s="73">
        <f>ROUND((D875/E875)/60,2)</f>
        <v>0</v>
      </c>
      <c r="G875" s="73">
        <f>E845</f>
        <v>3</v>
      </c>
      <c r="H875" s="78">
        <f>ROUND(F875*G875,2)</f>
        <v>0</v>
      </c>
      <c r="K875" s="115"/>
    </row>
    <row r="876" spans="3:11" x14ac:dyDescent="0.3">
      <c r="C876" s="17" t="s">
        <v>953</v>
      </c>
      <c r="D876" s="221">
        <f>D762</f>
        <v>374.98368308351178</v>
      </c>
      <c r="E876" s="73">
        <f>I841</f>
        <v>1932.7</v>
      </c>
      <c r="F876" s="73">
        <f>ROUND((D876/E876)/60,2)</f>
        <v>0</v>
      </c>
      <c r="G876" s="73">
        <f>E845</f>
        <v>3</v>
      </c>
      <c r="H876" s="78">
        <f>ROUND(F876*G876,2)</f>
        <v>0</v>
      </c>
      <c r="K876" s="115"/>
    </row>
    <row r="877" spans="3:11" x14ac:dyDescent="0.3">
      <c r="C877" s="17" t="s">
        <v>1109</v>
      </c>
      <c r="D877" s="221">
        <f>D763</f>
        <v>1686.0389293361886</v>
      </c>
      <c r="E877" s="73">
        <f>I841</f>
        <v>1932.7</v>
      </c>
      <c r="F877" s="73">
        <f>ROUND((D877/E877)/60,2)</f>
        <v>0.01</v>
      </c>
      <c r="G877" s="73">
        <f>E845</f>
        <v>3</v>
      </c>
      <c r="H877" s="78">
        <f>ROUND(F877*G877,2)</f>
        <v>0.03</v>
      </c>
      <c r="K877" s="115"/>
    </row>
    <row r="878" spans="3:11" x14ac:dyDescent="0.3">
      <c r="C878" s="14" t="str">
        <f>C842</f>
        <v>Сестра медична з фізіотерапії</v>
      </c>
      <c r="D878" s="14"/>
      <c r="E878" s="14"/>
      <c r="F878" s="14"/>
      <c r="G878" s="14"/>
      <c r="H878" s="14"/>
      <c r="K878" s="115"/>
    </row>
    <row r="879" spans="3:11" x14ac:dyDescent="0.3">
      <c r="C879" s="17" t="s">
        <v>951</v>
      </c>
      <c r="D879" s="221">
        <f>D874</f>
        <v>12188.608008565312</v>
      </c>
      <c r="E879" s="73">
        <f>I842</f>
        <v>1932.7</v>
      </c>
      <c r="F879" s="73">
        <f>ROUND((D879/E879)/60,2)</f>
        <v>0.11</v>
      </c>
      <c r="G879" s="73">
        <f>E846</f>
        <v>15</v>
      </c>
      <c r="H879" s="78">
        <f>ROUND(F879*G879,2)</f>
        <v>1.65</v>
      </c>
      <c r="K879" s="115"/>
    </row>
    <row r="880" spans="3:11" x14ac:dyDescent="0.3">
      <c r="C880" s="17" t="s">
        <v>952</v>
      </c>
      <c r="D880" s="221">
        <f>D875</f>
        <v>53.149721627408987</v>
      </c>
      <c r="E880" s="73">
        <f>I842</f>
        <v>1932.7</v>
      </c>
      <c r="F880" s="73">
        <f>ROUND((D880/E880)/60,2)</f>
        <v>0</v>
      </c>
      <c r="G880" s="73">
        <f>E846</f>
        <v>15</v>
      </c>
      <c r="H880" s="78">
        <f>ROUND(F880*G880,2)</f>
        <v>0</v>
      </c>
      <c r="K880" s="115"/>
    </row>
    <row r="881" spans="2:15" x14ac:dyDescent="0.3">
      <c r="C881" s="17" t="s">
        <v>953</v>
      </c>
      <c r="D881" s="221">
        <f>D876</f>
        <v>374.98368308351178</v>
      </c>
      <c r="E881" s="73">
        <f>I842</f>
        <v>1932.7</v>
      </c>
      <c r="F881" s="73">
        <f>ROUND((D881/E881)/60,2)</f>
        <v>0</v>
      </c>
      <c r="G881" s="73">
        <f>E846</f>
        <v>15</v>
      </c>
      <c r="H881" s="78">
        <f>ROUND(F881*G881,2)</f>
        <v>0</v>
      </c>
      <c r="K881" s="115"/>
    </row>
    <row r="882" spans="2:15" x14ac:dyDescent="0.3">
      <c r="C882" s="17" t="s">
        <v>1109</v>
      </c>
      <c r="D882" s="221">
        <f>D877</f>
        <v>1686.0389293361886</v>
      </c>
      <c r="E882" s="73">
        <f>I842</f>
        <v>1932.7</v>
      </c>
      <c r="F882" s="73">
        <f>ROUND((D882/E882)/60,2)</f>
        <v>0.01</v>
      </c>
      <c r="G882" s="73">
        <f>E846</f>
        <v>15</v>
      </c>
      <c r="H882" s="78">
        <f>ROUND(F882*G882,2)</f>
        <v>0.15</v>
      </c>
      <c r="K882" s="115"/>
    </row>
    <row r="883" spans="2:15" x14ac:dyDescent="0.3">
      <c r="C883" s="576" t="s">
        <v>957</v>
      </c>
      <c r="D883" s="576"/>
      <c r="E883" s="576"/>
      <c r="F883" s="576"/>
      <c r="G883" s="576"/>
      <c r="H883" s="299">
        <f>SUM(H874:H882)</f>
        <v>2.1599999999999997</v>
      </c>
      <c r="K883" s="115"/>
    </row>
    <row r="884" spans="2:15" x14ac:dyDescent="0.3">
      <c r="K884" s="115"/>
    </row>
    <row r="885" spans="2:15" x14ac:dyDescent="0.3">
      <c r="K885" s="115"/>
    </row>
    <row r="886" spans="2:15" x14ac:dyDescent="0.3">
      <c r="C886" s="379" t="s">
        <v>959</v>
      </c>
      <c r="D886" s="286"/>
      <c r="E886" s="286"/>
      <c r="F886" s="286"/>
      <c r="G886" s="287"/>
      <c r="H886" s="334">
        <f>F838+F850+F870+F865</f>
        <v>38.65</v>
      </c>
      <c r="K886" s="115"/>
    </row>
    <row r="887" spans="2:15" x14ac:dyDescent="0.3">
      <c r="C887" s="33"/>
      <c r="D887" s="33"/>
      <c r="E887" s="33"/>
      <c r="F887" s="33"/>
      <c r="G887" s="33"/>
      <c r="H887" s="335"/>
      <c r="K887" s="115"/>
    </row>
    <row r="888" spans="2:15" x14ac:dyDescent="0.3">
      <c r="C888" s="379" t="s">
        <v>960</v>
      </c>
      <c r="D888" s="286"/>
      <c r="E888" s="286"/>
      <c r="F888" s="286"/>
      <c r="G888" s="287"/>
      <c r="H888" s="334">
        <f>ROUND(H886,0)</f>
        <v>39</v>
      </c>
      <c r="K888" s="115"/>
    </row>
    <row r="889" spans="2:15" x14ac:dyDescent="0.3">
      <c r="C889" s="33"/>
      <c r="D889" s="33"/>
      <c r="E889" s="33"/>
      <c r="F889" s="33"/>
      <c r="G889" s="33"/>
      <c r="H889" s="335"/>
      <c r="K889" s="115"/>
    </row>
    <row r="890" spans="2:15" x14ac:dyDescent="0.3">
      <c r="K890" s="115"/>
    </row>
    <row r="891" spans="2:15" s="54" customFormat="1" ht="19.8" x14ac:dyDescent="0.4">
      <c r="B891" s="1016" t="s">
        <v>958</v>
      </c>
      <c r="C891" s="1016"/>
      <c r="D891" s="1016"/>
      <c r="E891" s="1016"/>
      <c r="F891" s="1016"/>
      <c r="G891" s="1016"/>
      <c r="H891" s="1016"/>
      <c r="I891" s="1016"/>
      <c r="J891" s="1016"/>
      <c r="K891" s="115"/>
      <c r="L891" s="114"/>
      <c r="M891" s="636"/>
      <c r="N891" s="7"/>
      <c r="O891" s="53"/>
    </row>
    <row r="892" spans="2:15" ht="3" customHeight="1" x14ac:dyDescent="0.3">
      <c r="K892" s="115"/>
    </row>
    <row r="893" spans="2:15" s="54" customFormat="1" ht="41.25" customHeight="1" x14ac:dyDescent="0.4">
      <c r="B893" s="673" t="s">
        <v>426</v>
      </c>
      <c r="C893" s="1017" t="s">
        <v>438</v>
      </c>
      <c r="D893" s="1017"/>
      <c r="E893" s="1017"/>
      <c r="F893" s="653">
        <f>H945</f>
        <v>62</v>
      </c>
      <c r="G893" s="296" t="s">
        <v>971</v>
      </c>
      <c r="H893" s="225"/>
      <c r="I893" s="225"/>
      <c r="J893" s="225"/>
      <c r="K893" s="115"/>
      <c r="L893" s="114"/>
      <c r="M893" s="636"/>
      <c r="N893" s="7"/>
      <c r="O893" s="53"/>
    </row>
    <row r="894" spans="2:15" ht="16.5" customHeight="1" x14ac:dyDescent="0.3">
      <c r="K894" s="115"/>
    </row>
    <row r="895" spans="2:15" x14ac:dyDescent="0.3">
      <c r="C895" s="575" t="s">
        <v>932</v>
      </c>
      <c r="D895" s="575"/>
      <c r="E895" s="297"/>
      <c r="F895" s="298">
        <f>F902+F905+F903</f>
        <v>20.060000000000002</v>
      </c>
      <c r="G895" s="227" t="s">
        <v>971</v>
      </c>
      <c r="K895" s="115"/>
    </row>
    <row r="896" spans="2:15" x14ac:dyDescent="0.3">
      <c r="K896" s="115"/>
    </row>
    <row r="897" spans="3:11" ht="27.6" x14ac:dyDescent="0.3">
      <c r="C897" s="13" t="s">
        <v>929</v>
      </c>
      <c r="D897" s="14" t="s">
        <v>928</v>
      </c>
      <c r="E897" s="14" t="s">
        <v>514</v>
      </c>
      <c r="F897" s="14" t="s">
        <v>515</v>
      </c>
      <c r="G897" s="14" t="s">
        <v>962</v>
      </c>
      <c r="H897" s="14" t="s">
        <v>926</v>
      </c>
      <c r="I897" s="14" t="s">
        <v>516</v>
      </c>
      <c r="J897" s="14" t="s">
        <v>961</v>
      </c>
      <c r="K897" s="115"/>
    </row>
    <row r="898" spans="3:11" x14ac:dyDescent="0.3">
      <c r="C898" s="17" t="str">
        <f t="shared" ref="C898:G899" si="42">C841</f>
        <v>Лікар-фізіотерапевт</v>
      </c>
      <c r="D898" s="221">
        <f t="shared" si="42"/>
        <v>10799.43</v>
      </c>
      <c r="E898" s="221">
        <f t="shared" si="42"/>
        <v>129593.16</v>
      </c>
      <c r="F898" s="221">
        <f t="shared" si="42"/>
        <v>8307.26</v>
      </c>
      <c r="G898" s="221">
        <f t="shared" si="42"/>
        <v>4153.63</v>
      </c>
      <c r="H898" s="221">
        <f>E898+F898+G898</f>
        <v>142054.05000000002</v>
      </c>
      <c r="I898" s="73">
        <v>1932.7</v>
      </c>
      <c r="J898" s="78">
        <f>ROUND((H898/I898)/60,2)</f>
        <v>1.23</v>
      </c>
      <c r="K898" s="115"/>
    </row>
    <row r="899" spans="3:11" x14ac:dyDescent="0.3">
      <c r="C899" s="17" t="str">
        <f t="shared" si="42"/>
        <v>Сестра медична з фізіотерапії</v>
      </c>
      <c r="D899" s="221">
        <f t="shared" si="42"/>
        <v>7482.48</v>
      </c>
      <c r="E899" s="221">
        <f t="shared" si="42"/>
        <v>89789.759999999995</v>
      </c>
      <c r="F899" s="221">
        <f t="shared" si="42"/>
        <v>5755.75</v>
      </c>
      <c r="G899" s="221">
        <f t="shared" si="42"/>
        <v>2877.875</v>
      </c>
      <c r="H899" s="221">
        <f>E899+F899+G899</f>
        <v>98423.384999999995</v>
      </c>
      <c r="I899" s="73">
        <v>1932.7</v>
      </c>
      <c r="J899" s="78">
        <f>ROUND((H899/I899)/60,2)</f>
        <v>0.85</v>
      </c>
      <c r="K899" s="115"/>
    </row>
    <row r="900" spans="3:11" x14ac:dyDescent="0.3">
      <c r="K900" s="115"/>
    </row>
    <row r="901" spans="3:11" ht="27.6" x14ac:dyDescent="0.3">
      <c r="C901" s="13" t="s">
        <v>929</v>
      </c>
      <c r="D901" s="14" t="s">
        <v>961</v>
      </c>
      <c r="E901" s="14" t="s">
        <v>930</v>
      </c>
      <c r="F901" s="14" t="s">
        <v>931</v>
      </c>
      <c r="K901" s="115"/>
    </row>
    <row r="902" spans="3:11" x14ac:dyDescent="0.3">
      <c r="C902" s="15" t="str">
        <f>C898</f>
        <v>Лікар-фізіотерапевт</v>
      </c>
      <c r="D902" s="78">
        <f>J898</f>
        <v>1.23</v>
      </c>
      <c r="E902" s="73">
        <v>3</v>
      </c>
      <c r="F902" s="299">
        <f>ROUND(D902*E902,2)</f>
        <v>3.69</v>
      </c>
      <c r="K902" s="115"/>
    </row>
    <row r="903" spans="3:11" x14ac:dyDescent="0.3">
      <c r="C903" s="15" t="str">
        <f>C899</f>
        <v>Сестра медична з фізіотерапії</v>
      </c>
      <c r="D903" s="78">
        <f>J899</f>
        <v>0.85</v>
      </c>
      <c r="E903" s="73">
        <v>15</v>
      </c>
      <c r="F903" s="299">
        <f>ROUND(D903*E903,2)</f>
        <v>12.75</v>
      </c>
      <c r="K903" s="115"/>
    </row>
    <row r="904" spans="3:11" x14ac:dyDescent="0.3">
      <c r="D904" s="19"/>
      <c r="K904" s="115"/>
    </row>
    <row r="905" spans="3:11" x14ac:dyDescent="0.3">
      <c r="C905" s="17" t="s">
        <v>933</v>
      </c>
      <c r="D905" s="78">
        <f>F902+F903</f>
        <v>16.440000000000001</v>
      </c>
      <c r="E905" s="300">
        <v>0.22</v>
      </c>
      <c r="F905" s="301">
        <f>ROUND(D905*E905,2)</f>
        <v>3.62</v>
      </c>
      <c r="K905" s="115"/>
    </row>
    <row r="906" spans="3:11" x14ac:dyDescent="0.3">
      <c r="K906" s="115"/>
    </row>
    <row r="907" spans="3:11" x14ac:dyDescent="0.3">
      <c r="C907" s="12" t="s">
        <v>946</v>
      </c>
      <c r="D907" s="227"/>
      <c r="E907" s="227"/>
      <c r="F907" s="227">
        <f>G920</f>
        <v>39.530000000000008</v>
      </c>
      <c r="G907" s="227" t="s">
        <v>971</v>
      </c>
      <c r="K907" s="115"/>
    </row>
    <row r="908" spans="3:11" x14ac:dyDescent="0.3">
      <c r="K908" s="115"/>
    </row>
    <row r="909" spans="3:11" x14ac:dyDescent="0.3">
      <c r="C909" s="27" t="str">
        <f>'МЕДИЧНІ М'!B281</f>
        <v>Еуфілін р-н д/ін. 2,4 % 5 мл №10</v>
      </c>
      <c r="D909" s="303" t="str">
        <f>D852</f>
        <v>мл</v>
      </c>
      <c r="E909" s="303">
        <f>E852</f>
        <v>0.1</v>
      </c>
      <c r="F909" s="303">
        <f>'МЕДИЧНІ М'!F281</f>
        <v>21</v>
      </c>
      <c r="G909" s="228">
        <f>ROUND(F909*E909,2)</f>
        <v>2.1</v>
      </c>
      <c r="K909" s="115"/>
    </row>
    <row r="910" spans="3:11" ht="27.6" x14ac:dyDescent="0.3">
      <c r="C910" s="27" t="str">
        <f>C796</f>
        <v>Електроди одноразові поверхневі з гідрофільною прокладкою з целюлози прямокутні № 25</v>
      </c>
      <c r="D910" s="303" t="str">
        <f>D796</f>
        <v>шт</v>
      </c>
      <c r="E910" s="303">
        <f>E796</f>
        <v>2</v>
      </c>
      <c r="F910" s="303">
        <f>F796</f>
        <v>14</v>
      </c>
      <c r="G910" s="228">
        <f t="shared" ref="G910:G919" si="43">ROUND(F910*E910,2)</f>
        <v>28</v>
      </c>
      <c r="K910" s="115"/>
    </row>
    <row r="911" spans="3:11" x14ac:dyDescent="0.3">
      <c r="C911" s="27" t="str">
        <f t="shared" ref="C911:F919" si="44">C854</f>
        <v>Антисептик для обробки рук</v>
      </c>
      <c r="D911" s="303" t="str">
        <f t="shared" si="44"/>
        <v>мл</v>
      </c>
      <c r="E911" s="303">
        <f t="shared" si="44"/>
        <v>1</v>
      </c>
      <c r="F911" s="303">
        <f t="shared" si="44"/>
        <v>0.375</v>
      </c>
      <c r="G911" s="228">
        <f t="shared" si="43"/>
        <v>0.38</v>
      </c>
      <c r="K911" s="115"/>
    </row>
    <row r="912" spans="3:11" x14ac:dyDescent="0.3">
      <c r="C912" s="27" t="str">
        <f t="shared" si="44"/>
        <v>Антисептик швидкої дії</v>
      </c>
      <c r="D912" s="303" t="str">
        <f t="shared" si="44"/>
        <v>мл</v>
      </c>
      <c r="E912" s="303">
        <f t="shared" si="44"/>
        <v>1</v>
      </c>
      <c r="F912" s="303">
        <f t="shared" si="44"/>
        <v>0.28799999999999998</v>
      </c>
      <c r="G912" s="228">
        <f t="shared" si="43"/>
        <v>0.28999999999999998</v>
      </c>
      <c r="K912" s="115"/>
    </row>
    <row r="913" spans="2:15" x14ac:dyDescent="0.3">
      <c r="C913" s="27" t="str">
        <f t="shared" si="44"/>
        <v>Вата 100 гр.</v>
      </c>
      <c r="D913" s="303" t="str">
        <f t="shared" si="44"/>
        <v>г</v>
      </c>
      <c r="E913" s="303">
        <f t="shared" si="44"/>
        <v>0.01</v>
      </c>
      <c r="F913" s="303">
        <f t="shared" si="44"/>
        <v>6.72</v>
      </c>
      <c r="G913" s="228">
        <f t="shared" si="43"/>
        <v>7.0000000000000007E-2</v>
      </c>
      <c r="K913" s="115"/>
    </row>
    <row r="914" spans="2:15" s="184" customFormat="1" x14ac:dyDescent="0.3">
      <c r="B914" s="672"/>
      <c r="C914" s="27" t="str">
        <f t="shared" si="44"/>
        <v>Деззасоби</v>
      </c>
      <c r="D914" s="303" t="str">
        <f t="shared" si="44"/>
        <v>г</v>
      </c>
      <c r="E914" s="303">
        <f t="shared" si="44"/>
        <v>0.5</v>
      </c>
      <c r="F914" s="303">
        <f t="shared" si="44"/>
        <v>0.5</v>
      </c>
      <c r="G914" s="228">
        <f t="shared" si="43"/>
        <v>0.25</v>
      </c>
      <c r="H914" s="336"/>
      <c r="I914" s="336"/>
      <c r="J914" s="336"/>
      <c r="K914" s="115"/>
      <c r="L914" s="189"/>
      <c r="M914" s="637"/>
      <c r="N914" s="180"/>
      <c r="O914" s="180"/>
    </row>
    <row r="915" spans="2:15" x14ac:dyDescent="0.3">
      <c r="C915" s="27" t="str">
        <f t="shared" si="44"/>
        <v>Маска одноразова тришарова на резинці</v>
      </c>
      <c r="D915" s="303" t="str">
        <f t="shared" si="44"/>
        <v>шт</v>
      </c>
      <c r="E915" s="303">
        <f t="shared" si="44"/>
        <v>1</v>
      </c>
      <c r="F915" s="303">
        <f t="shared" si="44"/>
        <v>2</v>
      </c>
      <c r="G915" s="228">
        <f t="shared" si="43"/>
        <v>2</v>
      </c>
      <c r="K915" s="115"/>
    </row>
    <row r="916" spans="2:15" x14ac:dyDescent="0.3">
      <c r="C916" s="27" t="str">
        <f t="shared" si="44"/>
        <v>Мило рідке</v>
      </c>
      <c r="D916" s="303" t="str">
        <f t="shared" si="44"/>
        <v>мл</v>
      </c>
      <c r="E916" s="303">
        <f t="shared" si="44"/>
        <v>1</v>
      </c>
      <c r="F916" s="303">
        <f t="shared" si="44"/>
        <v>0.19600000000000001</v>
      </c>
      <c r="G916" s="228">
        <f t="shared" si="43"/>
        <v>0.2</v>
      </c>
      <c r="K916" s="115"/>
    </row>
    <row r="917" spans="2:15" s="184" customFormat="1" x14ac:dyDescent="0.3">
      <c r="B917" s="672"/>
      <c r="C917" s="27" t="str">
        <f t="shared" si="44"/>
        <v>Рукавиці не стерильні</v>
      </c>
      <c r="D917" s="303" t="str">
        <f t="shared" si="44"/>
        <v>пара</v>
      </c>
      <c r="E917" s="303">
        <f t="shared" si="44"/>
        <v>0.1</v>
      </c>
      <c r="F917" s="303">
        <f t="shared" si="44"/>
        <v>7.39</v>
      </c>
      <c r="G917" s="228">
        <f t="shared" si="43"/>
        <v>0.74</v>
      </c>
      <c r="H917" s="336"/>
      <c r="I917" s="336"/>
      <c r="J917" s="336"/>
      <c r="K917" s="115"/>
      <c r="L917" s="189"/>
      <c r="M917" s="637"/>
      <c r="N917" s="180"/>
      <c r="O917" s="180"/>
    </row>
    <row r="918" spans="2:15" s="184" customFormat="1" x14ac:dyDescent="0.3">
      <c r="B918" s="672"/>
      <c r="C918" s="27" t="str">
        <f t="shared" si="44"/>
        <v>Рушник паперовий</v>
      </c>
      <c r="D918" s="303" t="str">
        <f t="shared" si="44"/>
        <v>шт</v>
      </c>
      <c r="E918" s="303">
        <f t="shared" si="44"/>
        <v>0.3</v>
      </c>
      <c r="F918" s="303">
        <f t="shared" si="44"/>
        <v>17.5</v>
      </c>
      <c r="G918" s="228">
        <f t="shared" si="43"/>
        <v>5.25</v>
      </c>
      <c r="H918" s="336"/>
      <c r="I918" s="336"/>
      <c r="J918" s="336"/>
      <c r="K918" s="115"/>
      <c r="L918" s="189"/>
      <c r="M918" s="637"/>
      <c r="N918" s="180"/>
      <c r="O918" s="180"/>
    </row>
    <row r="919" spans="2:15" x14ac:dyDescent="0.3">
      <c r="C919" s="27" t="str">
        <f t="shared" si="44"/>
        <v xml:space="preserve">Спирт 70% 100мл </v>
      </c>
      <c r="D919" s="303" t="str">
        <f t="shared" si="44"/>
        <v>фл/гр.</v>
      </c>
      <c r="E919" s="303">
        <f t="shared" si="44"/>
        <v>0.01</v>
      </c>
      <c r="F919" s="303">
        <f t="shared" si="44"/>
        <v>24.6</v>
      </c>
      <c r="G919" s="228">
        <f t="shared" si="43"/>
        <v>0.25</v>
      </c>
      <c r="K919" s="115"/>
    </row>
    <row r="920" spans="2:15" x14ac:dyDescent="0.3">
      <c r="C920" s="577" t="s">
        <v>945</v>
      </c>
      <c r="D920" s="578"/>
      <c r="E920" s="578"/>
      <c r="F920" s="579"/>
      <c r="G920" s="332">
        <f>SUM(G909:G919)</f>
        <v>39.530000000000008</v>
      </c>
      <c r="K920" s="115"/>
    </row>
    <row r="921" spans="2:15" x14ac:dyDescent="0.3">
      <c r="K921" s="115"/>
    </row>
    <row r="922" spans="2:15" x14ac:dyDescent="0.3">
      <c r="C922" s="12" t="s">
        <v>968</v>
      </c>
      <c r="D922" s="227"/>
      <c r="E922" s="227"/>
      <c r="F922" s="298">
        <f>H925</f>
        <v>0.15</v>
      </c>
      <c r="G922" s="227" t="s">
        <v>971</v>
      </c>
      <c r="K922" s="115"/>
    </row>
    <row r="923" spans="2:15" x14ac:dyDescent="0.3">
      <c r="C923" s="22"/>
      <c r="D923" s="36"/>
      <c r="E923" s="36"/>
      <c r="F923" s="302"/>
      <c r="G923" s="36"/>
      <c r="K923" s="115"/>
    </row>
    <row r="924" spans="2:15" ht="27.6" x14ac:dyDescent="0.3">
      <c r="C924" s="14" t="s">
        <v>513</v>
      </c>
      <c r="D924" s="14" t="s">
        <v>969</v>
      </c>
      <c r="E924" s="14" t="s">
        <v>516</v>
      </c>
      <c r="F924" s="14" t="s">
        <v>970</v>
      </c>
      <c r="G924" s="14" t="s">
        <v>930</v>
      </c>
      <c r="H924" s="14" t="s">
        <v>961</v>
      </c>
      <c r="K924" s="115"/>
    </row>
    <row r="925" spans="2:15" x14ac:dyDescent="0.3">
      <c r="C925" s="17" t="s">
        <v>1107</v>
      </c>
      <c r="D925" s="73">
        <f>D811</f>
        <v>7000</v>
      </c>
      <c r="E925" s="73">
        <v>12562.55</v>
      </c>
      <c r="F925" s="73">
        <f>ROUND((D925/E925)/60,2)</f>
        <v>0.01</v>
      </c>
      <c r="G925" s="73">
        <f>E903</f>
        <v>15</v>
      </c>
      <c r="H925" s="78">
        <f>ROUND(F925*G925,2)</f>
        <v>0.15</v>
      </c>
      <c r="I925" s="333"/>
      <c r="K925" s="115"/>
    </row>
    <row r="926" spans="2:15" x14ac:dyDescent="0.3">
      <c r="K926" s="115"/>
    </row>
    <row r="927" spans="2:15" x14ac:dyDescent="0.3">
      <c r="C927" s="12" t="s">
        <v>948</v>
      </c>
      <c r="D927" s="227"/>
      <c r="E927" s="227"/>
      <c r="F927" s="298">
        <f>H940</f>
        <v>2.1599999999999997</v>
      </c>
      <c r="G927" s="227" t="s">
        <v>971</v>
      </c>
      <c r="K927" s="115"/>
    </row>
    <row r="928" spans="2:15" x14ac:dyDescent="0.3">
      <c r="C928" s="22"/>
      <c r="D928" s="36"/>
      <c r="E928" s="36"/>
      <c r="F928" s="302"/>
      <c r="K928" s="115"/>
    </row>
    <row r="929" spans="3:11" ht="27.6" x14ac:dyDescent="0.3">
      <c r="C929" s="14" t="s">
        <v>948</v>
      </c>
      <c r="D929" s="14" t="s">
        <v>1110</v>
      </c>
      <c r="E929" s="14" t="s">
        <v>516</v>
      </c>
      <c r="F929" s="14" t="s">
        <v>954</v>
      </c>
      <c r="G929" s="14" t="s">
        <v>930</v>
      </c>
      <c r="H929" s="14" t="s">
        <v>1111</v>
      </c>
      <c r="K929" s="115"/>
    </row>
    <row r="930" spans="3:11" x14ac:dyDescent="0.3">
      <c r="C930" s="14" t="str">
        <f>C898</f>
        <v>Лікар-фізіотерапевт</v>
      </c>
      <c r="D930" s="14"/>
      <c r="E930" s="14"/>
      <c r="F930" s="14"/>
      <c r="G930" s="14"/>
      <c r="H930" s="14"/>
      <c r="K930" s="115"/>
    </row>
    <row r="931" spans="3:11" x14ac:dyDescent="0.3">
      <c r="C931" s="17" t="s">
        <v>951</v>
      </c>
      <c r="D931" s="221">
        <f>D817</f>
        <v>12188.608008565312</v>
      </c>
      <c r="E931" s="73">
        <f>I898</f>
        <v>1932.7</v>
      </c>
      <c r="F931" s="73">
        <f>ROUND((D931/E931)/60,2)</f>
        <v>0.11</v>
      </c>
      <c r="G931" s="73">
        <f>E902</f>
        <v>3</v>
      </c>
      <c r="H931" s="78">
        <f>ROUND(F931*G931,2)</f>
        <v>0.33</v>
      </c>
      <c r="K931" s="115"/>
    </row>
    <row r="932" spans="3:11" x14ac:dyDescent="0.3">
      <c r="C932" s="17" t="s">
        <v>952</v>
      </c>
      <c r="D932" s="221">
        <f>D818</f>
        <v>53.149721627408987</v>
      </c>
      <c r="E932" s="73">
        <f>I898</f>
        <v>1932.7</v>
      </c>
      <c r="F932" s="73">
        <f>ROUND((D932/E932)/60,2)</f>
        <v>0</v>
      </c>
      <c r="G932" s="73">
        <f>E902</f>
        <v>3</v>
      </c>
      <c r="H932" s="78">
        <f>ROUND(F932*G932,2)</f>
        <v>0</v>
      </c>
      <c r="K932" s="115"/>
    </row>
    <row r="933" spans="3:11" x14ac:dyDescent="0.3">
      <c r="C933" s="17" t="s">
        <v>953</v>
      </c>
      <c r="D933" s="221">
        <f>D819</f>
        <v>374.98368308351178</v>
      </c>
      <c r="E933" s="73">
        <f>I898</f>
        <v>1932.7</v>
      </c>
      <c r="F933" s="73">
        <f>ROUND((D933/E933)/60,2)</f>
        <v>0</v>
      </c>
      <c r="G933" s="73">
        <f>E902</f>
        <v>3</v>
      </c>
      <c r="H933" s="78">
        <f>ROUND(F933*G933,2)</f>
        <v>0</v>
      </c>
      <c r="K933" s="115"/>
    </row>
    <row r="934" spans="3:11" x14ac:dyDescent="0.3">
      <c r="C934" s="17" t="s">
        <v>1109</v>
      </c>
      <c r="D934" s="221">
        <f>D820</f>
        <v>1686.0389293361886</v>
      </c>
      <c r="E934" s="73">
        <f>I898</f>
        <v>1932.7</v>
      </c>
      <c r="F934" s="73">
        <f>ROUND((D934/E934)/60,2)</f>
        <v>0.01</v>
      </c>
      <c r="G934" s="73">
        <f>E902</f>
        <v>3</v>
      </c>
      <c r="H934" s="78">
        <f>ROUND(F934*G934,2)</f>
        <v>0.03</v>
      </c>
      <c r="K934" s="115"/>
    </row>
    <row r="935" spans="3:11" x14ac:dyDescent="0.3">
      <c r="C935" s="14" t="str">
        <f>C899</f>
        <v>Сестра медична з фізіотерапії</v>
      </c>
      <c r="D935" s="14"/>
      <c r="E935" s="14"/>
      <c r="F935" s="14"/>
      <c r="G935" s="14"/>
      <c r="H935" s="14"/>
      <c r="K935" s="115"/>
    </row>
    <row r="936" spans="3:11" x14ac:dyDescent="0.3">
      <c r="C936" s="17" t="s">
        <v>951</v>
      </c>
      <c r="D936" s="221">
        <f>D931</f>
        <v>12188.608008565312</v>
      </c>
      <c r="E936" s="73">
        <f>I899</f>
        <v>1932.7</v>
      </c>
      <c r="F936" s="73">
        <f>ROUND((D936/E936)/60,2)</f>
        <v>0.11</v>
      </c>
      <c r="G936" s="73">
        <f>E903</f>
        <v>15</v>
      </c>
      <c r="H936" s="78">
        <f>ROUND(F936*G936,2)</f>
        <v>1.65</v>
      </c>
      <c r="K936" s="115"/>
    </row>
    <row r="937" spans="3:11" x14ac:dyDescent="0.3">
      <c r="C937" s="17" t="s">
        <v>952</v>
      </c>
      <c r="D937" s="221">
        <f>D932</f>
        <v>53.149721627408987</v>
      </c>
      <c r="E937" s="73">
        <f>I899</f>
        <v>1932.7</v>
      </c>
      <c r="F937" s="73">
        <f>ROUND((D937/E937)/60,2)</f>
        <v>0</v>
      </c>
      <c r="G937" s="73">
        <f>E903</f>
        <v>15</v>
      </c>
      <c r="H937" s="78">
        <f>ROUND(F937*G937,2)</f>
        <v>0</v>
      </c>
      <c r="K937" s="115"/>
    </row>
    <row r="938" spans="3:11" x14ac:dyDescent="0.3">
      <c r="C938" s="17" t="s">
        <v>953</v>
      </c>
      <c r="D938" s="221">
        <f>D933</f>
        <v>374.98368308351178</v>
      </c>
      <c r="E938" s="73">
        <f>I899</f>
        <v>1932.7</v>
      </c>
      <c r="F938" s="73">
        <f>ROUND((D938/E938)/60,2)</f>
        <v>0</v>
      </c>
      <c r="G938" s="73">
        <f>E903</f>
        <v>15</v>
      </c>
      <c r="H938" s="78">
        <f>ROUND(F938*G938,2)</f>
        <v>0</v>
      </c>
      <c r="K938" s="115"/>
    </row>
    <row r="939" spans="3:11" x14ac:dyDescent="0.3">
      <c r="C939" s="17" t="s">
        <v>1109</v>
      </c>
      <c r="D939" s="221">
        <f>D934</f>
        <v>1686.0389293361886</v>
      </c>
      <c r="E939" s="73">
        <f>I899</f>
        <v>1932.7</v>
      </c>
      <c r="F939" s="73">
        <f>ROUND((D939/E939)/60,2)</f>
        <v>0.01</v>
      </c>
      <c r="G939" s="73">
        <f>E903</f>
        <v>15</v>
      </c>
      <c r="H939" s="78">
        <f>ROUND(F939*G939,2)</f>
        <v>0.15</v>
      </c>
      <c r="K939" s="115"/>
    </row>
    <row r="940" spans="3:11" x14ac:dyDescent="0.3">
      <c r="C940" s="576" t="s">
        <v>957</v>
      </c>
      <c r="D940" s="576"/>
      <c r="E940" s="576"/>
      <c r="F940" s="576"/>
      <c r="G940" s="576"/>
      <c r="H940" s="299">
        <f>SUM(H931:H939)</f>
        <v>2.1599999999999997</v>
      </c>
      <c r="K940" s="115"/>
    </row>
    <row r="941" spans="3:11" x14ac:dyDescent="0.3">
      <c r="K941" s="115"/>
    </row>
    <row r="942" spans="3:11" x14ac:dyDescent="0.3">
      <c r="K942" s="115"/>
    </row>
    <row r="943" spans="3:11" x14ac:dyDescent="0.3">
      <c r="C943" s="379" t="s">
        <v>959</v>
      </c>
      <c r="D943" s="286"/>
      <c r="E943" s="286"/>
      <c r="F943" s="286"/>
      <c r="G943" s="287"/>
      <c r="H943" s="334">
        <f>F895+F907+F927+F922</f>
        <v>61.900000000000006</v>
      </c>
      <c r="K943" s="115"/>
    </row>
    <row r="944" spans="3:11" x14ac:dyDescent="0.3">
      <c r="C944" s="33"/>
      <c r="D944" s="33"/>
      <c r="E944" s="33"/>
      <c r="F944" s="33"/>
      <c r="G944" s="33"/>
      <c r="H944" s="335"/>
      <c r="K944" s="115"/>
    </row>
    <row r="945" spans="2:15" x14ac:dyDescent="0.3">
      <c r="C945" s="379" t="s">
        <v>960</v>
      </c>
      <c r="D945" s="286"/>
      <c r="E945" s="286"/>
      <c r="F945" s="286"/>
      <c r="G945" s="287"/>
      <c r="H945" s="334">
        <f>ROUND(H943,0)</f>
        <v>62</v>
      </c>
      <c r="K945" s="115"/>
    </row>
    <row r="946" spans="2:15" x14ac:dyDescent="0.3">
      <c r="C946" s="33"/>
      <c r="D946" s="33"/>
      <c r="E946" s="33"/>
      <c r="F946" s="33"/>
      <c r="G946" s="33"/>
      <c r="H946" s="335"/>
      <c r="K946" s="115"/>
    </row>
    <row r="947" spans="2:15" x14ac:dyDescent="0.3">
      <c r="K947" s="115"/>
    </row>
    <row r="948" spans="2:15" s="54" customFormat="1" ht="19.8" x14ac:dyDescent="0.4">
      <c r="B948" s="1016" t="s">
        <v>958</v>
      </c>
      <c r="C948" s="1016"/>
      <c r="D948" s="1016"/>
      <c r="E948" s="1016"/>
      <c r="F948" s="1016"/>
      <c r="G948" s="1016"/>
      <c r="H948" s="1016"/>
      <c r="I948" s="1016"/>
      <c r="J948" s="1016"/>
      <c r="K948" s="115"/>
      <c r="L948" s="114"/>
      <c r="M948" s="636"/>
      <c r="N948" s="7"/>
      <c r="O948" s="53"/>
    </row>
    <row r="949" spans="2:15" ht="3" customHeight="1" x14ac:dyDescent="0.3">
      <c r="K949" s="115"/>
    </row>
    <row r="950" spans="2:15" s="54" customFormat="1" ht="38.25" customHeight="1" x14ac:dyDescent="0.4">
      <c r="B950" s="673" t="s">
        <v>427</v>
      </c>
      <c r="C950" s="1017" t="s">
        <v>439</v>
      </c>
      <c r="D950" s="1017"/>
      <c r="E950" s="1017"/>
      <c r="F950" s="653">
        <f>H1002</f>
        <v>38</v>
      </c>
      <c r="G950" s="296" t="s">
        <v>971</v>
      </c>
      <c r="H950" s="225"/>
      <c r="I950" s="225"/>
      <c r="J950" s="225"/>
      <c r="K950" s="115"/>
      <c r="L950" s="114"/>
      <c r="M950" s="636"/>
      <c r="N950" s="7"/>
      <c r="O950" s="53"/>
    </row>
    <row r="951" spans="2:15" ht="16.5" customHeight="1" x14ac:dyDescent="0.3">
      <c r="K951" s="115"/>
    </row>
    <row r="952" spans="2:15" x14ac:dyDescent="0.3">
      <c r="C952" s="575" t="s">
        <v>932</v>
      </c>
      <c r="D952" s="575"/>
      <c r="E952" s="297"/>
      <c r="F952" s="298">
        <f>F959+F962+F960</f>
        <v>20.060000000000002</v>
      </c>
      <c r="G952" s="227" t="s">
        <v>971</v>
      </c>
      <c r="K952" s="115"/>
    </row>
    <row r="953" spans="2:15" x14ac:dyDescent="0.3">
      <c r="K953" s="115"/>
    </row>
    <row r="954" spans="2:15" ht="27.6" x14ac:dyDescent="0.3">
      <c r="C954" s="13" t="s">
        <v>929</v>
      </c>
      <c r="D954" s="14" t="s">
        <v>928</v>
      </c>
      <c r="E954" s="14" t="s">
        <v>514</v>
      </c>
      <c r="F954" s="14" t="s">
        <v>515</v>
      </c>
      <c r="G954" s="14" t="s">
        <v>962</v>
      </c>
      <c r="H954" s="14" t="s">
        <v>926</v>
      </c>
      <c r="I954" s="14" t="s">
        <v>516</v>
      </c>
      <c r="J954" s="14" t="s">
        <v>961</v>
      </c>
      <c r="K954" s="115"/>
    </row>
    <row r="955" spans="2:15" x14ac:dyDescent="0.3">
      <c r="C955" s="17" t="str">
        <f t="shared" ref="C955:G956" si="45">C898</f>
        <v>Лікар-фізіотерапевт</v>
      </c>
      <c r="D955" s="221">
        <f t="shared" si="45"/>
        <v>10799.43</v>
      </c>
      <c r="E955" s="221">
        <f t="shared" si="45"/>
        <v>129593.16</v>
      </c>
      <c r="F955" s="221">
        <f t="shared" si="45"/>
        <v>8307.26</v>
      </c>
      <c r="G955" s="221">
        <f t="shared" si="45"/>
        <v>4153.63</v>
      </c>
      <c r="H955" s="221">
        <f>E955+F955+G955</f>
        <v>142054.05000000002</v>
      </c>
      <c r="I955" s="73">
        <v>1932.7</v>
      </c>
      <c r="J955" s="78">
        <f>ROUND((H955/I955)/60,2)</f>
        <v>1.23</v>
      </c>
      <c r="K955" s="115"/>
    </row>
    <row r="956" spans="2:15" x14ac:dyDescent="0.3">
      <c r="C956" s="17" t="str">
        <f t="shared" si="45"/>
        <v>Сестра медична з фізіотерапії</v>
      </c>
      <c r="D956" s="221">
        <f t="shared" si="45"/>
        <v>7482.48</v>
      </c>
      <c r="E956" s="221">
        <f t="shared" si="45"/>
        <v>89789.759999999995</v>
      </c>
      <c r="F956" s="221">
        <f t="shared" si="45"/>
        <v>5755.75</v>
      </c>
      <c r="G956" s="221">
        <f t="shared" si="45"/>
        <v>2877.875</v>
      </c>
      <c r="H956" s="221">
        <f>E956+F956+G956</f>
        <v>98423.384999999995</v>
      </c>
      <c r="I956" s="73">
        <v>1932.7</v>
      </c>
      <c r="J956" s="78">
        <f>ROUND((H956/I956)/60,2)</f>
        <v>0.85</v>
      </c>
      <c r="K956" s="115"/>
    </row>
    <row r="957" spans="2:15" x14ac:dyDescent="0.3">
      <c r="K957" s="115"/>
    </row>
    <row r="958" spans="2:15" ht="27.6" x14ac:dyDescent="0.3">
      <c r="C958" s="13" t="s">
        <v>929</v>
      </c>
      <c r="D958" s="14" t="s">
        <v>961</v>
      </c>
      <c r="E958" s="14" t="s">
        <v>930</v>
      </c>
      <c r="F958" s="14" t="s">
        <v>931</v>
      </c>
      <c r="K958" s="115"/>
    </row>
    <row r="959" spans="2:15" x14ac:dyDescent="0.3">
      <c r="C959" s="15" t="str">
        <f>C955</f>
        <v>Лікар-фізіотерапевт</v>
      </c>
      <c r="D959" s="78">
        <f>J955</f>
        <v>1.23</v>
      </c>
      <c r="E959" s="73">
        <v>3</v>
      </c>
      <c r="F959" s="299">
        <f>ROUND(D959*E959,2)</f>
        <v>3.69</v>
      </c>
      <c r="K959" s="115"/>
    </row>
    <row r="960" spans="2:15" x14ac:dyDescent="0.3">
      <c r="C960" s="15" t="str">
        <f>C956</f>
        <v>Сестра медична з фізіотерапії</v>
      </c>
      <c r="D960" s="78">
        <f>J956</f>
        <v>0.85</v>
      </c>
      <c r="E960" s="73">
        <v>15</v>
      </c>
      <c r="F960" s="299">
        <f>ROUND(D960*E960,2)</f>
        <v>12.75</v>
      </c>
      <c r="K960" s="115"/>
    </row>
    <row r="961" spans="2:15" x14ac:dyDescent="0.3">
      <c r="D961" s="19"/>
      <c r="K961" s="115"/>
    </row>
    <row r="962" spans="2:15" x14ac:dyDescent="0.3">
      <c r="C962" s="17" t="s">
        <v>933</v>
      </c>
      <c r="D962" s="78">
        <f>F959+F960</f>
        <v>16.440000000000001</v>
      </c>
      <c r="E962" s="300">
        <v>0.22</v>
      </c>
      <c r="F962" s="301">
        <f>ROUND(D962*E962,2)</f>
        <v>3.62</v>
      </c>
      <c r="K962" s="115"/>
    </row>
    <row r="963" spans="2:15" x14ac:dyDescent="0.3">
      <c r="K963" s="115"/>
    </row>
    <row r="964" spans="2:15" x14ac:dyDescent="0.3">
      <c r="C964" s="12" t="s">
        <v>946</v>
      </c>
      <c r="D964" s="227"/>
      <c r="E964" s="227"/>
      <c r="F964" s="227">
        <f>G977</f>
        <v>15.53</v>
      </c>
      <c r="G964" s="227" t="s">
        <v>971</v>
      </c>
      <c r="K964" s="115"/>
    </row>
    <row r="965" spans="2:15" x14ac:dyDescent="0.3">
      <c r="K965" s="115"/>
    </row>
    <row r="966" spans="2:15" x14ac:dyDescent="0.3">
      <c r="C966" s="27" t="str">
        <f>C909</f>
        <v>Еуфілін р-н д/ін. 2,4 % 5 мл №10</v>
      </c>
      <c r="D966" s="303" t="str">
        <f>D909</f>
        <v>мл</v>
      </c>
      <c r="E966" s="303">
        <f>E909</f>
        <v>0.1</v>
      </c>
      <c r="F966" s="303">
        <f>F909</f>
        <v>21</v>
      </c>
      <c r="G966" s="228">
        <f>ROUND(F966*E966,2)</f>
        <v>2.1</v>
      </c>
      <c r="K966" s="115"/>
    </row>
    <row r="967" spans="2:15" x14ac:dyDescent="0.3">
      <c r="C967" s="27" t="str">
        <f>C853</f>
        <v>Гідрофільні прокладки багаторазові поверхневі</v>
      </c>
      <c r="D967" s="303" t="str">
        <f>D853</f>
        <v>шт</v>
      </c>
      <c r="E967" s="303">
        <f>E853</f>
        <v>2</v>
      </c>
      <c r="F967" s="303">
        <f>F853</f>
        <v>2</v>
      </c>
      <c r="G967" s="228">
        <f t="shared" ref="G967:G976" si="46">ROUND(F967*E967,2)</f>
        <v>4</v>
      </c>
      <c r="K967" s="115"/>
    </row>
    <row r="968" spans="2:15" x14ac:dyDescent="0.3">
      <c r="C968" s="27" t="str">
        <f t="shared" ref="C968:F976" si="47">C911</f>
        <v>Антисептик для обробки рук</v>
      </c>
      <c r="D968" s="303" t="str">
        <f t="shared" si="47"/>
        <v>мл</v>
      </c>
      <c r="E968" s="303">
        <f t="shared" si="47"/>
        <v>1</v>
      </c>
      <c r="F968" s="303">
        <f t="shared" si="47"/>
        <v>0.375</v>
      </c>
      <c r="G968" s="228">
        <f t="shared" si="46"/>
        <v>0.38</v>
      </c>
      <c r="K968" s="115"/>
    </row>
    <row r="969" spans="2:15" x14ac:dyDescent="0.3">
      <c r="C969" s="27" t="str">
        <f t="shared" si="47"/>
        <v>Антисептик швидкої дії</v>
      </c>
      <c r="D969" s="303" t="str">
        <f t="shared" si="47"/>
        <v>мл</v>
      </c>
      <c r="E969" s="303">
        <f t="shared" si="47"/>
        <v>1</v>
      </c>
      <c r="F969" s="303">
        <f t="shared" si="47"/>
        <v>0.28799999999999998</v>
      </c>
      <c r="G969" s="228">
        <f t="shared" si="46"/>
        <v>0.28999999999999998</v>
      </c>
      <c r="K969" s="115"/>
    </row>
    <row r="970" spans="2:15" x14ac:dyDescent="0.3">
      <c r="C970" s="27" t="str">
        <f t="shared" si="47"/>
        <v>Вата 100 гр.</v>
      </c>
      <c r="D970" s="303" t="str">
        <f t="shared" si="47"/>
        <v>г</v>
      </c>
      <c r="E970" s="303">
        <f t="shared" si="47"/>
        <v>0.01</v>
      </c>
      <c r="F970" s="303">
        <f t="shared" si="47"/>
        <v>6.72</v>
      </c>
      <c r="G970" s="228">
        <f t="shared" si="46"/>
        <v>7.0000000000000007E-2</v>
      </c>
      <c r="K970" s="115"/>
    </row>
    <row r="971" spans="2:15" s="184" customFormat="1" x14ac:dyDescent="0.3">
      <c r="B971" s="672"/>
      <c r="C971" s="27" t="str">
        <f t="shared" si="47"/>
        <v>Деззасоби</v>
      </c>
      <c r="D971" s="303" t="str">
        <f t="shared" si="47"/>
        <v>г</v>
      </c>
      <c r="E971" s="303">
        <f t="shared" si="47"/>
        <v>0.5</v>
      </c>
      <c r="F971" s="303">
        <f t="shared" si="47"/>
        <v>0.5</v>
      </c>
      <c r="G971" s="228">
        <f t="shared" si="46"/>
        <v>0.25</v>
      </c>
      <c r="H971" s="336"/>
      <c r="I971" s="336"/>
      <c r="J971" s="336"/>
      <c r="K971" s="115"/>
      <c r="L971" s="189"/>
      <c r="M971" s="637"/>
      <c r="N971" s="180"/>
      <c r="O971" s="180"/>
    </row>
    <row r="972" spans="2:15" x14ac:dyDescent="0.3">
      <c r="C972" s="27" t="str">
        <f t="shared" si="47"/>
        <v>Маска одноразова тришарова на резинці</v>
      </c>
      <c r="D972" s="303" t="str">
        <f t="shared" si="47"/>
        <v>шт</v>
      </c>
      <c r="E972" s="303">
        <f t="shared" si="47"/>
        <v>1</v>
      </c>
      <c r="F972" s="303">
        <f t="shared" si="47"/>
        <v>2</v>
      </c>
      <c r="G972" s="228">
        <f t="shared" si="46"/>
        <v>2</v>
      </c>
      <c r="K972" s="115"/>
    </row>
    <row r="973" spans="2:15" x14ac:dyDescent="0.3">
      <c r="C973" s="27" t="str">
        <f t="shared" si="47"/>
        <v>Мило рідке</v>
      </c>
      <c r="D973" s="303" t="str">
        <f t="shared" si="47"/>
        <v>мл</v>
      </c>
      <c r="E973" s="303">
        <f t="shared" si="47"/>
        <v>1</v>
      </c>
      <c r="F973" s="303">
        <f t="shared" si="47"/>
        <v>0.19600000000000001</v>
      </c>
      <c r="G973" s="228">
        <f t="shared" si="46"/>
        <v>0.2</v>
      </c>
      <c r="K973" s="115"/>
    </row>
    <row r="974" spans="2:15" s="184" customFormat="1" x14ac:dyDescent="0.3">
      <c r="B974" s="672"/>
      <c r="C974" s="27" t="str">
        <f t="shared" si="47"/>
        <v>Рукавиці не стерильні</v>
      </c>
      <c r="D974" s="303" t="str">
        <f t="shared" si="47"/>
        <v>пара</v>
      </c>
      <c r="E974" s="303">
        <f t="shared" si="47"/>
        <v>0.1</v>
      </c>
      <c r="F974" s="303">
        <f t="shared" si="47"/>
        <v>7.39</v>
      </c>
      <c r="G974" s="228">
        <f t="shared" si="46"/>
        <v>0.74</v>
      </c>
      <c r="H974" s="336"/>
      <c r="I974" s="336"/>
      <c r="J974" s="336"/>
      <c r="K974" s="115"/>
      <c r="L974" s="189"/>
      <c r="M974" s="637"/>
      <c r="N974" s="180"/>
      <c r="O974" s="180"/>
    </row>
    <row r="975" spans="2:15" s="184" customFormat="1" x14ac:dyDescent="0.3">
      <c r="B975" s="672"/>
      <c r="C975" s="27" t="str">
        <f t="shared" si="47"/>
        <v>Рушник паперовий</v>
      </c>
      <c r="D975" s="303" t="str">
        <f t="shared" si="47"/>
        <v>шт</v>
      </c>
      <c r="E975" s="303">
        <f t="shared" si="47"/>
        <v>0.3</v>
      </c>
      <c r="F975" s="303">
        <f t="shared" si="47"/>
        <v>17.5</v>
      </c>
      <c r="G975" s="228">
        <f t="shared" si="46"/>
        <v>5.25</v>
      </c>
      <c r="H975" s="336"/>
      <c r="I975" s="336"/>
      <c r="J975" s="336"/>
      <c r="K975" s="115"/>
      <c r="L975" s="189"/>
      <c r="M975" s="637"/>
      <c r="N975" s="180"/>
      <c r="O975" s="180"/>
    </row>
    <row r="976" spans="2:15" x14ac:dyDescent="0.3">
      <c r="C976" s="27" t="str">
        <f t="shared" si="47"/>
        <v xml:space="preserve">Спирт 70% 100мл </v>
      </c>
      <c r="D976" s="303" t="str">
        <f t="shared" si="47"/>
        <v>фл/гр.</v>
      </c>
      <c r="E976" s="303">
        <f t="shared" si="47"/>
        <v>0.01</v>
      </c>
      <c r="F976" s="303">
        <f t="shared" si="47"/>
        <v>24.6</v>
      </c>
      <c r="G976" s="228">
        <f t="shared" si="46"/>
        <v>0.25</v>
      </c>
      <c r="K976" s="115"/>
    </row>
    <row r="977" spans="3:11" x14ac:dyDescent="0.3">
      <c r="C977" s="577" t="s">
        <v>945</v>
      </c>
      <c r="D977" s="578"/>
      <c r="E977" s="578"/>
      <c r="F977" s="579"/>
      <c r="G977" s="332">
        <f>SUM(G966:G976)</f>
        <v>15.53</v>
      </c>
      <c r="K977" s="115"/>
    </row>
    <row r="978" spans="3:11" x14ac:dyDescent="0.3">
      <c r="K978" s="115"/>
    </row>
    <row r="979" spans="3:11" x14ac:dyDescent="0.3">
      <c r="C979" s="12" t="s">
        <v>968</v>
      </c>
      <c r="D979" s="227"/>
      <c r="E979" s="227"/>
      <c r="F979" s="298">
        <f>H982</f>
        <v>0.15</v>
      </c>
      <c r="G979" s="227" t="s">
        <v>971</v>
      </c>
      <c r="K979" s="115"/>
    </row>
    <row r="980" spans="3:11" x14ac:dyDescent="0.3">
      <c r="C980" s="22"/>
      <c r="D980" s="36"/>
      <c r="E980" s="36"/>
      <c r="F980" s="302"/>
      <c r="G980" s="36"/>
      <c r="K980" s="115"/>
    </row>
    <row r="981" spans="3:11" ht="27.6" x14ac:dyDescent="0.3">
      <c r="C981" s="14" t="s">
        <v>513</v>
      </c>
      <c r="D981" s="14" t="s">
        <v>969</v>
      </c>
      <c r="E981" s="14" t="s">
        <v>516</v>
      </c>
      <c r="F981" s="14" t="s">
        <v>970</v>
      </c>
      <c r="G981" s="14" t="s">
        <v>930</v>
      </c>
      <c r="H981" s="14" t="s">
        <v>961</v>
      </c>
      <c r="K981" s="115"/>
    </row>
    <row r="982" spans="3:11" x14ac:dyDescent="0.3">
      <c r="C982" s="17" t="s">
        <v>1107</v>
      </c>
      <c r="D982" s="73">
        <f>D868</f>
        <v>7000</v>
      </c>
      <c r="E982" s="73">
        <v>12562.55</v>
      </c>
      <c r="F982" s="73">
        <f>ROUND((D982/E982)/60,2)</f>
        <v>0.01</v>
      </c>
      <c r="G982" s="73">
        <f>E960</f>
        <v>15</v>
      </c>
      <c r="H982" s="78">
        <f>ROUND(F982*G982,2)</f>
        <v>0.15</v>
      </c>
      <c r="I982" s="333"/>
      <c r="K982" s="115"/>
    </row>
    <row r="983" spans="3:11" x14ac:dyDescent="0.3">
      <c r="K983" s="115"/>
    </row>
    <row r="984" spans="3:11" x14ac:dyDescent="0.3">
      <c r="C984" s="12" t="s">
        <v>948</v>
      </c>
      <c r="D984" s="227"/>
      <c r="E984" s="227"/>
      <c r="F984" s="298">
        <f>H997</f>
        <v>2.1599999999999997</v>
      </c>
      <c r="G984" s="227" t="s">
        <v>971</v>
      </c>
      <c r="K984" s="115"/>
    </row>
    <row r="985" spans="3:11" x14ac:dyDescent="0.3">
      <c r="C985" s="22"/>
      <c r="D985" s="36"/>
      <c r="E985" s="36"/>
      <c r="F985" s="302"/>
      <c r="K985" s="115"/>
    </row>
    <row r="986" spans="3:11" ht="27.6" x14ac:dyDescent="0.3">
      <c r="C986" s="14" t="s">
        <v>948</v>
      </c>
      <c r="D986" s="14" t="s">
        <v>1110</v>
      </c>
      <c r="E986" s="14" t="s">
        <v>516</v>
      </c>
      <c r="F986" s="14" t="s">
        <v>954</v>
      </c>
      <c r="G986" s="14" t="s">
        <v>930</v>
      </c>
      <c r="H986" s="14" t="s">
        <v>1111</v>
      </c>
      <c r="K986" s="115"/>
    </row>
    <row r="987" spans="3:11" x14ac:dyDescent="0.3">
      <c r="C987" s="14" t="str">
        <f>C955</f>
        <v>Лікар-фізіотерапевт</v>
      </c>
      <c r="D987" s="14"/>
      <c r="E987" s="14"/>
      <c r="F987" s="14"/>
      <c r="G987" s="14"/>
      <c r="H987" s="14"/>
      <c r="K987" s="115"/>
    </row>
    <row r="988" spans="3:11" x14ac:dyDescent="0.3">
      <c r="C988" s="17" t="s">
        <v>951</v>
      </c>
      <c r="D988" s="221">
        <f>D874</f>
        <v>12188.608008565312</v>
      </c>
      <c r="E988" s="73">
        <f>I955</f>
        <v>1932.7</v>
      </c>
      <c r="F988" s="73">
        <f>ROUND((D988/E988)/60,2)</f>
        <v>0.11</v>
      </c>
      <c r="G988" s="73">
        <f>E959</f>
        <v>3</v>
      </c>
      <c r="H988" s="78">
        <f>ROUND(F988*G988,2)</f>
        <v>0.33</v>
      </c>
      <c r="K988" s="115"/>
    </row>
    <row r="989" spans="3:11" x14ac:dyDescent="0.3">
      <c r="C989" s="17" t="s">
        <v>952</v>
      </c>
      <c r="D989" s="221">
        <f>D875</f>
        <v>53.149721627408987</v>
      </c>
      <c r="E989" s="73">
        <f>I955</f>
        <v>1932.7</v>
      </c>
      <c r="F989" s="73">
        <f>ROUND((D989/E989)/60,2)</f>
        <v>0</v>
      </c>
      <c r="G989" s="73">
        <f>E959</f>
        <v>3</v>
      </c>
      <c r="H989" s="78">
        <f>ROUND(F989*G989,2)</f>
        <v>0</v>
      </c>
      <c r="K989" s="115"/>
    </row>
    <row r="990" spans="3:11" x14ac:dyDescent="0.3">
      <c r="C990" s="17" t="s">
        <v>953</v>
      </c>
      <c r="D990" s="221">
        <f>D876</f>
        <v>374.98368308351178</v>
      </c>
      <c r="E990" s="73">
        <f>I955</f>
        <v>1932.7</v>
      </c>
      <c r="F990" s="73">
        <f>ROUND((D990/E990)/60,2)</f>
        <v>0</v>
      </c>
      <c r="G990" s="73">
        <f>E959</f>
        <v>3</v>
      </c>
      <c r="H990" s="78">
        <f>ROUND(F990*G990,2)</f>
        <v>0</v>
      </c>
      <c r="K990" s="115"/>
    </row>
    <row r="991" spans="3:11" x14ac:dyDescent="0.3">
      <c r="C991" s="17" t="s">
        <v>1109</v>
      </c>
      <c r="D991" s="221">
        <f>D877</f>
        <v>1686.0389293361886</v>
      </c>
      <c r="E991" s="73">
        <f>I955</f>
        <v>1932.7</v>
      </c>
      <c r="F991" s="73">
        <f>ROUND((D991/E991)/60,2)</f>
        <v>0.01</v>
      </c>
      <c r="G991" s="73">
        <f>E959</f>
        <v>3</v>
      </c>
      <c r="H991" s="78">
        <f>ROUND(F991*G991,2)</f>
        <v>0.03</v>
      </c>
      <c r="K991" s="115"/>
    </row>
    <row r="992" spans="3:11" x14ac:dyDescent="0.3">
      <c r="C992" s="14" t="str">
        <f>C956</f>
        <v>Сестра медична з фізіотерапії</v>
      </c>
      <c r="D992" s="14"/>
      <c r="E992" s="14"/>
      <c r="F992" s="14"/>
      <c r="G992" s="14"/>
      <c r="H992" s="14"/>
      <c r="K992" s="115"/>
    </row>
    <row r="993" spans="2:15" x14ac:dyDescent="0.3">
      <c r="C993" s="17" t="s">
        <v>951</v>
      </c>
      <c r="D993" s="221">
        <f>D988</f>
        <v>12188.608008565312</v>
      </c>
      <c r="E993" s="73">
        <f>I956</f>
        <v>1932.7</v>
      </c>
      <c r="F993" s="73">
        <f>ROUND((D993/E993)/60,2)</f>
        <v>0.11</v>
      </c>
      <c r="G993" s="73">
        <f>E960</f>
        <v>15</v>
      </c>
      <c r="H993" s="78">
        <f>ROUND(F993*G993,2)</f>
        <v>1.65</v>
      </c>
      <c r="K993" s="115"/>
    </row>
    <row r="994" spans="2:15" x14ac:dyDescent="0.3">
      <c r="C994" s="17" t="s">
        <v>952</v>
      </c>
      <c r="D994" s="221">
        <f>D989</f>
        <v>53.149721627408987</v>
      </c>
      <c r="E994" s="73">
        <f>I956</f>
        <v>1932.7</v>
      </c>
      <c r="F994" s="73">
        <f>ROUND((D994/E994)/60,2)</f>
        <v>0</v>
      </c>
      <c r="G994" s="73">
        <f>E960</f>
        <v>15</v>
      </c>
      <c r="H994" s="78">
        <f>ROUND(F994*G994,2)</f>
        <v>0</v>
      </c>
      <c r="K994" s="115"/>
    </row>
    <row r="995" spans="2:15" x14ac:dyDescent="0.3">
      <c r="C995" s="17" t="s">
        <v>953</v>
      </c>
      <c r="D995" s="221">
        <f>D990</f>
        <v>374.98368308351178</v>
      </c>
      <c r="E995" s="73">
        <f>I956</f>
        <v>1932.7</v>
      </c>
      <c r="F995" s="73">
        <f>ROUND((D995/E995)/60,2)</f>
        <v>0</v>
      </c>
      <c r="G995" s="73">
        <f>E960</f>
        <v>15</v>
      </c>
      <c r="H995" s="78">
        <f>ROUND(F995*G995,2)</f>
        <v>0</v>
      </c>
      <c r="K995" s="115"/>
    </row>
    <row r="996" spans="2:15" x14ac:dyDescent="0.3">
      <c r="C996" s="17" t="s">
        <v>1109</v>
      </c>
      <c r="D996" s="221">
        <f>D991</f>
        <v>1686.0389293361886</v>
      </c>
      <c r="E996" s="73">
        <f>I956</f>
        <v>1932.7</v>
      </c>
      <c r="F996" s="73">
        <f>ROUND((D996/E996)/60,2)</f>
        <v>0.01</v>
      </c>
      <c r="G996" s="73">
        <f>E960</f>
        <v>15</v>
      </c>
      <c r="H996" s="78">
        <f>ROUND(F996*G996,2)</f>
        <v>0.15</v>
      </c>
      <c r="K996" s="115"/>
    </row>
    <row r="997" spans="2:15" x14ac:dyDescent="0.3">
      <c r="C997" s="576" t="s">
        <v>957</v>
      </c>
      <c r="D997" s="576"/>
      <c r="E997" s="576"/>
      <c r="F997" s="576"/>
      <c r="G997" s="576"/>
      <c r="H997" s="299">
        <f>SUM(H988:H996)</f>
        <v>2.1599999999999997</v>
      </c>
      <c r="K997" s="115"/>
    </row>
    <row r="998" spans="2:15" x14ac:dyDescent="0.3">
      <c r="K998" s="115"/>
    </row>
    <row r="999" spans="2:15" x14ac:dyDescent="0.3">
      <c r="K999" s="115"/>
    </row>
    <row r="1000" spans="2:15" x14ac:dyDescent="0.3">
      <c r="C1000" s="379" t="s">
        <v>959</v>
      </c>
      <c r="D1000" s="286"/>
      <c r="E1000" s="286"/>
      <c r="F1000" s="286"/>
      <c r="G1000" s="287"/>
      <c r="H1000" s="334">
        <f>F952+F964+F984+F979</f>
        <v>37.9</v>
      </c>
      <c r="K1000" s="115"/>
    </row>
    <row r="1001" spans="2:15" x14ac:dyDescent="0.3">
      <c r="C1001" s="33"/>
      <c r="D1001" s="33"/>
      <c r="E1001" s="33"/>
      <c r="F1001" s="33"/>
      <c r="G1001" s="33"/>
      <c r="H1001" s="335"/>
      <c r="K1001" s="115"/>
    </row>
    <row r="1002" spans="2:15" x14ac:dyDescent="0.3">
      <c r="C1002" s="379" t="s">
        <v>960</v>
      </c>
      <c r="D1002" s="286"/>
      <c r="E1002" s="286"/>
      <c r="F1002" s="286"/>
      <c r="G1002" s="287"/>
      <c r="H1002" s="334">
        <f>ROUND(H1000,0)</f>
        <v>38</v>
      </c>
      <c r="K1002" s="115"/>
    </row>
    <row r="1003" spans="2:15" x14ac:dyDescent="0.3">
      <c r="K1003" s="115"/>
    </row>
    <row r="1004" spans="2:15" x14ac:dyDescent="0.3">
      <c r="K1004" s="115"/>
    </row>
    <row r="1005" spans="2:15" s="54" customFormat="1" ht="19.8" x14ac:dyDescent="0.4">
      <c r="B1005" s="1016" t="s">
        <v>958</v>
      </c>
      <c r="C1005" s="1016"/>
      <c r="D1005" s="1016"/>
      <c r="E1005" s="1016"/>
      <c r="F1005" s="1016"/>
      <c r="G1005" s="1016"/>
      <c r="H1005" s="1016"/>
      <c r="I1005" s="1016"/>
      <c r="J1005" s="1016"/>
      <c r="K1005" s="115"/>
      <c r="L1005" s="114"/>
      <c r="M1005" s="636"/>
      <c r="N1005" s="7"/>
      <c r="O1005" s="53"/>
    </row>
    <row r="1006" spans="2:15" ht="3" customHeight="1" x14ac:dyDescent="0.3">
      <c r="K1006" s="115"/>
    </row>
    <row r="1007" spans="2:15" s="54" customFormat="1" ht="36" customHeight="1" x14ac:dyDescent="0.4">
      <c r="B1007" s="673" t="s">
        <v>428</v>
      </c>
      <c r="C1007" s="1017" t="s">
        <v>440</v>
      </c>
      <c r="D1007" s="1017"/>
      <c r="E1007" s="1017"/>
      <c r="F1007" s="653">
        <f>H1059</f>
        <v>87</v>
      </c>
      <c r="G1007" s="296" t="s">
        <v>971</v>
      </c>
      <c r="H1007" s="225"/>
      <c r="I1007" s="225"/>
      <c r="J1007" s="225"/>
      <c r="K1007" s="115"/>
      <c r="L1007" s="114"/>
      <c r="M1007" s="636"/>
      <c r="N1007" s="7"/>
      <c r="O1007" s="53"/>
    </row>
    <row r="1008" spans="2:15" ht="16.5" customHeight="1" x14ac:dyDescent="0.3">
      <c r="K1008" s="115"/>
    </row>
    <row r="1009" spans="3:11" x14ac:dyDescent="0.3">
      <c r="C1009" s="575" t="s">
        <v>932</v>
      </c>
      <c r="D1009" s="575"/>
      <c r="E1009" s="297"/>
      <c r="F1009" s="298">
        <f>F1016+F1019+F1017</f>
        <v>25.240000000000002</v>
      </c>
      <c r="G1009" s="227" t="s">
        <v>971</v>
      </c>
      <c r="K1009" s="115"/>
    </row>
    <row r="1010" spans="3:11" x14ac:dyDescent="0.3">
      <c r="K1010" s="115"/>
    </row>
    <row r="1011" spans="3:11" ht="27.6" x14ac:dyDescent="0.3">
      <c r="C1011" s="13" t="s">
        <v>929</v>
      </c>
      <c r="D1011" s="14" t="s">
        <v>928</v>
      </c>
      <c r="E1011" s="14" t="s">
        <v>514</v>
      </c>
      <c r="F1011" s="14" t="s">
        <v>515</v>
      </c>
      <c r="G1011" s="14" t="s">
        <v>962</v>
      </c>
      <c r="H1011" s="14" t="s">
        <v>926</v>
      </c>
      <c r="I1011" s="14" t="s">
        <v>516</v>
      </c>
      <c r="J1011" s="14" t="s">
        <v>961</v>
      </c>
      <c r="K1011" s="115"/>
    </row>
    <row r="1012" spans="3:11" x14ac:dyDescent="0.3">
      <c r="C1012" s="17" t="str">
        <f t="shared" ref="C1012:G1013" si="48">C955</f>
        <v>Лікар-фізіотерапевт</v>
      </c>
      <c r="D1012" s="221">
        <f t="shared" si="48"/>
        <v>10799.43</v>
      </c>
      <c r="E1012" s="221">
        <f t="shared" si="48"/>
        <v>129593.16</v>
      </c>
      <c r="F1012" s="221">
        <f t="shared" si="48"/>
        <v>8307.26</v>
      </c>
      <c r="G1012" s="221">
        <f t="shared" si="48"/>
        <v>4153.63</v>
      </c>
      <c r="H1012" s="221">
        <f>E1012+F1012+G1012</f>
        <v>142054.05000000002</v>
      </c>
      <c r="I1012" s="73">
        <v>1932.7</v>
      </c>
      <c r="J1012" s="78">
        <f>ROUND((H1012/I1012)/60,2)</f>
        <v>1.23</v>
      </c>
      <c r="K1012" s="115"/>
    </row>
    <row r="1013" spans="3:11" x14ac:dyDescent="0.3">
      <c r="C1013" s="17" t="str">
        <f t="shared" si="48"/>
        <v>Сестра медична з фізіотерапії</v>
      </c>
      <c r="D1013" s="221">
        <f t="shared" si="48"/>
        <v>7482.48</v>
      </c>
      <c r="E1013" s="221">
        <f t="shared" si="48"/>
        <v>89789.759999999995</v>
      </c>
      <c r="F1013" s="221">
        <f t="shared" si="48"/>
        <v>5755.75</v>
      </c>
      <c r="G1013" s="221">
        <f t="shared" si="48"/>
        <v>2877.875</v>
      </c>
      <c r="H1013" s="221">
        <f>E1013+F1013+G1013</f>
        <v>98423.384999999995</v>
      </c>
      <c r="I1013" s="73">
        <v>1932.7</v>
      </c>
      <c r="J1013" s="78">
        <f>ROUND((H1013/I1013)/60,2)</f>
        <v>0.85</v>
      </c>
      <c r="K1013" s="115"/>
    </row>
    <row r="1014" spans="3:11" x14ac:dyDescent="0.3">
      <c r="K1014" s="115"/>
    </row>
    <row r="1015" spans="3:11" ht="27.6" x14ac:dyDescent="0.3">
      <c r="C1015" s="13" t="s">
        <v>929</v>
      </c>
      <c r="D1015" s="14" t="s">
        <v>961</v>
      </c>
      <c r="E1015" s="14" t="s">
        <v>930</v>
      </c>
      <c r="F1015" s="14" t="s">
        <v>931</v>
      </c>
      <c r="K1015" s="115"/>
    </row>
    <row r="1016" spans="3:11" x14ac:dyDescent="0.3">
      <c r="C1016" s="15" t="str">
        <f>C1012</f>
        <v>Лікар-фізіотерапевт</v>
      </c>
      <c r="D1016" s="78">
        <f>J1012</f>
        <v>1.23</v>
      </c>
      <c r="E1016" s="73">
        <v>3</v>
      </c>
      <c r="F1016" s="299">
        <f>ROUND(D1016*E1016,2)</f>
        <v>3.69</v>
      </c>
      <c r="K1016" s="115"/>
    </row>
    <row r="1017" spans="3:11" x14ac:dyDescent="0.3">
      <c r="C1017" s="15" t="str">
        <f>C1013</f>
        <v>Сестра медична з фізіотерапії</v>
      </c>
      <c r="D1017" s="78">
        <f>J1013</f>
        <v>0.85</v>
      </c>
      <c r="E1017" s="73">
        <v>20</v>
      </c>
      <c r="F1017" s="299">
        <f>ROUND(D1017*E1017,2)</f>
        <v>17</v>
      </c>
      <c r="K1017" s="115"/>
    </row>
    <row r="1018" spans="3:11" x14ac:dyDescent="0.3">
      <c r="D1018" s="19"/>
      <c r="K1018" s="115"/>
    </row>
    <row r="1019" spans="3:11" x14ac:dyDescent="0.3">
      <c r="C1019" s="17" t="s">
        <v>933</v>
      </c>
      <c r="D1019" s="78">
        <f>F1016+F1017</f>
        <v>20.69</v>
      </c>
      <c r="E1019" s="300">
        <v>0.22</v>
      </c>
      <c r="F1019" s="301">
        <f>ROUND(D1019*E1019,2)</f>
        <v>4.55</v>
      </c>
      <c r="K1019" s="115"/>
    </row>
    <row r="1020" spans="3:11" x14ac:dyDescent="0.3">
      <c r="K1020" s="115"/>
    </row>
    <row r="1021" spans="3:11" x14ac:dyDescent="0.3">
      <c r="C1021" s="12" t="s">
        <v>946</v>
      </c>
      <c r="D1021" s="227"/>
      <c r="E1021" s="227"/>
      <c r="F1021" s="227">
        <f>G1034</f>
        <v>59.2</v>
      </c>
      <c r="G1021" s="227" t="s">
        <v>971</v>
      </c>
      <c r="K1021" s="115"/>
    </row>
    <row r="1022" spans="3:11" x14ac:dyDescent="0.3">
      <c r="K1022" s="115"/>
    </row>
    <row r="1023" spans="3:11" x14ac:dyDescent="0.3">
      <c r="C1023" s="27" t="str">
        <f>'МЕДИЧНІ М'!B282</f>
        <v>Лідаза амп - 2 мл (64 ОД) № 10</v>
      </c>
      <c r="D1023" s="303" t="str">
        <f>D966</f>
        <v>мл</v>
      </c>
      <c r="E1023" s="303">
        <f>E966</f>
        <v>0.1</v>
      </c>
      <c r="F1023" s="303">
        <f>'МЕДИЧНІ М'!F282</f>
        <v>217.7</v>
      </c>
      <c r="G1023" s="228">
        <f>ROUND(F1023*E1023,2)</f>
        <v>21.77</v>
      </c>
      <c r="K1023" s="115"/>
    </row>
    <row r="1024" spans="3:11" ht="27.6" x14ac:dyDescent="0.3">
      <c r="C1024" s="27" t="str">
        <f>C910</f>
        <v>Електроди одноразові поверхневі з гідрофільною прокладкою з целюлози прямокутні № 25</v>
      </c>
      <c r="D1024" s="303" t="str">
        <f>D910</f>
        <v>шт</v>
      </c>
      <c r="E1024" s="303">
        <f>E910</f>
        <v>2</v>
      </c>
      <c r="F1024" s="303">
        <f>F910</f>
        <v>14</v>
      </c>
      <c r="G1024" s="228">
        <f t="shared" ref="G1024:G1033" si="49">ROUND(F1024*E1024,2)</f>
        <v>28</v>
      </c>
      <c r="K1024" s="115"/>
    </row>
    <row r="1025" spans="2:15" x14ac:dyDescent="0.3">
      <c r="C1025" s="27" t="str">
        <f t="shared" ref="C1025:F1033" si="50">C968</f>
        <v>Антисептик для обробки рук</v>
      </c>
      <c r="D1025" s="303" t="str">
        <f t="shared" si="50"/>
        <v>мл</v>
      </c>
      <c r="E1025" s="303">
        <f t="shared" si="50"/>
        <v>1</v>
      </c>
      <c r="F1025" s="303">
        <f t="shared" si="50"/>
        <v>0.375</v>
      </c>
      <c r="G1025" s="228">
        <f t="shared" si="49"/>
        <v>0.38</v>
      </c>
      <c r="K1025" s="115"/>
    </row>
    <row r="1026" spans="2:15" x14ac:dyDescent="0.3">
      <c r="C1026" s="27" t="str">
        <f t="shared" si="50"/>
        <v>Антисептик швидкої дії</v>
      </c>
      <c r="D1026" s="303" t="str">
        <f t="shared" si="50"/>
        <v>мл</v>
      </c>
      <c r="E1026" s="303">
        <f t="shared" si="50"/>
        <v>1</v>
      </c>
      <c r="F1026" s="303">
        <f t="shared" si="50"/>
        <v>0.28799999999999998</v>
      </c>
      <c r="G1026" s="228">
        <f t="shared" si="49"/>
        <v>0.28999999999999998</v>
      </c>
      <c r="K1026" s="115"/>
    </row>
    <row r="1027" spans="2:15" x14ac:dyDescent="0.3">
      <c r="C1027" s="27" t="str">
        <f t="shared" si="50"/>
        <v>Вата 100 гр.</v>
      </c>
      <c r="D1027" s="303" t="str">
        <f t="shared" si="50"/>
        <v>г</v>
      </c>
      <c r="E1027" s="303">
        <f t="shared" si="50"/>
        <v>0.01</v>
      </c>
      <c r="F1027" s="303">
        <f t="shared" si="50"/>
        <v>6.72</v>
      </c>
      <c r="G1027" s="228">
        <f t="shared" si="49"/>
        <v>7.0000000000000007E-2</v>
      </c>
      <c r="K1027" s="115"/>
    </row>
    <row r="1028" spans="2:15" s="184" customFormat="1" x14ac:dyDescent="0.3">
      <c r="B1028" s="672"/>
      <c r="C1028" s="27" t="str">
        <f t="shared" si="50"/>
        <v>Деззасоби</v>
      </c>
      <c r="D1028" s="303" t="str">
        <f t="shared" si="50"/>
        <v>г</v>
      </c>
      <c r="E1028" s="303">
        <f t="shared" si="50"/>
        <v>0.5</v>
      </c>
      <c r="F1028" s="303">
        <f t="shared" si="50"/>
        <v>0.5</v>
      </c>
      <c r="G1028" s="228">
        <f t="shared" si="49"/>
        <v>0.25</v>
      </c>
      <c r="H1028" s="336"/>
      <c r="I1028" s="336"/>
      <c r="J1028" s="336"/>
      <c r="K1028" s="115"/>
      <c r="L1028" s="189"/>
      <c r="M1028" s="637"/>
      <c r="N1028" s="180"/>
      <c r="O1028" s="180"/>
    </row>
    <row r="1029" spans="2:15" x14ac:dyDescent="0.3">
      <c r="C1029" s="27" t="str">
        <f t="shared" si="50"/>
        <v>Маска одноразова тришарова на резинці</v>
      </c>
      <c r="D1029" s="303" t="str">
        <f t="shared" si="50"/>
        <v>шт</v>
      </c>
      <c r="E1029" s="303">
        <f t="shared" si="50"/>
        <v>1</v>
      </c>
      <c r="F1029" s="303">
        <f t="shared" si="50"/>
        <v>2</v>
      </c>
      <c r="G1029" s="228">
        <f t="shared" si="49"/>
        <v>2</v>
      </c>
      <c r="K1029" s="115"/>
    </row>
    <row r="1030" spans="2:15" x14ac:dyDescent="0.3">
      <c r="C1030" s="27" t="str">
        <f t="shared" si="50"/>
        <v>Мило рідке</v>
      </c>
      <c r="D1030" s="303" t="str">
        <f t="shared" si="50"/>
        <v>мл</v>
      </c>
      <c r="E1030" s="303">
        <f t="shared" si="50"/>
        <v>1</v>
      </c>
      <c r="F1030" s="303">
        <f t="shared" si="50"/>
        <v>0.19600000000000001</v>
      </c>
      <c r="G1030" s="228">
        <f t="shared" si="49"/>
        <v>0.2</v>
      </c>
      <c r="K1030" s="115"/>
    </row>
    <row r="1031" spans="2:15" s="184" customFormat="1" x14ac:dyDescent="0.3">
      <c r="B1031" s="672"/>
      <c r="C1031" s="27" t="str">
        <f t="shared" si="50"/>
        <v>Рукавиці не стерильні</v>
      </c>
      <c r="D1031" s="303" t="str">
        <f t="shared" si="50"/>
        <v>пара</v>
      </c>
      <c r="E1031" s="303">
        <f t="shared" si="50"/>
        <v>0.1</v>
      </c>
      <c r="F1031" s="303">
        <f t="shared" si="50"/>
        <v>7.39</v>
      </c>
      <c r="G1031" s="228">
        <f t="shared" si="49"/>
        <v>0.74</v>
      </c>
      <c r="H1031" s="336"/>
      <c r="I1031" s="336"/>
      <c r="J1031" s="336"/>
      <c r="K1031" s="115"/>
      <c r="L1031" s="189"/>
      <c r="M1031" s="637"/>
      <c r="N1031" s="180"/>
      <c r="O1031" s="180"/>
    </row>
    <row r="1032" spans="2:15" s="184" customFormat="1" x14ac:dyDescent="0.3">
      <c r="B1032" s="672"/>
      <c r="C1032" s="27" t="str">
        <f t="shared" si="50"/>
        <v>Рушник паперовий</v>
      </c>
      <c r="D1032" s="303" t="str">
        <f t="shared" si="50"/>
        <v>шт</v>
      </c>
      <c r="E1032" s="303">
        <f t="shared" si="50"/>
        <v>0.3</v>
      </c>
      <c r="F1032" s="303">
        <f t="shared" si="50"/>
        <v>17.5</v>
      </c>
      <c r="G1032" s="228">
        <f t="shared" si="49"/>
        <v>5.25</v>
      </c>
      <c r="H1032" s="336"/>
      <c r="I1032" s="336"/>
      <c r="J1032" s="336"/>
      <c r="K1032" s="115"/>
      <c r="L1032" s="189"/>
      <c r="M1032" s="637"/>
      <c r="N1032" s="180"/>
      <c r="O1032" s="180"/>
    </row>
    <row r="1033" spans="2:15" x14ac:dyDescent="0.3">
      <c r="C1033" s="27" t="str">
        <f t="shared" si="50"/>
        <v xml:space="preserve">Спирт 70% 100мл </v>
      </c>
      <c r="D1033" s="303" t="str">
        <f t="shared" si="50"/>
        <v>фл/гр.</v>
      </c>
      <c r="E1033" s="303">
        <f t="shared" si="50"/>
        <v>0.01</v>
      </c>
      <c r="F1033" s="303">
        <f t="shared" si="50"/>
        <v>24.6</v>
      </c>
      <c r="G1033" s="228">
        <f t="shared" si="49"/>
        <v>0.25</v>
      </c>
      <c r="K1033" s="115"/>
    </row>
    <row r="1034" spans="2:15" x14ac:dyDescent="0.3">
      <c r="C1034" s="577" t="s">
        <v>945</v>
      </c>
      <c r="D1034" s="578"/>
      <c r="E1034" s="578"/>
      <c r="F1034" s="579"/>
      <c r="G1034" s="332">
        <f>SUM(G1023:G1033)</f>
        <v>59.2</v>
      </c>
      <c r="K1034" s="115"/>
    </row>
    <row r="1035" spans="2:15" x14ac:dyDescent="0.3">
      <c r="K1035" s="115"/>
    </row>
    <row r="1036" spans="2:15" x14ac:dyDescent="0.3">
      <c r="C1036" s="12" t="s">
        <v>968</v>
      </c>
      <c r="D1036" s="227"/>
      <c r="E1036" s="227"/>
      <c r="F1036" s="298">
        <f>H1039</f>
        <v>0.2</v>
      </c>
      <c r="G1036" s="227" t="s">
        <v>971</v>
      </c>
      <c r="K1036" s="115"/>
    </row>
    <row r="1037" spans="2:15" x14ac:dyDescent="0.3">
      <c r="C1037" s="22"/>
      <c r="D1037" s="36"/>
      <c r="E1037" s="36"/>
      <c r="F1037" s="302"/>
      <c r="G1037" s="36"/>
      <c r="K1037" s="115"/>
    </row>
    <row r="1038" spans="2:15" ht="27.6" x14ac:dyDescent="0.3">
      <c r="C1038" s="14" t="s">
        <v>513</v>
      </c>
      <c r="D1038" s="14" t="s">
        <v>969</v>
      </c>
      <c r="E1038" s="14" t="s">
        <v>516</v>
      </c>
      <c r="F1038" s="14" t="s">
        <v>970</v>
      </c>
      <c r="G1038" s="14" t="s">
        <v>930</v>
      </c>
      <c r="H1038" s="14" t="s">
        <v>961</v>
      </c>
      <c r="K1038" s="115"/>
    </row>
    <row r="1039" spans="2:15" x14ac:dyDescent="0.3">
      <c r="C1039" s="17" t="s">
        <v>1107</v>
      </c>
      <c r="D1039" s="73">
        <f>D925</f>
        <v>7000</v>
      </c>
      <c r="E1039" s="73">
        <v>12562.55</v>
      </c>
      <c r="F1039" s="73">
        <f>ROUND((D1039/E1039)/60,2)</f>
        <v>0.01</v>
      </c>
      <c r="G1039" s="73">
        <f>E1017</f>
        <v>20</v>
      </c>
      <c r="H1039" s="78">
        <f>ROUND(F1039*G1039,2)</f>
        <v>0.2</v>
      </c>
      <c r="I1039" s="333"/>
      <c r="K1039" s="115"/>
    </row>
    <row r="1040" spans="2:15" x14ac:dyDescent="0.3">
      <c r="K1040" s="115"/>
    </row>
    <row r="1041" spans="3:11" x14ac:dyDescent="0.3">
      <c r="C1041" s="12" t="s">
        <v>948</v>
      </c>
      <c r="D1041" s="227"/>
      <c r="E1041" s="227"/>
      <c r="F1041" s="298">
        <f>H1054</f>
        <v>2.7600000000000002</v>
      </c>
      <c r="G1041" s="227" t="s">
        <v>971</v>
      </c>
      <c r="K1041" s="115"/>
    </row>
    <row r="1042" spans="3:11" x14ac:dyDescent="0.3">
      <c r="C1042" s="22"/>
      <c r="D1042" s="36"/>
      <c r="E1042" s="36"/>
      <c r="F1042" s="302"/>
      <c r="K1042" s="115"/>
    </row>
    <row r="1043" spans="3:11" ht="27.6" x14ac:dyDescent="0.3">
      <c r="C1043" s="14" t="s">
        <v>948</v>
      </c>
      <c r="D1043" s="14" t="s">
        <v>1110</v>
      </c>
      <c r="E1043" s="14" t="s">
        <v>516</v>
      </c>
      <c r="F1043" s="14" t="s">
        <v>954</v>
      </c>
      <c r="G1043" s="14" t="s">
        <v>930</v>
      </c>
      <c r="H1043" s="14" t="s">
        <v>1111</v>
      </c>
      <c r="K1043" s="115"/>
    </row>
    <row r="1044" spans="3:11" x14ac:dyDescent="0.3">
      <c r="C1044" s="14" t="str">
        <f>C1012</f>
        <v>Лікар-фізіотерапевт</v>
      </c>
      <c r="D1044" s="14"/>
      <c r="E1044" s="14"/>
      <c r="F1044" s="14"/>
      <c r="G1044" s="14"/>
      <c r="H1044" s="14"/>
      <c r="K1044" s="115"/>
    </row>
    <row r="1045" spans="3:11" x14ac:dyDescent="0.3">
      <c r="C1045" s="17" t="s">
        <v>951</v>
      </c>
      <c r="D1045" s="221">
        <f>D931</f>
        <v>12188.608008565312</v>
      </c>
      <c r="E1045" s="73">
        <f>I1012</f>
        <v>1932.7</v>
      </c>
      <c r="F1045" s="73">
        <f>ROUND((D1045/E1045)/60,2)</f>
        <v>0.11</v>
      </c>
      <c r="G1045" s="73">
        <f>E1016</f>
        <v>3</v>
      </c>
      <c r="H1045" s="78">
        <f>ROUND(F1045*G1045,2)</f>
        <v>0.33</v>
      </c>
      <c r="K1045" s="115"/>
    </row>
    <row r="1046" spans="3:11" x14ac:dyDescent="0.3">
      <c r="C1046" s="17" t="s">
        <v>952</v>
      </c>
      <c r="D1046" s="221">
        <f>D932</f>
        <v>53.149721627408987</v>
      </c>
      <c r="E1046" s="73">
        <f>I1012</f>
        <v>1932.7</v>
      </c>
      <c r="F1046" s="73">
        <f>ROUND((D1046/E1046)/60,2)</f>
        <v>0</v>
      </c>
      <c r="G1046" s="73">
        <f>E1016</f>
        <v>3</v>
      </c>
      <c r="H1046" s="78">
        <f>ROUND(F1046*G1046,2)</f>
        <v>0</v>
      </c>
      <c r="K1046" s="115"/>
    </row>
    <row r="1047" spans="3:11" x14ac:dyDescent="0.3">
      <c r="C1047" s="17" t="s">
        <v>953</v>
      </c>
      <c r="D1047" s="221">
        <f>D933</f>
        <v>374.98368308351178</v>
      </c>
      <c r="E1047" s="73">
        <f>I1012</f>
        <v>1932.7</v>
      </c>
      <c r="F1047" s="73">
        <f>ROUND((D1047/E1047)/60,2)</f>
        <v>0</v>
      </c>
      <c r="G1047" s="73">
        <f>E1016</f>
        <v>3</v>
      </c>
      <c r="H1047" s="78">
        <f>ROUND(F1047*G1047,2)</f>
        <v>0</v>
      </c>
      <c r="K1047" s="115"/>
    </row>
    <row r="1048" spans="3:11" x14ac:dyDescent="0.3">
      <c r="C1048" s="17" t="s">
        <v>1109</v>
      </c>
      <c r="D1048" s="221">
        <f>D934</f>
        <v>1686.0389293361886</v>
      </c>
      <c r="E1048" s="73">
        <f>I1012</f>
        <v>1932.7</v>
      </c>
      <c r="F1048" s="73">
        <f>ROUND((D1048/E1048)/60,2)</f>
        <v>0.01</v>
      </c>
      <c r="G1048" s="73">
        <f>E1016</f>
        <v>3</v>
      </c>
      <c r="H1048" s="78">
        <f>ROUND(F1048*G1048,2)</f>
        <v>0.03</v>
      </c>
      <c r="K1048" s="115"/>
    </row>
    <row r="1049" spans="3:11" x14ac:dyDescent="0.3">
      <c r="C1049" s="14" t="str">
        <f>C1013</f>
        <v>Сестра медична з фізіотерапії</v>
      </c>
      <c r="D1049" s="14"/>
      <c r="E1049" s="14"/>
      <c r="F1049" s="14"/>
      <c r="G1049" s="14"/>
      <c r="H1049" s="14"/>
      <c r="K1049" s="115"/>
    </row>
    <row r="1050" spans="3:11" x14ac:dyDescent="0.3">
      <c r="C1050" s="17" t="s">
        <v>951</v>
      </c>
      <c r="D1050" s="221">
        <f>D1045</f>
        <v>12188.608008565312</v>
      </c>
      <c r="E1050" s="73">
        <f>I1013</f>
        <v>1932.7</v>
      </c>
      <c r="F1050" s="73">
        <f>ROUND((D1050/E1050)/60,2)</f>
        <v>0.11</v>
      </c>
      <c r="G1050" s="73">
        <f>E1017</f>
        <v>20</v>
      </c>
      <c r="H1050" s="78">
        <f>ROUND(F1050*G1050,2)</f>
        <v>2.2000000000000002</v>
      </c>
      <c r="K1050" s="115"/>
    </row>
    <row r="1051" spans="3:11" x14ac:dyDescent="0.3">
      <c r="C1051" s="17" t="s">
        <v>952</v>
      </c>
      <c r="D1051" s="221">
        <f>D1046</f>
        <v>53.149721627408987</v>
      </c>
      <c r="E1051" s="73">
        <f>I1013</f>
        <v>1932.7</v>
      </c>
      <c r="F1051" s="73">
        <f>ROUND((D1051/E1051)/60,2)</f>
        <v>0</v>
      </c>
      <c r="G1051" s="73">
        <f>E1017</f>
        <v>20</v>
      </c>
      <c r="H1051" s="78">
        <f>ROUND(F1051*G1051,2)</f>
        <v>0</v>
      </c>
      <c r="K1051" s="115"/>
    </row>
    <row r="1052" spans="3:11" x14ac:dyDescent="0.3">
      <c r="C1052" s="17" t="s">
        <v>953</v>
      </c>
      <c r="D1052" s="221">
        <f>D1047</f>
        <v>374.98368308351178</v>
      </c>
      <c r="E1052" s="73">
        <f>I1013</f>
        <v>1932.7</v>
      </c>
      <c r="F1052" s="73">
        <f>ROUND((D1052/E1052)/60,2)</f>
        <v>0</v>
      </c>
      <c r="G1052" s="73">
        <f>E1017</f>
        <v>20</v>
      </c>
      <c r="H1052" s="78">
        <f>ROUND(F1052*G1052,2)</f>
        <v>0</v>
      </c>
      <c r="K1052" s="115"/>
    </row>
    <row r="1053" spans="3:11" x14ac:dyDescent="0.3">
      <c r="C1053" s="17" t="s">
        <v>1109</v>
      </c>
      <c r="D1053" s="221">
        <f>D1048</f>
        <v>1686.0389293361886</v>
      </c>
      <c r="E1053" s="73">
        <f>I1013</f>
        <v>1932.7</v>
      </c>
      <c r="F1053" s="73">
        <f>ROUND((D1053/E1053)/60,2)</f>
        <v>0.01</v>
      </c>
      <c r="G1053" s="73">
        <f>E1017</f>
        <v>20</v>
      </c>
      <c r="H1053" s="78">
        <f>ROUND(F1053*G1053,2)</f>
        <v>0.2</v>
      </c>
      <c r="K1053" s="115"/>
    </row>
    <row r="1054" spans="3:11" x14ac:dyDescent="0.3">
      <c r="C1054" s="576" t="s">
        <v>957</v>
      </c>
      <c r="D1054" s="576"/>
      <c r="E1054" s="576"/>
      <c r="F1054" s="576"/>
      <c r="G1054" s="576"/>
      <c r="H1054" s="299">
        <f>SUM(H1045:H1053)</f>
        <v>2.7600000000000002</v>
      </c>
      <c r="K1054" s="115"/>
    </row>
    <row r="1055" spans="3:11" x14ac:dyDescent="0.3">
      <c r="K1055" s="115"/>
    </row>
    <row r="1056" spans="3:11" x14ac:dyDescent="0.3">
      <c r="K1056" s="115"/>
    </row>
    <row r="1057" spans="2:15" x14ac:dyDescent="0.3">
      <c r="C1057" s="379" t="s">
        <v>959</v>
      </c>
      <c r="D1057" s="286"/>
      <c r="E1057" s="286"/>
      <c r="F1057" s="286"/>
      <c r="G1057" s="287"/>
      <c r="H1057" s="334">
        <f>F1009+F1021+F1041+F1036</f>
        <v>87.4</v>
      </c>
      <c r="K1057" s="115"/>
    </row>
    <row r="1058" spans="2:15" x14ac:dyDescent="0.3">
      <c r="C1058" s="33"/>
      <c r="D1058" s="33"/>
      <c r="E1058" s="33"/>
      <c r="F1058" s="33"/>
      <c r="G1058" s="33"/>
      <c r="H1058" s="335"/>
      <c r="K1058" s="115"/>
    </row>
    <row r="1059" spans="2:15" x14ac:dyDescent="0.3">
      <c r="C1059" s="379" t="s">
        <v>960</v>
      </c>
      <c r="D1059" s="286"/>
      <c r="E1059" s="286"/>
      <c r="F1059" s="286"/>
      <c r="G1059" s="287"/>
      <c r="H1059" s="334">
        <f>ROUND(H1057,0)</f>
        <v>87</v>
      </c>
      <c r="K1059" s="115"/>
    </row>
    <row r="1060" spans="2:15" x14ac:dyDescent="0.3">
      <c r="C1060" s="33"/>
      <c r="D1060" s="33"/>
      <c r="E1060" s="33"/>
      <c r="F1060" s="33"/>
      <c r="G1060" s="33"/>
      <c r="H1060" s="335"/>
      <c r="K1060" s="115"/>
    </row>
    <row r="1061" spans="2:15" x14ac:dyDescent="0.3">
      <c r="K1061" s="115"/>
    </row>
    <row r="1062" spans="2:15" s="54" customFormat="1" ht="19.8" x14ac:dyDescent="0.4">
      <c r="B1062" s="1016" t="s">
        <v>958</v>
      </c>
      <c r="C1062" s="1016"/>
      <c r="D1062" s="1016"/>
      <c r="E1062" s="1016"/>
      <c r="F1062" s="1016"/>
      <c r="G1062" s="1016"/>
      <c r="H1062" s="1016"/>
      <c r="I1062" s="1016"/>
      <c r="J1062" s="1016"/>
      <c r="K1062" s="115"/>
      <c r="L1062" s="114"/>
      <c r="M1062" s="636"/>
      <c r="N1062" s="7"/>
      <c r="O1062" s="53"/>
    </row>
    <row r="1063" spans="2:15" ht="3" customHeight="1" x14ac:dyDescent="0.3">
      <c r="K1063" s="115"/>
    </row>
    <row r="1064" spans="2:15" s="54" customFormat="1" ht="35.25" customHeight="1" x14ac:dyDescent="0.4">
      <c r="B1064" s="673" t="s">
        <v>429</v>
      </c>
      <c r="C1064" s="1017" t="s">
        <v>441</v>
      </c>
      <c r="D1064" s="1017"/>
      <c r="E1064" s="1017"/>
      <c r="F1064" s="653">
        <f>H1116</f>
        <v>63</v>
      </c>
      <c r="G1064" s="296" t="s">
        <v>971</v>
      </c>
      <c r="H1064" s="225"/>
      <c r="I1064" s="225"/>
      <c r="J1064" s="225"/>
      <c r="K1064" s="115"/>
      <c r="L1064" s="114"/>
      <c r="M1064" s="636"/>
      <c r="N1064" s="7"/>
      <c r="O1064" s="53"/>
    </row>
    <row r="1065" spans="2:15" ht="16.5" customHeight="1" x14ac:dyDescent="0.3">
      <c r="K1065" s="115"/>
    </row>
    <row r="1066" spans="2:15" x14ac:dyDescent="0.3">
      <c r="C1066" s="575" t="s">
        <v>932</v>
      </c>
      <c r="D1066" s="575"/>
      <c r="E1066" s="297"/>
      <c r="F1066" s="298">
        <f>F1073+F1076+F1074</f>
        <v>25.240000000000002</v>
      </c>
      <c r="G1066" s="227" t="s">
        <v>971</v>
      </c>
      <c r="K1066" s="115"/>
    </row>
    <row r="1067" spans="2:15" x14ac:dyDescent="0.3">
      <c r="K1067" s="115"/>
    </row>
    <row r="1068" spans="2:15" ht="27.6" x14ac:dyDescent="0.3">
      <c r="C1068" s="13" t="s">
        <v>929</v>
      </c>
      <c r="D1068" s="14" t="s">
        <v>928</v>
      </c>
      <c r="E1068" s="14" t="s">
        <v>514</v>
      </c>
      <c r="F1068" s="14" t="s">
        <v>515</v>
      </c>
      <c r="G1068" s="14" t="s">
        <v>962</v>
      </c>
      <c r="H1068" s="14" t="s">
        <v>926</v>
      </c>
      <c r="I1068" s="14" t="s">
        <v>516</v>
      </c>
      <c r="J1068" s="14" t="s">
        <v>961</v>
      </c>
      <c r="K1068" s="115"/>
    </row>
    <row r="1069" spans="2:15" x14ac:dyDescent="0.3">
      <c r="C1069" s="17" t="str">
        <f t="shared" ref="C1069:G1070" si="51">C1012</f>
        <v>Лікар-фізіотерапевт</v>
      </c>
      <c r="D1069" s="221">
        <f t="shared" si="51"/>
        <v>10799.43</v>
      </c>
      <c r="E1069" s="221">
        <f t="shared" si="51"/>
        <v>129593.16</v>
      </c>
      <c r="F1069" s="221">
        <f t="shared" si="51"/>
        <v>8307.26</v>
      </c>
      <c r="G1069" s="221">
        <f t="shared" si="51"/>
        <v>4153.63</v>
      </c>
      <c r="H1069" s="221">
        <f>E1069+F1069+G1069</f>
        <v>142054.05000000002</v>
      </c>
      <c r="I1069" s="73">
        <v>1932.7</v>
      </c>
      <c r="J1069" s="78">
        <f>ROUND((H1069/I1069)/60,2)</f>
        <v>1.23</v>
      </c>
      <c r="K1069" s="115"/>
    </row>
    <row r="1070" spans="2:15" x14ac:dyDescent="0.3">
      <c r="C1070" s="17" t="str">
        <f t="shared" si="51"/>
        <v>Сестра медична з фізіотерапії</v>
      </c>
      <c r="D1070" s="221">
        <f t="shared" si="51"/>
        <v>7482.48</v>
      </c>
      <c r="E1070" s="221">
        <f t="shared" si="51"/>
        <v>89789.759999999995</v>
      </c>
      <c r="F1070" s="221">
        <f t="shared" si="51"/>
        <v>5755.75</v>
      </c>
      <c r="G1070" s="221">
        <f t="shared" si="51"/>
        <v>2877.875</v>
      </c>
      <c r="H1070" s="221">
        <f>E1070+F1070+G1070</f>
        <v>98423.384999999995</v>
      </c>
      <c r="I1070" s="73">
        <v>1932.7</v>
      </c>
      <c r="J1070" s="78">
        <f>ROUND((H1070/I1070)/60,2)</f>
        <v>0.85</v>
      </c>
      <c r="K1070" s="115"/>
    </row>
    <row r="1071" spans="2:15" x14ac:dyDescent="0.3">
      <c r="K1071" s="115"/>
    </row>
    <row r="1072" spans="2:15" ht="27.6" x14ac:dyDescent="0.3">
      <c r="C1072" s="13" t="s">
        <v>929</v>
      </c>
      <c r="D1072" s="14" t="s">
        <v>961</v>
      </c>
      <c r="E1072" s="14" t="s">
        <v>930</v>
      </c>
      <c r="F1072" s="14" t="s">
        <v>931</v>
      </c>
      <c r="K1072" s="115"/>
    </row>
    <row r="1073" spans="2:15" x14ac:dyDescent="0.3">
      <c r="C1073" s="15" t="str">
        <f>C1069</f>
        <v>Лікар-фізіотерапевт</v>
      </c>
      <c r="D1073" s="78">
        <f>J1069</f>
        <v>1.23</v>
      </c>
      <c r="E1073" s="73">
        <v>3</v>
      </c>
      <c r="F1073" s="299">
        <f>ROUND(D1073*E1073,2)</f>
        <v>3.69</v>
      </c>
      <c r="K1073" s="115"/>
    </row>
    <row r="1074" spans="2:15" x14ac:dyDescent="0.3">
      <c r="C1074" s="15" t="str">
        <f>C1070</f>
        <v>Сестра медична з фізіотерапії</v>
      </c>
      <c r="D1074" s="78">
        <f>J1070</f>
        <v>0.85</v>
      </c>
      <c r="E1074" s="73">
        <v>20</v>
      </c>
      <c r="F1074" s="299">
        <f>ROUND(D1074*E1074,2)</f>
        <v>17</v>
      </c>
      <c r="K1074" s="115"/>
    </row>
    <row r="1075" spans="2:15" x14ac:dyDescent="0.3">
      <c r="D1075" s="19"/>
      <c r="K1075" s="115"/>
    </row>
    <row r="1076" spans="2:15" x14ac:dyDescent="0.3">
      <c r="C1076" s="17" t="s">
        <v>933</v>
      </c>
      <c r="D1076" s="78">
        <f>F1073+F1074</f>
        <v>20.69</v>
      </c>
      <c r="E1076" s="300">
        <v>0.22</v>
      </c>
      <c r="F1076" s="301">
        <f>ROUND(D1076*E1076,2)</f>
        <v>4.55</v>
      </c>
      <c r="K1076" s="115"/>
    </row>
    <row r="1077" spans="2:15" x14ac:dyDescent="0.3">
      <c r="K1077" s="115"/>
    </row>
    <row r="1078" spans="2:15" x14ac:dyDescent="0.3">
      <c r="C1078" s="12" t="s">
        <v>946</v>
      </c>
      <c r="D1078" s="227"/>
      <c r="E1078" s="227"/>
      <c r="F1078" s="227">
        <f>G1091</f>
        <v>35.199999999999996</v>
      </c>
      <c r="G1078" s="227" t="s">
        <v>971</v>
      </c>
      <c r="K1078" s="115"/>
    </row>
    <row r="1079" spans="2:15" x14ac:dyDescent="0.3">
      <c r="K1079" s="115"/>
    </row>
    <row r="1080" spans="2:15" x14ac:dyDescent="0.3">
      <c r="C1080" s="27" t="str">
        <f>C1023</f>
        <v>Лідаза амп - 2 мл (64 ОД) № 10</v>
      </c>
      <c r="D1080" s="303" t="str">
        <f>D1023</f>
        <v>мл</v>
      </c>
      <c r="E1080" s="303">
        <f>E1023</f>
        <v>0.1</v>
      </c>
      <c r="F1080" s="303">
        <f>'МЕДИЧНІ М'!F282</f>
        <v>217.7</v>
      </c>
      <c r="G1080" s="228">
        <f>ROUND(F1080*E1080,2)</f>
        <v>21.77</v>
      </c>
      <c r="K1080" s="115"/>
    </row>
    <row r="1081" spans="2:15" x14ac:dyDescent="0.3">
      <c r="C1081" s="27" t="str">
        <f>C967</f>
        <v>Гідрофільні прокладки багаторазові поверхневі</v>
      </c>
      <c r="D1081" s="303" t="str">
        <f>D967</f>
        <v>шт</v>
      </c>
      <c r="E1081" s="303">
        <f>E967</f>
        <v>2</v>
      </c>
      <c r="F1081" s="303">
        <f>F967</f>
        <v>2</v>
      </c>
      <c r="G1081" s="228">
        <f t="shared" ref="G1081:G1090" si="52">ROUND(F1081*E1081,2)</f>
        <v>4</v>
      </c>
      <c r="K1081" s="115"/>
    </row>
    <row r="1082" spans="2:15" x14ac:dyDescent="0.3">
      <c r="C1082" s="27" t="str">
        <f t="shared" ref="C1082:F1090" si="53">C1025</f>
        <v>Антисептик для обробки рук</v>
      </c>
      <c r="D1082" s="303" t="str">
        <f t="shared" si="53"/>
        <v>мл</v>
      </c>
      <c r="E1082" s="303">
        <f t="shared" si="53"/>
        <v>1</v>
      </c>
      <c r="F1082" s="303">
        <f t="shared" si="53"/>
        <v>0.375</v>
      </c>
      <c r="G1082" s="228">
        <f t="shared" si="52"/>
        <v>0.38</v>
      </c>
      <c r="K1082" s="115"/>
    </row>
    <row r="1083" spans="2:15" x14ac:dyDescent="0.3">
      <c r="C1083" s="27" t="str">
        <f t="shared" si="53"/>
        <v>Антисептик швидкої дії</v>
      </c>
      <c r="D1083" s="303" t="str">
        <f t="shared" si="53"/>
        <v>мл</v>
      </c>
      <c r="E1083" s="303">
        <f t="shared" si="53"/>
        <v>1</v>
      </c>
      <c r="F1083" s="303">
        <f t="shared" si="53"/>
        <v>0.28799999999999998</v>
      </c>
      <c r="G1083" s="228">
        <f t="shared" si="52"/>
        <v>0.28999999999999998</v>
      </c>
      <c r="K1083" s="115"/>
    </row>
    <row r="1084" spans="2:15" x14ac:dyDescent="0.3">
      <c r="C1084" s="27" t="str">
        <f t="shared" si="53"/>
        <v>Вата 100 гр.</v>
      </c>
      <c r="D1084" s="303" t="str">
        <f t="shared" si="53"/>
        <v>г</v>
      </c>
      <c r="E1084" s="303">
        <f t="shared" si="53"/>
        <v>0.01</v>
      </c>
      <c r="F1084" s="303">
        <f t="shared" si="53"/>
        <v>6.72</v>
      </c>
      <c r="G1084" s="228">
        <f t="shared" si="52"/>
        <v>7.0000000000000007E-2</v>
      </c>
      <c r="K1084" s="115"/>
    </row>
    <row r="1085" spans="2:15" s="184" customFormat="1" x14ac:dyDescent="0.3">
      <c r="B1085" s="672"/>
      <c r="C1085" s="27" t="str">
        <f t="shared" si="53"/>
        <v>Деззасоби</v>
      </c>
      <c r="D1085" s="303" t="str">
        <f t="shared" si="53"/>
        <v>г</v>
      </c>
      <c r="E1085" s="303">
        <f t="shared" si="53"/>
        <v>0.5</v>
      </c>
      <c r="F1085" s="303">
        <f t="shared" si="53"/>
        <v>0.5</v>
      </c>
      <c r="G1085" s="228">
        <f t="shared" si="52"/>
        <v>0.25</v>
      </c>
      <c r="H1085" s="336"/>
      <c r="I1085" s="336"/>
      <c r="J1085" s="336"/>
      <c r="K1085" s="115"/>
      <c r="L1085" s="189"/>
      <c r="M1085" s="637"/>
      <c r="N1085" s="180"/>
      <c r="O1085" s="180"/>
    </row>
    <row r="1086" spans="2:15" x14ac:dyDescent="0.3">
      <c r="C1086" s="27" t="str">
        <f t="shared" si="53"/>
        <v>Маска одноразова тришарова на резинці</v>
      </c>
      <c r="D1086" s="303" t="str">
        <f t="shared" si="53"/>
        <v>шт</v>
      </c>
      <c r="E1086" s="303">
        <f t="shared" si="53"/>
        <v>1</v>
      </c>
      <c r="F1086" s="303">
        <f t="shared" si="53"/>
        <v>2</v>
      </c>
      <c r="G1086" s="228">
        <f t="shared" si="52"/>
        <v>2</v>
      </c>
      <c r="K1086" s="115"/>
    </row>
    <row r="1087" spans="2:15" x14ac:dyDescent="0.3">
      <c r="C1087" s="27" t="str">
        <f t="shared" si="53"/>
        <v>Мило рідке</v>
      </c>
      <c r="D1087" s="303" t="str">
        <f t="shared" si="53"/>
        <v>мл</v>
      </c>
      <c r="E1087" s="303">
        <f t="shared" si="53"/>
        <v>1</v>
      </c>
      <c r="F1087" s="303">
        <f t="shared" si="53"/>
        <v>0.19600000000000001</v>
      </c>
      <c r="G1087" s="228">
        <f t="shared" si="52"/>
        <v>0.2</v>
      </c>
      <c r="K1087" s="115"/>
    </row>
    <row r="1088" spans="2:15" s="184" customFormat="1" x14ac:dyDescent="0.3">
      <c r="B1088" s="672"/>
      <c r="C1088" s="27" t="str">
        <f t="shared" si="53"/>
        <v>Рукавиці не стерильні</v>
      </c>
      <c r="D1088" s="303" t="str">
        <f t="shared" si="53"/>
        <v>пара</v>
      </c>
      <c r="E1088" s="303">
        <f t="shared" si="53"/>
        <v>0.1</v>
      </c>
      <c r="F1088" s="303">
        <f t="shared" si="53"/>
        <v>7.39</v>
      </c>
      <c r="G1088" s="228">
        <f t="shared" si="52"/>
        <v>0.74</v>
      </c>
      <c r="H1088" s="336"/>
      <c r="I1088" s="336"/>
      <c r="J1088" s="336"/>
      <c r="K1088" s="115"/>
      <c r="L1088" s="189"/>
      <c r="M1088" s="637"/>
      <c r="N1088" s="180"/>
      <c r="O1088" s="180"/>
    </row>
    <row r="1089" spans="2:15" s="184" customFormat="1" x14ac:dyDescent="0.3">
      <c r="B1089" s="672"/>
      <c r="C1089" s="27" t="str">
        <f t="shared" si="53"/>
        <v>Рушник паперовий</v>
      </c>
      <c r="D1089" s="303" t="str">
        <f t="shared" si="53"/>
        <v>шт</v>
      </c>
      <c r="E1089" s="303">
        <f t="shared" si="53"/>
        <v>0.3</v>
      </c>
      <c r="F1089" s="303">
        <f t="shared" si="53"/>
        <v>17.5</v>
      </c>
      <c r="G1089" s="228">
        <f t="shared" si="52"/>
        <v>5.25</v>
      </c>
      <c r="H1089" s="336"/>
      <c r="I1089" s="336"/>
      <c r="J1089" s="336"/>
      <c r="K1089" s="115"/>
      <c r="L1089" s="189"/>
      <c r="M1089" s="637"/>
      <c r="N1089" s="180"/>
      <c r="O1089" s="180"/>
    </row>
    <row r="1090" spans="2:15" x14ac:dyDescent="0.3">
      <c r="C1090" s="27" t="str">
        <f t="shared" si="53"/>
        <v xml:space="preserve">Спирт 70% 100мл </v>
      </c>
      <c r="D1090" s="303" t="str">
        <f t="shared" si="53"/>
        <v>фл/гр.</v>
      </c>
      <c r="E1090" s="303">
        <f t="shared" si="53"/>
        <v>0.01</v>
      </c>
      <c r="F1090" s="303">
        <f t="shared" si="53"/>
        <v>24.6</v>
      </c>
      <c r="G1090" s="228">
        <f t="shared" si="52"/>
        <v>0.25</v>
      </c>
      <c r="K1090" s="115"/>
    </row>
    <row r="1091" spans="2:15" x14ac:dyDescent="0.3">
      <c r="C1091" s="577" t="s">
        <v>945</v>
      </c>
      <c r="D1091" s="578"/>
      <c r="E1091" s="578"/>
      <c r="F1091" s="579"/>
      <c r="G1091" s="332">
        <f>SUM(G1080:G1090)</f>
        <v>35.199999999999996</v>
      </c>
      <c r="K1091" s="115"/>
    </row>
    <row r="1092" spans="2:15" x14ac:dyDescent="0.3">
      <c r="K1092" s="115"/>
    </row>
    <row r="1093" spans="2:15" x14ac:dyDescent="0.3">
      <c r="C1093" s="12" t="s">
        <v>968</v>
      </c>
      <c r="D1093" s="227"/>
      <c r="E1093" s="227"/>
      <c r="F1093" s="298">
        <f>H1096</f>
        <v>0.2</v>
      </c>
      <c r="G1093" s="227" t="s">
        <v>971</v>
      </c>
      <c r="K1093" s="115"/>
    </row>
    <row r="1094" spans="2:15" x14ac:dyDescent="0.3">
      <c r="C1094" s="22"/>
      <c r="D1094" s="36"/>
      <c r="E1094" s="36"/>
      <c r="F1094" s="302"/>
      <c r="G1094" s="36"/>
      <c r="K1094" s="115"/>
    </row>
    <row r="1095" spans="2:15" ht="27.6" x14ac:dyDescent="0.3">
      <c r="C1095" s="14" t="s">
        <v>513</v>
      </c>
      <c r="D1095" s="14" t="s">
        <v>969</v>
      </c>
      <c r="E1095" s="14" t="s">
        <v>516</v>
      </c>
      <c r="F1095" s="14" t="s">
        <v>970</v>
      </c>
      <c r="G1095" s="14" t="s">
        <v>930</v>
      </c>
      <c r="H1095" s="14" t="s">
        <v>961</v>
      </c>
      <c r="K1095" s="115"/>
    </row>
    <row r="1096" spans="2:15" x14ac:dyDescent="0.3">
      <c r="C1096" s="17" t="s">
        <v>1107</v>
      </c>
      <c r="D1096" s="73">
        <f>D982</f>
        <v>7000</v>
      </c>
      <c r="E1096" s="73">
        <v>12562.55</v>
      </c>
      <c r="F1096" s="73">
        <f>ROUND((D1096/E1096)/60,2)</f>
        <v>0.01</v>
      </c>
      <c r="G1096" s="73">
        <f>E1074</f>
        <v>20</v>
      </c>
      <c r="H1096" s="78">
        <f>ROUND(F1096*G1096,2)</f>
        <v>0.2</v>
      </c>
      <c r="I1096" s="333"/>
      <c r="K1096" s="115"/>
    </row>
    <row r="1097" spans="2:15" x14ac:dyDescent="0.3">
      <c r="K1097" s="115"/>
    </row>
    <row r="1098" spans="2:15" x14ac:dyDescent="0.3">
      <c r="C1098" s="12" t="s">
        <v>948</v>
      </c>
      <c r="D1098" s="227"/>
      <c r="E1098" s="227"/>
      <c r="F1098" s="298">
        <f>H1111</f>
        <v>2.7600000000000002</v>
      </c>
      <c r="G1098" s="227" t="s">
        <v>971</v>
      </c>
      <c r="K1098" s="115"/>
    </row>
    <row r="1099" spans="2:15" x14ac:dyDescent="0.3">
      <c r="C1099" s="22"/>
      <c r="D1099" s="36"/>
      <c r="E1099" s="36"/>
      <c r="F1099" s="302"/>
      <c r="K1099" s="115"/>
    </row>
    <row r="1100" spans="2:15" ht="27.6" x14ac:dyDescent="0.3">
      <c r="C1100" s="14" t="s">
        <v>948</v>
      </c>
      <c r="D1100" s="14" t="s">
        <v>1110</v>
      </c>
      <c r="E1100" s="14" t="s">
        <v>516</v>
      </c>
      <c r="F1100" s="14" t="s">
        <v>954</v>
      </c>
      <c r="G1100" s="14" t="s">
        <v>930</v>
      </c>
      <c r="H1100" s="14" t="s">
        <v>1111</v>
      </c>
      <c r="K1100" s="115"/>
    </row>
    <row r="1101" spans="2:15" x14ac:dyDescent="0.3">
      <c r="C1101" s="14" t="str">
        <f>C1069</f>
        <v>Лікар-фізіотерапевт</v>
      </c>
      <c r="D1101" s="14"/>
      <c r="E1101" s="14"/>
      <c r="F1101" s="14"/>
      <c r="G1101" s="14"/>
      <c r="H1101" s="14"/>
      <c r="K1101" s="115"/>
    </row>
    <row r="1102" spans="2:15" x14ac:dyDescent="0.3">
      <c r="C1102" s="17" t="s">
        <v>951</v>
      </c>
      <c r="D1102" s="221">
        <f>D988</f>
        <v>12188.608008565312</v>
      </c>
      <c r="E1102" s="73">
        <f>I1069</f>
        <v>1932.7</v>
      </c>
      <c r="F1102" s="73">
        <f>ROUND((D1102/E1102)/60,2)</f>
        <v>0.11</v>
      </c>
      <c r="G1102" s="73">
        <f>E1073</f>
        <v>3</v>
      </c>
      <c r="H1102" s="78">
        <f>ROUND(F1102*G1102,2)</f>
        <v>0.33</v>
      </c>
      <c r="K1102" s="115"/>
    </row>
    <row r="1103" spans="2:15" x14ac:dyDescent="0.3">
      <c r="C1103" s="17" t="s">
        <v>952</v>
      </c>
      <c r="D1103" s="221">
        <f>D989</f>
        <v>53.149721627408987</v>
      </c>
      <c r="E1103" s="73">
        <f>I1069</f>
        <v>1932.7</v>
      </c>
      <c r="F1103" s="73">
        <f>ROUND((D1103/E1103)/60,2)</f>
        <v>0</v>
      </c>
      <c r="G1103" s="73">
        <f>E1073</f>
        <v>3</v>
      </c>
      <c r="H1103" s="78">
        <f>ROUND(F1103*G1103,2)</f>
        <v>0</v>
      </c>
      <c r="K1103" s="115"/>
    </row>
    <row r="1104" spans="2:15" x14ac:dyDescent="0.3">
      <c r="C1104" s="17" t="s">
        <v>953</v>
      </c>
      <c r="D1104" s="221">
        <f>D990</f>
        <v>374.98368308351178</v>
      </c>
      <c r="E1104" s="73">
        <f>I1069</f>
        <v>1932.7</v>
      </c>
      <c r="F1104" s="73">
        <f>ROUND((D1104/E1104)/60,2)</f>
        <v>0</v>
      </c>
      <c r="G1104" s="73">
        <f>E1073</f>
        <v>3</v>
      </c>
      <c r="H1104" s="78">
        <f>ROUND(F1104*G1104,2)</f>
        <v>0</v>
      </c>
      <c r="K1104" s="115"/>
    </row>
    <row r="1105" spans="2:15" x14ac:dyDescent="0.3">
      <c r="C1105" s="17" t="s">
        <v>1109</v>
      </c>
      <c r="D1105" s="221">
        <f>D991</f>
        <v>1686.0389293361886</v>
      </c>
      <c r="E1105" s="73">
        <f>I1069</f>
        <v>1932.7</v>
      </c>
      <c r="F1105" s="73">
        <f>ROUND((D1105/E1105)/60,2)</f>
        <v>0.01</v>
      </c>
      <c r="G1105" s="73">
        <f>E1073</f>
        <v>3</v>
      </c>
      <c r="H1105" s="78">
        <f>ROUND(F1105*G1105,2)</f>
        <v>0.03</v>
      </c>
      <c r="K1105" s="115"/>
    </row>
    <row r="1106" spans="2:15" x14ac:dyDescent="0.3">
      <c r="C1106" s="14" t="str">
        <f>C1070</f>
        <v>Сестра медична з фізіотерапії</v>
      </c>
      <c r="D1106" s="14"/>
      <c r="E1106" s="14"/>
      <c r="F1106" s="14"/>
      <c r="G1106" s="14"/>
      <c r="H1106" s="14"/>
      <c r="K1106" s="115"/>
    </row>
    <row r="1107" spans="2:15" x14ac:dyDescent="0.3">
      <c r="C1107" s="17" t="s">
        <v>951</v>
      </c>
      <c r="D1107" s="221">
        <f>D1102</f>
        <v>12188.608008565312</v>
      </c>
      <c r="E1107" s="73">
        <f>I1070</f>
        <v>1932.7</v>
      </c>
      <c r="F1107" s="73">
        <f>ROUND((D1107/E1107)/60,2)</f>
        <v>0.11</v>
      </c>
      <c r="G1107" s="73">
        <f>E1074</f>
        <v>20</v>
      </c>
      <c r="H1107" s="78">
        <f>ROUND(F1107*G1107,2)</f>
        <v>2.2000000000000002</v>
      </c>
      <c r="K1107" s="115"/>
    </row>
    <row r="1108" spans="2:15" x14ac:dyDescent="0.3">
      <c r="C1108" s="17" t="s">
        <v>952</v>
      </c>
      <c r="D1108" s="221">
        <f>D1103</f>
        <v>53.149721627408987</v>
      </c>
      <c r="E1108" s="73">
        <f>I1070</f>
        <v>1932.7</v>
      </c>
      <c r="F1108" s="73">
        <f>ROUND((D1108/E1108)/60,2)</f>
        <v>0</v>
      </c>
      <c r="G1108" s="73">
        <f>E1074</f>
        <v>20</v>
      </c>
      <c r="H1108" s="78">
        <f>ROUND(F1108*G1108,2)</f>
        <v>0</v>
      </c>
      <c r="K1108" s="115"/>
    </row>
    <row r="1109" spans="2:15" x14ac:dyDescent="0.3">
      <c r="C1109" s="17" t="s">
        <v>953</v>
      </c>
      <c r="D1109" s="221">
        <f>D1104</f>
        <v>374.98368308351178</v>
      </c>
      <c r="E1109" s="73">
        <f>I1070</f>
        <v>1932.7</v>
      </c>
      <c r="F1109" s="73">
        <f>ROUND((D1109/E1109)/60,2)</f>
        <v>0</v>
      </c>
      <c r="G1109" s="73">
        <f>E1074</f>
        <v>20</v>
      </c>
      <c r="H1109" s="78">
        <f>ROUND(F1109*G1109,2)</f>
        <v>0</v>
      </c>
      <c r="K1109" s="115"/>
    </row>
    <row r="1110" spans="2:15" x14ac:dyDescent="0.3">
      <c r="C1110" s="17" t="s">
        <v>1109</v>
      </c>
      <c r="D1110" s="221">
        <f>D1105</f>
        <v>1686.0389293361886</v>
      </c>
      <c r="E1110" s="73">
        <f>I1070</f>
        <v>1932.7</v>
      </c>
      <c r="F1110" s="73">
        <f>ROUND((D1110/E1110)/60,2)</f>
        <v>0.01</v>
      </c>
      <c r="G1110" s="73">
        <f>E1074</f>
        <v>20</v>
      </c>
      <c r="H1110" s="78">
        <f>ROUND(F1110*G1110,2)</f>
        <v>0.2</v>
      </c>
      <c r="K1110" s="115"/>
    </row>
    <row r="1111" spans="2:15" x14ac:dyDescent="0.3">
      <c r="C1111" s="576" t="s">
        <v>957</v>
      </c>
      <c r="D1111" s="576"/>
      <c r="E1111" s="576"/>
      <c r="F1111" s="576"/>
      <c r="G1111" s="576"/>
      <c r="H1111" s="299">
        <f>SUM(H1102:H1110)</f>
        <v>2.7600000000000002</v>
      </c>
      <c r="K1111" s="115"/>
    </row>
    <row r="1112" spans="2:15" x14ac:dyDescent="0.3">
      <c r="K1112" s="115"/>
    </row>
    <row r="1113" spans="2:15" x14ac:dyDescent="0.3">
      <c r="K1113" s="115"/>
    </row>
    <row r="1114" spans="2:15" x14ac:dyDescent="0.3">
      <c r="C1114" s="379" t="s">
        <v>959</v>
      </c>
      <c r="D1114" s="286"/>
      <c r="E1114" s="286"/>
      <c r="F1114" s="286"/>
      <c r="G1114" s="287"/>
      <c r="H1114" s="334">
        <f>F1066+F1078+F1098+F1093</f>
        <v>63.4</v>
      </c>
      <c r="K1114" s="115"/>
    </row>
    <row r="1115" spans="2:15" x14ac:dyDescent="0.3">
      <c r="C1115" s="33"/>
      <c r="D1115" s="33"/>
      <c r="E1115" s="33"/>
      <c r="F1115" s="33"/>
      <c r="G1115" s="33"/>
      <c r="H1115" s="335"/>
      <c r="K1115" s="115"/>
    </row>
    <row r="1116" spans="2:15" x14ac:dyDescent="0.3">
      <c r="C1116" s="379" t="s">
        <v>960</v>
      </c>
      <c r="D1116" s="286"/>
      <c r="E1116" s="286"/>
      <c r="F1116" s="286"/>
      <c r="G1116" s="287"/>
      <c r="H1116" s="334">
        <f>ROUND(H1114,0)</f>
        <v>63</v>
      </c>
      <c r="K1116" s="115"/>
    </row>
    <row r="1117" spans="2:15" x14ac:dyDescent="0.3">
      <c r="C1117" s="33"/>
      <c r="D1117" s="33"/>
      <c r="E1117" s="33"/>
      <c r="F1117" s="33"/>
      <c r="G1117" s="33"/>
      <c r="H1117" s="335"/>
      <c r="K1117" s="115"/>
    </row>
    <row r="1118" spans="2:15" x14ac:dyDescent="0.3">
      <c r="K1118" s="115"/>
    </row>
    <row r="1119" spans="2:15" s="54" customFormat="1" ht="19.8" x14ac:dyDescent="0.4">
      <c r="B1119" s="1016" t="s">
        <v>958</v>
      </c>
      <c r="C1119" s="1016"/>
      <c r="D1119" s="1016"/>
      <c r="E1119" s="1016"/>
      <c r="F1119" s="1016"/>
      <c r="G1119" s="1016"/>
      <c r="H1119" s="1016"/>
      <c r="I1119" s="1016"/>
      <c r="J1119" s="1016"/>
      <c r="K1119" s="115"/>
      <c r="L1119" s="114"/>
      <c r="M1119" s="636"/>
      <c r="N1119" s="7"/>
      <c r="O1119" s="53"/>
    </row>
    <row r="1120" spans="2:15" ht="3" customHeight="1" x14ac:dyDescent="0.3">
      <c r="K1120" s="115"/>
    </row>
    <row r="1121" spans="2:15" s="54" customFormat="1" ht="37.5" customHeight="1" x14ac:dyDescent="0.4">
      <c r="B1121" s="673" t="s">
        <v>430</v>
      </c>
      <c r="C1121" s="1017" t="s">
        <v>442</v>
      </c>
      <c r="D1121" s="1017"/>
      <c r="E1121" s="1017"/>
      <c r="F1121" s="653">
        <f>H1173</f>
        <v>91</v>
      </c>
      <c r="G1121" s="296" t="s">
        <v>971</v>
      </c>
      <c r="H1121" s="225"/>
      <c r="I1121" s="225"/>
      <c r="J1121" s="225"/>
      <c r="K1121" s="115"/>
      <c r="L1121" s="114"/>
      <c r="M1121" s="636"/>
      <c r="N1121" s="7"/>
      <c r="O1121" s="53"/>
    </row>
    <row r="1122" spans="2:15" x14ac:dyDescent="0.3">
      <c r="K1122" s="115"/>
    </row>
    <row r="1123" spans="2:15" x14ac:dyDescent="0.3">
      <c r="C1123" s="575" t="s">
        <v>932</v>
      </c>
      <c r="D1123" s="575"/>
      <c r="E1123" s="297"/>
      <c r="F1123" s="298">
        <f>F1130+F1133+F1131</f>
        <v>25.240000000000002</v>
      </c>
      <c r="G1123" s="227" t="s">
        <v>971</v>
      </c>
      <c r="K1123" s="115"/>
    </row>
    <row r="1124" spans="2:15" x14ac:dyDescent="0.3">
      <c r="K1124" s="115"/>
    </row>
    <row r="1125" spans="2:15" ht="27.6" x14ac:dyDescent="0.3">
      <c r="C1125" s="13" t="s">
        <v>929</v>
      </c>
      <c r="D1125" s="14" t="s">
        <v>928</v>
      </c>
      <c r="E1125" s="14" t="s">
        <v>514</v>
      </c>
      <c r="F1125" s="14" t="s">
        <v>515</v>
      </c>
      <c r="G1125" s="14" t="s">
        <v>962</v>
      </c>
      <c r="H1125" s="14" t="s">
        <v>926</v>
      </c>
      <c r="I1125" s="14" t="s">
        <v>516</v>
      </c>
      <c r="J1125" s="14" t="s">
        <v>961</v>
      </c>
      <c r="K1125" s="115"/>
    </row>
    <row r="1126" spans="2:15" x14ac:dyDescent="0.3">
      <c r="C1126" s="17" t="str">
        <f t="shared" ref="C1126:G1127" si="54">C1069</f>
        <v>Лікар-фізіотерапевт</v>
      </c>
      <c r="D1126" s="221">
        <f t="shared" si="54"/>
        <v>10799.43</v>
      </c>
      <c r="E1126" s="221">
        <f t="shared" si="54"/>
        <v>129593.16</v>
      </c>
      <c r="F1126" s="221">
        <f t="shared" si="54"/>
        <v>8307.26</v>
      </c>
      <c r="G1126" s="221">
        <f t="shared" si="54"/>
        <v>4153.63</v>
      </c>
      <c r="H1126" s="221">
        <f>E1126+F1126+G1126</f>
        <v>142054.05000000002</v>
      </c>
      <c r="I1126" s="73">
        <v>1932.7</v>
      </c>
      <c r="J1126" s="78">
        <f>ROUND((H1126/I1126)/60,2)</f>
        <v>1.23</v>
      </c>
      <c r="K1126" s="115"/>
    </row>
    <row r="1127" spans="2:15" x14ac:dyDescent="0.3">
      <c r="C1127" s="17" t="str">
        <f t="shared" si="54"/>
        <v>Сестра медична з фізіотерапії</v>
      </c>
      <c r="D1127" s="221">
        <f t="shared" si="54"/>
        <v>7482.48</v>
      </c>
      <c r="E1127" s="221">
        <f t="shared" si="54"/>
        <v>89789.759999999995</v>
      </c>
      <c r="F1127" s="221">
        <f t="shared" si="54"/>
        <v>5755.75</v>
      </c>
      <c r="G1127" s="221">
        <f t="shared" si="54"/>
        <v>2877.875</v>
      </c>
      <c r="H1127" s="221">
        <f>E1127+F1127+G1127</f>
        <v>98423.384999999995</v>
      </c>
      <c r="I1127" s="73">
        <v>1932.7</v>
      </c>
      <c r="J1127" s="78">
        <f>ROUND((H1127/I1127)/60,2)</f>
        <v>0.85</v>
      </c>
      <c r="K1127" s="115"/>
    </row>
    <row r="1128" spans="2:15" x14ac:dyDescent="0.3">
      <c r="K1128" s="115"/>
    </row>
    <row r="1129" spans="2:15" ht="27.6" x14ac:dyDescent="0.3">
      <c r="C1129" s="13" t="s">
        <v>929</v>
      </c>
      <c r="D1129" s="14" t="s">
        <v>961</v>
      </c>
      <c r="E1129" s="14" t="s">
        <v>930</v>
      </c>
      <c r="F1129" s="14" t="s">
        <v>931</v>
      </c>
      <c r="K1129" s="115"/>
    </row>
    <row r="1130" spans="2:15" x14ac:dyDescent="0.3">
      <c r="C1130" s="15" t="str">
        <f>C1126</f>
        <v>Лікар-фізіотерапевт</v>
      </c>
      <c r="D1130" s="78">
        <f>J1126</f>
        <v>1.23</v>
      </c>
      <c r="E1130" s="73">
        <v>3</v>
      </c>
      <c r="F1130" s="299">
        <f>ROUND(D1130*E1130,2)</f>
        <v>3.69</v>
      </c>
      <c r="K1130" s="115"/>
    </row>
    <row r="1131" spans="2:15" x14ac:dyDescent="0.3">
      <c r="C1131" s="15" t="str">
        <f>C1127</f>
        <v>Сестра медична з фізіотерапії</v>
      </c>
      <c r="D1131" s="78">
        <f>J1127</f>
        <v>0.85</v>
      </c>
      <c r="E1131" s="73">
        <v>20</v>
      </c>
      <c r="F1131" s="299">
        <f>ROUND(D1131*E1131,2)</f>
        <v>17</v>
      </c>
      <c r="K1131" s="115"/>
    </row>
    <row r="1132" spans="2:15" x14ac:dyDescent="0.3">
      <c r="D1132" s="19"/>
      <c r="K1132" s="115"/>
    </row>
    <row r="1133" spans="2:15" x14ac:dyDescent="0.3">
      <c r="C1133" s="17" t="s">
        <v>933</v>
      </c>
      <c r="D1133" s="78">
        <f>F1130+F1131</f>
        <v>20.69</v>
      </c>
      <c r="E1133" s="300">
        <v>0.22</v>
      </c>
      <c r="F1133" s="301">
        <f>ROUND(D1133*E1133,2)</f>
        <v>4.55</v>
      </c>
      <c r="K1133" s="115"/>
    </row>
    <row r="1134" spans="2:15" x14ac:dyDescent="0.3">
      <c r="K1134" s="115"/>
    </row>
    <row r="1135" spans="2:15" x14ac:dyDescent="0.3">
      <c r="C1135" s="12" t="s">
        <v>946</v>
      </c>
      <c r="D1135" s="227"/>
      <c r="E1135" s="227"/>
      <c r="F1135" s="227">
        <f>G1148</f>
        <v>62.430000000000007</v>
      </c>
      <c r="G1135" s="227" t="s">
        <v>971</v>
      </c>
      <c r="K1135" s="115"/>
    </row>
    <row r="1136" spans="2:15" x14ac:dyDescent="0.3">
      <c r="K1136" s="115"/>
    </row>
    <row r="1137" spans="2:15" x14ac:dyDescent="0.3">
      <c r="C1137" s="27" t="str">
        <f>'МЕДИЧНІ М'!B283</f>
        <v>Диклоберл р-н д/ін 75 мг - 3 мл № 5</v>
      </c>
      <c r="D1137" s="303" t="str">
        <f>D1080</f>
        <v>мл</v>
      </c>
      <c r="E1137" s="303">
        <v>0.2</v>
      </c>
      <c r="F1137" s="303">
        <f>'МЕДИЧНІ М'!F283</f>
        <v>125</v>
      </c>
      <c r="G1137" s="228">
        <f>ROUND(F1137*E1137,2)</f>
        <v>25</v>
      </c>
      <c r="K1137" s="115"/>
    </row>
    <row r="1138" spans="2:15" ht="27.6" x14ac:dyDescent="0.3">
      <c r="C1138" s="27" t="str">
        <f>C1024</f>
        <v>Електроди одноразові поверхневі з гідрофільною прокладкою з целюлози прямокутні № 25</v>
      </c>
      <c r="D1138" s="303" t="str">
        <f>D1024</f>
        <v>шт</v>
      </c>
      <c r="E1138" s="303">
        <f>E1024</f>
        <v>2</v>
      </c>
      <c r="F1138" s="303">
        <f>F1024</f>
        <v>14</v>
      </c>
      <c r="G1138" s="228">
        <f t="shared" ref="G1138:G1147" si="55">ROUND(F1138*E1138,2)</f>
        <v>28</v>
      </c>
      <c r="K1138" s="115"/>
    </row>
    <row r="1139" spans="2:15" x14ac:dyDescent="0.3">
      <c r="C1139" s="27" t="str">
        <f t="shared" ref="C1139:F1147" si="56">C1082</f>
        <v>Антисептик для обробки рук</v>
      </c>
      <c r="D1139" s="303" t="str">
        <f t="shared" si="56"/>
        <v>мл</v>
      </c>
      <c r="E1139" s="303">
        <f t="shared" si="56"/>
        <v>1</v>
      </c>
      <c r="F1139" s="303">
        <f t="shared" si="56"/>
        <v>0.375</v>
      </c>
      <c r="G1139" s="228">
        <f t="shared" si="55"/>
        <v>0.38</v>
      </c>
      <c r="K1139" s="115"/>
    </row>
    <row r="1140" spans="2:15" x14ac:dyDescent="0.3">
      <c r="C1140" s="27" t="str">
        <f t="shared" si="56"/>
        <v>Антисептик швидкої дії</v>
      </c>
      <c r="D1140" s="303" t="str">
        <f t="shared" si="56"/>
        <v>мл</v>
      </c>
      <c r="E1140" s="303">
        <f t="shared" si="56"/>
        <v>1</v>
      </c>
      <c r="F1140" s="303">
        <f t="shared" si="56"/>
        <v>0.28799999999999998</v>
      </c>
      <c r="G1140" s="228">
        <f t="shared" si="55"/>
        <v>0.28999999999999998</v>
      </c>
      <c r="K1140" s="115"/>
    </row>
    <row r="1141" spans="2:15" x14ac:dyDescent="0.3">
      <c r="C1141" s="27" t="str">
        <f t="shared" si="56"/>
        <v>Вата 100 гр.</v>
      </c>
      <c r="D1141" s="303" t="str">
        <f t="shared" si="56"/>
        <v>г</v>
      </c>
      <c r="E1141" s="303">
        <f t="shared" si="56"/>
        <v>0.01</v>
      </c>
      <c r="F1141" s="303">
        <f t="shared" si="56"/>
        <v>6.72</v>
      </c>
      <c r="G1141" s="228">
        <f t="shared" si="55"/>
        <v>7.0000000000000007E-2</v>
      </c>
      <c r="K1141" s="115"/>
    </row>
    <row r="1142" spans="2:15" s="184" customFormat="1" x14ac:dyDescent="0.3">
      <c r="B1142" s="672"/>
      <c r="C1142" s="27" t="str">
        <f t="shared" si="56"/>
        <v>Деззасоби</v>
      </c>
      <c r="D1142" s="303" t="str">
        <f t="shared" si="56"/>
        <v>г</v>
      </c>
      <c r="E1142" s="303">
        <f t="shared" si="56"/>
        <v>0.5</v>
      </c>
      <c r="F1142" s="303">
        <f t="shared" si="56"/>
        <v>0.5</v>
      </c>
      <c r="G1142" s="228">
        <f t="shared" si="55"/>
        <v>0.25</v>
      </c>
      <c r="H1142" s="336"/>
      <c r="I1142" s="336"/>
      <c r="J1142" s="336"/>
      <c r="K1142" s="115"/>
      <c r="L1142" s="189"/>
      <c r="M1142" s="637"/>
      <c r="N1142" s="180"/>
      <c r="O1142" s="180"/>
    </row>
    <row r="1143" spans="2:15" x14ac:dyDescent="0.3">
      <c r="C1143" s="27" t="str">
        <f t="shared" si="56"/>
        <v>Маска одноразова тришарова на резинці</v>
      </c>
      <c r="D1143" s="303" t="str">
        <f t="shared" si="56"/>
        <v>шт</v>
      </c>
      <c r="E1143" s="303">
        <f t="shared" si="56"/>
        <v>1</v>
      </c>
      <c r="F1143" s="303">
        <f t="shared" si="56"/>
        <v>2</v>
      </c>
      <c r="G1143" s="228">
        <f t="shared" si="55"/>
        <v>2</v>
      </c>
      <c r="K1143" s="115"/>
    </row>
    <row r="1144" spans="2:15" x14ac:dyDescent="0.3">
      <c r="C1144" s="27" t="str">
        <f t="shared" si="56"/>
        <v>Мило рідке</v>
      </c>
      <c r="D1144" s="303" t="str">
        <f t="shared" si="56"/>
        <v>мл</v>
      </c>
      <c r="E1144" s="303">
        <f t="shared" si="56"/>
        <v>1</v>
      </c>
      <c r="F1144" s="303">
        <f t="shared" si="56"/>
        <v>0.19600000000000001</v>
      </c>
      <c r="G1144" s="228">
        <f t="shared" si="55"/>
        <v>0.2</v>
      </c>
      <c r="K1144" s="115"/>
    </row>
    <row r="1145" spans="2:15" s="184" customFormat="1" x14ac:dyDescent="0.3">
      <c r="B1145" s="672"/>
      <c r="C1145" s="27" t="str">
        <f t="shared" si="56"/>
        <v>Рукавиці не стерильні</v>
      </c>
      <c r="D1145" s="303" t="str">
        <f t="shared" si="56"/>
        <v>пара</v>
      </c>
      <c r="E1145" s="303">
        <f t="shared" si="56"/>
        <v>0.1</v>
      </c>
      <c r="F1145" s="303">
        <f t="shared" si="56"/>
        <v>7.39</v>
      </c>
      <c r="G1145" s="228">
        <f t="shared" si="55"/>
        <v>0.74</v>
      </c>
      <c r="H1145" s="336"/>
      <c r="I1145" s="336"/>
      <c r="J1145" s="336"/>
      <c r="K1145" s="115"/>
      <c r="L1145" s="189"/>
      <c r="M1145" s="637"/>
      <c r="N1145" s="180"/>
      <c r="O1145" s="180"/>
    </row>
    <row r="1146" spans="2:15" s="184" customFormat="1" x14ac:dyDescent="0.3">
      <c r="B1146" s="672"/>
      <c r="C1146" s="27" t="str">
        <f t="shared" si="56"/>
        <v>Рушник паперовий</v>
      </c>
      <c r="D1146" s="303" t="str">
        <f t="shared" si="56"/>
        <v>шт</v>
      </c>
      <c r="E1146" s="303">
        <f t="shared" si="56"/>
        <v>0.3</v>
      </c>
      <c r="F1146" s="303">
        <f t="shared" si="56"/>
        <v>17.5</v>
      </c>
      <c r="G1146" s="228">
        <f t="shared" si="55"/>
        <v>5.25</v>
      </c>
      <c r="H1146" s="336"/>
      <c r="I1146" s="336"/>
      <c r="J1146" s="336"/>
      <c r="K1146" s="115"/>
      <c r="L1146" s="189"/>
      <c r="M1146" s="637"/>
      <c r="N1146" s="180"/>
      <c r="O1146" s="180"/>
    </row>
    <row r="1147" spans="2:15" x14ac:dyDescent="0.3">
      <c r="C1147" s="27" t="str">
        <f t="shared" si="56"/>
        <v xml:space="preserve">Спирт 70% 100мл </v>
      </c>
      <c r="D1147" s="303" t="str">
        <f t="shared" si="56"/>
        <v>фл/гр.</v>
      </c>
      <c r="E1147" s="303">
        <f t="shared" si="56"/>
        <v>0.01</v>
      </c>
      <c r="F1147" s="303">
        <f t="shared" si="56"/>
        <v>24.6</v>
      </c>
      <c r="G1147" s="228">
        <f t="shared" si="55"/>
        <v>0.25</v>
      </c>
      <c r="K1147" s="115"/>
    </row>
    <row r="1148" spans="2:15" x14ac:dyDescent="0.3">
      <c r="C1148" s="577" t="s">
        <v>945</v>
      </c>
      <c r="D1148" s="578"/>
      <c r="E1148" s="578"/>
      <c r="F1148" s="579"/>
      <c r="G1148" s="332">
        <f>SUM(G1137:G1147)</f>
        <v>62.430000000000007</v>
      </c>
      <c r="K1148" s="115"/>
    </row>
    <row r="1149" spans="2:15" x14ac:dyDescent="0.3">
      <c r="K1149" s="115"/>
    </row>
    <row r="1150" spans="2:15" x14ac:dyDescent="0.3">
      <c r="C1150" s="12" t="s">
        <v>968</v>
      </c>
      <c r="D1150" s="227"/>
      <c r="E1150" s="227"/>
      <c r="F1150" s="298">
        <f>H1153</f>
        <v>0.2</v>
      </c>
      <c r="G1150" s="227" t="s">
        <v>971</v>
      </c>
      <c r="K1150" s="115"/>
    </row>
    <row r="1151" spans="2:15" x14ac:dyDescent="0.3">
      <c r="C1151" s="22"/>
      <c r="D1151" s="36"/>
      <c r="E1151" s="36"/>
      <c r="F1151" s="302"/>
      <c r="G1151" s="36"/>
      <c r="K1151" s="115"/>
    </row>
    <row r="1152" spans="2:15" ht="27.6" x14ac:dyDescent="0.3">
      <c r="C1152" s="14" t="s">
        <v>513</v>
      </c>
      <c r="D1152" s="14" t="s">
        <v>969</v>
      </c>
      <c r="E1152" s="14" t="s">
        <v>516</v>
      </c>
      <c r="F1152" s="14" t="s">
        <v>970</v>
      </c>
      <c r="G1152" s="14" t="s">
        <v>930</v>
      </c>
      <c r="H1152" s="14" t="s">
        <v>961</v>
      </c>
      <c r="K1152" s="115"/>
    </row>
    <row r="1153" spans="3:11" x14ac:dyDescent="0.3">
      <c r="C1153" s="17" t="s">
        <v>1107</v>
      </c>
      <c r="D1153" s="73">
        <f>D1039</f>
        <v>7000</v>
      </c>
      <c r="E1153" s="73">
        <v>12562.55</v>
      </c>
      <c r="F1153" s="73">
        <f>ROUND((D1153/E1153)/60,2)</f>
        <v>0.01</v>
      </c>
      <c r="G1153" s="73">
        <f>E1131</f>
        <v>20</v>
      </c>
      <c r="H1153" s="78">
        <f>ROUND(F1153*G1153,2)</f>
        <v>0.2</v>
      </c>
      <c r="I1153" s="333"/>
      <c r="K1153" s="115"/>
    </row>
    <row r="1154" spans="3:11" x14ac:dyDescent="0.3">
      <c r="K1154" s="115"/>
    </row>
    <row r="1155" spans="3:11" x14ac:dyDescent="0.3">
      <c r="C1155" s="12" t="s">
        <v>948</v>
      </c>
      <c r="D1155" s="227"/>
      <c r="E1155" s="227"/>
      <c r="F1155" s="298">
        <f>H1168</f>
        <v>2.7600000000000002</v>
      </c>
      <c r="G1155" s="227" t="s">
        <v>971</v>
      </c>
      <c r="K1155" s="115"/>
    </row>
    <row r="1156" spans="3:11" x14ac:dyDescent="0.3">
      <c r="C1156" s="22"/>
      <c r="D1156" s="36"/>
      <c r="E1156" s="36"/>
      <c r="F1156" s="302"/>
      <c r="K1156" s="115"/>
    </row>
    <row r="1157" spans="3:11" ht="27.6" x14ac:dyDescent="0.3">
      <c r="C1157" s="14" t="s">
        <v>948</v>
      </c>
      <c r="D1157" s="14" t="s">
        <v>1110</v>
      </c>
      <c r="E1157" s="14" t="s">
        <v>516</v>
      </c>
      <c r="F1157" s="14" t="s">
        <v>954</v>
      </c>
      <c r="G1157" s="14" t="s">
        <v>930</v>
      </c>
      <c r="H1157" s="14" t="s">
        <v>1111</v>
      </c>
      <c r="K1157" s="115"/>
    </row>
    <row r="1158" spans="3:11" x14ac:dyDescent="0.3">
      <c r="C1158" s="14" t="str">
        <f>C1126</f>
        <v>Лікар-фізіотерапевт</v>
      </c>
      <c r="D1158" s="14"/>
      <c r="E1158" s="14"/>
      <c r="F1158" s="14"/>
      <c r="G1158" s="14"/>
      <c r="H1158" s="14"/>
      <c r="K1158" s="115"/>
    </row>
    <row r="1159" spans="3:11" x14ac:dyDescent="0.3">
      <c r="C1159" s="17" t="s">
        <v>951</v>
      </c>
      <c r="D1159" s="221">
        <f>D1045</f>
        <v>12188.608008565312</v>
      </c>
      <c r="E1159" s="73">
        <f>I1126</f>
        <v>1932.7</v>
      </c>
      <c r="F1159" s="73">
        <f>ROUND((D1159/E1159)/60,2)</f>
        <v>0.11</v>
      </c>
      <c r="G1159" s="73">
        <f>E1130</f>
        <v>3</v>
      </c>
      <c r="H1159" s="78">
        <f>ROUND(F1159*G1159,2)</f>
        <v>0.33</v>
      </c>
      <c r="K1159" s="115"/>
    </row>
    <row r="1160" spans="3:11" x14ac:dyDescent="0.3">
      <c r="C1160" s="17" t="s">
        <v>952</v>
      </c>
      <c r="D1160" s="221">
        <f>D1046</f>
        <v>53.149721627408987</v>
      </c>
      <c r="E1160" s="73">
        <f>I1126</f>
        <v>1932.7</v>
      </c>
      <c r="F1160" s="73">
        <f>ROUND((D1160/E1160)/60,2)</f>
        <v>0</v>
      </c>
      <c r="G1160" s="73">
        <f>E1130</f>
        <v>3</v>
      </c>
      <c r="H1160" s="78">
        <f>ROUND(F1160*G1160,2)</f>
        <v>0</v>
      </c>
      <c r="K1160" s="115"/>
    </row>
    <row r="1161" spans="3:11" x14ac:dyDescent="0.3">
      <c r="C1161" s="17" t="s">
        <v>953</v>
      </c>
      <c r="D1161" s="221">
        <f>D1047</f>
        <v>374.98368308351178</v>
      </c>
      <c r="E1161" s="73">
        <f>I1126</f>
        <v>1932.7</v>
      </c>
      <c r="F1161" s="73">
        <f>ROUND((D1161/E1161)/60,2)</f>
        <v>0</v>
      </c>
      <c r="G1161" s="73">
        <f>E1130</f>
        <v>3</v>
      </c>
      <c r="H1161" s="78">
        <f>ROUND(F1161*G1161,2)</f>
        <v>0</v>
      </c>
      <c r="K1161" s="115"/>
    </row>
    <row r="1162" spans="3:11" x14ac:dyDescent="0.3">
      <c r="C1162" s="17" t="s">
        <v>1109</v>
      </c>
      <c r="D1162" s="221">
        <f>D1048</f>
        <v>1686.0389293361886</v>
      </c>
      <c r="E1162" s="73">
        <f>I1126</f>
        <v>1932.7</v>
      </c>
      <c r="F1162" s="73">
        <f>ROUND((D1162/E1162)/60,2)</f>
        <v>0.01</v>
      </c>
      <c r="G1162" s="73">
        <f>E1130</f>
        <v>3</v>
      </c>
      <c r="H1162" s="78">
        <f>ROUND(F1162*G1162,2)</f>
        <v>0.03</v>
      </c>
      <c r="K1162" s="115"/>
    </row>
    <row r="1163" spans="3:11" x14ac:dyDescent="0.3">
      <c r="C1163" s="14" t="str">
        <f>C1127</f>
        <v>Сестра медична з фізіотерапії</v>
      </c>
      <c r="D1163" s="14"/>
      <c r="E1163" s="14"/>
      <c r="F1163" s="14"/>
      <c r="G1163" s="14"/>
      <c r="H1163" s="14"/>
      <c r="K1163" s="115"/>
    </row>
    <row r="1164" spans="3:11" x14ac:dyDescent="0.3">
      <c r="C1164" s="17" t="s">
        <v>951</v>
      </c>
      <c r="D1164" s="221">
        <f>D1159</f>
        <v>12188.608008565312</v>
      </c>
      <c r="E1164" s="73">
        <f>I1127</f>
        <v>1932.7</v>
      </c>
      <c r="F1164" s="73">
        <f>ROUND((D1164/E1164)/60,2)</f>
        <v>0.11</v>
      </c>
      <c r="G1164" s="73">
        <f>E1131</f>
        <v>20</v>
      </c>
      <c r="H1164" s="78">
        <f>ROUND(F1164*G1164,2)</f>
        <v>2.2000000000000002</v>
      </c>
      <c r="K1164" s="115"/>
    </row>
    <row r="1165" spans="3:11" x14ac:dyDescent="0.3">
      <c r="C1165" s="17" t="s">
        <v>952</v>
      </c>
      <c r="D1165" s="221">
        <f>D1160</f>
        <v>53.149721627408987</v>
      </c>
      <c r="E1165" s="73">
        <f>I1127</f>
        <v>1932.7</v>
      </c>
      <c r="F1165" s="73">
        <f>ROUND((D1165/E1165)/60,2)</f>
        <v>0</v>
      </c>
      <c r="G1165" s="73">
        <f>E1131</f>
        <v>20</v>
      </c>
      <c r="H1165" s="78">
        <f>ROUND(F1165*G1165,2)</f>
        <v>0</v>
      </c>
      <c r="K1165" s="115"/>
    </row>
    <row r="1166" spans="3:11" x14ac:dyDescent="0.3">
      <c r="C1166" s="17" t="s">
        <v>953</v>
      </c>
      <c r="D1166" s="221">
        <f>D1161</f>
        <v>374.98368308351178</v>
      </c>
      <c r="E1166" s="73">
        <f>I1127</f>
        <v>1932.7</v>
      </c>
      <c r="F1166" s="73">
        <f>ROUND((D1166/E1166)/60,2)</f>
        <v>0</v>
      </c>
      <c r="G1166" s="73">
        <f>E1131</f>
        <v>20</v>
      </c>
      <c r="H1166" s="78">
        <f>ROUND(F1166*G1166,2)</f>
        <v>0</v>
      </c>
      <c r="K1166" s="115"/>
    </row>
    <row r="1167" spans="3:11" x14ac:dyDescent="0.3">
      <c r="C1167" s="17" t="s">
        <v>1109</v>
      </c>
      <c r="D1167" s="221">
        <f>D1162</f>
        <v>1686.0389293361886</v>
      </c>
      <c r="E1167" s="73">
        <f>I1127</f>
        <v>1932.7</v>
      </c>
      <c r="F1167" s="73">
        <f>ROUND((D1167/E1167)/60,2)</f>
        <v>0.01</v>
      </c>
      <c r="G1167" s="73">
        <f>E1131</f>
        <v>20</v>
      </c>
      <c r="H1167" s="78">
        <f>ROUND(F1167*G1167,2)</f>
        <v>0.2</v>
      </c>
      <c r="K1167" s="115"/>
    </row>
    <row r="1168" spans="3:11" x14ac:dyDescent="0.3">
      <c r="C1168" s="576" t="s">
        <v>957</v>
      </c>
      <c r="D1168" s="576"/>
      <c r="E1168" s="576"/>
      <c r="F1168" s="576"/>
      <c r="G1168" s="576"/>
      <c r="H1168" s="299">
        <f>SUM(H1159:H1167)</f>
        <v>2.7600000000000002</v>
      </c>
      <c r="K1168" s="115"/>
    </row>
    <row r="1169" spans="2:15" x14ac:dyDescent="0.3">
      <c r="K1169" s="115"/>
    </row>
    <row r="1170" spans="2:15" x14ac:dyDescent="0.3">
      <c r="K1170" s="115"/>
    </row>
    <row r="1171" spans="2:15" x14ac:dyDescent="0.3">
      <c r="C1171" s="379" t="s">
        <v>959</v>
      </c>
      <c r="D1171" s="286"/>
      <c r="E1171" s="286"/>
      <c r="F1171" s="286"/>
      <c r="G1171" s="287"/>
      <c r="H1171" s="334">
        <f>F1123+F1135+F1155+F1150</f>
        <v>90.630000000000024</v>
      </c>
      <c r="K1171" s="115"/>
    </row>
    <row r="1172" spans="2:15" x14ac:dyDescent="0.3">
      <c r="C1172" s="33"/>
      <c r="D1172" s="33"/>
      <c r="E1172" s="33"/>
      <c r="F1172" s="33"/>
      <c r="G1172" s="33"/>
      <c r="H1172" s="335"/>
      <c r="K1172" s="115"/>
    </row>
    <row r="1173" spans="2:15" x14ac:dyDescent="0.3">
      <c r="C1173" s="379" t="s">
        <v>960</v>
      </c>
      <c r="D1173" s="286"/>
      <c r="E1173" s="286"/>
      <c r="F1173" s="286"/>
      <c r="G1173" s="287"/>
      <c r="H1173" s="334">
        <f>ROUND(H1171,0)</f>
        <v>91</v>
      </c>
      <c r="K1173" s="115"/>
    </row>
    <row r="1174" spans="2:15" x14ac:dyDescent="0.3">
      <c r="C1174" s="33"/>
      <c r="D1174" s="33"/>
      <c r="E1174" s="33"/>
      <c r="F1174" s="33"/>
      <c r="G1174" s="33"/>
      <c r="H1174" s="335"/>
      <c r="K1174" s="115"/>
    </row>
    <row r="1175" spans="2:15" x14ac:dyDescent="0.3">
      <c r="K1175" s="115"/>
    </row>
    <row r="1176" spans="2:15" s="54" customFormat="1" ht="19.8" x14ac:dyDescent="0.4">
      <c r="B1176" s="1016" t="s">
        <v>958</v>
      </c>
      <c r="C1176" s="1016"/>
      <c r="D1176" s="1016"/>
      <c r="E1176" s="1016"/>
      <c r="F1176" s="1016"/>
      <c r="G1176" s="1016"/>
      <c r="H1176" s="1016"/>
      <c r="I1176" s="1016"/>
      <c r="J1176" s="1016"/>
      <c r="K1176" s="115"/>
      <c r="L1176" s="114"/>
      <c r="M1176" s="636"/>
      <c r="N1176" s="7"/>
      <c r="O1176" s="53"/>
    </row>
    <row r="1177" spans="2:15" ht="3" customHeight="1" x14ac:dyDescent="0.3">
      <c r="K1177" s="115"/>
    </row>
    <row r="1178" spans="2:15" s="54" customFormat="1" ht="36.75" customHeight="1" x14ac:dyDescent="0.4">
      <c r="B1178" s="673" t="s">
        <v>431</v>
      </c>
      <c r="C1178" s="1017" t="s">
        <v>443</v>
      </c>
      <c r="D1178" s="1017"/>
      <c r="E1178" s="1017"/>
      <c r="F1178" s="653">
        <f>H1230</f>
        <v>67</v>
      </c>
      <c r="G1178" s="296" t="s">
        <v>971</v>
      </c>
      <c r="H1178" s="225"/>
      <c r="I1178" s="225"/>
      <c r="J1178" s="225"/>
      <c r="K1178" s="115"/>
      <c r="L1178" s="114"/>
      <c r="M1178" s="636"/>
      <c r="N1178" s="7"/>
      <c r="O1178" s="53"/>
    </row>
    <row r="1179" spans="2:15" ht="16.5" customHeight="1" x14ac:dyDescent="0.3">
      <c r="K1179" s="115"/>
    </row>
    <row r="1180" spans="2:15" x14ac:dyDescent="0.3">
      <c r="C1180" s="575" t="s">
        <v>932</v>
      </c>
      <c r="D1180" s="575"/>
      <c r="E1180" s="297"/>
      <c r="F1180" s="298">
        <f>F1187+F1190+F1188</f>
        <v>25.240000000000002</v>
      </c>
      <c r="G1180" s="227" t="s">
        <v>971</v>
      </c>
      <c r="K1180" s="115"/>
    </row>
    <row r="1181" spans="2:15" x14ac:dyDescent="0.3">
      <c r="K1181" s="115"/>
    </row>
    <row r="1182" spans="2:15" ht="27.6" x14ac:dyDescent="0.3">
      <c r="C1182" s="13" t="s">
        <v>929</v>
      </c>
      <c r="D1182" s="14" t="s">
        <v>928</v>
      </c>
      <c r="E1182" s="14" t="s">
        <v>514</v>
      </c>
      <c r="F1182" s="14" t="s">
        <v>515</v>
      </c>
      <c r="G1182" s="14" t="s">
        <v>962</v>
      </c>
      <c r="H1182" s="14" t="s">
        <v>926</v>
      </c>
      <c r="I1182" s="14" t="s">
        <v>516</v>
      </c>
      <c r="J1182" s="14" t="s">
        <v>961</v>
      </c>
      <c r="K1182" s="115"/>
    </row>
    <row r="1183" spans="2:15" x14ac:dyDescent="0.3">
      <c r="C1183" s="17" t="str">
        <f t="shared" ref="C1183:G1184" si="57">C1126</f>
        <v>Лікар-фізіотерапевт</v>
      </c>
      <c r="D1183" s="221">
        <f t="shared" si="57"/>
        <v>10799.43</v>
      </c>
      <c r="E1183" s="221">
        <f t="shared" si="57"/>
        <v>129593.16</v>
      </c>
      <c r="F1183" s="221">
        <f t="shared" si="57"/>
        <v>8307.26</v>
      </c>
      <c r="G1183" s="221">
        <f t="shared" si="57"/>
        <v>4153.63</v>
      </c>
      <c r="H1183" s="221">
        <f>E1183+F1183+G1183</f>
        <v>142054.05000000002</v>
      </c>
      <c r="I1183" s="73">
        <v>1932.7</v>
      </c>
      <c r="J1183" s="78">
        <f>ROUND((H1183/I1183)/60,2)</f>
        <v>1.23</v>
      </c>
      <c r="K1183" s="115"/>
    </row>
    <row r="1184" spans="2:15" x14ac:dyDescent="0.3">
      <c r="C1184" s="17" t="str">
        <f t="shared" si="57"/>
        <v>Сестра медична з фізіотерапії</v>
      </c>
      <c r="D1184" s="221">
        <f t="shared" si="57"/>
        <v>7482.48</v>
      </c>
      <c r="E1184" s="221">
        <f t="shared" si="57"/>
        <v>89789.759999999995</v>
      </c>
      <c r="F1184" s="221">
        <f t="shared" si="57"/>
        <v>5755.75</v>
      </c>
      <c r="G1184" s="221">
        <f t="shared" si="57"/>
        <v>2877.875</v>
      </c>
      <c r="H1184" s="221">
        <f>E1184+F1184+G1184</f>
        <v>98423.384999999995</v>
      </c>
      <c r="I1184" s="73">
        <v>1932.7</v>
      </c>
      <c r="J1184" s="78">
        <f>ROUND((H1184/I1184)/60,2)</f>
        <v>0.85</v>
      </c>
      <c r="K1184" s="115"/>
    </row>
    <row r="1185" spans="2:15" x14ac:dyDescent="0.3">
      <c r="K1185" s="115"/>
    </row>
    <row r="1186" spans="2:15" ht="27.6" x14ac:dyDescent="0.3">
      <c r="C1186" s="13" t="s">
        <v>929</v>
      </c>
      <c r="D1186" s="14" t="s">
        <v>961</v>
      </c>
      <c r="E1186" s="14" t="s">
        <v>930</v>
      </c>
      <c r="F1186" s="14" t="s">
        <v>931</v>
      </c>
      <c r="K1186" s="115"/>
    </row>
    <row r="1187" spans="2:15" x14ac:dyDescent="0.3">
      <c r="C1187" s="15" t="str">
        <f>C1183</f>
        <v>Лікар-фізіотерапевт</v>
      </c>
      <c r="D1187" s="78">
        <f>J1183</f>
        <v>1.23</v>
      </c>
      <c r="E1187" s="73">
        <v>3</v>
      </c>
      <c r="F1187" s="299">
        <f>ROUND(D1187*E1187,2)</f>
        <v>3.69</v>
      </c>
      <c r="K1187" s="115"/>
    </row>
    <row r="1188" spans="2:15" x14ac:dyDescent="0.3">
      <c r="C1188" s="15" t="str">
        <f>C1184</f>
        <v>Сестра медична з фізіотерапії</v>
      </c>
      <c r="D1188" s="78">
        <f>J1184</f>
        <v>0.85</v>
      </c>
      <c r="E1188" s="73">
        <v>20</v>
      </c>
      <c r="F1188" s="299">
        <f>ROUND(D1188*E1188,2)</f>
        <v>17</v>
      </c>
      <c r="K1188" s="115"/>
    </row>
    <row r="1189" spans="2:15" x14ac:dyDescent="0.3">
      <c r="D1189" s="19"/>
      <c r="K1189" s="115"/>
    </row>
    <row r="1190" spans="2:15" x14ac:dyDescent="0.3">
      <c r="C1190" s="17" t="s">
        <v>933</v>
      </c>
      <c r="D1190" s="78">
        <f>F1187+F1188</f>
        <v>20.69</v>
      </c>
      <c r="E1190" s="300">
        <v>0.22</v>
      </c>
      <c r="F1190" s="301">
        <f>ROUND(D1190*E1190,2)</f>
        <v>4.55</v>
      </c>
      <c r="K1190" s="115"/>
    </row>
    <row r="1191" spans="2:15" x14ac:dyDescent="0.3">
      <c r="K1191" s="115"/>
    </row>
    <row r="1192" spans="2:15" x14ac:dyDescent="0.3">
      <c r="C1192" s="12" t="s">
        <v>946</v>
      </c>
      <c r="D1192" s="227"/>
      <c r="E1192" s="227"/>
      <c r="F1192" s="227">
        <f>G1205</f>
        <v>38.43</v>
      </c>
      <c r="G1192" s="227" t="s">
        <v>971</v>
      </c>
      <c r="K1192" s="115"/>
    </row>
    <row r="1193" spans="2:15" x14ac:dyDescent="0.3">
      <c r="K1193" s="115"/>
    </row>
    <row r="1194" spans="2:15" x14ac:dyDescent="0.3">
      <c r="C1194" s="27" t="str">
        <f>C1137</f>
        <v>Диклоберл р-н д/ін 75 мг - 3 мл № 5</v>
      </c>
      <c r="D1194" s="303" t="str">
        <f>D1137</f>
        <v>мл</v>
      </c>
      <c r="E1194" s="303">
        <f>E1137</f>
        <v>0.2</v>
      </c>
      <c r="F1194" s="303">
        <f>F1137</f>
        <v>125</v>
      </c>
      <c r="G1194" s="228">
        <f>ROUND(F1194*E1194,2)</f>
        <v>25</v>
      </c>
      <c r="K1194" s="115"/>
    </row>
    <row r="1195" spans="2:15" x14ac:dyDescent="0.3">
      <c r="C1195" s="27" t="str">
        <f>C1081</f>
        <v>Гідрофільні прокладки багаторазові поверхневі</v>
      </c>
      <c r="D1195" s="303" t="str">
        <f>D1081</f>
        <v>шт</v>
      </c>
      <c r="E1195" s="303">
        <f>E1081</f>
        <v>2</v>
      </c>
      <c r="F1195" s="303">
        <f>F1081</f>
        <v>2</v>
      </c>
      <c r="G1195" s="228">
        <f t="shared" ref="G1195:G1204" si="58">ROUND(F1195*E1195,2)</f>
        <v>4</v>
      </c>
      <c r="K1195" s="115"/>
    </row>
    <row r="1196" spans="2:15" x14ac:dyDescent="0.3">
      <c r="C1196" s="27" t="str">
        <f t="shared" ref="C1196:F1204" si="59">C1139</f>
        <v>Антисептик для обробки рук</v>
      </c>
      <c r="D1196" s="303" t="str">
        <f t="shared" si="59"/>
        <v>мл</v>
      </c>
      <c r="E1196" s="303">
        <f t="shared" si="59"/>
        <v>1</v>
      </c>
      <c r="F1196" s="303">
        <f t="shared" si="59"/>
        <v>0.375</v>
      </c>
      <c r="G1196" s="228">
        <f t="shared" si="58"/>
        <v>0.38</v>
      </c>
      <c r="K1196" s="115"/>
    </row>
    <row r="1197" spans="2:15" x14ac:dyDescent="0.3">
      <c r="C1197" s="27" t="str">
        <f t="shared" si="59"/>
        <v>Антисептик швидкої дії</v>
      </c>
      <c r="D1197" s="303" t="str">
        <f t="shared" si="59"/>
        <v>мл</v>
      </c>
      <c r="E1197" s="303">
        <f t="shared" si="59"/>
        <v>1</v>
      </c>
      <c r="F1197" s="303">
        <f t="shared" si="59"/>
        <v>0.28799999999999998</v>
      </c>
      <c r="G1197" s="228">
        <f t="shared" si="58"/>
        <v>0.28999999999999998</v>
      </c>
      <c r="K1197" s="115"/>
    </row>
    <row r="1198" spans="2:15" x14ac:dyDescent="0.3">
      <c r="C1198" s="27" t="str">
        <f t="shared" si="59"/>
        <v>Вата 100 гр.</v>
      </c>
      <c r="D1198" s="303" t="str">
        <f t="shared" si="59"/>
        <v>г</v>
      </c>
      <c r="E1198" s="303">
        <f t="shared" si="59"/>
        <v>0.01</v>
      </c>
      <c r="F1198" s="303">
        <f t="shared" si="59"/>
        <v>6.72</v>
      </c>
      <c r="G1198" s="228">
        <f t="shared" si="58"/>
        <v>7.0000000000000007E-2</v>
      </c>
      <c r="K1198" s="115"/>
    </row>
    <row r="1199" spans="2:15" s="184" customFormat="1" x14ac:dyDescent="0.3">
      <c r="B1199" s="672"/>
      <c r="C1199" s="27" t="str">
        <f t="shared" si="59"/>
        <v>Деззасоби</v>
      </c>
      <c r="D1199" s="303" t="str">
        <f t="shared" si="59"/>
        <v>г</v>
      </c>
      <c r="E1199" s="303">
        <f t="shared" si="59"/>
        <v>0.5</v>
      </c>
      <c r="F1199" s="303">
        <f t="shared" si="59"/>
        <v>0.5</v>
      </c>
      <c r="G1199" s="228">
        <f t="shared" si="58"/>
        <v>0.25</v>
      </c>
      <c r="H1199" s="336"/>
      <c r="I1199" s="336"/>
      <c r="J1199" s="336"/>
      <c r="K1199" s="115"/>
      <c r="L1199" s="189"/>
      <c r="M1199" s="637"/>
      <c r="N1199" s="180"/>
      <c r="O1199" s="180"/>
    </row>
    <row r="1200" spans="2:15" x14ac:dyDescent="0.3">
      <c r="C1200" s="27" t="str">
        <f t="shared" si="59"/>
        <v>Маска одноразова тришарова на резинці</v>
      </c>
      <c r="D1200" s="303" t="str">
        <f t="shared" si="59"/>
        <v>шт</v>
      </c>
      <c r="E1200" s="303">
        <f t="shared" si="59"/>
        <v>1</v>
      </c>
      <c r="F1200" s="303">
        <f t="shared" si="59"/>
        <v>2</v>
      </c>
      <c r="G1200" s="228">
        <f t="shared" si="58"/>
        <v>2</v>
      </c>
      <c r="K1200" s="115"/>
    </row>
    <row r="1201" spans="2:15" x14ac:dyDescent="0.3">
      <c r="C1201" s="27" t="str">
        <f t="shared" si="59"/>
        <v>Мило рідке</v>
      </c>
      <c r="D1201" s="303" t="str">
        <f t="shared" si="59"/>
        <v>мл</v>
      </c>
      <c r="E1201" s="303">
        <f t="shared" si="59"/>
        <v>1</v>
      </c>
      <c r="F1201" s="303">
        <f t="shared" si="59"/>
        <v>0.19600000000000001</v>
      </c>
      <c r="G1201" s="228">
        <f t="shared" si="58"/>
        <v>0.2</v>
      </c>
      <c r="K1201" s="115"/>
    </row>
    <row r="1202" spans="2:15" s="184" customFormat="1" x14ac:dyDescent="0.3">
      <c r="B1202" s="672"/>
      <c r="C1202" s="27" t="str">
        <f t="shared" si="59"/>
        <v>Рукавиці не стерильні</v>
      </c>
      <c r="D1202" s="303" t="str">
        <f t="shared" si="59"/>
        <v>пара</v>
      </c>
      <c r="E1202" s="303">
        <f t="shared" si="59"/>
        <v>0.1</v>
      </c>
      <c r="F1202" s="303">
        <f t="shared" si="59"/>
        <v>7.39</v>
      </c>
      <c r="G1202" s="228">
        <f t="shared" si="58"/>
        <v>0.74</v>
      </c>
      <c r="H1202" s="336"/>
      <c r="I1202" s="336"/>
      <c r="J1202" s="336"/>
      <c r="K1202" s="115"/>
      <c r="L1202" s="189"/>
      <c r="M1202" s="637"/>
      <c r="N1202" s="180"/>
      <c r="O1202" s="180"/>
    </row>
    <row r="1203" spans="2:15" s="184" customFormat="1" x14ac:dyDescent="0.3">
      <c r="B1203" s="672"/>
      <c r="C1203" s="27" t="str">
        <f t="shared" si="59"/>
        <v>Рушник паперовий</v>
      </c>
      <c r="D1203" s="303" t="str">
        <f t="shared" si="59"/>
        <v>шт</v>
      </c>
      <c r="E1203" s="303">
        <f t="shared" si="59"/>
        <v>0.3</v>
      </c>
      <c r="F1203" s="303">
        <f t="shared" si="59"/>
        <v>17.5</v>
      </c>
      <c r="G1203" s="228">
        <f t="shared" si="58"/>
        <v>5.25</v>
      </c>
      <c r="H1203" s="336"/>
      <c r="I1203" s="336"/>
      <c r="J1203" s="336"/>
      <c r="K1203" s="115"/>
      <c r="L1203" s="189"/>
      <c r="M1203" s="637"/>
      <c r="N1203" s="180"/>
      <c r="O1203" s="180"/>
    </row>
    <row r="1204" spans="2:15" x14ac:dyDescent="0.3">
      <c r="C1204" s="27" t="str">
        <f t="shared" si="59"/>
        <v xml:space="preserve">Спирт 70% 100мл </v>
      </c>
      <c r="D1204" s="303" t="str">
        <f t="shared" si="59"/>
        <v>фл/гр.</v>
      </c>
      <c r="E1204" s="303">
        <f t="shared" si="59"/>
        <v>0.01</v>
      </c>
      <c r="F1204" s="303">
        <f t="shared" si="59"/>
        <v>24.6</v>
      </c>
      <c r="G1204" s="228">
        <f t="shared" si="58"/>
        <v>0.25</v>
      </c>
      <c r="K1204" s="115"/>
    </row>
    <row r="1205" spans="2:15" x14ac:dyDescent="0.3">
      <c r="C1205" s="577" t="s">
        <v>945</v>
      </c>
      <c r="D1205" s="578"/>
      <c r="E1205" s="578"/>
      <c r="F1205" s="579"/>
      <c r="G1205" s="332">
        <f>SUM(G1194:G1204)</f>
        <v>38.43</v>
      </c>
      <c r="K1205" s="115"/>
    </row>
    <row r="1206" spans="2:15" x14ac:dyDescent="0.3">
      <c r="K1206" s="115"/>
    </row>
    <row r="1207" spans="2:15" x14ac:dyDescent="0.3">
      <c r="C1207" s="12" t="s">
        <v>968</v>
      </c>
      <c r="D1207" s="227"/>
      <c r="E1207" s="227"/>
      <c r="F1207" s="298">
        <f>H1210</f>
        <v>0.2</v>
      </c>
      <c r="G1207" s="227" t="s">
        <v>971</v>
      </c>
      <c r="K1207" s="115"/>
    </row>
    <row r="1208" spans="2:15" x14ac:dyDescent="0.3">
      <c r="C1208" s="22"/>
      <c r="D1208" s="36"/>
      <c r="E1208" s="36"/>
      <c r="F1208" s="302"/>
      <c r="G1208" s="36"/>
      <c r="K1208" s="115"/>
    </row>
    <row r="1209" spans="2:15" ht="27.6" x14ac:dyDescent="0.3">
      <c r="C1209" s="14" t="s">
        <v>513</v>
      </c>
      <c r="D1209" s="14" t="s">
        <v>969</v>
      </c>
      <c r="E1209" s="14" t="s">
        <v>516</v>
      </c>
      <c r="F1209" s="14" t="s">
        <v>970</v>
      </c>
      <c r="G1209" s="14" t="s">
        <v>930</v>
      </c>
      <c r="H1209" s="14" t="s">
        <v>961</v>
      </c>
      <c r="K1209" s="115"/>
    </row>
    <row r="1210" spans="2:15" x14ac:dyDescent="0.3">
      <c r="C1210" s="17" t="s">
        <v>1107</v>
      </c>
      <c r="D1210" s="73">
        <f>D1096</f>
        <v>7000</v>
      </c>
      <c r="E1210" s="73">
        <v>12562.55</v>
      </c>
      <c r="F1210" s="73">
        <f>ROUND((D1210/E1210)/60,2)</f>
        <v>0.01</v>
      </c>
      <c r="G1210" s="73">
        <f>E1188</f>
        <v>20</v>
      </c>
      <c r="H1210" s="78">
        <f>ROUND(F1210*G1210,2)</f>
        <v>0.2</v>
      </c>
      <c r="I1210" s="333"/>
      <c r="K1210" s="115"/>
    </row>
    <row r="1211" spans="2:15" x14ac:dyDescent="0.3">
      <c r="K1211" s="115"/>
    </row>
    <row r="1212" spans="2:15" x14ac:dyDescent="0.3">
      <c r="C1212" s="12" t="s">
        <v>948</v>
      </c>
      <c r="D1212" s="227"/>
      <c r="E1212" s="227"/>
      <c r="F1212" s="298">
        <f>H1225</f>
        <v>2.7600000000000002</v>
      </c>
      <c r="G1212" s="227" t="s">
        <v>971</v>
      </c>
      <c r="K1212" s="115"/>
    </row>
    <row r="1213" spans="2:15" x14ac:dyDescent="0.3">
      <c r="C1213" s="22"/>
      <c r="D1213" s="36"/>
      <c r="E1213" s="36"/>
      <c r="F1213" s="302"/>
      <c r="K1213" s="115"/>
    </row>
    <row r="1214" spans="2:15" ht="27.6" x14ac:dyDescent="0.3">
      <c r="C1214" s="14" t="s">
        <v>948</v>
      </c>
      <c r="D1214" s="14" t="s">
        <v>1110</v>
      </c>
      <c r="E1214" s="14" t="s">
        <v>516</v>
      </c>
      <c r="F1214" s="14" t="s">
        <v>954</v>
      </c>
      <c r="G1214" s="14" t="s">
        <v>930</v>
      </c>
      <c r="H1214" s="14" t="s">
        <v>1111</v>
      </c>
      <c r="K1214" s="115"/>
    </row>
    <row r="1215" spans="2:15" x14ac:dyDescent="0.3">
      <c r="C1215" s="14" t="str">
        <f>C1183</f>
        <v>Лікар-фізіотерапевт</v>
      </c>
      <c r="D1215" s="14"/>
      <c r="E1215" s="14"/>
      <c r="F1215" s="14"/>
      <c r="G1215" s="14"/>
      <c r="H1215" s="14"/>
      <c r="K1215" s="115"/>
    </row>
    <row r="1216" spans="2:15" x14ac:dyDescent="0.3">
      <c r="C1216" s="17" t="s">
        <v>951</v>
      </c>
      <c r="D1216" s="221">
        <f>D1102</f>
        <v>12188.608008565312</v>
      </c>
      <c r="E1216" s="73">
        <f>I1183</f>
        <v>1932.7</v>
      </c>
      <c r="F1216" s="73">
        <f>ROUND((D1216/E1216)/60,2)</f>
        <v>0.11</v>
      </c>
      <c r="G1216" s="73">
        <f>E1187</f>
        <v>3</v>
      </c>
      <c r="H1216" s="78">
        <f>ROUND(F1216*G1216,2)</f>
        <v>0.33</v>
      </c>
      <c r="K1216" s="115"/>
    </row>
    <row r="1217" spans="3:11" x14ac:dyDescent="0.3">
      <c r="C1217" s="17" t="s">
        <v>952</v>
      </c>
      <c r="D1217" s="221">
        <f>D1103</f>
        <v>53.149721627408987</v>
      </c>
      <c r="E1217" s="73">
        <f>I1183</f>
        <v>1932.7</v>
      </c>
      <c r="F1217" s="73">
        <f>ROUND((D1217/E1217)/60,2)</f>
        <v>0</v>
      </c>
      <c r="G1217" s="73">
        <f>E1187</f>
        <v>3</v>
      </c>
      <c r="H1217" s="78">
        <f>ROUND(F1217*G1217,2)</f>
        <v>0</v>
      </c>
      <c r="K1217" s="115"/>
    </row>
    <row r="1218" spans="3:11" x14ac:dyDescent="0.3">
      <c r="C1218" s="17" t="s">
        <v>953</v>
      </c>
      <c r="D1218" s="221">
        <f>D1104</f>
        <v>374.98368308351178</v>
      </c>
      <c r="E1218" s="73">
        <f>I1183</f>
        <v>1932.7</v>
      </c>
      <c r="F1218" s="73">
        <f>ROUND((D1218/E1218)/60,2)</f>
        <v>0</v>
      </c>
      <c r="G1218" s="73">
        <f>E1187</f>
        <v>3</v>
      </c>
      <c r="H1218" s="78">
        <f>ROUND(F1218*G1218,2)</f>
        <v>0</v>
      </c>
      <c r="K1218" s="115"/>
    </row>
    <row r="1219" spans="3:11" x14ac:dyDescent="0.3">
      <c r="C1219" s="17" t="s">
        <v>1109</v>
      </c>
      <c r="D1219" s="221">
        <f>D1105</f>
        <v>1686.0389293361886</v>
      </c>
      <c r="E1219" s="73">
        <f>I1183</f>
        <v>1932.7</v>
      </c>
      <c r="F1219" s="73">
        <f>ROUND((D1219/E1219)/60,2)</f>
        <v>0.01</v>
      </c>
      <c r="G1219" s="73">
        <f>E1187</f>
        <v>3</v>
      </c>
      <c r="H1219" s="78">
        <f>ROUND(F1219*G1219,2)</f>
        <v>0.03</v>
      </c>
      <c r="K1219" s="115"/>
    </row>
    <row r="1220" spans="3:11" x14ac:dyDescent="0.3">
      <c r="C1220" s="14" t="str">
        <f>C1184</f>
        <v>Сестра медична з фізіотерапії</v>
      </c>
      <c r="D1220" s="14"/>
      <c r="E1220" s="14"/>
      <c r="F1220" s="14"/>
      <c r="G1220" s="14"/>
      <c r="H1220" s="14"/>
      <c r="K1220" s="115"/>
    </row>
    <row r="1221" spans="3:11" x14ac:dyDescent="0.3">
      <c r="C1221" s="17" t="s">
        <v>951</v>
      </c>
      <c r="D1221" s="221">
        <f>D1216</f>
        <v>12188.608008565312</v>
      </c>
      <c r="E1221" s="73">
        <f>I1184</f>
        <v>1932.7</v>
      </c>
      <c r="F1221" s="73">
        <f>ROUND((D1221/E1221)/60,2)</f>
        <v>0.11</v>
      </c>
      <c r="G1221" s="73">
        <f>E1188</f>
        <v>20</v>
      </c>
      <c r="H1221" s="78">
        <f>ROUND(F1221*G1221,2)</f>
        <v>2.2000000000000002</v>
      </c>
      <c r="K1221" s="115"/>
    </row>
    <row r="1222" spans="3:11" x14ac:dyDescent="0.3">
      <c r="C1222" s="17" t="s">
        <v>952</v>
      </c>
      <c r="D1222" s="221">
        <f>D1217</f>
        <v>53.149721627408987</v>
      </c>
      <c r="E1222" s="73">
        <f>I1184</f>
        <v>1932.7</v>
      </c>
      <c r="F1222" s="73">
        <f>ROUND((D1222/E1222)/60,2)</f>
        <v>0</v>
      </c>
      <c r="G1222" s="73">
        <f>E1188</f>
        <v>20</v>
      </c>
      <c r="H1222" s="78">
        <f>ROUND(F1222*G1222,2)</f>
        <v>0</v>
      </c>
      <c r="K1222" s="115"/>
    </row>
    <row r="1223" spans="3:11" x14ac:dyDescent="0.3">
      <c r="C1223" s="17" t="s">
        <v>953</v>
      </c>
      <c r="D1223" s="221">
        <f>D1218</f>
        <v>374.98368308351178</v>
      </c>
      <c r="E1223" s="73">
        <f>I1184</f>
        <v>1932.7</v>
      </c>
      <c r="F1223" s="73">
        <f>ROUND((D1223/E1223)/60,2)</f>
        <v>0</v>
      </c>
      <c r="G1223" s="73">
        <f>E1188</f>
        <v>20</v>
      </c>
      <c r="H1223" s="78">
        <f>ROUND(F1223*G1223,2)</f>
        <v>0</v>
      </c>
      <c r="K1223" s="115"/>
    </row>
    <row r="1224" spans="3:11" x14ac:dyDescent="0.3">
      <c r="C1224" s="17" t="s">
        <v>1109</v>
      </c>
      <c r="D1224" s="221">
        <f>D1219</f>
        <v>1686.0389293361886</v>
      </c>
      <c r="E1224" s="73">
        <f>I1184</f>
        <v>1932.7</v>
      </c>
      <c r="F1224" s="73">
        <f>ROUND((D1224/E1224)/60,2)</f>
        <v>0.01</v>
      </c>
      <c r="G1224" s="73">
        <f>E1188</f>
        <v>20</v>
      </c>
      <c r="H1224" s="78">
        <f>ROUND(F1224*G1224,2)</f>
        <v>0.2</v>
      </c>
      <c r="K1224" s="115"/>
    </row>
    <row r="1225" spans="3:11" x14ac:dyDescent="0.3">
      <c r="C1225" s="576" t="s">
        <v>957</v>
      </c>
      <c r="D1225" s="576"/>
      <c r="E1225" s="576"/>
      <c r="F1225" s="576"/>
      <c r="G1225" s="576"/>
      <c r="H1225" s="299">
        <f>SUM(H1216:H1224)</f>
        <v>2.7600000000000002</v>
      </c>
      <c r="K1225" s="115"/>
    </row>
    <row r="1226" spans="3:11" x14ac:dyDescent="0.3">
      <c r="K1226" s="115"/>
    </row>
    <row r="1227" spans="3:11" x14ac:dyDescent="0.3">
      <c r="K1227" s="115"/>
    </row>
    <row r="1228" spans="3:11" x14ac:dyDescent="0.3">
      <c r="C1228" s="379" t="s">
        <v>959</v>
      </c>
      <c r="D1228" s="286"/>
      <c r="E1228" s="286"/>
      <c r="F1228" s="286"/>
      <c r="G1228" s="287"/>
      <c r="H1228" s="334">
        <f>F1180+F1192+F1212+F1207</f>
        <v>66.63000000000001</v>
      </c>
      <c r="K1228" s="115"/>
    </row>
    <row r="1229" spans="3:11" x14ac:dyDescent="0.3">
      <c r="C1229" s="33"/>
      <c r="D1229" s="33"/>
      <c r="E1229" s="33"/>
      <c r="F1229" s="33"/>
      <c r="G1229" s="33"/>
      <c r="H1229" s="335"/>
      <c r="K1229" s="115"/>
    </row>
    <row r="1230" spans="3:11" x14ac:dyDescent="0.3">
      <c r="C1230" s="379" t="s">
        <v>960</v>
      </c>
      <c r="D1230" s="286"/>
      <c r="E1230" s="286"/>
      <c r="F1230" s="286"/>
      <c r="G1230" s="287"/>
      <c r="H1230" s="334">
        <f>ROUND(H1228,0)</f>
        <v>67</v>
      </c>
      <c r="K1230" s="115"/>
    </row>
    <row r="1231" spans="3:11" x14ac:dyDescent="0.3">
      <c r="C1231" s="33"/>
      <c r="D1231" s="33"/>
      <c r="E1231" s="33"/>
      <c r="F1231" s="33"/>
      <c r="G1231" s="33"/>
      <c r="H1231" s="335"/>
      <c r="K1231" s="115"/>
    </row>
    <row r="1232" spans="3:11" x14ac:dyDescent="0.3">
      <c r="K1232" s="115"/>
    </row>
    <row r="1233" spans="2:15" s="54" customFormat="1" ht="19.8" x14ac:dyDescent="0.4">
      <c r="B1233" s="1016" t="s">
        <v>958</v>
      </c>
      <c r="C1233" s="1016"/>
      <c r="D1233" s="1016"/>
      <c r="E1233" s="1016"/>
      <c r="F1233" s="1016"/>
      <c r="G1233" s="1016"/>
      <c r="H1233" s="1016"/>
      <c r="I1233" s="1016"/>
      <c r="J1233" s="1016"/>
      <c r="K1233" s="115"/>
      <c r="L1233" s="114"/>
      <c r="M1233" s="636"/>
      <c r="N1233" s="7"/>
      <c r="O1233" s="53"/>
    </row>
    <row r="1234" spans="2:15" ht="3" customHeight="1" x14ac:dyDescent="0.3">
      <c r="K1234" s="115"/>
    </row>
    <row r="1235" spans="2:15" s="54" customFormat="1" ht="36.75" customHeight="1" x14ac:dyDescent="0.4">
      <c r="B1235" s="673" t="s">
        <v>432</v>
      </c>
      <c r="C1235" s="1017" t="s">
        <v>444</v>
      </c>
      <c r="D1235" s="1017"/>
      <c r="E1235" s="1017"/>
      <c r="F1235" s="653">
        <f>H1287</f>
        <v>70</v>
      </c>
      <c r="G1235" s="296" t="s">
        <v>971</v>
      </c>
      <c r="H1235" s="225"/>
      <c r="I1235" s="225"/>
      <c r="J1235" s="225"/>
      <c r="K1235" s="115"/>
      <c r="L1235" s="114"/>
      <c r="M1235" s="636"/>
      <c r="N1235" s="7"/>
      <c r="O1235" s="53"/>
    </row>
    <row r="1236" spans="2:15" ht="16.5" customHeight="1" x14ac:dyDescent="0.3">
      <c r="K1236" s="115"/>
    </row>
    <row r="1237" spans="2:15" x14ac:dyDescent="0.3">
      <c r="C1237" s="575" t="s">
        <v>932</v>
      </c>
      <c r="D1237" s="575"/>
      <c r="E1237" s="297"/>
      <c r="F1237" s="298">
        <f>F1244+F1247+F1245</f>
        <v>25.240000000000002</v>
      </c>
      <c r="G1237" s="227" t="s">
        <v>971</v>
      </c>
      <c r="K1237" s="115"/>
    </row>
    <row r="1238" spans="2:15" x14ac:dyDescent="0.3">
      <c r="K1238" s="115"/>
    </row>
    <row r="1239" spans="2:15" ht="27.6" x14ac:dyDescent="0.3">
      <c r="C1239" s="13" t="s">
        <v>929</v>
      </c>
      <c r="D1239" s="14" t="s">
        <v>928</v>
      </c>
      <c r="E1239" s="14" t="s">
        <v>514</v>
      </c>
      <c r="F1239" s="14" t="s">
        <v>515</v>
      </c>
      <c r="G1239" s="14" t="s">
        <v>962</v>
      </c>
      <c r="H1239" s="14" t="s">
        <v>926</v>
      </c>
      <c r="I1239" s="14" t="s">
        <v>516</v>
      </c>
      <c r="J1239" s="14" t="s">
        <v>961</v>
      </c>
      <c r="K1239" s="115"/>
    </row>
    <row r="1240" spans="2:15" x14ac:dyDescent="0.3">
      <c r="C1240" s="17" t="str">
        <f t="shared" ref="C1240:G1241" si="60">C1183</f>
        <v>Лікар-фізіотерапевт</v>
      </c>
      <c r="D1240" s="221">
        <f t="shared" si="60"/>
        <v>10799.43</v>
      </c>
      <c r="E1240" s="221">
        <f t="shared" si="60"/>
        <v>129593.16</v>
      </c>
      <c r="F1240" s="221">
        <f t="shared" si="60"/>
        <v>8307.26</v>
      </c>
      <c r="G1240" s="221">
        <f t="shared" si="60"/>
        <v>4153.63</v>
      </c>
      <c r="H1240" s="221">
        <f>E1240+F1240+G1240</f>
        <v>142054.05000000002</v>
      </c>
      <c r="I1240" s="73">
        <v>1932.7</v>
      </c>
      <c r="J1240" s="78">
        <f>ROUND((H1240/I1240)/60,2)</f>
        <v>1.23</v>
      </c>
      <c r="K1240" s="115"/>
    </row>
    <row r="1241" spans="2:15" x14ac:dyDescent="0.3">
      <c r="C1241" s="17" t="str">
        <f t="shared" si="60"/>
        <v>Сестра медична з фізіотерапії</v>
      </c>
      <c r="D1241" s="221">
        <f t="shared" si="60"/>
        <v>7482.48</v>
      </c>
      <c r="E1241" s="221">
        <f t="shared" si="60"/>
        <v>89789.759999999995</v>
      </c>
      <c r="F1241" s="221">
        <f t="shared" si="60"/>
        <v>5755.75</v>
      </c>
      <c r="G1241" s="221">
        <f t="shared" si="60"/>
        <v>2877.875</v>
      </c>
      <c r="H1241" s="221">
        <f>E1241+F1241+G1241</f>
        <v>98423.384999999995</v>
      </c>
      <c r="I1241" s="73">
        <v>1932.7</v>
      </c>
      <c r="J1241" s="78">
        <f>ROUND((H1241/I1241)/60,2)</f>
        <v>0.85</v>
      </c>
      <c r="K1241" s="115"/>
    </row>
    <row r="1242" spans="2:15" x14ac:dyDescent="0.3">
      <c r="K1242" s="115"/>
    </row>
    <row r="1243" spans="2:15" ht="27.6" x14ac:dyDescent="0.3">
      <c r="C1243" s="13" t="s">
        <v>929</v>
      </c>
      <c r="D1243" s="14" t="s">
        <v>961</v>
      </c>
      <c r="E1243" s="14" t="s">
        <v>930</v>
      </c>
      <c r="F1243" s="14" t="s">
        <v>931</v>
      </c>
      <c r="K1243" s="115"/>
    </row>
    <row r="1244" spans="2:15" x14ac:dyDescent="0.3">
      <c r="C1244" s="15" t="str">
        <f>C1240</f>
        <v>Лікар-фізіотерапевт</v>
      </c>
      <c r="D1244" s="78">
        <f>J1240</f>
        <v>1.23</v>
      </c>
      <c r="E1244" s="73">
        <v>3</v>
      </c>
      <c r="F1244" s="299">
        <f>ROUND(D1244*E1244,2)</f>
        <v>3.69</v>
      </c>
      <c r="K1244" s="115"/>
    </row>
    <row r="1245" spans="2:15" x14ac:dyDescent="0.3">
      <c r="C1245" s="15" t="str">
        <f>C1241</f>
        <v>Сестра медична з фізіотерапії</v>
      </c>
      <c r="D1245" s="78">
        <f>J1241</f>
        <v>0.85</v>
      </c>
      <c r="E1245" s="73">
        <v>20</v>
      </c>
      <c r="F1245" s="299">
        <f>ROUND(D1245*E1245,2)</f>
        <v>17</v>
      </c>
      <c r="K1245" s="115"/>
    </row>
    <row r="1246" spans="2:15" x14ac:dyDescent="0.3">
      <c r="D1246" s="19"/>
      <c r="K1246" s="115"/>
    </row>
    <row r="1247" spans="2:15" x14ac:dyDescent="0.3">
      <c r="C1247" s="17" t="s">
        <v>933</v>
      </c>
      <c r="D1247" s="78">
        <f>F1244+F1245</f>
        <v>20.69</v>
      </c>
      <c r="E1247" s="300">
        <v>0.22</v>
      </c>
      <c r="F1247" s="301">
        <f>ROUND(D1247*E1247,2)</f>
        <v>4.55</v>
      </c>
      <c r="K1247" s="115"/>
    </row>
    <row r="1248" spans="2:15" x14ac:dyDescent="0.3">
      <c r="K1248" s="115"/>
    </row>
    <row r="1249" spans="2:15" x14ac:dyDescent="0.3">
      <c r="C1249" s="12" t="s">
        <v>946</v>
      </c>
      <c r="D1249" s="227"/>
      <c r="E1249" s="227"/>
      <c r="F1249" s="227">
        <f>G1262</f>
        <v>42.13000000000001</v>
      </c>
      <c r="G1249" s="227" t="s">
        <v>971</v>
      </c>
      <c r="K1249" s="115"/>
    </row>
    <row r="1250" spans="2:15" x14ac:dyDescent="0.3">
      <c r="K1250" s="115"/>
    </row>
    <row r="1251" spans="2:15" x14ac:dyDescent="0.3">
      <c r="C1251" s="27" t="str">
        <f>'МЕДИЧНІ М'!B284</f>
        <v>Диклофенак р-н д/ін 25 мг - 3 мл № 10</v>
      </c>
      <c r="D1251" s="303" t="str">
        <f>D1194</f>
        <v>мл</v>
      </c>
      <c r="E1251" s="303">
        <v>0.1</v>
      </c>
      <c r="F1251" s="303">
        <f>'МЕДИЧНІ М'!F284</f>
        <v>47</v>
      </c>
      <c r="G1251" s="228">
        <f>ROUND(F1251*E1251,2)</f>
        <v>4.7</v>
      </c>
      <c r="K1251" s="115"/>
    </row>
    <row r="1252" spans="2:15" ht="27.6" x14ac:dyDescent="0.3">
      <c r="C1252" s="27" t="str">
        <f>C1138</f>
        <v>Електроди одноразові поверхневі з гідрофільною прокладкою з целюлози прямокутні № 25</v>
      </c>
      <c r="D1252" s="303" t="str">
        <f>D1138</f>
        <v>шт</v>
      </c>
      <c r="E1252" s="303">
        <f>E1138</f>
        <v>2</v>
      </c>
      <c r="F1252" s="303">
        <f>F1138</f>
        <v>14</v>
      </c>
      <c r="G1252" s="228">
        <f t="shared" ref="G1252:G1261" si="61">ROUND(F1252*E1252,2)</f>
        <v>28</v>
      </c>
      <c r="K1252" s="115"/>
    </row>
    <row r="1253" spans="2:15" x14ac:dyDescent="0.3">
      <c r="C1253" s="27" t="str">
        <f t="shared" ref="C1253:F1261" si="62">C1196</f>
        <v>Антисептик для обробки рук</v>
      </c>
      <c r="D1253" s="303" t="str">
        <f t="shared" si="62"/>
        <v>мл</v>
      </c>
      <c r="E1253" s="303">
        <f t="shared" si="62"/>
        <v>1</v>
      </c>
      <c r="F1253" s="303">
        <f t="shared" si="62"/>
        <v>0.375</v>
      </c>
      <c r="G1253" s="228">
        <f t="shared" si="61"/>
        <v>0.38</v>
      </c>
      <c r="K1253" s="115"/>
    </row>
    <row r="1254" spans="2:15" x14ac:dyDescent="0.3">
      <c r="C1254" s="27" t="str">
        <f t="shared" si="62"/>
        <v>Антисептик швидкої дії</v>
      </c>
      <c r="D1254" s="303" t="str">
        <f t="shared" si="62"/>
        <v>мл</v>
      </c>
      <c r="E1254" s="303">
        <f t="shared" si="62"/>
        <v>1</v>
      </c>
      <c r="F1254" s="303">
        <f t="shared" si="62"/>
        <v>0.28799999999999998</v>
      </c>
      <c r="G1254" s="228">
        <f t="shared" si="61"/>
        <v>0.28999999999999998</v>
      </c>
      <c r="K1254" s="115"/>
    </row>
    <row r="1255" spans="2:15" x14ac:dyDescent="0.3">
      <c r="C1255" s="27" t="str">
        <f t="shared" si="62"/>
        <v>Вата 100 гр.</v>
      </c>
      <c r="D1255" s="303" t="str">
        <f t="shared" si="62"/>
        <v>г</v>
      </c>
      <c r="E1255" s="303">
        <f t="shared" si="62"/>
        <v>0.01</v>
      </c>
      <c r="F1255" s="303">
        <f t="shared" si="62"/>
        <v>6.72</v>
      </c>
      <c r="G1255" s="228">
        <f t="shared" si="61"/>
        <v>7.0000000000000007E-2</v>
      </c>
      <c r="K1255" s="115"/>
    </row>
    <row r="1256" spans="2:15" s="184" customFormat="1" x14ac:dyDescent="0.3">
      <c r="B1256" s="672"/>
      <c r="C1256" s="27" t="str">
        <f t="shared" si="62"/>
        <v>Деззасоби</v>
      </c>
      <c r="D1256" s="303" t="str">
        <f t="shared" si="62"/>
        <v>г</v>
      </c>
      <c r="E1256" s="303">
        <f t="shared" si="62"/>
        <v>0.5</v>
      </c>
      <c r="F1256" s="303">
        <f t="shared" si="62"/>
        <v>0.5</v>
      </c>
      <c r="G1256" s="228">
        <f t="shared" si="61"/>
        <v>0.25</v>
      </c>
      <c r="H1256" s="336"/>
      <c r="I1256" s="336"/>
      <c r="J1256" s="336"/>
      <c r="K1256" s="115"/>
      <c r="L1256" s="189"/>
      <c r="M1256" s="637"/>
      <c r="N1256" s="180"/>
      <c r="O1256" s="180"/>
    </row>
    <row r="1257" spans="2:15" x14ac:dyDescent="0.3">
      <c r="C1257" s="27" t="str">
        <f t="shared" si="62"/>
        <v>Маска одноразова тришарова на резинці</v>
      </c>
      <c r="D1257" s="303" t="str">
        <f t="shared" si="62"/>
        <v>шт</v>
      </c>
      <c r="E1257" s="303">
        <f t="shared" si="62"/>
        <v>1</v>
      </c>
      <c r="F1257" s="303">
        <f t="shared" si="62"/>
        <v>2</v>
      </c>
      <c r="G1257" s="228">
        <f t="shared" si="61"/>
        <v>2</v>
      </c>
      <c r="K1257" s="115"/>
    </row>
    <row r="1258" spans="2:15" x14ac:dyDescent="0.3">
      <c r="C1258" s="27" t="str">
        <f t="shared" si="62"/>
        <v>Мило рідке</v>
      </c>
      <c r="D1258" s="303" t="str">
        <f t="shared" si="62"/>
        <v>мл</v>
      </c>
      <c r="E1258" s="303">
        <f t="shared" si="62"/>
        <v>1</v>
      </c>
      <c r="F1258" s="303">
        <f t="shared" si="62"/>
        <v>0.19600000000000001</v>
      </c>
      <c r="G1258" s="228">
        <f t="shared" si="61"/>
        <v>0.2</v>
      </c>
      <c r="K1258" s="115"/>
    </row>
    <row r="1259" spans="2:15" s="184" customFormat="1" x14ac:dyDescent="0.3">
      <c r="B1259" s="672"/>
      <c r="C1259" s="27" t="str">
        <f t="shared" si="62"/>
        <v>Рукавиці не стерильні</v>
      </c>
      <c r="D1259" s="303" t="str">
        <f t="shared" si="62"/>
        <v>пара</v>
      </c>
      <c r="E1259" s="303">
        <f t="shared" si="62"/>
        <v>0.1</v>
      </c>
      <c r="F1259" s="303">
        <f t="shared" si="62"/>
        <v>7.39</v>
      </c>
      <c r="G1259" s="228">
        <f t="shared" si="61"/>
        <v>0.74</v>
      </c>
      <c r="H1259" s="336"/>
      <c r="I1259" s="336"/>
      <c r="J1259" s="336"/>
      <c r="K1259" s="115"/>
      <c r="L1259" s="189"/>
      <c r="M1259" s="637"/>
      <c r="N1259" s="180"/>
      <c r="O1259" s="180"/>
    </row>
    <row r="1260" spans="2:15" s="184" customFormat="1" x14ac:dyDescent="0.3">
      <c r="B1260" s="672"/>
      <c r="C1260" s="27" t="str">
        <f t="shared" si="62"/>
        <v>Рушник паперовий</v>
      </c>
      <c r="D1260" s="303" t="str">
        <f t="shared" si="62"/>
        <v>шт</v>
      </c>
      <c r="E1260" s="303">
        <f t="shared" si="62"/>
        <v>0.3</v>
      </c>
      <c r="F1260" s="303">
        <f t="shared" si="62"/>
        <v>17.5</v>
      </c>
      <c r="G1260" s="228">
        <f t="shared" si="61"/>
        <v>5.25</v>
      </c>
      <c r="H1260" s="336"/>
      <c r="I1260" s="336"/>
      <c r="J1260" s="336"/>
      <c r="K1260" s="115"/>
      <c r="L1260" s="189"/>
      <c r="M1260" s="637"/>
      <c r="N1260" s="180"/>
      <c r="O1260" s="180"/>
    </row>
    <row r="1261" spans="2:15" x14ac:dyDescent="0.3">
      <c r="C1261" s="27" t="str">
        <f t="shared" si="62"/>
        <v xml:space="preserve">Спирт 70% 100мл </v>
      </c>
      <c r="D1261" s="303" t="str">
        <f t="shared" si="62"/>
        <v>фл/гр.</v>
      </c>
      <c r="E1261" s="303">
        <f t="shared" si="62"/>
        <v>0.01</v>
      </c>
      <c r="F1261" s="303">
        <f t="shared" si="62"/>
        <v>24.6</v>
      </c>
      <c r="G1261" s="228">
        <f t="shared" si="61"/>
        <v>0.25</v>
      </c>
      <c r="K1261" s="115"/>
    </row>
    <row r="1262" spans="2:15" x14ac:dyDescent="0.3">
      <c r="C1262" s="577" t="s">
        <v>945</v>
      </c>
      <c r="D1262" s="578"/>
      <c r="E1262" s="578"/>
      <c r="F1262" s="579"/>
      <c r="G1262" s="332">
        <f>SUM(G1251:G1261)</f>
        <v>42.13000000000001</v>
      </c>
      <c r="K1262" s="115"/>
    </row>
    <row r="1263" spans="2:15" x14ac:dyDescent="0.3">
      <c r="K1263" s="115"/>
    </row>
    <row r="1264" spans="2:15" x14ac:dyDescent="0.3">
      <c r="C1264" s="12" t="s">
        <v>968</v>
      </c>
      <c r="D1264" s="227"/>
      <c r="E1264" s="227"/>
      <c r="F1264" s="298">
        <f>H1267</f>
        <v>0.2</v>
      </c>
      <c r="G1264" s="227" t="s">
        <v>971</v>
      </c>
      <c r="K1264" s="115"/>
    </row>
    <row r="1265" spans="3:11" x14ac:dyDescent="0.3">
      <c r="C1265" s="22"/>
      <c r="D1265" s="36"/>
      <c r="E1265" s="36"/>
      <c r="F1265" s="302"/>
      <c r="G1265" s="36"/>
      <c r="K1265" s="115"/>
    </row>
    <row r="1266" spans="3:11" ht="27.6" x14ac:dyDescent="0.3">
      <c r="C1266" s="14" t="s">
        <v>513</v>
      </c>
      <c r="D1266" s="14" t="s">
        <v>969</v>
      </c>
      <c r="E1266" s="14" t="s">
        <v>516</v>
      </c>
      <c r="F1266" s="14" t="s">
        <v>970</v>
      </c>
      <c r="G1266" s="14" t="s">
        <v>930</v>
      </c>
      <c r="H1266" s="14" t="s">
        <v>961</v>
      </c>
      <c r="K1266" s="115"/>
    </row>
    <row r="1267" spans="3:11" x14ac:dyDescent="0.3">
      <c r="C1267" s="17" t="s">
        <v>1107</v>
      </c>
      <c r="D1267" s="73">
        <f>D1153</f>
        <v>7000</v>
      </c>
      <c r="E1267" s="73">
        <v>12562.55</v>
      </c>
      <c r="F1267" s="73">
        <f>ROUND((D1267/E1267)/60,2)</f>
        <v>0.01</v>
      </c>
      <c r="G1267" s="73">
        <f>E1245</f>
        <v>20</v>
      </c>
      <c r="H1267" s="78">
        <f>ROUND(F1267*G1267,2)</f>
        <v>0.2</v>
      </c>
      <c r="I1267" s="333"/>
      <c r="K1267" s="115"/>
    </row>
    <row r="1268" spans="3:11" x14ac:dyDescent="0.3">
      <c r="K1268" s="115"/>
    </row>
    <row r="1269" spans="3:11" x14ac:dyDescent="0.3">
      <c r="C1269" s="12" t="s">
        <v>948</v>
      </c>
      <c r="D1269" s="227"/>
      <c r="E1269" s="227"/>
      <c r="F1269" s="298">
        <f>H1282</f>
        <v>2.7600000000000002</v>
      </c>
      <c r="G1269" s="227" t="s">
        <v>971</v>
      </c>
      <c r="K1269" s="115"/>
    </row>
    <row r="1270" spans="3:11" x14ac:dyDescent="0.3">
      <c r="C1270" s="22"/>
      <c r="D1270" s="36"/>
      <c r="E1270" s="36"/>
      <c r="F1270" s="302"/>
      <c r="K1270" s="115"/>
    </row>
    <row r="1271" spans="3:11" ht="27.6" x14ac:dyDescent="0.3">
      <c r="C1271" s="14" t="s">
        <v>948</v>
      </c>
      <c r="D1271" s="14" t="s">
        <v>1110</v>
      </c>
      <c r="E1271" s="14" t="s">
        <v>516</v>
      </c>
      <c r="F1271" s="14" t="s">
        <v>954</v>
      </c>
      <c r="G1271" s="14" t="s">
        <v>930</v>
      </c>
      <c r="H1271" s="14" t="s">
        <v>1111</v>
      </c>
      <c r="K1271" s="115"/>
    </row>
    <row r="1272" spans="3:11" x14ac:dyDescent="0.3">
      <c r="C1272" s="14" t="str">
        <f>C1240</f>
        <v>Лікар-фізіотерапевт</v>
      </c>
      <c r="D1272" s="14"/>
      <c r="E1272" s="14"/>
      <c r="F1272" s="14"/>
      <c r="G1272" s="14"/>
      <c r="H1272" s="14"/>
      <c r="K1272" s="115"/>
    </row>
    <row r="1273" spans="3:11" x14ac:dyDescent="0.3">
      <c r="C1273" s="17" t="s">
        <v>951</v>
      </c>
      <c r="D1273" s="221">
        <f>D1159</f>
        <v>12188.608008565312</v>
      </c>
      <c r="E1273" s="73">
        <f>I1240</f>
        <v>1932.7</v>
      </c>
      <c r="F1273" s="73">
        <f>ROUND((D1273/E1273)/60,2)</f>
        <v>0.11</v>
      </c>
      <c r="G1273" s="73">
        <f>E1244</f>
        <v>3</v>
      </c>
      <c r="H1273" s="78">
        <f>ROUND(F1273*G1273,2)</f>
        <v>0.33</v>
      </c>
      <c r="K1273" s="115"/>
    </row>
    <row r="1274" spans="3:11" x14ac:dyDescent="0.3">
      <c r="C1274" s="17" t="s">
        <v>952</v>
      </c>
      <c r="D1274" s="221">
        <f>D1160</f>
        <v>53.149721627408987</v>
      </c>
      <c r="E1274" s="73">
        <f>I1240</f>
        <v>1932.7</v>
      </c>
      <c r="F1274" s="73">
        <f>ROUND((D1274/E1274)/60,2)</f>
        <v>0</v>
      </c>
      <c r="G1274" s="73">
        <f>E1244</f>
        <v>3</v>
      </c>
      <c r="H1274" s="78">
        <f>ROUND(F1274*G1274,2)</f>
        <v>0</v>
      </c>
      <c r="K1274" s="115"/>
    </row>
    <row r="1275" spans="3:11" x14ac:dyDescent="0.3">
      <c r="C1275" s="17" t="s">
        <v>953</v>
      </c>
      <c r="D1275" s="221">
        <f>D1161</f>
        <v>374.98368308351178</v>
      </c>
      <c r="E1275" s="73">
        <f>I1240</f>
        <v>1932.7</v>
      </c>
      <c r="F1275" s="73">
        <f>ROUND((D1275/E1275)/60,2)</f>
        <v>0</v>
      </c>
      <c r="G1275" s="73">
        <f>E1244</f>
        <v>3</v>
      </c>
      <c r="H1275" s="78">
        <f>ROUND(F1275*G1275,2)</f>
        <v>0</v>
      </c>
      <c r="K1275" s="115"/>
    </row>
    <row r="1276" spans="3:11" x14ac:dyDescent="0.3">
      <c r="C1276" s="17" t="s">
        <v>1109</v>
      </c>
      <c r="D1276" s="221">
        <f>D1162</f>
        <v>1686.0389293361886</v>
      </c>
      <c r="E1276" s="73">
        <f>I1240</f>
        <v>1932.7</v>
      </c>
      <c r="F1276" s="73">
        <f>ROUND((D1276/E1276)/60,2)</f>
        <v>0.01</v>
      </c>
      <c r="G1276" s="73">
        <f>E1244</f>
        <v>3</v>
      </c>
      <c r="H1276" s="78">
        <f>ROUND(F1276*G1276,2)</f>
        <v>0.03</v>
      </c>
      <c r="K1276" s="115"/>
    </row>
    <row r="1277" spans="3:11" x14ac:dyDescent="0.3">
      <c r="C1277" s="14" t="str">
        <f>C1241</f>
        <v>Сестра медична з фізіотерапії</v>
      </c>
      <c r="D1277" s="14"/>
      <c r="E1277" s="14"/>
      <c r="F1277" s="14"/>
      <c r="G1277" s="14"/>
      <c r="H1277" s="14"/>
      <c r="K1277" s="115"/>
    </row>
    <row r="1278" spans="3:11" x14ac:dyDescent="0.3">
      <c r="C1278" s="17" t="s">
        <v>951</v>
      </c>
      <c r="D1278" s="221">
        <f>D1273</f>
        <v>12188.608008565312</v>
      </c>
      <c r="E1278" s="73">
        <f>I1241</f>
        <v>1932.7</v>
      </c>
      <c r="F1278" s="73">
        <f>ROUND((D1278/E1278)/60,2)</f>
        <v>0.11</v>
      </c>
      <c r="G1278" s="73">
        <f>E1245</f>
        <v>20</v>
      </c>
      <c r="H1278" s="78">
        <f>ROUND(F1278*G1278,2)</f>
        <v>2.2000000000000002</v>
      </c>
      <c r="K1278" s="115"/>
    </row>
    <row r="1279" spans="3:11" x14ac:dyDescent="0.3">
      <c r="C1279" s="17" t="s">
        <v>952</v>
      </c>
      <c r="D1279" s="221">
        <f>D1274</f>
        <v>53.149721627408987</v>
      </c>
      <c r="E1279" s="73">
        <f>I1241</f>
        <v>1932.7</v>
      </c>
      <c r="F1279" s="73">
        <f>ROUND((D1279/E1279)/60,2)</f>
        <v>0</v>
      </c>
      <c r="G1279" s="73">
        <f>E1245</f>
        <v>20</v>
      </c>
      <c r="H1279" s="78">
        <f>ROUND(F1279*G1279,2)</f>
        <v>0</v>
      </c>
      <c r="K1279" s="115"/>
    </row>
    <row r="1280" spans="3:11" x14ac:dyDescent="0.3">
      <c r="C1280" s="17" t="s">
        <v>953</v>
      </c>
      <c r="D1280" s="221">
        <f>D1275</f>
        <v>374.98368308351178</v>
      </c>
      <c r="E1280" s="73">
        <f>I1241</f>
        <v>1932.7</v>
      </c>
      <c r="F1280" s="73">
        <f>ROUND((D1280/E1280)/60,2)</f>
        <v>0</v>
      </c>
      <c r="G1280" s="73">
        <f>E1245</f>
        <v>20</v>
      </c>
      <c r="H1280" s="78">
        <f>ROUND(F1280*G1280,2)</f>
        <v>0</v>
      </c>
      <c r="K1280" s="115"/>
    </row>
    <row r="1281" spans="2:15" x14ac:dyDescent="0.3">
      <c r="C1281" s="17" t="s">
        <v>1109</v>
      </c>
      <c r="D1281" s="221">
        <f>D1276</f>
        <v>1686.0389293361886</v>
      </c>
      <c r="E1281" s="73">
        <f>I1241</f>
        <v>1932.7</v>
      </c>
      <c r="F1281" s="73">
        <f>ROUND((D1281/E1281)/60,2)</f>
        <v>0.01</v>
      </c>
      <c r="G1281" s="73">
        <f>E1245</f>
        <v>20</v>
      </c>
      <c r="H1281" s="78">
        <f>ROUND(F1281*G1281,2)</f>
        <v>0.2</v>
      </c>
      <c r="K1281" s="115"/>
    </row>
    <row r="1282" spans="2:15" x14ac:dyDescent="0.3">
      <c r="C1282" s="576" t="s">
        <v>957</v>
      </c>
      <c r="D1282" s="576"/>
      <c r="E1282" s="576"/>
      <c r="F1282" s="576"/>
      <c r="G1282" s="576"/>
      <c r="H1282" s="299">
        <f>SUM(H1273:H1281)</f>
        <v>2.7600000000000002</v>
      </c>
      <c r="K1282" s="115"/>
    </row>
    <row r="1283" spans="2:15" x14ac:dyDescent="0.3">
      <c r="K1283" s="115"/>
    </row>
    <row r="1284" spans="2:15" x14ac:dyDescent="0.3">
      <c r="K1284" s="115"/>
    </row>
    <row r="1285" spans="2:15" x14ac:dyDescent="0.3">
      <c r="C1285" s="379" t="s">
        <v>959</v>
      </c>
      <c r="D1285" s="286"/>
      <c r="E1285" s="286"/>
      <c r="F1285" s="286"/>
      <c r="G1285" s="287"/>
      <c r="H1285" s="334">
        <f>F1237+F1249+F1269+F1264</f>
        <v>70.330000000000013</v>
      </c>
      <c r="K1285" s="115"/>
    </row>
    <row r="1286" spans="2:15" x14ac:dyDescent="0.3">
      <c r="C1286" s="33"/>
      <c r="D1286" s="33"/>
      <c r="E1286" s="33"/>
      <c r="F1286" s="33"/>
      <c r="G1286" s="33"/>
      <c r="H1286" s="335"/>
      <c r="K1286" s="115"/>
    </row>
    <row r="1287" spans="2:15" x14ac:dyDescent="0.3">
      <c r="C1287" s="379" t="s">
        <v>960</v>
      </c>
      <c r="D1287" s="286"/>
      <c r="E1287" s="286"/>
      <c r="F1287" s="286"/>
      <c r="G1287" s="287"/>
      <c r="H1287" s="334">
        <f>ROUND(H1285,0)</f>
        <v>70</v>
      </c>
      <c r="K1287" s="115"/>
    </row>
    <row r="1288" spans="2:15" x14ac:dyDescent="0.3">
      <c r="C1288" s="33"/>
      <c r="D1288" s="33"/>
      <c r="E1288" s="33"/>
      <c r="F1288" s="33"/>
      <c r="G1288" s="33"/>
      <c r="H1288" s="335"/>
      <c r="K1288" s="115"/>
    </row>
    <row r="1289" spans="2:15" x14ac:dyDescent="0.3">
      <c r="K1289" s="115"/>
    </row>
    <row r="1290" spans="2:15" s="54" customFormat="1" ht="19.8" x14ac:dyDescent="0.4">
      <c r="B1290" s="1016" t="s">
        <v>958</v>
      </c>
      <c r="C1290" s="1016"/>
      <c r="D1290" s="1016"/>
      <c r="E1290" s="1016"/>
      <c r="F1290" s="1016"/>
      <c r="G1290" s="1016"/>
      <c r="H1290" s="1016"/>
      <c r="I1290" s="1016"/>
      <c r="J1290" s="1016"/>
      <c r="K1290" s="115"/>
      <c r="L1290" s="114"/>
      <c r="M1290" s="636"/>
      <c r="N1290" s="7"/>
      <c r="O1290" s="53"/>
    </row>
    <row r="1291" spans="2:15" ht="3" customHeight="1" x14ac:dyDescent="0.3">
      <c r="K1291" s="115"/>
    </row>
    <row r="1292" spans="2:15" s="54" customFormat="1" ht="36" customHeight="1" x14ac:dyDescent="0.4">
      <c r="B1292" s="673" t="s">
        <v>433</v>
      </c>
      <c r="C1292" s="1017" t="s">
        <v>445</v>
      </c>
      <c r="D1292" s="1017"/>
      <c r="E1292" s="1017"/>
      <c r="F1292" s="653">
        <f>H1344</f>
        <v>46</v>
      </c>
      <c r="G1292" s="296" t="s">
        <v>971</v>
      </c>
      <c r="H1292" s="225"/>
      <c r="I1292" s="225"/>
      <c r="J1292" s="225"/>
      <c r="K1292" s="115"/>
      <c r="L1292" s="114"/>
      <c r="M1292" s="636"/>
      <c r="N1292" s="7"/>
      <c r="O1292" s="53"/>
    </row>
    <row r="1293" spans="2:15" ht="16.5" customHeight="1" x14ac:dyDescent="0.3">
      <c r="K1293" s="115"/>
    </row>
    <row r="1294" spans="2:15" x14ac:dyDescent="0.3">
      <c r="C1294" s="575" t="s">
        <v>932</v>
      </c>
      <c r="D1294" s="575"/>
      <c r="E1294" s="297"/>
      <c r="F1294" s="298">
        <f>F1301+F1304+F1302</f>
        <v>25.240000000000002</v>
      </c>
      <c r="G1294" s="227" t="s">
        <v>971</v>
      </c>
      <c r="K1294" s="115"/>
    </row>
    <row r="1295" spans="2:15" x14ac:dyDescent="0.3">
      <c r="K1295" s="115"/>
    </row>
    <row r="1296" spans="2:15" ht="27.6" x14ac:dyDescent="0.3">
      <c r="C1296" s="13" t="s">
        <v>929</v>
      </c>
      <c r="D1296" s="14" t="s">
        <v>928</v>
      </c>
      <c r="E1296" s="14" t="s">
        <v>514</v>
      </c>
      <c r="F1296" s="14" t="s">
        <v>515</v>
      </c>
      <c r="G1296" s="14" t="s">
        <v>962</v>
      </c>
      <c r="H1296" s="14" t="s">
        <v>926</v>
      </c>
      <c r="I1296" s="14" t="s">
        <v>516</v>
      </c>
      <c r="J1296" s="14" t="s">
        <v>961</v>
      </c>
      <c r="K1296" s="115"/>
    </row>
    <row r="1297" spans="3:11" x14ac:dyDescent="0.3">
      <c r="C1297" s="17" t="str">
        <f t="shared" ref="C1297:G1298" si="63">C1240</f>
        <v>Лікар-фізіотерапевт</v>
      </c>
      <c r="D1297" s="221">
        <f t="shared" si="63"/>
        <v>10799.43</v>
      </c>
      <c r="E1297" s="221">
        <f t="shared" si="63"/>
        <v>129593.16</v>
      </c>
      <c r="F1297" s="221">
        <f t="shared" si="63"/>
        <v>8307.26</v>
      </c>
      <c r="G1297" s="221">
        <f t="shared" si="63"/>
        <v>4153.63</v>
      </c>
      <c r="H1297" s="221">
        <f>E1297+F1297+G1297</f>
        <v>142054.05000000002</v>
      </c>
      <c r="I1297" s="73">
        <v>1932.7</v>
      </c>
      <c r="J1297" s="78">
        <f>ROUND((H1297/I1297)/60,2)</f>
        <v>1.23</v>
      </c>
      <c r="K1297" s="115"/>
    </row>
    <row r="1298" spans="3:11" x14ac:dyDescent="0.3">
      <c r="C1298" s="17" t="str">
        <f t="shared" si="63"/>
        <v>Сестра медична з фізіотерапії</v>
      </c>
      <c r="D1298" s="221">
        <f t="shared" si="63"/>
        <v>7482.48</v>
      </c>
      <c r="E1298" s="221">
        <f t="shared" si="63"/>
        <v>89789.759999999995</v>
      </c>
      <c r="F1298" s="221">
        <f t="shared" si="63"/>
        <v>5755.75</v>
      </c>
      <c r="G1298" s="221">
        <f t="shared" si="63"/>
        <v>2877.875</v>
      </c>
      <c r="H1298" s="221">
        <f>E1298+F1298+G1298</f>
        <v>98423.384999999995</v>
      </c>
      <c r="I1298" s="73">
        <v>1932.7</v>
      </c>
      <c r="J1298" s="78">
        <f>ROUND((H1298/I1298)/60,2)</f>
        <v>0.85</v>
      </c>
      <c r="K1298" s="115"/>
    </row>
    <row r="1299" spans="3:11" x14ac:dyDescent="0.3">
      <c r="K1299" s="115"/>
    </row>
    <row r="1300" spans="3:11" ht="27.6" x14ac:dyDescent="0.3">
      <c r="C1300" s="13" t="s">
        <v>929</v>
      </c>
      <c r="D1300" s="14" t="s">
        <v>961</v>
      </c>
      <c r="E1300" s="14" t="s">
        <v>930</v>
      </c>
      <c r="F1300" s="14" t="s">
        <v>931</v>
      </c>
      <c r="K1300" s="115"/>
    </row>
    <row r="1301" spans="3:11" x14ac:dyDescent="0.3">
      <c r="C1301" s="15" t="str">
        <f>C1297</f>
        <v>Лікар-фізіотерапевт</v>
      </c>
      <c r="D1301" s="78">
        <f>J1297</f>
        <v>1.23</v>
      </c>
      <c r="E1301" s="73">
        <v>3</v>
      </c>
      <c r="F1301" s="299">
        <f>ROUND(D1301*E1301,2)</f>
        <v>3.69</v>
      </c>
      <c r="K1301" s="115"/>
    </row>
    <row r="1302" spans="3:11" x14ac:dyDescent="0.3">
      <c r="C1302" s="15" t="str">
        <f>C1298</f>
        <v>Сестра медична з фізіотерапії</v>
      </c>
      <c r="D1302" s="78">
        <f>J1298</f>
        <v>0.85</v>
      </c>
      <c r="E1302" s="73">
        <v>20</v>
      </c>
      <c r="F1302" s="299">
        <f>ROUND(D1302*E1302,2)</f>
        <v>17</v>
      </c>
      <c r="K1302" s="115"/>
    </row>
    <row r="1303" spans="3:11" x14ac:dyDescent="0.3">
      <c r="D1303" s="19"/>
      <c r="K1303" s="115"/>
    </row>
    <row r="1304" spans="3:11" x14ac:dyDescent="0.3">
      <c r="C1304" s="17" t="s">
        <v>933</v>
      </c>
      <c r="D1304" s="78">
        <f>F1301+F1302</f>
        <v>20.69</v>
      </c>
      <c r="E1304" s="300">
        <v>0.22</v>
      </c>
      <c r="F1304" s="301">
        <f>ROUND(D1304*E1304,2)</f>
        <v>4.55</v>
      </c>
      <c r="K1304" s="115"/>
    </row>
    <row r="1305" spans="3:11" x14ac:dyDescent="0.3">
      <c r="K1305" s="115"/>
    </row>
    <row r="1306" spans="3:11" x14ac:dyDescent="0.3">
      <c r="C1306" s="12" t="s">
        <v>946</v>
      </c>
      <c r="D1306" s="227"/>
      <c r="E1306" s="227"/>
      <c r="F1306" s="227">
        <f>G1319</f>
        <v>18.13</v>
      </c>
      <c r="G1306" s="227" t="s">
        <v>971</v>
      </c>
      <c r="K1306" s="115"/>
    </row>
    <row r="1307" spans="3:11" x14ac:dyDescent="0.3">
      <c r="K1307" s="115"/>
    </row>
    <row r="1308" spans="3:11" x14ac:dyDescent="0.3">
      <c r="C1308" s="27" t="str">
        <f>C1251</f>
        <v>Диклофенак р-н д/ін 25 мг - 3 мл № 10</v>
      </c>
      <c r="D1308" s="303" t="str">
        <f>D1251</f>
        <v>мл</v>
      </c>
      <c r="E1308" s="303">
        <f>E1251</f>
        <v>0.1</v>
      </c>
      <c r="F1308" s="303">
        <f>F1251</f>
        <v>47</v>
      </c>
      <c r="G1308" s="228">
        <f>ROUND(F1308*E1308,2)</f>
        <v>4.7</v>
      </c>
      <c r="K1308" s="115"/>
    </row>
    <row r="1309" spans="3:11" x14ac:dyDescent="0.3">
      <c r="C1309" s="27" t="str">
        <f>C1195</f>
        <v>Гідрофільні прокладки багаторазові поверхневі</v>
      </c>
      <c r="D1309" s="303" t="str">
        <f>D1195</f>
        <v>шт</v>
      </c>
      <c r="E1309" s="303">
        <f>E1195</f>
        <v>2</v>
      </c>
      <c r="F1309" s="303">
        <f>F1195</f>
        <v>2</v>
      </c>
      <c r="G1309" s="228">
        <f t="shared" ref="G1309:G1318" si="64">ROUND(F1309*E1309,2)</f>
        <v>4</v>
      </c>
      <c r="K1309" s="115"/>
    </row>
    <row r="1310" spans="3:11" x14ac:dyDescent="0.3">
      <c r="C1310" s="27" t="str">
        <f t="shared" ref="C1310:F1318" si="65">C1253</f>
        <v>Антисептик для обробки рук</v>
      </c>
      <c r="D1310" s="303" t="str">
        <f t="shared" si="65"/>
        <v>мл</v>
      </c>
      <c r="E1310" s="303">
        <f t="shared" si="65"/>
        <v>1</v>
      </c>
      <c r="F1310" s="303">
        <f t="shared" si="65"/>
        <v>0.375</v>
      </c>
      <c r="G1310" s="228">
        <f t="shared" si="64"/>
        <v>0.38</v>
      </c>
      <c r="K1310" s="115"/>
    </row>
    <row r="1311" spans="3:11" x14ac:dyDescent="0.3">
      <c r="C1311" s="27" t="str">
        <f t="shared" si="65"/>
        <v>Антисептик швидкої дії</v>
      </c>
      <c r="D1311" s="303" t="str">
        <f t="shared" si="65"/>
        <v>мл</v>
      </c>
      <c r="E1311" s="303">
        <f t="shared" si="65"/>
        <v>1</v>
      </c>
      <c r="F1311" s="303">
        <f t="shared" si="65"/>
        <v>0.28799999999999998</v>
      </c>
      <c r="G1311" s="228">
        <f t="shared" si="64"/>
        <v>0.28999999999999998</v>
      </c>
      <c r="K1311" s="115"/>
    </row>
    <row r="1312" spans="3:11" x14ac:dyDescent="0.3">
      <c r="C1312" s="27" t="str">
        <f t="shared" si="65"/>
        <v>Вата 100 гр.</v>
      </c>
      <c r="D1312" s="303" t="str">
        <f t="shared" si="65"/>
        <v>г</v>
      </c>
      <c r="E1312" s="303">
        <f t="shared" si="65"/>
        <v>0.01</v>
      </c>
      <c r="F1312" s="303">
        <f t="shared" si="65"/>
        <v>6.72</v>
      </c>
      <c r="G1312" s="228">
        <f t="shared" si="64"/>
        <v>7.0000000000000007E-2</v>
      </c>
      <c r="K1312" s="115"/>
    </row>
    <row r="1313" spans="2:15" s="184" customFormat="1" x14ac:dyDescent="0.3">
      <c r="B1313" s="672"/>
      <c r="C1313" s="27" t="str">
        <f t="shared" si="65"/>
        <v>Деззасоби</v>
      </c>
      <c r="D1313" s="303" t="str">
        <f t="shared" si="65"/>
        <v>г</v>
      </c>
      <c r="E1313" s="303">
        <f t="shared" si="65"/>
        <v>0.5</v>
      </c>
      <c r="F1313" s="303">
        <f t="shared" si="65"/>
        <v>0.5</v>
      </c>
      <c r="G1313" s="228">
        <f t="shared" si="64"/>
        <v>0.25</v>
      </c>
      <c r="H1313" s="336"/>
      <c r="I1313" s="336"/>
      <c r="J1313" s="336"/>
      <c r="K1313" s="115"/>
      <c r="L1313" s="189"/>
      <c r="M1313" s="637"/>
      <c r="N1313" s="180"/>
      <c r="O1313" s="180"/>
    </row>
    <row r="1314" spans="2:15" x14ac:dyDescent="0.3">
      <c r="C1314" s="27" t="str">
        <f t="shared" si="65"/>
        <v>Маска одноразова тришарова на резинці</v>
      </c>
      <c r="D1314" s="303" t="str">
        <f t="shared" si="65"/>
        <v>шт</v>
      </c>
      <c r="E1314" s="303">
        <f t="shared" si="65"/>
        <v>1</v>
      </c>
      <c r="F1314" s="303">
        <f t="shared" si="65"/>
        <v>2</v>
      </c>
      <c r="G1314" s="228">
        <f t="shared" si="64"/>
        <v>2</v>
      </c>
      <c r="K1314" s="115"/>
    </row>
    <row r="1315" spans="2:15" x14ac:dyDescent="0.3">
      <c r="C1315" s="27" t="str">
        <f t="shared" si="65"/>
        <v>Мило рідке</v>
      </c>
      <c r="D1315" s="303" t="str">
        <f t="shared" si="65"/>
        <v>мл</v>
      </c>
      <c r="E1315" s="303">
        <f t="shared" si="65"/>
        <v>1</v>
      </c>
      <c r="F1315" s="303">
        <f t="shared" si="65"/>
        <v>0.19600000000000001</v>
      </c>
      <c r="G1315" s="228">
        <f t="shared" si="64"/>
        <v>0.2</v>
      </c>
      <c r="K1315" s="115"/>
    </row>
    <row r="1316" spans="2:15" s="184" customFormat="1" x14ac:dyDescent="0.3">
      <c r="B1316" s="672"/>
      <c r="C1316" s="27" t="str">
        <f t="shared" si="65"/>
        <v>Рукавиці не стерильні</v>
      </c>
      <c r="D1316" s="303" t="str">
        <f t="shared" si="65"/>
        <v>пара</v>
      </c>
      <c r="E1316" s="303">
        <f t="shared" si="65"/>
        <v>0.1</v>
      </c>
      <c r="F1316" s="303">
        <f t="shared" si="65"/>
        <v>7.39</v>
      </c>
      <c r="G1316" s="228">
        <f t="shared" si="64"/>
        <v>0.74</v>
      </c>
      <c r="H1316" s="336"/>
      <c r="I1316" s="336"/>
      <c r="J1316" s="336"/>
      <c r="K1316" s="115"/>
      <c r="L1316" s="189"/>
      <c r="M1316" s="637"/>
      <c r="N1316" s="180"/>
      <c r="O1316" s="180"/>
    </row>
    <row r="1317" spans="2:15" s="184" customFormat="1" x14ac:dyDescent="0.3">
      <c r="B1317" s="672"/>
      <c r="C1317" s="27" t="str">
        <f t="shared" si="65"/>
        <v>Рушник паперовий</v>
      </c>
      <c r="D1317" s="303" t="str">
        <f t="shared" si="65"/>
        <v>шт</v>
      </c>
      <c r="E1317" s="303">
        <f t="shared" si="65"/>
        <v>0.3</v>
      </c>
      <c r="F1317" s="303">
        <f t="shared" si="65"/>
        <v>17.5</v>
      </c>
      <c r="G1317" s="228">
        <f t="shared" si="64"/>
        <v>5.25</v>
      </c>
      <c r="H1317" s="336"/>
      <c r="I1317" s="336"/>
      <c r="J1317" s="336"/>
      <c r="K1317" s="115"/>
      <c r="L1317" s="189"/>
      <c r="M1317" s="637"/>
      <c r="N1317" s="180"/>
      <c r="O1317" s="180"/>
    </row>
    <row r="1318" spans="2:15" x14ac:dyDescent="0.3">
      <c r="C1318" s="27" t="str">
        <f t="shared" si="65"/>
        <v xml:space="preserve">Спирт 70% 100мл </v>
      </c>
      <c r="D1318" s="303" t="str">
        <f t="shared" si="65"/>
        <v>фл/гр.</v>
      </c>
      <c r="E1318" s="303">
        <f t="shared" si="65"/>
        <v>0.01</v>
      </c>
      <c r="F1318" s="303">
        <f t="shared" si="65"/>
        <v>24.6</v>
      </c>
      <c r="G1318" s="228">
        <f t="shared" si="64"/>
        <v>0.25</v>
      </c>
      <c r="K1318" s="115"/>
    </row>
    <row r="1319" spans="2:15" x14ac:dyDescent="0.3">
      <c r="C1319" s="577" t="s">
        <v>945</v>
      </c>
      <c r="D1319" s="578"/>
      <c r="E1319" s="578"/>
      <c r="F1319" s="579"/>
      <c r="G1319" s="332">
        <f>SUM(G1308:G1318)</f>
        <v>18.13</v>
      </c>
      <c r="K1319" s="115"/>
    </row>
    <row r="1320" spans="2:15" x14ac:dyDescent="0.3">
      <c r="K1320" s="115"/>
    </row>
    <row r="1321" spans="2:15" x14ac:dyDescent="0.3">
      <c r="C1321" s="12" t="s">
        <v>968</v>
      </c>
      <c r="D1321" s="227"/>
      <c r="E1321" s="227"/>
      <c r="F1321" s="298">
        <f>H1324</f>
        <v>0.2</v>
      </c>
      <c r="G1321" s="227" t="s">
        <v>971</v>
      </c>
      <c r="K1321" s="115"/>
    </row>
    <row r="1322" spans="2:15" x14ac:dyDescent="0.3">
      <c r="C1322" s="22"/>
      <c r="D1322" s="36"/>
      <c r="E1322" s="36"/>
      <c r="F1322" s="302"/>
      <c r="G1322" s="36"/>
      <c r="K1322" s="115"/>
    </row>
    <row r="1323" spans="2:15" ht="27.6" x14ac:dyDescent="0.3">
      <c r="C1323" s="14" t="s">
        <v>513</v>
      </c>
      <c r="D1323" s="14" t="s">
        <v>969</v>
      </c>
      <c r="E1323" s="14" t="s">
        <v>516</v>
      </c>
      <c r="F1323" s="14" t="s">
        <v>970</v>
      </c>
      <c r="G1323" s="14" t="s">
        <v>930</v>
      </c>
      <c r="H1323" s="14" t="s">
        <v>961</v>
      </c>
      <c r="K1323" s="115"/>
    </row>
    <row r="1324" spans="2:15" x14ac:dyDescent="0.3">
      <c r="C1324" s="17" t="s">
        <v>1107</v>
      </c>
      <c r="D1324" s="73">
        <f>D1210</f>
        <v>7000</v>
      </c>
      <c r="E1324" s="73">
        <v>12562.55</v>
      </c>
      <c r="F1324" s="73">
        <f>ROUND((D1324/E1324)/60,2)</f>
        <v>0.01</v>
      </c>
      <c r="G1324" s="73">
        <f>E1302</f>
        <v>20</v>
      </c>
      <c r="H1324" s="78">
        <f>ROUND(F1324*G1324,2)</f>
        <v>0.2</v>
      </c>
      <c r="I1324" s="333"/>
      <c r="K1324" s="115"/>
    </row>
    <row r="1325" spans="2:15" x14ac:dyDescent="0.3">
      <c r="K1325" s="115"/>
    </row>
    <row r="1326" spans="2:15" x14ac:dyDescent="0.3">
      <c r="C1326" s="12" t="s">
        <v>948</v>
      </c>
      <c r="D1326" s="227"/>
      <c r="E1326" s="227"/>
      <c r="F1326" s="298">
        <f>H1339</f>
        <v>2.7600000000000002</v>
      </c>
      <c r="G1326" s="227" t="s">
        <v>971</v>
      </c>
      <c r="K1326" s="115"/>
    </row>
    <row r="1327" spans="2:15" x14ac:dyDescent="0.3">
      <c r="C1327" s="22"/>
      <c r="D1327" s="36"/>
      <c r="E1327" s="36"/>
      <c r="F1327" s="302"/>
      <c r="K1327" s="115"/>
    </row>
    <row r="1328" spans="2:15" ht="27.6" x14ac:dyDescent="0.3">
      <c r="C1328" s="14" t="s">
        <v>948</v>
      </c>
      <c r="D1328" s="14" t="s">
        <v>1110</v>
      </c>
      <c r="E1328" s="14" t="s">
        <v>516</v>
      </c>
      <c r="F1328" s="14" t="s">
        <v>954</v>
      </c>
      <c r="G1328" s="14" t="s">
        <v>930</v>
      </c>
      <c r="H1328" s="14" t="s">
        <v>1111</v>
      </c>
      <c r="K1328" s="115"/>
    </row>
    <row r="1329" spans="3:11" x14ac:dyDescent="0.3">
      <c r="C1329" s="14" t="str">
        <f>C1297</f>
        <v>Лікар-фізіотерапевт</v>
      </c>
      <c r="D1329" s="14"/>
      <c r="E1329" s="14"/>
      <c r="F1329" s="14"/>
      <c r="G1329" s="14"/>
      <c r="H1329" s="14"/>
      <c r="K1329" s="115"/>
    </row>
    <row r="1330" spans="3:11" x14ac:dyDescent="0.3">
      <c r="C1330" s="17" t="s">
        <v>951</v>
      </c>
      <c r="D1330" s="221">
        <f>D1216</f>
        <v>12188.608008565312</v>
      </c>
      <c r="E1330" s="73">
        <f>I1297</f>
        <v>1932.7</v>
      </c>
      <c r="F1330" s="73">
        <f>ROUND((D1330/E1330)/60,2)</f>
        <v>0.11</v>
      </c>
      <c r="G1330" s="73">
        <f>E1301</f>
        <v>3</v>
      </c>
      <c r="H1330" s="78">
        <f>ROUND(F1330*G1330,2)</f>
        <v>0.33</v>
      </c>
      <c r="K1330" s="115"/>
    </row>
    <row r="1331" spans="3:11" x14ac:dyDescent="0.3">
      <c r="C1331" s="17" t="s">
        <v>952</v>
      </c>
      <c r="D1331" s="221">
        <f>D1217</f>
        <v>53.149721627408987</v>
      </c>
      <c r="E1331" s="73">
        <f>I1297</f>
        <v>1932.7</v>
      </c>
      <c r="F1331" s="73">
        <f>ROUND((D1331/E1331)/60,2)</f>
        <v>0</v>
      </c>
      <c r="G1331" s="73">
        <f>E1301</f>
        <v>3</v>
      </c>
      <c r="H1331" s="78">
        <f>ROUND(F1331*G1331,2)</f>
        <v>0</v>
      </c>
      <c r="K1331" s="115"/>
    </row>
    <row r="1332" spans="3:11" x14ac:dyDescent="0.3">
      <c r="C1332" s="17" t="s">
        <v>953</v>
      </c>
      <c r="D1332" s="221">
        <f>D1218</f>
        <v>374.98368308351178</v>
      </c>
      <c r="E1332" s="73">
        <f>I1297</f>
        <v>1932.7</v>
      </c>
      <c r="F1332" s="73">
        <f>ROUND((D1332/E1332)/60,2)</f>
        <v>0</v>
      </c>
      <c r="G1332" s="73">
        <f>E1301</f>
        <v>3</v>
      </c>
      <c r="H1332" s="78">
        <f>ROUND(F1332*G1332,2)</f>
        <v>0</v>
      </c>
      <c r="K1332" s="115"/>
    </row>
    <row r="1333" spans="3:11" x14ac:dyDescent="0.3">
      <c r="C1333" s="17" t="s">
        <v>1109</v>
      </c>
      <c r="D1333" s="221">
        <f>D1219</f>
        <v>1686.0389293361886</v>
      </c>
      <c r="E1333" s="73">
        <f>I1297</f>
        <v>1932.7</v>
      </c>
      <c r="F1333" s="73">
        <f>ROUND((D1333/E1333)/60,2)</f>
        <v>0.01</v>
      </c>
      <c r="G1333" s="73">
        <f>E1301</f>
        <v>3</v>
      </c>
      <c r="H1333" s="78">
        <f>ROUND(F1333*G1333,2)</f>
        <v>0.03</v>
      </c>
      <c r="K1333" s="115"/>
    </row>
    <row r="1334" spans="3:11" x14ac:dyDescent="0.3">
      <c r="C1334" s="14" t="str">
        <f>C1298</f>
        <v>Сестра медична з фізіотерапії</v>
      </c>
      <c r="D1334" s="14"/>
      <c r="E1334" s="14"/>
      <c r="F1334" s="14"/>
      <c r="G1334" s="14"/>
      <c r="H1334" s="14"/>
      <c r="K1334" s="115"/>
    </row>
    <row r="1335" spans="3:11" x14ac:dyDescent="0.3">
      <c r="C1335" s="17" t="s">
        <v>951</v>
      </c>
      <c r="D1335" s="221">
        <f>D1330</f>
        <v>12188.608008565312</v>
      </c>
      <c r="E1335" s="73">
        <f>I1298</f>
        <v>1932.7</v>
      </c>
      <c r="F1335" s="73">
        <f>ROUND((D1335/E1335)/60,2)</f>
        <v>0.11</v>
      </c>
      <c r="G1335" s="73">
        <f>E1302</f>
        <v>20</v>
      </c>
      <c r="H1335" s="78">
        <f>ROUND(F1335*G1335,2)</f>
        <v>2.2000000000000002</v>
      </c>
      <c r="K1335" s="115"/>
    </row>
    <row r="1336" spans="3:11" x14ac:dyDescent="0.3">
      <c r="C1336" s="17" t="s">
        <v>952</v>
      </c>
      <c r="D1336" s="221">
        <f>D1331</f>
        <v>53.149721627408987</v>
      </c>
      <c r="E1336" s="73">
        <f>I1298</f>
        <v>1932.7</v>
      </c>
      <c r="F1336" s="73">
        <f>ROUND((D1336/E1336)/60,2)</f>
        <v>0</v>
      </c>
      <c r="G1336" s="73">
        <f>E1302</f>
        <v>20</v>
      </c>
      <c r="H1336" s="78">
        <f>ROUND(F1336*G1336,2)</f>
        <v>0</v>
      </c>
      <c r="K1336" s="115"/>
    </row>
    <row r="1337" spans="3:11" x14ac:dyDescent="0.3">
      <c r="C1337" s="17" t="s">
        <v>953</v>
      </c>
      <c r="D1337" s="221">
        <f>D1332</f>
        <v>374.98368308351178</v>
      </c>
      <c r="E1337" s="73">
        <f>I1298</f>
        <v>1932.7</v>
      </c>
      <c r="F1337" s="73">
        <f>ROUND((D1337/E1337)/60,2)</f>
        <v>0</v>
      </c>
      <c r="G1337" s="73">
        <f>E1302</f>
        <v>20</v>
      </c>
      <c r="H1337" s="78">
        <f>ROUND(F1337*G1337,2)</f>
        <v>0</v>
      </c>
      <c r="K1337" s="115"/>
    </row>
    <row r="1338" spans="3:11" x14ac:dyDescent="0.3">
      <c r="C1338" s="17" t="s">
        <v>1109</v>
      </c>
      <c r="D1338" s="221">
        <f>D1333</f>
        <v>1686.0389293361886</v>
      </c>
      <c r="E1338" s="73">
        <f>I1298</f>
        <v>1932.7</v>
      </c>
      <c r="F1338" s="73">
        <f>ROUND((D1338/E1338)/60,2)</f>
        <v>0.01</v>
      </c>
      <c r="G1338" s="73">
        <f>E1302</f>
        <v>20</v>
      </c>
      <c r="H1338" s="78">
        <f>ROUND(F1338*G1338,2)</f>
        <v>0.2</v>
      </c>
      <c r="K1338" s="115"/>
    </row>
    <row r="1339" spans="3:11" x14ac:dyDescent="0.3">
      <c r="C1339" s="576" t="s">
        <v>957</v>
      </c>
      <c r="D1339" s="576"/>
      <c r="E1339" s="576"/>
      <c r="F1339" s="576"/>
      <c r="G1339" s="576"/>
      <c r="H1339" s="299">
        <f>SUM(H1330:H1338)</f>
        <v>2.7600000000000002</v>
      </c>
      <c r="K1339" s="115"/>
    </row>
    <row r="1340" spans="3:11" x14ac:dyDescent="0.3">
      <c r="K1340" s="115"/>
    </row>
    <row r="1341" spans="3:11" x14ac:dyDescent="0.3">
      <c r="K1341" s="115"/>
    </row>
    <row r="1342" spans="3:11" x14ac:dyDescent="0.3">
      <c r="C1342" s="379" t="s">
        <v>959</v>
      </c>
      <c r="D1342" s="286"/>
      <c r="E1342" s="286"/>
      <c r="F1342" s="286"/>
      <c r="G1342" s="287"/>
      <c r="H1342" s="334">
        <f>F1294+F1306+F1326+F1321</f>
        <v>46.330000000000005</v>
      </c>
      <c r="K1342" s="115"/>
    </row>
    <row r="1343" spans="3:11" x14ac:dyDescent="0.3">
      <c r="C1343" s="33"/>
      <c r="D1343" s="33"/>
      <c r="E1343" s="33"/>
      <c r="F1343" s="33"/>
      <c r="G1343" s="33"/>
      <c r="H1343" s="335"/>
      <c r="K1343" s="115"/>
    </row>
    <row r="1344" spans="3:11" x14ac:dyDescent="0.3">
      <c r="C1344" s="379" t="s">
        <v>960</v>
      </c>
      <c r="D1344" s="286"/>
      <c r="E1344" s="286"/>
      <c r="F1344" s="286"/>
      <c r="G1344" s="287"/>
      <c r="H1344" s="334">
        <f>ROUND(H1342,0)</f>
        <v>46</v>
      </c>
      <c r="K1344" s="115"/>
    </row>
    <row r="1345" spans="2:15" x14ac:dyDescent="0.3">
      <c r="C1345" s="33"/>
      <c r="D1345" s="33"/>
      <c r="E1345" s="33"/>
      <c r="F1345" s="33"/>
      <c r="G1345" s="33"/>
      <c r="H1345" s="335"/>
      <c r="K1345" s="115"/>
    </row>
    <row r="1346" spans="2:15" x14ac:dyDescent="0.3">
      <c r="K1346" s="115"/>
    </row>
    <row r="1347" spans="2:15" s="54" customFormat="1" ht="19.8" x14ac:dyDescent="0.4">
      <c r="B1347" s="1016" t="s">
        <v>958</v>
      </c>
      <c r="C1347" s="1016"/>
      <c r="D1347" s="1016"/>
      <c r="E1347" s="1016"/>
      <c r="F1347" s="1016"/>
      <c r="G1347" s="1016"/>
      <c r="H1347" s="1016"/>
      <c r="I1347" s="1016"/>
      <c r="J1347" s="1016"/>
      <c r="K1347" s="115"/>
      <c r="L1347" s="114"/>
      <c r="M1347" s="636"/>
      <c r="N1347" s="7"/>
      <c r="O1347" s="53"/>
    </row>
    <row r="1348" spans="2:15" x14ac:dyDescent="0.3">
      <c r="K1348" s="115"/>
    </row>
    <row r="1349" spans="2:15" s="54" customFormat="1" ht="34.5" customHeight="1" x14ac:dyDescent="0.4">
      <c r="B1349" s="673" t="s">
        <v>855</v>
      </c>
      <c r="C1349" s="1017" t="s">
        <v>382</v>
      </c>
      <c r="D1349" s="1017"/>
      <c r="E1349" s="1017"/>
      <c r="F1349" s="296">
        <f>H1399</f>
        <v>59</v>
      </c>
      <c r="G1349" s="296" t="s">
        <v>971</v>
      </c>
      <c r="H1349" s="225"/>
      <c r="I1349" s="225"/>
      <c r="J1349" s="225"/>
      <c r="K1349" s="115"/>
      <c r="L1349" s="114"/>
      <c r="M1349" s="636"/>
      <c r="N1349" s="7"/>
      <c r="O1349" s="53"/>
    </row>
    <row r="1350" spans="2:15" x14ac:dyDescent="0.3">
      <c r="K1350" s="115"/>
    </row>
    <row r="1351" spans="2:15" x14ac:dyDescent="0.3">
      <c r="C1351" s="1018" t="s">
        <v>932</v>
      </c>
      <c r="D1351" s="1018"/>
      <c r="E1351" s="297"/>
      <c r="F1351" s="298">
        <f>F1358+F1361+F1359</f>
        <v>19.02</v>
      </c>
      <c r="G1351" s="227" t="s">
        <v>971</v>
      </c>
      <c r="K1351" s="115"/>
    </row>
    <row r="1352" spans="2:15" x14ac:dyDescent="0.3">
      <c r="K1352" s="115"/>
    </row>
    <row r="1353" spans="2:15" ht="27.6" x14ac:dyDescent="0.3">
      <c r="C1353" s="13" t="s">
        <v>929</v>
      </c>
      <c r="D1353" s="14" t="s">
        <v>928</v>
      </c>
      <c r="E1353" s="14" t="s">
        <v>514</v>
      </c>
      <c r="F1353" s="14" t="s">
        <v>515</v>
      </c>
      <c r="G1353" s="14" t="s">
        <v>962</v>
      </c>
      <c r="H1353" s="14" t="s">
        <v>926</v>
      </c>
      <c r="I1353" s="14" t="s">
        <v>516</v>
      </c>
      <c r="J1353" s="14" t="s">
        <v>961</v>
      </c>
      <c r="K1353" s="115"/>
    </row>
    <row r="1354" spans="2:15" x14ac:dyDescent="0.3">
      <c r="C1354" s="17" t="str">
        <f>C274</f>
        <v>Лікар-фізіотерапевт</v>
      </c>
      <c r="D1354" s="73">
        <f>D274</f>
        <v>10799.43</v>
      </c>
      <c r="E1354" s="78">
        <f>D1354*12</f>
        <v>129593.16</v>
      </c>
      <c r="F1354" s="73">
        <f>F274</f>
        <v>8307.26</v>
      </c>
      <c r="G1354" s="73">
        <f>G274</f>
        <v>4153.63</v>
      </c>
      <c r="H1354" s="78">
        <f>E1354+F1354+G1354</f>
        <v>142054.05000000002</v>
      </c>
      <c r="I1354" s="73">
        <v>1932.7</v>
      </c>
      <c r="J1354" s="78">
        <f>ROUND((H1354/I1354)/60,2)</f>
        <v>1.23</v>
      </c>
      <c r="K1354" s="115"/>
    </row>
    <row r="1355" spans="2:15" x14ac:dyDescent="0.3">
      <c r="C1355" s="17" t="str">
        <f>C275</f>
        <v>Сестра медична з фізіотерапії</v>
      </c>
      <c r="D1355" s="73">
        <f>D275</f>
        <v>7482.48</v>
      </c>
      <c r="E1355" s="78">
        <f>D1355*12</f>
        <v>89789.759999999995</v>
      </c>
      <c r="F1355" s="73">
        <f>F275</f>
        <v>5755.75</v>
      </c>
      <c r="G1355" s="73">
        <f>G275</f>
        <v>2877.875</v>
      </c>
      <c r="H1355" s="78">
        <f>E1355+F1355+G1355</f>
        <v>98423.384999999995</v>
      </c>
      <c r="I1355" s="73">
        <v>1932.7</v>
      </c>
      <c r="J1355" s="78">
        <f>ROUND((H1355/I1355)/60,2)</f>
        <v>0.85</v>
      </c>
      <c r="K1355" s="115"/>
    </row>
    <row r="1356" spans="2:15" x14ac:dyDescent="0.3">
      <c r="K1356" s="115"/>
    </row>
    <row r="1357" spans="2:15" ht="27.6" x14ac:dyDescent="0.3">
      <c r="C1357" s="13" t="s">
        <v>929</v>
      </c>
      <c r="D1357" s="14" t="s">
        <v>961</v>
      </c>
      <c r="E1357" s="14" t="s">
        <v>930</v>
      </c>
      <c r="F1357" s="14" t="s">
        <v>931</v>
      </c>
      <c r="K1357" s="115"/>
    </row>
    <row r="1358" spans="2:15" x14ac:dyDescent="0.3">
      <c r="C1358" s="15" t="str">
        <f>C1354</f>
        <v>Лікар-фізіотерапевт</v>
      </c>
      <c r="D1358" s="78">
        <f>J1354</f>
        <v>1.23</v>
      </c>
      <c r="E1358" s="73">
        <v>3</v>
      </c>
      <c r="F1358" s="299">
        <f>ROUND(D1358*E1358,2)</f>
        <v>3.69</v>
      </c>
      <c r="K1358" s="115"/>
    </row>
    <row r="1359" spans="2:15" x14ac:dyDescent="0.3">
      <c r="C1359" s="15" t="str">
        <f>C1355</f>
        <v>Сестра медична з фізіотерапії</v>
      </c>
      <c r="D1359" s="78">
        <f>J1355</f>
        <v>0.85</v>
      </c>
      <c r="E1359" s="73">
        <v>14</v>
      </c>
      <c r="F1359" s="299">
        <f>ROUND(D1359*E1359,2)</f>
        <v>11.9</v>
      </c>
      <c r="K1359" s="115"/>
    </row>
    <row r="1360" spans="2:15" x14ac:dyDescent="0.3">
      <c r="D1360" s="19"/>
      <c r="K1360" s="115"/>
    </row>
    <row r="1361" spans="3:11" x14ac:dyDescent="0.3">
      <c r="C1361" s="17" t="s">
        <v>933</v>
      </c>
      <c r="D1361" s="78">
        <f>F1358+F1359</f>
        <v>15.59</v>
      </c>
      <c r="E1361" s="300">
        <v>0.22</v>
      </c>
      <c r="F1361" s="301">
        <f>ROUND(D1361*E1361,2)</f>
        <v>3.43</v>
      </c>
      <c r="K1361" s="115"/>
    </row>
    <row r="1362" spans="3:11" x14ac:dyDescent="0.3">
      <c r="K1362" s="115"/>
    </row>
    <row r="1363" spans="3:11" x14ac:dyDescent="0.3">
      <c r="C1363" s="12" t="s">
        <v>946</v>
      </c>
      <c r="D1363" s="227"/>
      <c r="E1363" s="227"/>
      <c r="F1363" s="227">
        <f>G1375</f>
        <v>37.429999999999993</v>
      </c>
      <c r="G1363" s="227" t="s">
        <v>971</v>
      </c>
      <c r="K1363" s="115"/>
    </row>
    <row r="1364" spans="3:11" x14ac:dyDescent="0.3">
      <c r="K1364" s="115"/>
    </row>
    <row r="1365" spans="3:11" ht="27.6" x14ac:dyDescent="0.3">
      <c r="C1365" s="27" t="str">
        <f>'МЕДИЧНІ М'!B254</f>
        <v>Електроди одноразові поверхневі з гідрофільною прокладкою з целюлози прямокутні № 25</v>
      </c>
      <c r="D1365" s="616" t="str">
        <f>'МЕДИЧНІ М'!D254</f>
        <v>шт</v>
      </c>
      <c r="E1365" s="618">
        <v>2</v>
      </c>
      <c r="F1365" s="617">
        <f>'МЕДИЧНІ М'!F254</f>
        <v>14</v>
      </c>
      <c r="G1365" s="228">
        <f>ROUND(F1365*E1365,2)</f>
        <v>28</v>
      </c>
      <c r="K1365" s="115"/>
    </row>
    <row r="1366" spans="3:11" x14ac:dyDescent="0.3">
      <c r="C1366" s="27" t="str">
        <f>'МЕДИЧНІ М'!B255</f>
        <v>Антисептик для обробки рук</v>
      </c>
      <c r="D1366" s="616" t="str">
        <f>'МЕДИЧНІ М'!D255</f>
        <v>мл</v>
      </c>
      <c r="E1366" s="303">
        <f>E179</f>
        <v>1</v>
      </c>
      <c r="F1366" s="617">
        <f>'МЕДИЧНІ М'!F255</f>
        <v>0.375</v>
      </c>
      <c r="G1366" s="228">
        <f t="shared" ref="G1366:G1374" si="66">ROUND(F1366*E1366,2)</f>
        <v>0.38</v>
      </c>
      <c r="K1366" s="115"/>
    </row>
    <row r="1367" spans="3:11" x14ac:dyDescent="0.3">
      <c r="C1367" s="27" t="str">
        <f>'МЕДИЧНІ М'!B256</f>
        <v>Антисептик швидкої дії</v>
      </c>
      <c r="D1367" s="616" t="str">
        <f>'МЕДИЧНІ М'!D256</f>
        <v>мл</v>
      </c>
      <c r="E1367" s="303">
        <f t="shared" ref="E1367:E1374" si="67">E180</f>
        <v>1</v>
      </c>
      <c r="F1367" s="617">
        <f>'МЕДИЧНІ М'!F256</f>
        <v>0.28799999999999998</v>
      </c>
      <c r="G1367" s="228">
        <f t="shared" si="66"/>
        <v>0.28999999999999998</v>
      </c>
      <c r="K1367" s="115"/>
    </row>
    <row r="1368" spans="3:11" x14ac:dyDescent="0.3">
      <c r="C1368" s="27" t="str">
        <f>'МЕДИЧНІ М'!B257</f>
        <v>Вата 100 гр.</v>
      </c>
      <c r="D1368" s="616" t="str">
        <f>'МЕДИЧНІ М'!D257</f>
        <v>г</v>
      </c>
      <c r="E1368" s="303">
        <f t="shared" si="67"/>
        <v>0.01</v>
      </c>
      <c r="F1368" s="617">
        <f>'МЕДИЧНІ М'!F257</f>
        <v>6.72</v>
      </c>
      <c r="G1368" s="228">
        <f t="shared" si="66"/>
        <v>7.0000000000000007E-2</v>
      </c>
      <c r="K1368" s="115"/>
    </row>
    <row r="1369" spans="3:11" x14ac:dyDescent="0.3">
      <c r="C1369" s="27" t="str">
        <f>'МЕДИЧНІ М'!B258</f>
        <v>Деззасоби</v>
      </c>
      <c r="D1369" s="616" t="str">
        <f>'МЕДИЧНІ М'!D258</f>
        <v>г</v>
      </c>
      <c r="E1369" s="303">
        <f t="shared" si="67"/>
        <v>0.5</v>
      </c>
      <c r="F1369" s="617">
        <f>'МЕДИЧНІ М'!F258</f>
        <v>0.5</v>
      </c>
      <c r="G1369" s="228">
        <f t="shared" si="66"/>
        <v>0.25</v>
      </c>
      <c r="K1369" s="115"/>
    </row>
    <row r="1370" spans="3:11" x14ac:dyDescent="0.3">
      <c r="C1370" s="27" t="str">
        <f>'МЕДИЧНІ М'!B259</f>
        <v>Маска одноразова тришарова на резинці</v>
      </c>
      <c r="D1370" s="616" t="str">
        <f>'МЕДИЧНІ М'!D259</f>
        <v>шт</v>
      </c>
      <c r="E1370" s="303">
        <f t="shared" si="67"/>
        <v>1</v>
      </c>
      <c r="F1370" s="617">
        <f>'МЕДИЧНІ М'!F259</f>
        <v>2</v>
      </c>
      <c r="G1370" s="228">
        <f t="shared" si="66"/>
        <v>2</v>
      </c>
      <c r="K1370" s="115"/>
    </row>
    <row r="1371" spans="3:11" x14ac:dyDescent="0.3">
      <c r="C1371" s="27" t="str">
        <f>'МЕДИЧНІ М'!B260</f>
        <v>Мило рідке</v>
      </c>
      <c r="D1371" s="616" t="str">
        <f>'МЕДИЧНІ М'!D260</f>
        <v>мл</v>
      </c>
      <c r="E1371" s="303">
        <f t="shared" si="67"/>
        <v>1</v>
      </c>
      <c r="F1371" s="617">
        <f>'МЕДИЧНІ М'!F260</f>
        <v>0.19600000000000001</v>
      </c>
      <c r="G1371" s="228">
        <f t="shared" si="66"/>
        <v>0.2</v>
      </c>
      <c r="K1371" s="115"/>
    </row>
    <row r="1372" spans="3:11" x14ac:dyDescent="0.3">
      <c r="C1372" s="27" t="str">
        <f>'МЕДИЧНІ М'!B261</f>
        <v>Рукавиці не стерильні</v>
      </c>
      <c r="D1372" s="616" t="str">
        <f>'МЕДИЧНІ М'!D261</f>
        <v>пара</v>
      </c>
      <c r="E1372" s="303">
        <f t="shared" si="67"/>
        <v>0.1</v>
      </c>
      <c r="F1372" s="617">
        <f>'МЕДИЧНІ М'!F261</f>
        <v>7.39</v>
      </c>
      <c r="G1372" s="228">
        <f t="shared" si="66"/>
        <v>0.74</v>
      </c>
      <c r="K1372" s="115"/>
    </row>
    <row r="1373" spans="3:11" x14ac:dyDescent="0.3">
      <c r="C1373" s="27" t="str">
        <f>'МЕДИЧНІ М'!B262</f>
        <v>Рушник паперовий</v>
      </c>
      <c r="D1373" s="616" t="str">
        <f>'МЕДИЧНІ М'!D262</f>
        <v>шт</v>
      </c>
      <c r="E1373" s="303">
        <f t="shared" si="67"/>
        <v>0.3</v>
      </c>
      <c r="F1373" s="617">
        <f>'МЕДИЧНІ М'!F262</f>
        <v>17.5</v>
      </c>
      <c r="G1373" s="228">
        <f t="shared" si="66"/>
        <v>5.25</v>
      </c>
      <c r="K1373" s="115"/>
    </row>
    <row r="1374" spans="3:11" x14ac:dyDescent="0.3">
      <c r="C1374" s="27" t="str">
        <f>'МЕДИЧНІ М'!B263</f>
        <v xml:space="preserve">Спирт 70% 100мл </v>
      </c>
      <c r="D1374" s="616" t="str">
        <f>'МЕДИЧНІ М'!D263</f>
        <v>фл/гр.</v>
      </c>
      <c r="E1374" s="303">
        <f t="shared" si="67"/>
        <v>0.01</v>
      </c>
      <c r="F1374" s="617">
        <f>'МЕДИЧНІ М'!F263</f>
        <v>24.6</v>
      </c>
      <c r="G1374" s="228">
        <f t="shared" si="66"/>
        <v>0.25</v>
      </c>
      <c r="K1374" s="115"/>
    </row>
    <row r="1375" spans="3:11" x14ac:dyDescent="0.3">
      <c r="C1375" s="1019" t="s">
        <v>945</v>
      </c>
      <c r="D1375" s="1019"/>
      <c r="E1375" s="1019"/>
      <c r="F1375" s="1019"/>
      <c r="G1375" s="332">
        <f>SUM(G1365:G1374)</f>
        <v>37.429999999999993</v>
      </c>
      <c r="K1375" s="115"/>
    </row>
    <row r="1376" spans="3:11" x14ac:dyDescent="0.3">
      <c r="K1376" s="115"/>
    </row>
    <row r="1377" spans="3:11" x14ac:dyDescent="0.3">
      <c r="C1377" s="12" t="s">
        <v>968</v>
      </c>
      <c r="D1377" s="227"/>
      <c r="E1377" s="227"/>
      <c r="F1377" s="298">
        <f>H1380</f>
        <v>0.14000000000000001</v>
      </c>
      <c r="G1377" s="227" t="s">
        <v>971</v>
      </c>
      <c r="K1377" s="115"/>
    </row>
    <row r="1378" spans="3:11" x14ac:dyDescent="0.3">
      <c r="C1378" s="22"/>
      <c r="D1378" s="36"/>
      <c r="E1378" s="36"/>
      <c r="F1378" s="302"/>
      <c r="G1378" s="36"/>
      <c r="K1378" s="115"/>
    </row>
    <row r="1379" spans="3:11" ht="27.6" x14ac:dyDescent="0.3">
      <c r="C1379" s="14" t="s">
        <v>513</v>
      </c>
      <c r="D1379" s="14" t="s">
        <v>969</v>
      </c>
      <c r="E1379" s="14" t="s">
        <v>516</v>
      </c>
      <c r="F1379" s="14" t="s">
        <v>970</v>
      </c>
      <c r="G1379" s="14" t="s">
        <v>930</v>
      </c>
      <c r="H1379" s="14" t="s">
        <v>961</v>
      </c>
      <c r="K1379" s="115"/>
    </row>
    <row r="1380" spans="3:11" x14ac:dyDescent="0.3">
      <c r="C1380" s="17" t="s">
        <v>1107</v>
      </c>
      <c r="D1380" s="73">
        <f>D244</f>
        <v>7000</v>
      </c>
      <c r="E1380" s="73">
        <v>12562.55</v>
      </c>
      <c r="F1380" s="73">
        <f>ROUND((D1380/E1380)/60,2)</f>
        <v>0.01</v>
      </c>
      <c r="G1380" s="73">
        <f>E1359</f>
        <v>14</v>
      </c>
      <c r="H1380" s="78">
        <f>ROUND(F1380*G1380,2)</f>
        <v>0.14000000000000001</v>
      </c>
      <c r="I1380" s="333"/>
      <c r="K1380" s="115"/>
    </row>
    <row r="1381" spans="3:11" x14ac:dyDescent="0.3">
      <c r="K1381" s="115"/>
    </row>
    <row r="1382" spans="3:11" x14ac:dyDescent="0.3">
      <c r="C1382" s="12" t="s">
        <v>948</v>
      </c>
      <c r="D1382" s="227"/>
      <c r="E1382" s="227"/>
      <c r="F1382" s="298">
        <f>H1395</f>
        <v>2.04</v>
      </c>
      <c r="G1382" s="227" t="s">
        <v>971</v>
      </c>
      <c r="K1382" s="115"/>
    </row>
    <row r="1383" spans="3:11" x14ac:dyDescent="0.3">
      <c r="C1383" s="22"/>
      <c r="D1383" s="36"/>
      <c r="E1383" s="36"/>
      <c r="F1383" s="302"/>
      <c r="K1383" s="115"/>
    </row>
    <row r="1384" spans="3:11" ht="41.4" x14ac:dyDescent="0.3">
      <c r="C1384" s="14" t="s">
        <v>948</v>
      </c>
      <c r="D1384" s="14" t="s">
        <v>955</v>
      </c>
      <c r="E1384" s="14" t="s">
        <v>516</v>
      </c>
      <c r="F1384" s="14" t="s">
        <v>954</v>
      </c>
      <c r="G1384" s="14" t="s">
        <v>930</v>
      </c>
      <c r="H1384" s="14" t="s">
        <v>956</v>
      </c>
      <c r="K1384" s="115"/>
    </row>
    <row r="1385" spans="3:11" x14ac:dyDescent="0.3">
      <c r="C1385" s="1009" t="str">
        <f>C1354</f>
        <v>Лікар-фізіотерапевт</v>
      </c>
      <c r="D1385" s="1010"/>
      <c r="E1385" s="1010"/>
      <c r="F1385" s="1010"/>
      <c r="G1385" s="1010"/>
      <c r="H1385" s="1011"/>
      <c r="K1385" s="115"/>
    </row>
    <row r="1386" spans="3:11" x14ac:dyDescent="0.3">
      <c r="C1386" s="17" t="s">
        <v>951</v>
      </c>
      <c r="D1386" s="221">
        <f>D305</f>
        <v>12188.608008565312</v>
      </c>
      <c r="E1386" s="73">
        <f>I1354</f>
        <v>1932.7</v>
      </c>
      <c r="F1386" s="73">
        <f>ROUND((D1386/E1386)/60,2)</f>
        <v>0.11</v>
      </c>
      <c r="G1386" s="73">
        <f>E1358</f>
        <v>3</v>
      </c>
      <c r="H1386" s="78">
        <f>ROUND(F1386*G1386,2)</f>
        <v>0.33</v>
      </c>
      <c r="K1386" s="115"/>
    </row>
    <row r="1387" spans="3:11" x14ac:dyDescent="0.3">
      <c r="C1387" s="17" t="s">
        <v>952</v>
      </c>
      <c r="D1387" s="221">
        <f>D306</f>
        <v>53.149721627408987</v>
      </c>
      <c r="E1387" s="73">
        <f>I1354</f>
        <v>1932.7</v>
      </c>
      <c r="F1387" s="73">
        <f>ROUND((D1387/E1387)/60,2)</f>
        <v>0</v>
      </c>
      <c r="G1387" s="73">
        <f>E1358</f>
        <v>3</v>
      </c>
      <c r="H1387" s="78">
        <f>ROUND(F1387*G1387,2)</f>
        <v>0</v>
      </c>
      <c r="K1387" s="115"/>
    </row>
    <row r="1388" spans="3:11" x14ac:dyDescent="0.3">
      <c r="C1388" s="17" t="s">
        <v>953</v>
      </c>
      <c r="D1388" s="221">
        <f>D307</f>
        <v>374.98368308351178</v>
      </c>
      <c r="E1388" s="73">
        <f>I1354</f>
        <v>1932.7</v>
      </c>
      <c r="F1388" s="73">
        <f>ROUND((D1388/E1388)/60,2)</f>
        <v>0</v>
      </c>
      <c r="G1388" s="73">
        <f>E1358</f>
        <v>3</v>
      </c>
      <c r="H1388" s="78">
        <f>ROUND(F1388*G1388,2)</f>
        <v>0</v>
      </c>
      <c r="K1388" s="115"/>
    </row>
    <row r="1389" spans="3:11" x14ac:dyDescent="0.3">
      <c r="C1389" s="17" t="s">
        <v>1109</v>
      </c>
      <c r="D1389" s="221">
        <f>D308</f>
        <v>1686.0389293361886</v>
      </c>
      <c r="E1389" s="73">
        <f>I1354</f>
        <v>1932.7</v>
      </c>
      <c r="F1389" s="73">
        <f>ROUND((D1389/E1389)/60,2)</f>
        <v>0.01</v>
      </c>
      <c r="G1389" s="73">
        <f>E1358</f>
        <v>3</v>
      </c>
      <c r="H1389" s="78">
        <f>ROUND(F1389*G1389,2)</f>
        <v>0.03</v>
      </c>
      <c r="K1389" s="115"/>
    </row>
    <row r="1390" spans="3:11" x14ac:dyDescent="0.3">
      <c r="C1390" s="1009" t="str">
        <f>C1355</f>
        <v>Сестра медична з фізіотерапії</v>
      </c>
      <c r="D1390" s="1010"/>
      <c r="E1390" s="1010"/>
      <c r="F1390" s="1010"/>
      <c r="G1390" s="1010"/>
      <c r="H1390" s="1011"/>
      <c r="K1390" s="115"/>
    </row>
    <row r="1391" spans="3:11" x14ac:dyDescent="0.3">
      <c r="C1391" s="17" t="s">
        <v>951</v>
      </c>
      <c r="D1391" s="221">
        <f>D1386</f>
        <v>12188.608008565312</v>
      </c>
      <c r="E1391" s="73">
        <f>I1355</f>
        <v>1932.7</v>
      </c>
      <c r="F1391" s="73">
        <f>ROUND((D1391/E1391)/60,2)</f>
        <v>0.11</v>
      </c>
      <c r="G1391" s="73">
        <f>E1359</f>
        <v>14</v>
      </c>
      <c r="H1391" s="78">
        <f>ROUND(F1391*G1391,2)</f>
        <v>1.54</v>
      </c>
      <c r="K1391" s="115"/>
    </row>
    <row r="1392" spans="3:11" x14ac:dyDescent="0.3">
      <c r="C1392" s="17" t="s">
        <v>952</v>
      </c>
      <c r="D1392" s="221">
        <f>D1387</f>
        <v>53.149721627408987</v>
      </c>
      <c r="E1392" s="73">
        <f>I1355</f>
        <v>1932.7</v>
      </c>
      <c r="F1392" s="73">
        <f>ROUND((D1392/E1392)/60,2)</f>
        <v>0</v>
      </c>
      <c r="G1392" s="73">
        <f>E1359</f>
        <v>14</v>
      </c>
      <c r="H1392" s="78">
        <f>ROUND(F1392*G1392,2)</f>
        <v>0</v>
      </c>
      <c r="K1392" s="115"/>
    </row>
    <row r="1393" spans="2:15" x14ac:dyDescent="0.3">
      <c r="C1393" s="17" t="s">
        <v>953</v>
      </c>
      <c r="D1393" s="221">
        <f>D1388</f>
        <v>374.98368308351178</v>
      </c>
      <c r="E1393" s="73">
        <f>I1355</f>
        <v>1932.7</v>
      </c>
      <c r="F1393" s="73">
        <f>ROUND((D1393/E1393)/60,2)</f>
        <v>0</v>
      </c>
      <c r="G1393" s="73">
        <f>E1359</f>
        <v>14</v>
      </c>
      <c r="H1393" s="78">
        <f>ROUND(F1393*G1393,2)</f>
        <v>0</v>
      </c>
      <c r="K1393" s="115"/>
    </row>
    <row r="1394" spans="2:15" x14ac:dyDescent="0.3">
      <c r="C1394" s="17" t="s">
        <v>1109</v>
      </c>
      <c r="D1394" s="221">
        <f>D1389</f>
        <v>1686.0389293361886</v>
      </c>
      <c r="E1394" s="73">
        <f>I1354</f>
        <v>1932.7</v>
      </c>
      <c r="F1394" s="73">
        <f>ROUND((D1394/E1394)/60,2)</f>
        <v>0.01</v>
      </c>
      <c r="G1394" s="73">
        <f>E1359</f>
        <v>14</v>
      </c>
      <c r="H1394" s="78">
        <f>ROUND(F1394*G1394,2)</f>
        <v>0.14000000000000001</v>
      </c>
      <c r="K1394" s="115"/>
    </row>
    <row r="1395" spans="2:15" x14ac:dyDescent="0.3">
      <c r="C1395" s="1012" t="s">
        <v>957</v>
      </c>
      <c r="D1395" s="1013"/>
      <c r="E1395" s="1013"/>
      <c r="F1395" s="1013"/>
      <c r="G1395" s="1014"/>
      <c r="H1395" s="299">
        <f>SUM(H1386:H1394)</f>
        <v>2.04</v>
      </c>
      <c r="K1395" s="115"/>
    </row>
    <row r="1396" spans="2:15" x14ac:dyDescent="0.3">
      <c r="K1396" s="115"/>
    </row>
    <row r="1397" spans="2:15" x14ac:dyDescent="0.3">
      <c r="C1397" s="1015" t="s">
        <v>959</v>
      </c>
      <c r="D1397" s="1015"/>
      <c r="E1397" s="1015"/>
      <c r="F1397" s="1015"/>
      <c r="G1397" s="1015"/>
      <c r="H1397" s="334">
        <f>F1351+F1363+F1382+F1377</f>
        <v>58.629999999999988</v>
      </c>
      <c r="K1397" s="115"/>
    </row>
    <row r="1398" spans="2:15" x14ac:dyDescent="0.3">
      <c r="C1398" s="33"/>
      <c r="D1398" s="33"/>
      <c r="E1398" s="33"/>
      <c r="F1398" s="33"/>
      <c r="G1398" s="33"/>
      <c r="H1398" s="335"/>
      <c r="K1398" s="115"/>
    </row>
    <row r="1399" spans="2:15" x14ac:dyDescent="0.3">
      <c r="C1399" s="1015" t="s">
        <v>960</v>
      </c>
      <c r="D1399" s="1015"/>
      <c r="E1399" s="1015"/>
      <c r="F1399" s="1015"/>
      <c r="G1399" s="1015"/>
      <c r="H1399" s="334">
        <f>ROUND(H1397,0)</f>
        <v>59</v>
      </c>
      <c r="K1399" s="115"/>
    </row>
    <row r="1400" spans="2:15" x14ac:dyDescent="0.3">
      <c r="K1400" s="115"/>
    </row>
    <row r="1401" spans="2:15" x14ac:dyDescent="0.3">
      <c r="K1401" s="115"/>
    </row>
    <row r="1402" spans="2:15" x14ac:dyDescent="0.3">
      <c r="K1402" s="115"/>
    </row>
    <row r="1403" spans="2:15" s="54" customFormat="1" ht="19.8" x14ac:dyDescent="0.4">
      <c r="B1403" s="1016" t="s">
        <v>958</v>
      </c>
      <c r="C1403" s="1016"/>
      <c r="D1403" s="1016"/>
      <c r="E1403" s="1016"/>
      <c r="F1403" s="1016"/>
      <c r="G1403" s="1016"/>
      <c r="H1403" s="1016"/>
      <c r="I1403" s="1016"/>
      <c r="J1403" s="1016"/>
      <c r="K1403" s="115"/>
      <c r="L1403" s="114"/>
      <c r="M1403" s="636"/>
      <c r="N1403" s="7"/>
      <c r="O1403" s="53"/>
    </row>
    <row r="1404" spans="2:15" x14ac:dyDescent="0.3">
      <c r="K1404" s="115"/>
    </row>
    <row r="1405" spans="2:15" s="54" customFormat="1" ht="34.5" customHeight="1" x14ac:dyDescent="0.4">
      <c r="B1405" s="673" t="s">
        <v>385</v>
      </c>
      <c r="C1405" s="1017" t="s">
        <v>383</v>
      </c>
      <c r="D1405" s="1017"/>
      <c r="E1405" s="1017"/>
      <c r="F1405" s="296">
        <f>H1455</f>
        <v>35</v>
      </c>
      <c r="G1405" s="296" t="s">
        <v>971</v>
      </c>
      <c r="H1405" s="225"/>
      <c r="I1405" s="225"/>
      <c r="J1405" s="225"/>
      <c r="K1405" s="115"/>
      <c r="L1405" s="114"/>
      <c r="M1405" s="636"/>
      <c r="N1405" s="7"/>
      <c r="O1405" s="53"/>
    </row>
    <row r="1406" spans="2:15" x14ac:dyDescent="0.3">
      <c r="K1406" s="115"/>
    </row>
    <row r="1407" spans="2:15" x14ac:dyDescent="0.3">
      <c r="C1407" s="1018" t="s">
        <v>932</v>
      </c>
      <c r="D1407" s="1018"/>
      <c r="E1407" s="297"/>
      <c r="F1407" s="298">
        <f>F1414+F1417+F1415</f>
        <v>19.02</v>
      </c>
      <c r="G1407" s="227" t="s">
        <v>971</v>
      </c>
      <c r="K1407" s="115"/>
    </row>
    <row r="1408" spans="2:15" x14ac:dyDescent="0.3">
      <c r="K1408" s="115"/>
    </row>
    <row r="1409" spans="3:11" ht="27.6" x14ac:dyDescent="0.3">
      <c r="C1409" s="13" t="s">
        <v>929</v>
      </c>
      <c r="D1409" s="14" t="s">
        <v>928</v>
      </c>
      <c r="E1409" s="14" t="s">
        <v>514</v>
      </c>
      <c r="F1409" s="14" t="s">
        <v>515</v>
      </c>
      <c r="G1409" s="14" t="s">
        <v>962</v>
      </c>
      <c r="H1409" s="14" t="s">
        <v>926</v>
      </c>
      <c r="I1409" s="14" t="s">
        <v>516</v>
      </c>
      <c r="J1409" s="14" t="s">
        <v>961</v>
      </c>
      <c r="K1409" s="115"/>
    </row>
    <row r="1410" spans="3:11" x14ac:dyDescent="0.3">
      <c r="C1410" s="17" t="str">
        <f t="shared" ref="C1410:G1411" si="68">C1354</f>
        <v>Лікар-фізіотерапевт</v>
      </c>
      <c r="D1410" s="73">
        <f t="shared" si="68"/>
        <v>10799.43</v>
      </c>
      <c r="E1410" s="73">
        <f t="shared" si="68"/>
        <v>129593.16</v>
      </c>
      <c r="F1410" s="73">
        <f t="shared" si="68"/>
        <v>8307.26</v>
      </c>
      <c r="G1410" s="73">
        <f t="shared" si="68"/>
        <v>4153.63</v>
      </c>
      <c r="H1410" s="78">
        <f>E1410+F1410+G1410</f>
        <v>142054.05000000002</v>
      </c>
      <c r="I1410" s="73">
        <v>1932.7</v>
      </c>
      <c r="J1410" s="78">
        <f>ROUND((H1410/I1410)/60,2)</f>
        <v>1.23</v>
      </c>
      <c r="K1410" s="115"/>
    </row>
    <row r="1411" spans="3:11" x14ac:dyDescent="0.3">
      <c r="C1411" s="17" t="str">
        <f t="shared" si="68"/>
        <v>Сестра медична з фізіотерапії</v>
      </c>
      <c r="D1411" s="73">
        <f t="shared" si="68"/>
        <v>7482.48</v>
      </c>
      <c r="E1411" s="73">
        <f t="shared" si="68"/>
        <v>89789.759999999995</v>
      </c>
      <c r="F1411" s="73">
        <f t="shared" si="68"/>
        <v>5755.75</v>
      </c>
      <c r="G1411" s="73">
        <f t="shared" si="68"/>
        <v>2877.875</v>
      </c>
      <c r="H1411" s="78">
        <f>E1411+F1411+G1411</f>
        <v>98423.384999999995</v>
      </c>
      <c r="I1411" s="73">
        <v>1932.7</v>
      </c>
      <c r="J1411" s="78">
        <f>ROUND((H1411/I1411)/60,2)</f>
        <v>0.85</v>
      </c>
      <c r="K1411" s="115"/>
    </row>
    <row r="1412" spans="3:11" x14ac:dyDescent="0.3">
      <c r="K1412" s="115"/>
    </row>
    <row r="1413" spans="3:11" ht="27.6" x14ac:dyDescent="0.3">
      <c r="C1413" s="13" t="s">
        <v>929</v>
      </c>
      <c r="D1413" s="14" t="s">
        <v>961</v>
      </c>
      <c r="E1413" s="14" t="s">
        <v>930</v>
      </c>
      <c r="F1413" s="14" t="s">
        <v>931</v>
      </c>
      <c r="K1413" s="115"/>
    </row>
    <row r="1414" spans="3:11" x14ac:dyDescent="0.3">
      <c r="C1414" s="15" t="str">
        <f>C1410</f>
        <v>Лікар-фізіотерапевт</v>
      </c>
      <c r="D1414" s="78">
        <f>J1410</f>
        <v>1.23</v>
      </c>
      <c r="E1414" s="73">
        <v>3</v>
      </c>
      <c r="F1414" s="299">
        <f>ROUND(D1414*E1414,2)</f>
        <v>3.69</v>
      </c>
      <c r="K1414" s="115"/>
    </row>
    <row r="1415" spans="3:11" x14ac:dyDescent="0.3">
      <c r="C1415" s="15" t="str">
        <f>C1411</f>
        <v>Сестра медична з фізіотерапії</v>
      </c>
      <c r="D1415" s="78">
        <f>J1411</f>
        <v>0.85</v>
      </c>
      <c r="E1415" s="73">
        <v>14</v>
      </c>
      <c r="F1415" s="299">
        <f>ROUND(D1415*E1415,2)</f>
        <v>11.9</v>
      </c>
      <c r="K1415" s="115"/>
    </row>
    <row r="1416" spans="3:11" x14ac:dyDescent="0.3">
      <c r="D1416" s="19"/>
      <c r="K1416" s="115"/>
    </row>
    <row r="1417" spans="3:11" x14ac:dyDescent="0.3">
      <c r="C1417" s="17" t="s">
        <v>933</v>
      </c>
      <c r="D1417" s="78">
        <f>F1414+F1415</f>
        <v>15.59</v>
      </c>
      <c r="E1417" s="300">
        <v>0.22</v>
      </c>
      <c r="F1417" s="301">
        <f>ROUND(D1417*E1417,2)</f>
        <v>3.43</v>
      </c>
      <c r="K1417" s="115"/>
    </row>
    <row r="1418" spans="3:11" x14ac:dyDescent="0.3">
      <c r="K1418" s="115"/>
    </row>
    <row r="1419" spans="3:11" x14ac:dyDescent="0.3">
      <c r="C1419" s="12" t="s">
        <v>946</v>
      </c>
      <c r="D1419" s="227"/>
      <c r="E1419" s="227"/>
      <c r="F1419" s="227">
        <f>G1431</f>
        <v>13.43</v>
      </c>
      <c r="G1419" s="227" t="s">
        <v>971</v>
      </c>
      <c r="K1419" s="115"/>
    </row>
    <row r="1420" spans="3:11" x14ac:dyDescent="0.3">
      <c r="K1420" s="115"/>
    </row>
    <row r="1421" spans="3:11" x14ac:dyDescent="0.3">
      <c r="C1421" s="27" t="str">
        <f>'МЕДИЧНІ М'!B264</f>
        <v>Гідрофільні прокладки багаторазові поверхневі</v>
      </c>
      <c r="D1421" s="616" t="str">
        <f>'МЕДИЧНІ М'!D264</f>
        <v>шт</v>
      </c>
      <c r="E1421" s="618">
        <v>2</v>
      </c>
      <c r="F1421" s="617">
        <f>'МЕДИЧНІ М'!E264</f>
        <v>2</v>
      </c>
      <c r="G1421" s="228">
        <f>ROUND(F1421*E1421,2)</f>
        <v>4</v>
      </c>
      <c r="K1421" s="115"/>
    </row>
    <row r="1422" spans="3:11" x14ac:dyDescent="0.3">
      <c r="C1422" s="27" t="str">
        <f t="shared" ref="C1422:F1430" si="69">C1366</f>
        <v>Антисептик для обробки рук</v>
      </c>
      <c r="D1422" s="303" t="str">
        <f t="shared" si="69"/>
        <v>мл</v>
      </c>
      <c r="E1422" s="303">
        <f t="shared" si="69"/>
        <v>1</v>
      </c>
      <c r="F1422" s="303">
        <f t="shared" si="69"/>
        <v>0.375</v>
      </c>
      <c r="G1422" s="228">
        <f t="shared" ref="G1422:G1430" si="70">ROUND(F1422*E1422,2)</f>
        <v>0.38</v>
      </c>
      <c r="K1422" s="115"/>
    </row>
    <row r="1423" spans="3:11" x14ac:dyDescent="0.3">
      <c r="C1423" s="27" t="str">
        <f t="shared" si="69"/>
        <v>Антисептик швидкої дії</v>
      </c>
      <c r="D1423" s="303" t="str">
        <f t="shared" si="69"/>
        <v>мл</v>
      </c>
      <c r="E1423" s="303">
        <f t="shared" si="69"/>
        <v>1</v>
      </c>
      <c r="F1423" s="303">
        <f t="shared" si="69"/>
        <v>0.28799999999999998</v>
      </c>
      <c r="G1423" s="228">
        <f t="shared" si="70"/>
        <v>0.28999999999999998</v>
      </c>
      <c r="K1423" s="115"/>
    </row>
    <row r="1424" spans="3:11" x14ac:dyDescent="0.3">
      <c r="C1424" s="27" t="str">
        <f t="shared" si="69"/>
        <v>Вата 100 гр.</v>
      </c>
      <c r="D1424" s="303" t="str">
        <f t="shared" si="69"/>
        <v>г</v>
      </c>
      <c r="E1424" s="303">
        <f t="shared" si="69"/>
        <v>0.01</v>
      </c>
      <c r="F1424" s="303">
        <f t="shared" si="69"/>
        <v>6.72</v>
      </c>
      <c r="G1424" s="228">
        <f t="shared" si="70"/>
        <v>7.0000000000000007E-2</v>
      </c>
      <c r="K1424" s="115"/>
    </row>
    <row r="1425" spans="3:11" x14ac:dyDescent="0.3">
      <c r="C1425" s="27" t="str">
        <f t="shared" si="69"/>
        <v>Деззасоби</v>
      </c>
      <c r="D1425" s="303" t="str">
        <f t="shared" si="69"/>
        <v>г</v>
      </c>
      <c r="E1425" s="303">
        <f t="shared" si="69"/>
        <v>0.5</v>
      </c>
      <c r="F1425" s="303">
        <f t="shared" si="69"/>
        <v>0.5</v>
      </c>
      <c r="G1425" s="228">
        <f t="shared" si="70"/>
        <v>0.25</v>
      </c>
      <c r="K1425" s="115"/>
    </row>
    <row r="1426" spans="3:11" x14ac:dyDescent="0.3">
      <c r="C1426" s="27" t="str">
        <f t="shared" si="69"/>
        <v>Маска одноразова тришарова на резинці</v>
      </c>
      <c r="D1426" s="303" t="str">
        <f t="shared" si="69"/>
        <v>шт</v>
      </c>
      <c r="E1426" s="303">
        <f t="shared" si="69"/>
        <v>1</v>
      </c>
      <c r="F1426" s="303">
        <f t="shared" si="69"/>
        <v>2</v>
      </c>
      <c r="G1426" s="228">
        <f t="shared" si="70"/>
        <v>2</v>
      </c>
      <c r="K1426" s="115"/>
    </row>
    <row r="1427" spans="3:11" x14ac:dyDescent="0.3">
      <c r="C1427" s="27" t="str">
        <f t="shared" si="69"/>
        <v>Мило рідке</v>
      </c>
      <c r="D1427" s="303" t="str">
        <f t="shared" si="69"/>
        <v>мл</v>
      </c>
      <c r="E1427" s="303">
        <f t="shared" si="69"/>
        <v>1</v>
      </c>
      <c r="F1427" s="303">
        <f t="shared" si="69"/>
        <v>0.19600000000000001</v>
      </c>
      <c r="G1427" s="228">
        <f t="shared" si="70"/>
        <v>0.2</v>
      </c>
      <c r="K1427" s="115"/>
    </row>
    <row r="1428" spans="3:11" x14ac:dyDescent="0.3">
      <c r="C1428" s="27" t="str">
        <f t="shared" si="69"/>
        <v>Рукавиці не стерильні</v>
      </c>
      <c r="D1428" s="303" t="str">
        <f t="shared" si="69"/>
        <v>пара</v>
      </c>
      <c r="E1428" s="303">
        <f t="shared" si="69"/>
        <v>0.1</v>
      </c>
      <c r="F1428" s="303">
        <f t="shared" si="69"/>
        <v>7.39</v>
      </c>
      <c r="G1428" s="228">
        <f t="shared" si="70"/>
        <v>0.74</v>
      </c>
      <c r="K1428" s="115"/>
    </row>
    <row r="1429" spans="3:11" x14ac:dyDescent="0.3">
      <c r="C1429" s="27" t="str">
        <f t="shared" si="69"/>
        <v>Рушник паперовий</v>
      </c>
      <c r="D1429" s="303" t="str">
        <f t="shared" si="69"/>
        <v>шт</v>
      </c>
      <c r="E1429" s="303">
        <f t="shared" si="69"/>
        <v>0.3</v>
      </c>
      <c r="F1429" s="303">
        <f t="shared" si="69"/>
        <v>17.5</v>
      </c>
      <c r="G1429" s="228">
        <f t="shared" si="70"/>
        <v>5.25</v>
      </c>
      <c r="K1429" s="115"/>
    </row>
    <row r="1430" spans="3:11" x14ac:dyDescent="0.3">
      <c r="C1430" s="27" t="str">
        <f t="shared" si="69"/>
        <v xml:space="preserve">Спирт 70% 100мл </v>
      </c>
      <c r="D1430" s="303" t="str">
        <f t="shared" si="69"/>
        <v>фл/гр.</v>
      </c>
      <c r="E1430" s="303">
        <f t="shared" si="69"/>
        <v>0.01</v>
      </c>
      <c r="F1430" s="303">
        <f t="shared" si="69"/>
        <v>24.6</v>
      </c>
      <c r="G1430" s="228">
        <f t="shared" si="70"/>
        <v>0.25</v>
      </c>
      <c r="K1430" s="115"/>
    </row>
    <row r="1431" spans="3:11" x14ac:dyDescent="0.3">
      <c r="C1431" s="1019" t="s">
        <v>945</v>
      </c>
      <c r="D1431" s="1019"/>
      <c r="E1431" s="1019"/>
      <c r="F1431" s="1019"/>
      <c r="G1431" s="332">
        <f>SUM(G1421:G1430)</f>
        <v>13.43</v>
      </c>
      <c r="K1431" s="115"/>
    </row>
    <row r="1432" spans="3:11" x14ac:dyDescent="0.3">
      <c r="K1432" s="115"/>
    </row>
    <row r="1433" spans="3:11" x14ac:dyDescent="0.3">
      <c r="C1433" s="12" t="s">
        <v>968</v>
      </c>
      <c r="D1433" s="227"/>
      <c r="E1433" s="227"/>
      <c r="F1433" s="298">
        <f>H1436</f>
        <v>0.14000000000000001</v>
      </c>
      <c r="G1433" s="227" t="s">
        <v>971</v>
      </c>
      <c r="K1433" s="115"/>
    </row>
    <row r="1434" spans="3:11" x14ac:dyDescent="0.3">
      <c r="C1434" s="22"/>
      <c r="D1434" s="36"/>
      <c r="E1434" s="36"/>
      <c r="F1434" s="302"/>
      <c r="G1434" s="36"/>
      <c r="K1434" s="115"/>
    </row>
    <row r="1435" spans="3:11" ht="27.6" x14ac:dyDescent="0.3">
      <c r="C1435" s="14" t="s">
        <v>513</v>
      </c>
      <c r="D1435" s="14" t="s">
        <v>969</v>
      </c>
      <c r="E1435" s="14" t="s">
        <v>516</v>
      </c>
      <c r="F1435" s="14" t="s">
        <v>970</v>
      </c>
      <c r="G1435" s="14" t="s">
        <v>930</v>
      </c>
      <c r="H1435" s="14" t="s">
        <v>961</v>
      </c>
      <c r="K1435" s="115"/>
    </row>
    <row r="1436" spans="3:11" x14ac:dyDescent="0.3">
      <c r="C1436" s="17" t="s">
        <v>1107</v>
      </c>
      <c r="D1436" s="73">
        <f>D1380</f>
        <v>7000</v>
      </c>
      <c r="E1436" s="73">
        <f>E1380</f>
        <v>12562.55</v>
      </c>
      <c r="F1436" s="73">
        <f>F1380</f>
        <v>0.01</v>
      </c>
      <c r="G1436" s="73">
        <f>G1380</f>
        <v>14</v>
      </c>
      <c r="H1436" s="73">
        <f>H1380</f>
        <v>0.14000000000000001</v>
      </c>
      <c r="I1436" s="333"/>
      <c r="K1436" s="115"/>
    </row>
    <row r="1437" spans="3:11" x14ac:dyDescent="0.3">
      <c r="K1437" s="115"/>
    </row>
    <row r="1438" spans="3:11" x14ac:dyDescent="0.3">
      <c r="C1438" s="12" t="s">
        <v>948</v>
      </c>
      <c r="D1438" s="227"/>
      <c r="E1438" s="227"/>
      <c r="F1438" s="298">
        <f>H1451</f>
        <v>2.04</v>
      </c>
      <c r="G1438" s="227" t="s">
        <v>971</v>
      </c>
      <c r="K1438" s="115"/>
    </row>
    <row r="1439" spans="3:11" x14ac:dyDescent="0.3">
      <c r="C1439" s="22"/>
      <c r="D1439" s="36"/>
      <c r="E1439" s="36"/>
      <c r="F1439" s="302"/>
      <c r="K1439" s="115"/>
    </row>
    <row r="1440" spans="3:11" ht="41.4" x14ac:dyDescent="0.3">
      <c r="C1440" s="14" t="s">
        <v>948</v>
      </c>
      <c r="D1440" s="14" t="s">
        <v>955</v>
      </c>
      <c r="E1440" s="14" t="s">
        <v>516</v>
      </c>
      <c r="F1440" s="14" t="s">
        <v>954</v>
      </c>
      <c r="G1440" s="14" t="s">
        <v>930</v>
      </c>
      <c r="H1440" s="14" t="s">
        <v>956</v>
      </c>
      <c r="K1440" s="115"/>
    </row>
    <row r="1441" spans="3:11" x14ac:dyDescent="0.3">
      <c r="C1441" s="1009" t="str">
        <f>C1410</f>
        <v>Лікар-фізіотерапевт</v>
      </c>
      <c r="D1441" s="1010"/>
      <c r="E1441" s="1010"/>
      <c r="F1441" s="1010"/>
      <c r="G1441" s="1010"/>
      <c r="H1441" s="1011"/>
      <c r="K1441" s="115"/>
    </row>
    <row r="1442" spans="3:11" x14ac:dyDescent="0.3">
      <c r="C1442" s="17" t="s">
        <v>951</v>
      </c>
      <c r="D1442" s="221">
        <f>D1386</f>
        <v>12188.608008565312</v>
      </c>
      <c r="E1442" s="73">
        <f>I1410</f>
        <v>1932.7</v>
      </c>
      <c r="F1442" s="73">
        <f>ROUND((D1442/E1442)/60,2)</f>
        <v>0.11</v>
      </c>
      <c r="G1442" s="73">
        <f>E1414</f>
        <v>3</v>
      </c>
      <c r="H1442" s="78">
        <f>ROUND(F1442*G1442,2)</f>
        <v>0.33</v>
      </c>
      <c r="K1442" s="115"/>
    </row>
    <row r="1443" spans="3:11" x14ac:dyDescent="0.3">
      <c r="C1443" s="17" t="s">
        <v>952</v>
      </c>
      <c r="D1443" s="221">
        <f>D1387</f>
        <v>53.149721627408987</v>
      </c>
      <c r="E1443" s="73">
        <f>I1410</f>
        <v>1932.7</v>
      </c>
      <c r="F1443" s="73">
        <f>ROUND((D1443/E1443)/60,2)</f>
        <v>0</v>
      </c>
      <c r="G1443" s="73">
        <f>E1414</f>
        <v>3</v>
      </c>
      <c r="H1443" s="78">
        <f>ROUND(F1443*G1443,2)</f>
        <v>0</v>
      </c>
      <c r="K1443" s="115"/>
    </row>
    <row r="1444" spans="3:11" x14ac:dyDescent="0.3">
      <c r="C1444" s="17" t="s">
        <v>953</v>
      </c>
      <c r="D1444" s="221">
        <f>D1388</f>
        <v>374.98368308351178</v>
      </c>
      <c r="E1444" s="73">
        <f>I1410</f>
        <v>1932.7</v>
      </c>
      <c r="F1444" s="73">
        <f>ROUND((D1444/E1444)/60,2)</f>
        <v>0</v>
      </c>
      <c r="G1444" s="73">
        <f>E1414</f>
        <v>3</v>
      </c>
      <c r="H1444" s="78">
        <f>ROUND(F1444*G1444,2)</f>
        <v>0</v>
      </c>
      <c r="K1444" s="115"/>
    </row>
    <row r="1445" spans="3:11" x14ac:dyDescent="0.3">
      <c r="C1445" s="17" t="s">
        <v>1109</v>
      </c>
      <c r="D1445" s="221">
        <f>D1389</f>
        <v>1686.0389293361886</v>
      </c>
      <c r="E1445" s="73">
        <f>I1410</f>
        <v>1932.7</v>
      </c>
      <c r="F1445" s="73">
        <f>ROUND((D1445/E1445)/60,2)</f>
        <v>0.01</v>
      </c>
      <c r="G1445" s="73">
        <f>E1414</f>
        <v>3</v>
      </c>
      <c r="H1445" s="78">
        <f>ROUND(F1445*G1445,2)</f>
        <v>0.03</v>
      </c>
      <c r="K1445" s="115"/>
    </row>
    <row r="1446" spans="3:11" x14ac:dyDescent="0.3">
      <c r="C1446" s="1009" t="str">
        <f>C1411</f>
        <v>Сестра медична з фізіотерапії</v>
      </c>
      <c r="D1446" s="1010"/>
      <c r="E1446" s="1010"/>
      <c r="F1446" s="1010"/>
      <c r="G1446" s="1010"/>
      <c r="H1446" s="1011"/>
      <c r="K1446" s="115"/>
    </row>
    <row r="1447" spans="3:11" x14ac:dyDescent="0.3">
      <c r="C1447" s="17" t="s">
        <v>951</v>
      </c>
      <c r="D1447" s="221">
        <f>D1442</f>
        <v>12188.608008565312</v>
      </c>
      <c r="E1447" s="73">
        <f>I1411</f>
        <v>1932.7</v>
      </c>
      <c r="F1447" s="73">
        <f>ROUND((D1447/E1447)/60,2)</f>
        <v>0.11</v>
      </c>
      <c r="G1447" s="73">
        <f>E1415</f>
        <v>14</v>
      </c>
      <c r="H1447" s="78">
        <f>ROUND(F1447*G1447,2)</f>
        <v>1.54</v>
      </c>
      <c r="K1447" s="115"/>
    </row>
    <row r="1448" spans="3:11" x14ac:dyDescent="0.3">
      <c r="C1448" s="17" t="s">
        <v>952</v>
      </c>
      <c r="D1448" s="221">
        <f>D1443</f>
        <v>53.149721627408987</v>
      </c>
      <c r="E1448" s="73">
        <f>I1411</f>
        <v>1932.7</v>
      </c>
      <c r="F1448" s="73">
        <f>ROUND((D1448/E1448)/60,2)</f>
        <v>0</v>
      </c>
      <c r="G1448" s="73">
        <f>E1415</f>
        <v>14</v>
      </c>
      <c r="H1448" s="78">
        <f>ROUND(F1448*G1448,2)</f>
        <v>0</v>
      </c>
      <c r="K1448" s="115"/>
    </row>
    <row r="1449" spans="3:11" x14ac:dyDescent="0.3">
      <c r="C1449" s="17" t="s">
        <v>953</v>
      </c>
      <c r="D1449" s="221">
        <f>D1444</f>
        <v>374.98368308351178</v>
      </c>
      <c r="E1449" s="73">
        <f>I1411</f>
        <v>1932.7</v>
      </c>
      <c r="F1449" s="73">
        <f>ROUND((D1449/E1449)/60,2)</f>
        <v>0</v>
      </c>
      <c r="G1449" s="73">
        <f>E1415</f>
        <v>14</v>
      </c>
      <c r="H1449" s="78">
        <f>ROUND(F1449*G1449,2)</f>
        <v>0</v>
      </c>
      <c r="K1449" s="115"/>
    </row>
    <row r="1450" spans="3:11" x14ac:dyDescent="0.3">
      <c r="C1450" s="17" t="s">
        <v>1109</v>
      </c>
      <c r="D1450" s="221">
        <f>D1445</f>
        <v>1686.0389293361886</v>
      </c>
      <c r="E1450" s="73">
        <f>I1410</f>
        <v>1932.7</v>
      </c>
      <c r="F1450" s="73">
        <f>ROUND((D1450/E1450)/60,2)</f>
        <v>0.01</v>
      </c>
      <c r="G1450" s="73">
        <f>E1415</f>
        <v>14</v>
      </c>
      <c r="H1450" s="78">
        <f>ROUND(F1450*G1450,2)</f>
        <v>0.14000000000000001</v>
      </c>
      <c r="K1450" s="115"/>
    </row>
    <row r="1451" spans="3:11" x14ac:dyDescent="0.3">
      <c r="C1451" s="1012" t="s">
        <v>957</v>
      </c>
      <c r="D1451" s="1013"/>
      <c r="E1451" s="1013"/>
      <c r="F1451" s="1013"/>
      <c r="G1451" s="1014"/>
      <c r="H1451" s="299">
        <f>SUM(H1442:H1450)</f>
        <v>2.04</v>
      </c>
      <c r="K1451" s="115"/>
    </row>
    <row r="1452" spans="3:11" x14ac:dyDescent="0.3">
      <c r="K1452" s="115"/>
    </row>
    <row r="1453" spans="3:11" x14ac:dyDescent="0.3">
      <c r="C1453" s="1015" t="s">
        <v>959</v>
      </c>
      <c r="D1453" s="1015"/>
      <c r="E1453" s="1015"/>
      <c r="F1453" s="1015"/>
      <c r="G1453" s="1015"/>
      <c r="H1453" s="334">
        <f>F1407+F1419+F1438+F1433</f>
        <v>34.630000000000003</v>
      </c>
      <c r="K1453" s="115"/>
    </row>
    <row r="1454" spans="3:11" x14ac:dyDescent="0.3">
      <c r="C1454" s="33"/>
      <c r="D1454" s="33"/>
      <c r="E1454" s="33"/>
      <c r="F1454" s="33"/>
      <c r="G1454" s="33"/>
      <c r="H1454" s="335"/>
      <c r="K1454" s="115"/>
    </row>
    <row r="1455" spans="3:11" x14ac:dyDescent="0.3">
      <c r="C1455" s="1015" t="s">
        <v>960</v>
      </c>
      <c r="D1455" s="1015"/>
      <c r="E1455" s="1015"/>
      <c r="F1455" s="1015"/>
      <c r="G1455" s="1015"/>
      <c r="H1455" s="334">
        <f>ROUND(H1453,0)</f>
        <v>35</v>
      </c>
      <c r="K1455" s="115"/>
    </row>
    <row r="1456" spans="3:11" x14ac:dyDescent="0.3">
      <c r="K1456" s="115"/>
    </row>
    <row r="1457" spans="2:15" x14ac:dyDescent="0.3">
      <c r="K1457" s="115"/>
    </row>
    <row r="1458" spans="2:15" s="54" customFormat="1" ht="19.8" x14ac:dyDescent="0.4">
      <c r="B1458" s="1016" t="s">
        <v>958</v>
      </c>
      <c r="C1458" s="1016"/>
      <c r="D1458" s="1016"/>
      <c r="E1458" s="1016"/>
      <c r="F1458" s="1016"/>
      <c r="G1458" s="1016"/>
      <c r="H1458" s="1016"/>
      <c r="I1458" s="1016"/>
      <c r="J1458" s="1016"/>
      <c r="K1458" s="115"/>
      <c r="L1458" s="114"/>
      <c r="M1458" s="636"/>
      <c r="N1458" s="7"/>
      <c r="O1458" s="53"/>
    </row>
    <row r="1459" spans="2:15" x14ac:dyDescent="0.3">
      <c r="K1459" s="115"/>
    </row>
    <row r="1460" spans="2:15" ht="34.5" customHeight="1" x14ac:dyDescent="0.3">
      <c r="B1460" s="673" t="s">
        <v>857</v>
      </c>
      <c r="C1460" s="1017" t="s">
        <v>387</v>
      </c>
      <c r="D1460" s="1017"/>
      <c r="E1460" s="1017"/>
      <c r="F1460" s="657">
        <f>H1510</f>
        <v>59</v>
      </c>
      <c r="G1460" s="657" t="s">
        <v>971</v>
      </c>
      <c r="K1460" s="115"/>
    </row>
    <row r="1461" spans="2:15" x14ac:dyDescent="0.3">
      <c r="K1461" s="115"/>
    </row>
    <row r="1462" spans="2:15" x14ac:dyDescent="0.3">
      <c r="C1462" s="1018" t="s">
        <v>932</v>
      </c>
      <c r="D1462" s="1018"/>
      <c r="E1462" s="297"/>
      <c r="F1462" s="298">
        <f>F1469+F1472+F1470</f>
        <v>19.02</v>
      </c>
      <c r="G1462" s="227" t="s">
        <v>971</v>
      </c>
      <c r="K1462" s="115"/>
    </row>
    <row r="1463" spans="2:15" x14ac:dyDescent="0.3">
      <c r="K1463" s="115"/>
    </row>
    <row r="1464" spans="2:15" ht="27.6" x14ac:dyDescent="0.3">
      <c r="C1464" s="13" t="s">
        <v>929</v>
      </c>
      <c r="D1464" s="14" t="s">
        <v>928</v>
      </c>
      <c r="E1464" s="14" t="s">
        <v>514</v>
      </c>
      <c r="F1464" s="14" t="s">
        <v>515</v>
      </c>
      <c r="G1464" s="14" t="s">
        <v>962</v>
      </c>
      <c r="H1464" s="14" t="s">
        <v>926</v>
      </c>
      <c r="I1464" s="14" t="s">
        <v>516</v>
      </c>
      <c r="J1464" s="14" t="s">
        <v>961</v>
      </c>
      <c r="K1464" s="115"/>
    </row>
    <row r="1465" spans="2:15" x14ac:dyDescent="0.3">
      <c r="C1465" s="17" t="str">
        <f>C1354</f>
        <v>Лікар-фізіотерапевт</v>
      </c>
      <c r="D1465" s="78">
        <f>D1354</f>
        <v>10799.43</v>
      </c>
      <c r="E1465" s="78">
        <f>D1465*12</f>
        <v>129593.16</v>
      </c>
      <c r="F1465" s="78">
        <f>F1354</f>
        <v>8307.26</v>
      </c>
      <c r="G1465" s="78">
        <f>G1354</f>
        <v>4153.63</v>
      </c>
      <c r="H1465" s="78">
        <f>E1465+F1465+G1465</f>
        <v>142054.05000000002</v>
      </c>
      <c r="I1465" s="73">
        <v>1932.7</v>
      </c>
      <c r="J1465" s="78">
        <f>ROUND((H1465/I1465)/60,2)</f>
        <v>1.23</v>
      </c>
      <c r="K1465" s="115"/>
    </row>
    <row r="1466" spans="2:15" x14ac:dyDescent="0.3">
      <c r="C1466" s="17" t="str">
        <f>C1355</f>
        <v>Сестра медична з фізіотерапії</v>
      </c>
      <c r="D1466" s="78">
        <f>D1355</f>
        <v>7482.48</v>
      </c>
      <c r="E1466" s="78">
        <f>D1466*12</f>
        <v>89789.759999999995</v>
      </c>
      <c r="F1466" s="78">
        <f>F1355</f>
        <v>5755.75</v>
      </c>
      <c r="G1466" s="78">
        <f>G1355</f>
        <v>2877.875</v>
      </c>
      <c r="H1466" s="78">
        <f>E1466+F1466+G1466</f>
        <v>98423.384999999995</v>
      </c>
      <c r="I1466" s="73">
        <v>1932.7</v>
      </c>
      <c r="J1466" s="78">
        <f>ROUND((H1466/I1466)/60,2)</f>
        <v>0.85</v>
      </c>
      <c r="K1466" s="115"/>
    </row>
    <row r="1467" spans="2:15" x14ac:dyDescent="0.3">
      <c r="K1467" s="115"/>
    </row>
    <row r="1468" spans="2:15" ht="27.6" x14ac:dyDescent="0.3">
      <c r="C1468" s="13" t="s">
        <v>929</v>
      </c>
      <c r="D1468" s="14" t="s">
        <v>961</v>
      </c>
      <c r="E1468" s="14" t="s">
        <v>930</v>
      </c>
      <c r="F1468" s="14" t="s">
        <v>931</v>
      </c>
      <c r="K1468" s="115"/>
    </row>
    <row r="1469" spans="2:15" x14ac:dyDescent="0.3">
      <c r="C1469" s="15" t="str">
        <f>C1465</f>
        <v>Лікар-фізіотерапевт</v>
      </c>
      <c r="D1469" s="78">
        <f>J1465</f>
        <v>1.23</v>
      </c>
      <c r="E1469" s="73">
        <v>3</v>
      </c>
      <c r="F1469" s="299">
        <f>ROUND(D1469*E1469,2)</f>
        <v>3.69</v>
      </c>
      <c r="K1469" s="115"/>
    </row>
    <row r="1470" spans="2:15" x14ac:dyDescent="0.3">
      <c r="C1470" s="15" t="str">
        <f>C1466</f>
        <v>Сестра медична з фізіотерапії</v>
      </c>
      <c r="D1470" s="78">
        <f>J1466</f>
        <v>0.85</v>
      </c>
      <c r="E1470" s="73">
        <v>14</v>
      </c>
      <c r="F1470" s="299">
        <f>ROUND(D1470*E1470,2)</f>
        <v>11.9</v>
      </c>
      <c r="K1470" s="115"/>
    </row>
    <row r="1471" spans="2:15" x14ac:dyDescent="0.3">
      <c r="D1471" s="19"/>
      <c r="K1471" s="115"/>
    </row>
    <row r="1472" spans="2:15" x14ac:dyDescent="0.3">
      <c r="C1472" s="17" t="s">
        <v>933</v>
      </c>
      <c r="D1472" s="78">
        <f>F1469+F1470</f>
        <v>15.59</v>
      </c>
      <c r="E1472" s="300">
        <v>0.22</v>
      </c>
      <c r="F1472" s="301">
        <f>ROUND(D1472*E1472,2)</f>
        <v>3.43</v>
      </c>
      <c r="K1472" s="115"/>
    </row>
    <row r="1473" spans="3:11" x14ac:dyDescent="0.3">
      <c r="K1473" s="115"/>
    </row>
    <row r="1474" spans="3:11" x14ac:dyDescent="0.3">
      <c r="C1474" s="12" t="s">
        <v>946</v>
      </c>
      <c r="D1474" s="227"/>
      <c r="E1474" s="227"/>
      <c r="F1474" s="227">
        <f>G1486</f>
        <v>37.429999999999993</v>
      </c>
      <c r="G1474" s="227" t="s">
        <v>971</v>
      </c>
      <c r="K1474" s="115"/>
    </row>
    <row r="1475" spans="3:11" x14ac:dyDescent="0.3">
      <c r="K1475" s="115"/>
    </row>
    <row r="1476" spans="3:11" ht="27.6" x14ac:dyDescent="0.3">
      <c r="C1476" s="27" t="str">
        <f t="shared" ref="C1476:F1485" si="71">C1365</f>
        <v>Електроди одноразові поверхневі з гідрофільною прокладкою з целюлози прямокутні № 25</v>
      </c>
      <c r="D1476" s="303" t="str">
        <f t="shared" si="71"/>
        <v>шт</v>
      </c>
      <c r="E1476" s="303">
        <f t="shared" si="71"/>
        <v>2</v>
      </c>
      <c r="F1476" s="303">
        <f t="shared" si="71"/>
        <v>14</v>
      </c>
      <c r="G1476" s="228">
        <f>ROUND(F1476*E1476,2)</f>
        <v>28</v>
      </c>
      <c r="K1476" s="115"/>
    </row>
    <row r="1477" spans="3:11" x14ac:dyDescent="0.3">
      <c r="C1477" s="27" t="str">
        <f t="shared" si="71"/>
        <v>Антисептик для обробки рук</v>
      </c>
      <c r="D1477" s="303" t="str">
        <f t="shared" si="71"/>
        <v>мл</v>
      </c>
      <c r="E1477" s="303">
        <f t="shared" si="71"/>
        <v>1</v>
      </c>
      <c r="F1477" s="303">
        <f t="shared" si="71"/>
        <v>0.375</v>
      </c>
      <c r="G1477" s="228">
        <f t="shared" ref="G1477:G1485" si="72">ROUND(F1477*E1477,2)</f>
        <v>0.38</v>
      </c>
      <c r="K1477" s="115"/>
    </row>
    <row r="1478" spans="3:11" x14ac:dyDescent="0.3">
      <c r="C1478" s="27" t="str">
        <f t="shared" si="71"/>
        <v>Антисептик швидкої дії</v>
      </c>
      <c r="D1478" s="303" t="str">
        <f t="shared" si="71"/>
        <v>мл</v>
      </c>
      <c r="E1478" s="303">
        <f t="shared" si="71"/>
        <v>1</v>
      </c>
      <c r="F1478" s="303">
        <f t="shared" si="71"/>
        <v>0.28799999999999998</v>
      </c>
      <c r="G1478" s="228">
        <f t="shared" si="72"/>
        <v>0.28999999999999998</v>
      </c>
      <c r="K1478" s="115"/>
    </row>
    <row r="1479" spans="3:11" x14ac:dyDescent="0.3">
      <c r="C1479" s="27" t="str">
        <f t="shared" si="71"/>
        <v>Вата 100 гр.</v>
      </c>
      <c r="D1479" s="303" t="str">
        <f t="shared" si="71"/>
        <v>г</v>
      </c>
      <c r="E1479" s="303">
        <f t="shared" si="71"/>
        <v>0.01</v>
      </c>
      <c r="F1479" s="303">
        <f t="shared" si="71"/>
        <v>6.72</v>
      </c>
      <c r="G1479" s="228">
        <f t="shared" si="72"/>
        <v>7.0000000000000007E-2</v>
      </c>
      <c r="K1479" s="115"/>
    </row>
    <row r="1480" spans="3:11" x14ac:dyDescent="0.3">
      <c r="C1480" s="27" t="str">
        <f t="shared" si="71"/>
        <v>Деззасоби</v>
      </c>
      <c r="D1480" s="303" t="str">
        <f t="shared" si="71"/>
        <v>г</v>
      </c>
      <c r="E1480" s="303">
        <f t="shared" si="71"/>
        <v>0.5</v>
      </c>
      <c r="F1480" s="303">
        <f t="shared" si="71"/>
        <v>0.5</v>
      </c>
      <c r="G1480" s="228">
        <f t="shared" si="72"/>
        <v>0.25</v>
      </c>
      <c r="K1480" s="115"/>
    </row>
    <row r="1481" spans="3:11" x14ac:dyDescent="0.3">
      <c r="C1481" s="27" t="str">
        <f t="shared" si="71"/>
        <v>Маска одноразова тришарова на резинці</v>
      </c>
      <c r="D1481" s="303" t="str">
        <f t="shared" si="71"/>
        <v>шт</v>
      </c>
      <c r="E1481" s="303">
        <f t="shared" si="71"/>
        <v>1</v>
      </c>
      <c r="F1481" s="303">
        <f t="shared" si="71"/>
        <v>2</v>
      </c>
      <c r="G1481" s="228">
        <f t="shared" si="72"/>
        <v>2</v>
      </c>
      <c r="K1481" s="115"/>
    </row>
    <row r="1482" spans="3:11" x14ac:dyDescent="0.3">
      <c r="C1482" s="27" t="str">
        <f t="shared" si="71"/>
        <v>Мило рідке</v>
      </c>
      <c r="D1482" s="303" t="str">
        <f t="shared" si="71"/>
        <v>мл</v>
      </c>
      <c r="E1482" s="303">
        <f t="shared" si="71"/>
        <v>1</v>
      </c>
      <c r="F1482" s="303">
        <f t="shared" si="71"/>
        <v>0.19600000000000001</v>
      </c>
      <c r="G1482" s="228">
        <f t="shared" si="72"/>
        <v>0.2</v>
      </c>
      <c r="K1482" s="115"/>
    </row>
    <row r="1483" spans="3:11" x14ac:dyDescent="0.3">
      <c r="C1483" s="27" t="str">
        <f t="shared" si="71"/>
        <v>Рукавиці не стерильні</v>
      </c>
      <c r="D1483" s="303" t="str">
        <f t="shared" si="71"/>
        <v>пара</v>
      </c>
      <c r="E1483" s="303">
        <f t="shared" si="71"/>
        <v>0.1</v>
      </c>
      <c r="F1483" s="303">
        <f t="shared" si="71"/>
        <v>7.39</v>
      </c>
      <c r="G1483" s="228">
        <f t="shared" si="72"/>
        <v>0.74</v>
      </c>
      <c r="K1483" s="115"/>
    </row>
    <row r="1484" spans="3:11" x14ac:dyDescent="0.3">
      <c r="C1484" s="27" t="str">
        <f t="shared" si="71"/>
        <v>Рушник паперовий</v>
      </c>
      <c r="D1484" s="303" t="str">
        <f t="shared" si="71"/>
        <v>шт</v>
      </c>
      <c r="E1484" s="303">
        <f t="shared" si="71"/>
        <v>0.3</v>
      </c>
      <c r="F1484" s="303">
        <f t="shared" si="71"/>
        <v>17.5</v>
      </c>
      <c r="G1484" s="228">
        <f t="shared" si="72"/>
        <v>5.25</v>
      </c>
      <c r="K1484" s="115"/>
    </row>
    <row r="1485" spans="3:11" x14ac:dyDescent="0.3">
      <c r="C1485" s="27" t="str">
        <f t="shared" si="71"/>
        <v xml:space="preserve">Спирт 70% 100мл </v>
      </c>
      <c r="D1485" s="303" t="str">
        <f t="shared" si="71"/>
        <v>фл/гр.</v>
      </c>
      <c r="E1485" s="303">
        <f t="shared" si="71"/>
        <v>0.01</v>
      </c>
      <c r="F1485" s="303">
        <f t="shared" si="71"/>
        <v>24.6</v>
      </c>
      <c r="G1485" s="228">
        <f t="shared" si="72"/>
        <v>0.25</v>
      </c>
      <c r="K1485" s="115"/>
    </row>
    <row r="1486" spans="3:11" x14ac:dyDescent="0.3">
      <c r="C1486" s="1019" t="s">
        <v>945</v>
      </c>
      <c r="D1486" s="1019"/>
      <c r="E1486" s="1019"/>
      <c r="F1486" s="1019"/>
      <c r="G1486" s="332">
        <f>SUM(G1476:G1485)</f>
        <v>37.429999999999993</v>
      </c>
      <c r="K1486" s="115"/>
    </row>
    <row r="1487" spans="3:11" x14ac:dyDescent="0.3">
      <c r="K1487" s="115"/>
    </row>
    <row r="1488" spans="3:11" x14ac:dyDescent="0.3">
      <c r="C1488" s="12" t="s">
        <v>968</v>
      </c>
      <c r="D1488" s="227"/>
      <c r="E1488" s="227"/>
      <c r="F1488" s="298">
        <f>H1491</f>
        <v>0.14000000000000001</v>
      </c>
      <c r="G1488" s="227" t="s">
        <v>971</v>
      </c>
      <c r="K1488" s="115"/>
    </row>
    <row r="1489" spans="3:11" x14ac:dyDescent="0.3">
      <c r="C1489" s="22"/>
      <c r="D1489" s="36"/>
      <c r="E1489" s="36"/>
      <c r="F1489" s="302"/>
      <c r="G1489" s="36"/>
      <c r="K1489" s="115"/>
    </row>
    <row r="1490" spans="3:11" ht="27.6" x14ac:dyDescent="0.3">
      <c r="C1490" s="14" t="s">
        <v>513</v>
      </c>
      <c r="D1490" s="14" t="s">
        <v>969</v>
      </c>
      <c r="E1490" s="14" t="s">
        <v>516</v>
      </c>
      <c r="F1490" s="14" t="s">
        <v>970</v>
      </c>
      <c r="G1490" s="14" t="s">
        <v>930</v>
      </c>
      <c r="H1490" s="14" t="s">
        <v>961</v>
      </c>
      <c r="K1490" s="115"/>
    </row>
    <row r="1491" spans="3:11" x14ac:dyDescent="0.3">
      <c r="C1491" s="17" t="s">
        <v>1107</v>
      </c>
      <c r="D1491" s="73">
        <f>D1380</f>
        <v>7000</v>
      </c>
      <c r="E1491" s="73">
        <v>12562.55</v>
      </c>
      <c r="F1491" s="73">
        <f>ROUND((D1491/E1491)/60,2)</f>
        <v>0.01</v>
      </c>
      <c r="G1491" s="73">
        <f>E1470</f>
        <v>14</v>
      </c>
      <c r="H1491" s="78">
        <f>ROUND(F1491*G1491,2)</f>
        <v>0.14000000000000001</v>
      </c>
      <c r="I1491" s="333"/>
      <c r="K1491" s="115"/>
    </row>
    <row r="1492" spans="3:11" x14ac:dyDescent="0.3">
      <c r="K1492" s="115"/>
    </row>
    <row r="1493" spans="3:11" x14ac:dyDescent="0.3">
      <c r="C1493" s="12" t="s">
        <v>948</v>
      </c>
      <c r="D1493" s="227"/>
      <c r="E1493" s="227"/>
      <c r="F1493" s="298">
        <f>H1506</f>
        <v>2.04</v>
      </c>
      <c r="G1493" s="227" t="s">
        <v>971</v>
      </c>
      <c r="K1493" s="115"/>
    </row>
    <row r="1494" spans="3:11" x14ac:dyDescent="0.3">
      <c r="C1494" s="22"/>
      <c r="D1494" s="36"/>
      <c r="E1494" s="36"/>
      <c r="F1494" s="302"/>
      <c r="K1494" s="115"/>
    </row>
    <row r="1495" spans="3:11" ht="41.4" x14ac:dyDescent="0.3">
      <c r="C1495" s="14" t="s">
        <v>948</v>
      </c>
      <c r="D1495" s="14" t="s">
        <v>955</v>
      </c>
      <c r="E1495" s="14" t="s">
        <v>516</v>
      </c>
      <c r="F1495" s="14" t="s">
        <v>954</v>
      </c>
      <c r="G1495" s="14" t="s">
        <v>930</v>
      </c>
      <c r="H1495" s="14" t="s">
        <v>956</v>
      </c>
      <c r="K1495" s="115"/>
    </row>
    <row r="1496" spans="3:11" x14ac:dyDescent="0.3">
      <c r="C1496" s="1009" t="str">
        <f>C1465</f>
        <v>Лікар-фізіотерапевт</v>
      </c>
      <c r="D1496" s="1010"/>
      <c r="E1496" s="1010"/>
      <c r="F1496" s="1010"/>
      <c r="G1496" s="1010"/>
      <c r="H1496" s="1011"/>
      <c r="K1496" s="115"/>
    </row>
    <row r="1497" spans="3:11" x14ac:dyDescent="0.3">
      <c r="C1497" s="17" t="s">
        <v>951</v>
      </c>
      <c r="D1497" s="221">
        <f>D1386</f>
        <v>12188.608008565312</v>
      </c>
      <c r="E1497" s="73">
        <f>I1465</f>
        <v>1932.7</v>
      </c>
      <c r="F1497" s="73">
        <f>ROUND((D1497/E1497)/60,2)</f>
        <v>0.11</v>
      </c>
      <c r="G1497" s="73">
        <f>E1469</f>
        <v>3</v>
      </c>
      <c r="H1497" s="78">
        <f>ROUND(F1497*G1497,2)</f>
        <v>0.33</v>
      </c>
      <c r="K1497" s="115"/>
    </row>
    <row r="1498" spans="3:11" x14ac:dyDescent="0.3">
      <c r="C1498" s="17" t="s">
        <v>952</v>
      </c>
      <c r="D1498" s="221">
        <f>D1387</f>
        <v>53.149721627408987</v>
      </c>
      <c r="E1498" s="73">
        <f>I1465</f>
        <v>1932.7</v>
      </c>
      <c r="F1498" s="73">
        <f>ROUND((D1498/E1498)/60,2)</f>
        <v>0</v>
      </c>
      <c r="G1498" s="73">
        <f>E1469</f>
        <v>3</v>
      </c>
      <c r="H1498" s="78">
        <f>ROUND(F1498*G1498,2)</f>
        <v>0</v>
      </c>
      <c r="K1498" s="115"/>
    </row>
    <row r="1499" spans="3:11" x14ac:dyDescent="0.3">
      <c r="C1499" s="17" t="s">
        <v>953</v>
      </c>
      <c r="D1499" s="221">
        <f>D1388</f>
        <v>374.98368308351178</v>
      </c>
      <c r="E1499" s="73">
        <f>I1465</f>
        <v>1932.7</v>
      </c>
      <c r="F1499" s="73">
        <f>ROUND((D1499/E1499)/60,2)</f>
        <v>0</v>
      </c>
      <c r="G1499" s="73">
        <f>E1469</f>
        <v>3</v>
      </c>
      <c r="H1499" s="78">
        <f>ROUND(F1499*G1499,2)</f>
        <v>0</v>
      </c>
      <c r="K1499" s="115"/>
    </row>
    <row r="1500" spans="3:11" x14ac:dyDescent="0.3">
      <c r="C1500" s="17" t="s">
        <v>1109</v>
      </c>
      <c r="D1500" s="221">
        <f>D1389</f>
        <v>1686.0389293361886</v>
      </c>
      <c r="E1500" s="73">
        <f>I1465</f>
        <v>1932.7</v>
      </c>
      <c r="F1500" s="73">
        <f>ROUND((D1500/E1500)/60,2)</f>
        <v>0.01</v>
      </c>
      <c r="G1500" s="73">
        <f>E1469</f>
        <v>3</v>
      </c>
      <c r="H1500" s="78">
        <f>ROUND(F1500*G1500,2)</f>
        <v>0.03</v>
      </c>
      <c r="K1500" s="115"/>
    </row>
    <row r="1501" spans="3:11" x14ac:dyDescent="0.3">
      <c r="C1501" s="1009" t="str">
        <f>C1466</f>
        <v>Сестра медична з фізіотерапії</v>
      </c>
      <c r="D1501" s="1010"/>
      <c r="E1501" s="1010"/>
      <c r="F1501" s="1010"/>
      <c r="G1501" s="1010"/>
      <c r="H1501" s="1011"/>
      <c r="K1501" s="115"/>
    </row>
    <row r="1502" spans="3:11" x14ac:dyDescent="0.3">
      <c r="C1502" s="17" t="s">
        <v>951</v>
      </c>
      <c r="D1502" s="221">
        <f>D1497</f>
        <v>12188.608008565312</v>
      </c>
      <c r="E1502" s="73">
        <f>I1466</f>
        <v>1932.7</v>
      </c>
      <c r="F1502" s="73">
        <f>ROUND((D1502/E1502)/60,2)</f>
        <v>0.11</v>
      </c>
      <c r="G1502" s="73">
        <f>E1470</f>
        <v>14</v>
      </c>
      <c r="H1502" s="78">
        <f>ROUND(F1502*G1502,2)</f>
        <v>1.54</v>
      </c>
      <c r="K1502" s="115"/>
    </row>
    <row r="1503" spans="3:11" x14ac:dyDescent="0.3">
      <c r="C1503" s="17" t="s">
        <v>952</v>
      </c>
      <c r="D1503" s="221">
        <f>D1498</f>
        <v>53.149721627408987</v>
      </c>
      <c r="E1503" s="73">
        <f>I1466</f>
        <v>1932.7</v>
      </c>
      <c r="F1503" s="73">
        <f>ROUND((D1503/E1503)/60,2)</f>
        <v>0</v>
      </c>
      <c r="G1503" s="73">
        <f>E1470</f>
        <v>14</v>
      </c>
      <c r="H1503" s="78">
        <f>ROUND(F1503*G1503,2)</f>
        <v>0</v>
      </c>
      <c r="K1503" s="115"/>
    </row>
    <row r="1504" spans="3:11" x14ac:dyDescent="0.3">
      <c r="C1504" s="17" t="s">
        <v>953</v>
      </c>
      <c r="D1504" s="221">
        <f>D1499</f>
        <v>374.98368308351178</v>
      </c>
      <c r="E1504" s="73">
        <f>I1466</f>
        <v>1932.7</v>
      </c>
      <c r="F1504" s="73">
        <f>ROUND((D1504/E1504)/60,2)</f>
        <v>0</v>
      </c>
      <c r="G1504" s="73">
        <f>E1470</f>
        <v>14</v>
      </c>
      <c r="H1504" s="78">
        <f>ROUND(F1504*G1504,2)</f>
        <v>0</v>
      </c>
      <c r="K1504" s="115"/>
    </row>
    <row r="1505" spans="2:15" x14ac:dyDescent="0.3">
      <c r="C1505" s="17" t="s">
        <v>1109</v>
      </c>
      <c r="D1505" s="221">
        <f>D1500</f>
        <v>1686.0389293361886</v>
      </c>
      <c r="E1505" s="73">
        <f>I1465</f>
        <v>1932.7</v>
      </c>
      <c r="F1505" s="73">
        <f>ROUND((D1505/E1505)/60,2)</f>
        <v>0.01</v>
      </c>
      <c r="G1505" s="73">
        <f>E1470</f>
        <v>14</v>
      </c>
      <c r="H1505" s="78">
        <f>ROUND(F1505*G1505,2)</f>
        <v>0.14000000000000001</v>
      </c>
      <c r="K1505" s="115"/>
    </row>
    <row r="1506" spans="2:15" x14ac:dyDescent="0.3">
      <c r="C1506" s="1012" t="s">
        <v>957</v>
      </c>
      <c r="D1506" s="1013"/>
      <c r="E1506" s="1013"/>
      <c r="F1506" s="1013"/>
      <c r="G1506" s="1014"/>
      <c r="H1506" s="299">
        <f>SUM(H1497:H1505)</f>
        <v>2.04</v>
      </c>
      <c r="K1506" s="115"/>
    </row>
    <row r="1507" spans="2:15" x14ac:dyDescent="0.3">
      <c r="K1507" s="115"/>
    </row>
    <row r="1508" spans="2:15" x14ac:dyDescent="0.3">
      <c r="C1508" s="1015" t="s">
        <v>959</v>
      </c>
      <c r="D1508" s="1015"/>
      <c r="E1508" s="1015"/>
      <c r="F1508" s="1015"/>
      <c r="G1508" s="1015"/>
      <c r="H1508" s="334">
        <f>F1462+F1474+F1493+F1488</f>
        <v>58.629999999999988</v>
      </c>
      <c r="K1508" s="115"/>
    </row>
    <row r="1509" spans="2:15" x14ac:dyDescent="0.3">
      <c r="C1509" s="33"/>
      <c r="D1509" s="33"/>
      <c r="E1509" s="33"/>
      <c r="F1509" s="33"/>
      <c r="G1509" s="33"/>
      <c r="H1509" s="335"/>
      <c r="K1509" s="115"/>
    </row>
    <row r="1510" spans="2:15" x14ac:dyDescent="0.3">
      <c r="C1510" s="1015" t="s">
        <v>960</v>
      </c>
      <c r="D1510" s="1015"/>
      <c r="E1510" s="1015"/>
      <c r="F1510" s="1015"/>
      <c r="G1510" s="1015"/>
      <c r="H1510" s="334">
        <f>ROUND(H1508,0)</f>
        <v>59</v>
      </c>
      <c r="K1510" s="115"/>
    </row>
    <row r="1511" spans="2:15" x14ac:dyDescent="0.3">
      <c r="K1511" s="115"/>
    </row>
    <row r="1512" spans="2:15" x14ac:dyDescent="0.3">
      <c r="K1512" s="115"/>
    </row>
    <row r="1513" spans="2:15" s="54" customFormat="1" ht="19.8" x14ac:dyDescent="0.4">
      <c r="B1513" s="1016" t="s">
        <v>958</v>
      </c>
      <c r="C1513" s="1016"/>
      <c r="D1513" s="1016"/>
      <c r="E1513" s="1016"/>
      <c r="F1513" s="1016"/>
      <c r="G1513" s="1016"/>
      <c r="H1513" s="1016"/>
      <c r="I1513" s="1016"/>
      <c r="J1513" s="1016"/>
      <c r="K1513" s="115"/>
      <c r="L1513" s="114"/>
      <c r="M1513" s="636"/>
      <c r="N1513" s="7"/>
      <c r="O1513" s="53"/>
    </row>
    <row r="1514" spans="2:15" x14ac:dyDescent="0.3">
      <c r="K1514" s="115"/>
    </row>
    <row r="1515" spans="2:15" ht="34.5" customHeight="1" x14ac:dyDescent="0.3">
      <c r="B1515" s="673" t="s">
        <v>386</v>
      </c>
      <c r="C1515" s="1017" t="s">
        <v>388</v>
      </c>
      <c r="D1515" s="1017"/>
      <c r="E1515" s="1017"/>
      <c r="F1515" s="657">
        <f>H1565</f>
        <v>35</v>
      </c>
      <c r="G1515" s="657" t="s">
        <v>971</v>
      </c>
      <c r="K1515" s="115"/>
    </row>
    <row r="1516" spans="2:15" x14ac:dyDescent="0.3">
      <c r="K1516" s="115"/>
    </row>
    <row r="1517" spans="2:15" x14ac:dyDescent="0.3">
      <c r="C1517" s="1018" t="s">
        <v>932</v>
      </c>
      <c r="D1517" s="1018"/>
      <c r="E1517" s="297"/>
      <c r="F1517" s="298">
        <f>F1524+F1527+F1525</f>
        <v>19.02</v>
      </c>
      <c r="G1517" s="227" t="s">
        <v>971</v>
      </c>
      <c r="K1517" s="115"/>
    </row>
    <row r="1518" spans="2:15" x14ac:dyDescent="0.3">
      <c r="K1518" s="115"/>
    </row>
    <row r="1519" spans="2:15" ht="27.6" x14ac:dyDescent="0.3">
      <c r="C1519" s="13" t="s">
        <v>929</v>
      </c>
      <c r="D1519" s="14" t="s">
        <v>928</v>
      </c>
      <c r="E1519" s="14" t="s">
        <v>514</v>
      </c>
      <c r="F1519" s="14" t="s">
        <v>515</v>
      </c>
      <c r="G1519" s="14" t="s">
        <v>962</v>
      </c>
      <c r="H1519" s="14" t="s">
        <v>926</v>
      </c>
      <c r="I1519" s="14" t="s">
        <v>516</v>
      </c>
      <c r="J1519" s="14" t="s">
        <v>961</v>
      </c>
      <c r="K1519" s="115"/>
    </row>
    <row r="1520" spans="2:15" x14ac:dyDescent="0.3">
      <c r="C1520" s="17" t="str">
        <f t="shared" ref="C1520:G1521" si="73">C1465</f>
        <v>Лікар-фізіотерапевт</v>
      </c>
      <c r="D1520" s="73">
        <f t="shared" si="73"/>
        <v>10799.43</v>
      </c>
      <c r="E1520" s="73">
        <f t="shared" si="73"/>
        <v>129593.16</v>
      </c>
      <c r="F1520" s="73">
        <f t="shared" si="73"/>
        <v>8307.26</v>
      </c>
      <c r="G1520" s="73">
        <f t="shared" si="73"/>
        <v>4153.63</v>
      </c>
      <c r="H1520" s="78">
        <f>E1520+F1520+G1520</f>
        <v>142054.05000000002</v>
      </c>
      <c r="I1520" s="73">
        <v>1932.7</v>
      </c>
      <c r="J1520" s="78">
        <f>ROUND((H1520/I1520)/60,2)</f>
        <v>1.23</v>
      </c>
      <c r="K1520" s="115"/>
    </row>
    <row r="1521" spans="3:11" x14ac:dyDescent="0.3">
      <c r="C1521" s="17" t="str">
        <f t="shared" si="73"/>
        <v>Сестра медична з фізіотерапії</v>
      </c>
      <c r="D1521" s="73">
        <f t="shared" si="73"/>
        <v>7482.48</v>
      </c>
      <c r="E1521" s="73">
        <f t="shared" si="73"/>
        <v>89789.759999999995</v>
      </c>
      <c r="F1521" s="73">
        <f t="shared" si="73"/>
        <v>5755.75</v>
      </c>
      <c r="G1521" s="73">
        <f t="shared" si="73"/>
        <v>2877.875</v>
      </c>
      <c r="H1521" s="78">
        <f>E1521+F1521+G1521</f>
        <v>98423.384999999995</v>
      </c>
      <c r="I1521" s="73">
        <v>1932.7</v>
      </c>
      <c r="J1521" s="78">
        <f>ROUND((H1521/I1521)/60,2)</f>
        <v>0.85</v>
      </c>
      <c r="K1521" s="115"/>
    </row>
    <row r="1522" spans="3:11" x14ac:dyDescent="0.3">
      <c r="K1522" s="115"/>
    </row>
    <row r="1523" spans="3:11" ht="27.6" x14ac:dyDescent="0.3">
      <c r="C1523" s="13" t="s">
        <v>929</v>
      </c>
      <c r="D1523" s="14" t="s">
        <v>961</v>
      </c>
      <c r="E1523" s="14" t="s">
        <v>930</v>
      </c>
      <c r="F1523" s="14" t="s">
        <v>931</v>
      </c>
      <c r="K1523" s="115"/>
    </row>
    <row r="1524" spans="3:11" x14ac:dyDescent="0.3">
      <c r="C1524" s="15" t="str">
        <f>C1520</f>
        <v>Лікар-фізіотерапевт</v>
      </c>
      <c r="D1524" s="78">
        <f>J1520</f>
        <v>1.23</v>
      </c>
      <c r="E1524" s="73">
        <v>3</v>
      </c>
      <c r="F1524" s="299">
        <f>ROUND(D1524*E1524,2)</f>
        <v>3.69</v>
      </c>
      <c r="K1524" s="115"/>
    </row>
    <row r="1525" spans="3:11" x14ac:dyDescent="0.3">
      <c r="C1525" s="15" t="str">
        <f>C1521</f>
        <v>Сестра медична з фізіотерапії</v>
      </c>
      <c r="D1525" s="78">
        <f>J1521</f>
        <v>0.85</v>
      </c>
      <c r="E1525" s="73">
        <v>14</v>
      </c>
      <c r="F1525" s="299">
        <f>ROUND(D1525*E1525,2)</f>
        <v>11.9</v>
      </c>
      <c r="K1525" s="115"/>
    </row>
    <row r="1526" spans="3:11" x14ac:dyDescent="0.3">
      <c r="D1526" s="19"/>
      <c r="K1526" s="115"/>
    </row>
    <row r="1527" spans="3:11" x14ac:dyDescent="0.3">
      <c r="C1527" s="17" t="s">
        <v>933</v>
      </c>
      <c r="D1527" s="78">
        <f>F1524+F1525</f>
        <v>15.59</v>
      </c>
      <c r="E1527" s="300">
        <v>0.22</v>
      </c>
      <c r="F1527" s="301">
        <f>ROUND(D1527*E1527,2)</f>
        <v>3.43</v>
      </c>
      <c r="K1527" s="115"/>
    </row>
    <row r="1528" spans="3:11" x14ac:dyDescent="0.3">
      <c r="K1528" s="115"/>
    </row>
    <row r="1529" spans="3:11" x14ac:dyDescent="0.3">
      <c r="C1529" s="12" t="s">
        <v>946</v>
      </c>
      <c r="D1529" s="227"/>
      <c r="E1529" s="227"/>
      <c r="F1529" s="227">
        <f>G1541</f>
        <v>13.43</v>
      </c>
      <c r="G1529" s="227" t="s">
        <v>971</v>
      </c>
      <c r="K1529" s="115"/>
    </row>
    <row r="1530" spans="3:11" x14ac:dyDescent="0.3">
      <c r="K1530" s="115"/>
    </row>
    <row r="1531" spans="3:11" x14ac:dyDescent="0.3">
      <c r="C1531" s="27" t="str">
        <f>C1421</f>
        <v>Гідрофільні прокладки багаторазові поверхневі</v>
      </c>
      <c r="D1531" s="303" t="str">
        <f>D1421</f>
        <v>шт</v>
      </c>
      <c r="E1531" s="303">
        <f>E1421</f>
        <v>2</v>
      </c>
      <c r="F1531" s="303">
        <f>F1421</f>
        <v>2</v>
      </c>
      <c r="G1531" s="228">
        <f>ROUND(F1531*E1531,2)</f>
        <v>4</v>
      </c>
      <c r="K1531" s="115"/>
    </row>
    <row r="1532" spans="3:11" x14ac:dyDescent="0.3">
      <c r="C1532" s="27" t="str">
        <f t="shared" ref="C1532:F1540" si="74">C1422</f>
        <v>Антисептик для обробки рук</v>
      </c>
      <c r="D1532" s="303" t="str">
        <f t="shared" si="74"/>
        <v>мл</v>
      </c>
      <c r="E1532" s="303">
        <f t="shared" si="74"/>
        <v>1</v>
      </c>
      <c r="F1532" s="303">
        <f t="shared" si="74"/>
        <v>0.375</v>
      </c>
      <c r="G1532" s="228">
        <f t="shared" ref="G1532:G1540" si="75">ROUND(F1532*E1532,2)</f>
        <v>0.38</v>
      </c>
      <c r="K1532" s="115"/>
    </row>
    <row r="1533" spans="3:11" x14ac:dyDescent="0.3">
      <c r="C1533" s="27" t="str">
        <f t="shared" si="74"/>
        <v>Антисептик швидкої дії</v>
      </c>
      <c r="D1533" s="303" t="str">
        <f t="shared" si="74"/>
        <v>мл</v>
      </c>
      <c r="E1533" s="303">
        <f t="shared" si="74"/>
        <v>1</v>
      </c>
      <c r="F1533" s="303">
        <f t="shared" si="74"/>
        <v>0.28799999999999998</v>
      </c>
      <c r="G1533" s="228">
        <f t="shared" si="75"/>
        <v>0.28999999999999998</v>
      </c>
      <c r="K1533" s="115"/>
    </row>
    <row r="1534" spans="3:11" x14ac:dyDescent="0.3">
      <c r="C1534" s="27" t="str">
        <f t="shared" si="74"/>
        <v>Вата 100 гр.</v>
      </c>
      <c r="D1534" s="303" t="str">
        <f t="shared" si="74"/>
        <v>г</v>
      </c>
      <c r="E1534" s="303">
        <f t="shared" si="74"/>
        <v>0.01</v>
      </c>
      <c r="F1534" s="303">
        <f t="shared" si="74"/>
        <v>6.72</v>
      </c>
      <c r="G1534" s="228">
        <f t="shared" si="75"/>
        <v>7.0000000000000007E-2</v>
      </c>
      <c r="K1534" s="115"/>
    </row>
    <row r="1535" spans="3:11" x14ac:dyDescent="0.3">
      <c r="C1535" s="27" t="str">
        <f t="shared" si="74"/>
        <v>Деззасоби</v>
      </c>
      <c r="D1535" s="303" t="str">
        <f t="shared" si="74"/>
        <v>г</v>
      </c>
      <c r="E1535" s="303">
        <f t="shared" si="74"/>
        <v>0.5</v>
      </c>
      <c r="F1535" s="303">
        <f t="shared" si="74"/>
        <v>0.5</v>
      </c>
      <c r="G1535" s="228">
        <f t="shared" si="75"/>
        <v>0.25</v>
      </c>
      <c r="K1535" s="115"/>
    </row>
    <row r="1536" spans="3:11" x14ac:dyDescent="0.3">
      <c r="C1536" s="27" t="str">
        <f t="shared" si="74"/>
        <v>Маска одноразова тришарова на резинці</v>
      </c>
      <c r="D1536" s="303" t="str">
        <f t="shared" si="74"/>
        <v>шт</v>
      </c>
      <c r="E1536" s="303">
        <f t="shared" si="74"/>
        <v>1</v>
      </c>
      <c r="F1536" s="303">
        <f t="shared" si="74"/>
        <v>2</v>
      </c>
      <c r="G1536" s="228">
        <f t="shared" si="75"/>
        <v>2</v>
      </c>
      <c r="K1536" s="115"/>
    </row>
    <row r="1537" spans="3:11" x14ac:dyDescent="0.3">
      <c r="C1537" s="27" t="str">
        <f t="shared" si="74"/>
        <v>Мило рідке</v>
      </c>
      <c r="D1537" s="303" t="str">
        <f t="shared" si="74"/>
        <v>мл</v>
      </c>
      <c r="E1537" s="303">
        <f t="shared" si="74"/>
        <v>1</v>
      </c>
      <c r="F1537" s="303">
        <f t="shared" si="74"/>
        <v>0.19600000000000001</v>
      </c>
      <c r="G1537" s="228">
        <f t="shared" si="75"/>
        <v>0.2</v>
      </c>
      <c r="K1537" s="115"/>
    </row>
    <row r="1538" spans="3:11" x14ac:dyDescent="0.3">
      <c r="C1538" s="27" t="str">
        <f t="shared" si="74"/>
        <v>Рукавиці не стерильні</v>
      </c>
      <c r="D1538" s="303" t="str">
        <f t="shared" si="74"/>
        <v>пара</v>
      </c>
      <c r="E1538" s="303">
        <f t="shared" si="74"/>
        <v>0.1</v>
      </c>
      <c r="F1538" s="303">
        <f t="shared" si="74"/>
        <v>7.39</v>
      </c>
      <c r="G1538" s="228">
        <f t="shared" si="75"/>
        <v>0.74</v>
      </c>
      <c r="K1538" s="115"/>
    </row>
    <row r="1539" spans="3:11" x14ac:dyDescent="0.3">
      <c r="C1539" s="27" t="str">
        <f t="shared" si="74"/>
        <v>Рушник паперовий</v>
      </c>
      <c r="D1539" s="303" t="str">
        <f t="shared" si="74"/>
        <v>шт</v>
      </c>
      <c r="E1539" s="303">
        <f t="shared" si="74"/>
        <v>0.3</v>
      </c>
      <c r="F1539" s="303">
        <f t="shared" si="74"/>
        <v>17.5</v>
      </c>
      <c r="G1539" s="228">
        <f t="shared" si="75"/>
        <v>5.25</v>
      </c>
      <c r="K1539" s="115"/>
    </row>
    <row r="1540" spans="3:11" x14ac:dyDescent="0.3">
      <c r="C1540" s="27" t="str">
        <f t="shared" si="74"/>
        <v xml:space="preserve">Спирт 70% 100мл </v>
      </c>
      <c r="D1540" s="303" t="str">
        <f t="shared" si="74"/>
        <v>фл/гр.</v>
      </c>
      <c r="E1540" s="303">
        <f t="shared" si="74"/>
        <v>0.01</v>
      </c>
      <c r="F1540" s="303">
        <f t="shared" si="74"/>
        <v>24.6</v>
      </c>
      <c r="G1540" s="228">
        <f t="shared" si="75"/>
        <v>0.25</v>
      </c>
      <c r="K1540" s="115"/>
    </row>
    <row r="1541" spans="3:11" x14ac:dyDescent="0.3">
      <c r="C1541" s="1019" t="s">
        <v>945</v>
      </c>
      <c r="D1541" s="1019"/>
      <c r="E1541" s="1019"/>
      <c r="F1541" s="1019"/>
      <c r="G1541" s="332">
        <f>SUM(G1531:G1540)</f>
        <v>13.43</v>
      </c>
      <c r="K1541" s="115"/>
    </row>
    <row r="1542" spans="3:11" x14ac:dyDescent="0.3">
      <c r="K1542" s="115"/>
    </row>
    <row r="1543" spans="3:11" x14ac:dyDescent="0.3">
      <c r="C1543" s="12" t="s">
        <v>968</v>
      </c>
      <c r="D1543" s="227"/>
      <c r="E1543" s="227"/>
      <c r="F1543" s="298">
        <f>H1546</f>
        <v>0.14000000000000001</v>
      </c>
      <c r="G1543" s="227" t="s">
        <v>971</v>
      </c>
      <c r="K1543" s="115"/>
    </row>
    <row r="1544" spans="3:11" x14ac:dyDescent="0.3">
      <c r="C1544" s="22"/>
      <c r="D1544" s="36"/>
      <c r="E1544" s="36"/>
      <c r="F1544" s="302"/>
      <c r="G1544" s="36"/>
      <c r="K1544" s="115"/>
    </row>
    <row r="1545" spans="3:11" ht="27.6" x14ac:dyDescent="0.3">
      <c r="C1545" s="14" t="s">
        <v>513</v>
      </c>
      <c r="D1545" s="14" t="s">
        <v>969</v>
      </c>
      <c r="E1545" s="14" t="s">
        <v>516</v>
      </c>
      <c r="F1545" s="14" t="s">
        <v>970</v>
      </c>
      <c r="G1545" s="14" t="s">
        <v>930</v>
      </c>
      <c r="H1545" s="14" t="s">
        <v>961</v>
      </c>
      <c r="K1545" s="115"/>
    </row>
    <row r="1546" spans="3:11" x14ac:dyDescent="0.3">
      <c r="C1546" s="17" t="s">
        <v>1107</v>
      </c>
      <c r="D1546" s="73">
        <f>D1491</f>
        <v>7000</v>
      </c>
      <c r="E1546" s="73">
        <v>12562.55</v>
      </c>
      <c r="F1546" s="73">
        <f>ROUND((D1546/E1546)/60,2)</f>
        <v>0.01</v>
      </c>
      <c r="G1546" s="73">
        <f>E1525</f>
        <v>14</v>
      </c>
      <c r="H1546" s="78">
        <f>ROUND(F1546*G1546,2)</f>
        <v>0.14000000000000001</v>
      </c>
      <c r="I1546" s="333"/>
      <c r="K1546" s="115"/>
    </row>
    <row r="1547" spans="3:11" x14ac:dyDescent="0.3">
      <c r="K1547" s="115"/>
    </row>
    <row r="1548" spans="3:11" x14ac:dyDescent="0.3">
      <c r="C1548" s="12" t="s">
        <v>948</v>
      </c>
      <c r="D1548" s="227"/>
      <c r="E1548" s="227"/>
      <c r="F1548" s="298">
        <f>H1561</f>
        <v>2.04</v>
      </c>
      <c r="G1548" s="227" t="s">
        <v>971</v>
      </c>
      <c r="K1548" s="115"/>
    </row>
    <row r="1549" spans="3:11" x14ac:dyDescent="0.3">
      <c r="C1549" s="22"/>
      <c r="D1549" s="36"/>
      <c r="E1549" s="36"/>
      <c r="F1549" s="302"/>
      <c r="K1549" s="115"/>
    </row>
    <row r="1550" spans="3:11" ht="41.4" x14ac:dyDescent="0.3">
      <c r="C1550" s="14" t="s">
        <v>948</v>
      </c>
      <c r="D1550" s="14" t="s">
        <v>955</v>
      </c>
      <c r="E1550" s="14" t="s">
        <v>516</v>
      </c>
      <c r="F1550" s="14" t="s">
        <v>954</v>
      </c>
      <c r="G1550" s="14" t="s">
        <v>930</v>
      </c>
      <c r="H1550" s="14" t="s">
        <v>956</v>
      </c>
      <c r="K1550" s="115"/>
    </row>
    <row r="1551" spans="3:11" x14ac:dyDescent="0.3">
      <c r="C1551" s="1009" t="str">
        <f>C1520</f>
        <v>Лікар-фізіотерапевт</v>
      </c>
      <c r="D1551" s="1010"/>
      <c r="E1551" s="1010"/>
      <c r="F1551" s="1010"/>
      <c r="G1551" s="1010"/>
      <c r="H1551" s="1011"/>
      <c r="K1551" s="115"/>
    </row>
    <row r="1552" spans="3:11" x14ac:dyDescent="0.3">
      <c r="C1552" s="17" t="s">
        <v>951</v>
      </c>
      <c r="D1552" s="221">
        <f>D1497</f>
        <v>12188.608008565312</v>
      </c>
      <c r="E1552" s="73">
        <f>I1520</f>
        <v>1932.7</v>
      </c>
      <c r="F1552" s="73">
        <f>ROUND((D1552/E1552)/60,2)</f>
        <v>0.11</v>
      </c>
      <c r="G1552" s="73">
        <f>E1524</f>
        <v>3</v>
      </c>
      <c r="H1552" s="78">
        <f>ROUND(F1552*G1552,2)</f>
        <v>0.33</v>
      </c>
      <c r="K1552" s="115"/>
    </row>
    <row r="1553" spans="2:15" x14ac:dyDescent="0.3">
      <c r="C1553" s="17" t="s">
        <v>952</v>
      </c>
      <c r="D1553" s="221">
        <f>D1498</f>
        <v>53.149721627408987</v>
      </c>
      <c r="E1553" s="73">
        <f>I1520</f>
        <v>1932.7</v>
      </c>
      <c r="F1553" s="73">
        <f>ROUND((D1553/E1553)/60,2)</f>
        <v>0</v>
      </c>
      <c r="G1553" s="73">
        <f>E1524</f>
        <v>3</v>
      </c>
      <c r="H1553" s="78">
        <f>ROUND(F1553*G1553,2)</f>
        <v>0</v>
      </c>
      <c r="K1553" s="115"/>
    </row>
    <row r="1554" spans="2:15" x14ac:dyDescent="0.3">
      <c r="C1554" s="17" t="s">
        <v>953</v>
      </c>
      <c r="D1554" s="221">
        <f>D1499</f>
        <v>374.98368308351178</v>
      </c>
      <c r="E1554" s="73">
        <f>I1520</f>
        <v>1932.7</v>
      </c>
      <c r="F1554" s="73">
        <f>ROUND((D1554/E1554)/60,2)</f>
        <v>0</v>
      </c>
      <c r="G1554" s="73">
        <f>E1524</f>
        <v>3</v>
      </c>
      <c r="H1554" s="78">
        <f>ROUND(F1554*G1554,2)</f>
        <v>0</v>
      </c>
      <c r="K1554" s="115"/>
    </row>
    <row r="1555" spans="2:15" x14ac:dyDescent="0.3">
      <c r="C1555" s="17" t="s">
        <v>1109</v>
      </c>
      <c r="D1555" s="221">
        <f>D1500</f>
        <v>1686.0389293361886</v>
      </c>
      <c r="E1555" s="73">
        <f>I1520</f>
        <v>1932.7</v>
      </c>
      <c r="F1555" s="73">
        <f>ROUND((D1555/E1555)/60,2)</f>
        <v>0.01</v>
      </c>
      <c r="G1555" s="73">
        <f>E1524</f>
        <v>3</v>
      </c>
      <c r="H1555" s="78">
        <f>ROUND(F1555*G1555,2)</f>
        <v>0.03</v>
      </c>
      <c r="K1555" s="115"/>
    </row>
    <row r="1556" spans="2:15" x14ac:dyDescent="0.3">
      <c r="C1556" s="1009" t="str">
        <f>C1521</f>
        <v>Сестра медична з фізіотерапії</v>
      </c>
      <c r="D1556" s="1010"/>
      <c r="E1556" s="1010"/>
      <c r="F1556" s="1010"/>
      <c r="G1556" s="1010"/>
      <c r="H1556" s="1011"/>
      <c r="K1556" s="115"/>
    </row>
    <row r="1557" spans="2:15" x14ac:dyDescent="0.3">
      <c r="C1557" s="17" t="s">
        <v>951</v>
      </c>
      <c r="D1557" s="221">
        <f>D1552</f>
        <v>12188.608008565312</v>
      </c>
      <c r="E1557" s="73">
        <f>I1521</f>
        <v>1932.7</v>
      </c>
      <c r="F1557" s="73">
        <f>ROUND((D1557/E1557)/60,2)</f>
        <v>0.11</v>
      </c>
      <c r="G1557" s="73">
        <f>E1525</f>
        <v>14</v>
      </c>
      <c r="H1557" s="78">
        <f>ROUND(F1557*G1557,2)</f>
        <v>1.54</v>
      </c>
      <c r="K1557" s="115"/>
    </row>
    <row r="1558" spans="2:15" x14ac:dyDescent="0.3">
      <c r="C1558" s="17" t="s">
        <v>952</v>
      </c>
      <c r="D1558" s="221">
        <f>D1553</f>
        <v>53.149721627408987</v>
      </c>
      <c r="E1558" s="73">
        <f>I1521</f>
        <v>1932.7</v>
      </c>
      <c r="F1558" s="73">
        <f>ROUND((D1558/E1558)/60,2)</f>
        <v>0</v>
      </c>
      <c r="G1558" s="73">
        <f>E1525</f>
        <v>14</v>
      </c>
      <c r="H1558" s="78">
        <f>ROUND(F1558*G1558,2)</f>
        <v>0</v>
      </c>
      <c r="K1558" s="115"/>
    </row>
    <row r="1559" spans="2:15" x14ac:dyDescent="0.3">
      <c r="C1559" s="17" t="s">
        <v>953</v>
      </c>
      <c r="D1559" s="221">
        <f>D1554</f>
        <v>374.98368308351178</v>
      </c>
      <c r="E1559" s="73">
        <f>I1521</f>
        <v>1932.7</v>
      </c>
      <c r="F1559" s="73">
        <f>ROUND((D1559/E1559)/60,2)</f>
        <v>0</v>
      </c>
      <c r="G1559" s="73">
        <f>E1525</f>
        <v>14</v>
      </c>
      <c r="H1559" s="78">
        <f>ROUND(F1559*G1559,2)</f>
        <v>0</v>
      </c>
      <c r="K1559" s="115"/>
    </row>
    <row r="1560" spans="2:15" x14ac:dyDescent="0.3">
      <c r="C1560" s="17" t="s">
        <v>1109</v>
      </c>
      <c r="D1560" s="221">
        <f>D1555</f>
        <v>1686.0389293361886</v>
      </c>
      <c r="E1560" s="73">
        <f>I1520</f>
        <v>1932.7</v>
      </c>
      <c r="F1560" s="73">
        <f>ROUND((D1560/E1560)/60,2)</f>
        <v>0.01</v>
      </c>
      <c r="G1560" s="73">
        <f>E1525</f>
        <v>14</v>
      </c>
      <c r="H1560" s="78">
        <f>ROUND(F1560*G1560,2)</f>
        <v>0.14000000000000001</v>
      </c>
      <c r="K1560" s="115"/>
    </row>
    <row r="1561" spans="2:15" x14ac:dyDescent="0.3">
      <c r="C1561" s="1012" t="s">
        <v>957</v>
      </c>
      <c r="D1561" s="1013"/>
      <c r="E1561" s="1013"/>
      <c r="F1561" s="1013"/>
      <c r="G1561" s="1014"/>
      <c r="H1561" s="299">
        <f>SUM(H1552:H1560)</f>
        <v>2.04</v>
      </c>
      <c r="K1561" s="115"/>
    </row>
    <row r="1562" spans="2:15" x14ac:dyDescent="0.3">
      <c r="K1562" s="115"/>
    </row>
    <row r="1563" spans="2:15" x14ac:dyDescent="0.3">
      <c r="C1563" s="1015" t="s">
        <v>959</v>
      </c>
      <c r="D1563" s="1015"/>
      <c r="E1563" s="1015"/>
      <c r="F1563" s="1015"/>
      <c r="G1563" s="1015"/>
      <c r="H1563" s="334">
        <f>F1517+F1529+F1548+F1543</f>
        <v>34.630000000000003</v>
      </c>
      <c r="K1563" s="115"/>
    </row>
    <row r="1564" spans="2:15" x14ac:dyDescent="0.3">
      <c r="C1564" s="33"/>
      <c r="D1564" s="33"/>
      <c r="E1564" s="33"/>
      <c r="F1564" s="33"/>
      <c r="G1564" s="33"/>
      <c r="H1564" s="335"/>
      <c r="K1564" s="115"/>
    </row>
    <row r="1565" spans="2:15" x14ac:dyDescent="0.3">
      <c r="C1565" s="1015" t="s">
        <v>960</v>
      </c>
      <c r="D1565" s="1015"/>
      <c r="E1565" s="1015"/>
      <c r="F1565" s="1015"/>
      <c r="G1565" s="1015"/>
      <c r="H1565" s="334">
        <f>ROUND(H1563,0)</f>
        <v>35</v>
      </c>
      <c r="K1565" s="115"/>
    </row>
    <row r="1566" spans="2:15" x14ac:dyDescent="0.3">
      <c r="K1566" s="115"/>
    </row>
    <row r="1567" spans="2:15" x14ac:dyDescent="0.3">
      <c r="K1567" s="115"/>
    </row>
    <row r="1568" spans="2:15" s="54" customFormat="1" ht="19.8" x14ac:dyDescent="0.4">
      <c r="B1568" s="1016" t="s">
        <v>958</v>
      </c>
      <c r="C1568" s="1016"/>
      <c r="D1568" s="1016"/>
      <c r="E1568" s="1016"/>
      <c r="F1568" s="1016"/>
      <c r="G1568" s="1016"/>
      <c r="H1568" s="1016"/>
      <c r="I1568" s="1016"/>
      <c r="J1568" s="1016"/>
      <c r="K1568" s="7"/>
      <c r="L1568" s="7"/>
      <c r="M1568" s="636"/>
      <c r="N1568" s="7"/>
      <c r="O1568" s="53"/>
    </row>
    <row r="1570" spans="2:10" ht="37.5" customHeight="1" x14ac:dyDescent="0.3">
      <c r="B1570" s="673" t="s">
        <v>859</v>
      </c>
      <c r="C1570" s="1017" t="s">
        <v>389</v>
      </c>
      <c r="D1570" s="1017"/>
      <c r="E1570" s="1017"/>
      <c r="F1570" s="657">
        <f>H1619</f>
        <v>26</v>
      </c>
      <c r="G1570" s="657" t="s">
        <v>971</v>
      </c>
    </row>
    <row r="1572" spans="2:10" x14ac:dyDescent="0.3">
      <c r="C1572" s="1018" t="s">
        <v>932</v>
      </c>
      <c r="D1572" s="1018"/>
      <c r="E1572" s="297"/>
      <c r="F1572" s="298">
        <f>F1579+F1582+F1580</f>
        <v>14.870000000000001</v>
      </c>
      <c r="G1572" s="227" t="s">
        <v>971</v>
      </c>
    </row>
    <row r="1573" spans="2:10" ht="6" customHeight="1" x14ac:dyDescent="0.3"/>
    <row r="1574" spans="2:10" ht="27.6" x14ac:dyDescent="0.3">
      <c r="C1574" s="13" t="s">
        <v>929</v>
      </c>
      <c r="D1574" s="14" t="s">
        <v>928</v>
      </c>
      <c r="E1574" s="14" t="s">
        <v>514</v>
      </c>
      <c r="F1574" s="14" t="s">
        <v>515</v>
      </c>
      <c r="G1574" s="14" t="s">
        <v>962</v>
      </c>
      <c r="H1574" s="14" t="s">
        <v>926</v>
      </c>
      <c r="I1574" s="14" t="s">
        <v>516</v>
      </c>
      <c r="J1574" s="14" t="s">
        <v>961</v>
      </c>
    </row>
    <row r="1575" spans="2:10" x14ac:dyDescent="0.3">
      <c r="C1575" s="17" t="str">
        <f>C1465</f>
        <v>Лікар-фізіотерапевт</v>
      </c>
      <c r="D1575" s="78">
        <f>D1465</f>
        <v>10799.43</v>
      </c>
      <c r="E1575" s="78">
        <f>D1575*12</f>
        <v>129593.16</v>
      </c>
      <c r="F1575" s="78">
        <f>F1465</f>
        <v>8307.26</v>
      </c>
      <c r="G1575" s="78">
        <f>G1465</f>
        <v>4153.63</v>
      </c>
      <c r="H1575" s="78">
        <f>E1575+F1575+G1575</f>
        <v>142054.05000000002</v>
      </c>
      <c r="I1575" s="73">
        <v>1932.7</v>
      </c>
      <c r="J1575" s="78">
        <f>ROUND((H1575/I1575)/60,2)</f>
        <v>1.23</v>
      </c>
    </row>
    <row r="1576" spans="2:10" x14ac:dyDescent="0.3">
      <c r="C1576" s="17" t="str">
        <f>C1466</f>
        <v>Сестра медична з фізіотерапії</v>
      </c>
      <c r="D1576" s="78">
        <f>D1466</f>
        <v>7482.48</v>
      </c>
      <c r="E1576" s="78">
        <f>D1576*12</f>
        <v>89789.759999999995</v>
      </c>
      <c r="F1576" s="78">
        <f>F1466</f>
        <v>5755.75</v>
      </c>
      <c r="G1576" s="78">
        <f>G1466</f>
        <v>2877.875</v>
      </c>
      <c r="H1576" s="78">
        <f>E1576+F1576+G1576</f>
        <v>98423.384999999995</v>
      </c>
      <c r="I1576" s="73">
        <v>1932.7</v>
      </c>
      <c r="J1576" s="78">
        <f>ROUND((H1576/I1576)/60,2)</f>
        <v>0.85</v>
      </c>
    </row>
    <row r="1577" spans="2:10" ht="5.25" customHeight="1" x14ac:dyDescent="0.3"/>
    <row r="1578" spans="2:10" ht="27.6" x14ac:dyDescent="0.3">
      <c r="C1578" s="13" t="s">
        <v>929</v>
      </c>
      <c r="D1578" s="14" t="s">
        <v>961</v>
      </c>
      <c r="E1578" s="14" t="s">
        <v>930</v>
      </c>
      <c r="F1578" s="14" t="s">
        <v>931</v>
      </c>
    </row>
    <row r="1579" spans="2:10" x14ac:dyDescent="0.3">
      <c r="C1579" s="15" t="str">
        <f>C1575</f>
        <v>Лікар-фізіотерапевт</v>
      </c>
      <c r="D1579" s="78">
        <f>J1575</f>
        <v>1.23</v>
      </c>
      <c r="E1579" s="73">
        <v>3</v>
      </c>
      <c r="F1579" s="299">
        <f>ROUND(D1579*E1579,2)</f>
        <v>3.69</v>
      </c>
    </row>
    <row r="1580" spans="2:10" x14ac:dyDescent="0.3">
      <c r="C1580" s="15" t="str">
        <f>C1576</f>
        <v>Сестра медична з фізіотерапії</v>
      </c>
      <c r="D1580" s="78">
        <f>J1576</f>
        <v>0.85</v>
      </c>
      <c r="E1580" s="73">
        <v>10</v>
      </c>
      <c r="F1580" s="299">
        <f>ROUND(D1580*E1580,2)</f>
        <v>8.5</v>
      </c>
    </row>
    <row r="1581" spans="2:10" x14ac:dyDescent="0.3">
      <c r="D1581" s="19"/>
    </row>
    <row r="1582" spans="2:10" x14ac:dyDescent="0.3">
      <c r="C1582" s="17" t="s">
        <v>933</v>
      </c>
      <c r="D1582" s="78">
        <f>F1579+F1580</f>
        <v>12.19</v>
      </c>
      <c r="E1582" s="300">
        <v>0.22</v>
      </c>
      <c r="F1582" s="301">
        <f>ROUND(D1582*E1582,2)</f>
        <v>2.68</v>
      </c>
    </row>
    <row r="1583" spans="2:10" ht="8.25" customHeight="1" x14ac:dyDescent="0.3"/>
    <row r="1584" spans="2:10" x14ac:dyDescent="0.3">
      <c r="C1584" s="12" t="s">
        <v>946</v>
      </c>
      <c r="D1584" s="227"/>
      <c r="E1584" s="227"/>
      <c r="F1584" s="227">
        <f>G1595</f>
        <v>9.43</v>
      </c>
      <c r="G1584" s="227" t="s">
        <v>971</v>
      </c>
    </row>
    <row r="1585" spans="3:11" ht="6" customHeight="1" x14ac:dyDescent="0.3"/>
    <row r="1586" spans="3:11" x14ac:dyDescent="0.3">
      <c r="C1586" s="27" t="str">
        <f t="shared" ref="C1586:F1594" si="76">C1477</f>
        <v>Антисептик для обробки рук</v>
      </c>
      <c r="D1586" s="303" t="str">
        <f t="shared" si="76"/>
        <v>мл</v>
      </c>
      <c r="E1586" s="303">
        <f t="shared" si="76"/>
        <v>1</v>
      </c>
      <c r="F1586" s="303">
        <f t="shared" si="76"/>
        <v>0.375</v>
      </c>
      <c r="G1586" s="228">
        <f t="shared" ref="G1586:G1594" si="77">ROUND(F1586*E1586,2)</f>
        <v>0.38</v>
      </c>
      <c r="K1586" s="115"/>
    </row>
    <row r="1587" spans="3:11" x14ac:dyDescent="0.3">
      <c r="C1587" s="27" t="str">
        <f t="shared" si="76"/>
        <v>Антисептик швидкої дії</v>
      </c>
      <c r="D1587" s="303" t="str">
        <f t="shared" si="76"/>
        <v>мл</v>
      </c>
      <c r="E1587" s="303">
        <f t="shared" si="76"/>
        <v>1</v>
      </c>
      <c r="F1587" s="303">
        <f t="shared" si="76"/>
        <v>0.28799999999999998</v>
      </c>
      <c r="G1587" s="228">
        <f t="shared" si="77"/>
        <v>0.28999999999999998</v>
      </c>
      <c r="K1587" s="115"/>
    </row>
    <row r="1588" spans="3:11" x14ac:dyDescent="0.3">
      <c r="C1588" s="27" t="str">
        <f t="shared" si="76"/>
        <v>Вата 100 гр.</v>
      </c>
      <c r="D1588" s="303" t="str">
        <f t="shared" si="76"/>
        <v>г</v>
      </c>
      <c r="E1588" s="303">
        <f t="shared" si="76"/>
        <v>0.01</v>
      </c>
      <c r="F1588" s="303">
        <f t="shared" si="76"/>
        <v>6.72</v>
      </c>
      <c r="G1588" s="228">
        <f t="shared" si="77"/>
        <v>7.0000000000000007E-2</v>
      </c>
      <c r="K1588" s="115"/>
    </row>
    <row r="1589" spans="3:11" x14ac:dyDescent="0.3">
      <c r="C1589" s="27" t="str">
        <f t="shared" si="76"/>
        <v>Деззасоби</v>
      </c>
      <c r="D1589" s="303" t="str">
        <f t="shared" si="76"/>
        <v>г</v>
      </c>
      <c r="E1589" s="303">
        <f t="shared" si="76"/>
        <v>0.5</v>
      </c>
      <c r="F1589" s="303">
        <f t="shared" si="76"/>
        <v>0.5</v>
      </c>
      <c r="G1589" s="228">
        <f t="shared" si="77"/>
        <v>0.25</v>
      </c>
      <c r="K1589" s="115"/>
    </row>
    <row r="1590" spans="3:11" x14ac:dyDescent="0.3">
      <c r="C1590" s="27" t="str">
        <f t="shared" si="76"/>
        <v>Маска одноразова тришарова на резинці</v>
      </c>
      <c r="D1590" s="303" t="str">
        <f t="shared" si="76"/>
        <v>шт</v>
      </c>
      <c r="E1590" s="303">
        <f t="shared" si="76"/>
        <v>1</v>
      </c>
      <c r="F1590" s="303">
        <f t="shared" si="76"/>
        <v>2</v>
      </c>
      <c r="G1590" s="228">
        <f t="shared" si="77"/>
        <v>2</v>
      </c>
      <c r="K1590" s="115"/>
    </row>
    <row r="1591" spans="3:11" x14ac:dyDescent="0.3">
      <c r="C1591" s="27" t="str">
        <f t="shared" si="76"/>
        <v>Мило рідке</v>
      </c>
      <c r="D1591" s="303" t="str">
        <f t="shared" si="76"/>
        <v>мл</v>
      </c>
      <c r="E1591" s="303">
        <f t="shared" si="76"/>
        <v>1</v>
      </c>
      <c r="F1591" s="303">
        <f t="shared" si="76"/>
        <v>0.19600000000000001</v>
      </c>
      <c r="G1591" s="228">
        <f t="shared" si="77"/>
        <v>0.2</v>
      </c>
      <c r="K1591" s="115"/>
    </row>
    <row r="1592" spans="3:11" x14ac:dyDescent="0.3">
      <c r="C1592" s="27" t="str">
        <f t="shared" si="76"/>
        <v>Рукавиці не стерильні</v>
      </c>
      <c r="D1592" s="303" t="str">
        <f t="shared" si="76"/>
        <v>пара</v>
      </c>
      <c r="E1592" s="303">
        <f t="shared" si="76"/>
        <v>0.1</v>
      </c>
      <c r="F1592" s="303">
        <f t="shared" si="76"/>
        <v>7.39</v>
      </c>
      <c r="G1592" s="228">
        <f t="shared" si="77"/>
        <v>0.74</v>
      </c>
      <c r="K1592" s="115"/>
    </row>
    <row r="1593" spans="3:11" x14ac:dyDescent="0.3">
      <c r="C1593" s="27" t="str">
        <f t="shared" si="76"/>
        <v>Рушник паперовий</v>
      </c>
      <c r="D1593" s="303" t="str">
        <f t="shared" si="76"/>
        <v>шт</v>
      </c>
      <c r="E1593" s="303">
        <f t="shared" si="76"/>
        <v>0.3</v>
      </c>
      <c r="F1593" s="303">
        <f t="shared" si="76"/>
        <v>17.5</v>
      </c>
      <c r="G1593" s="228">
        <f t="shared" si="77"/>
        <v>5.25</v>
      </c>
      <c r="K1593" s="115"/>
    </row>
    <row r="1594" spans="3:11" x14ac:dyDescent="0.3">
      <c r="C1594" s="27" t="str">
        <f t="shared" si="76"/>
        <v xml:space="preserve">Спирт 70% 100мл </v>
      </c>
      <c r="D1594" s="303" t="str">
        <f t="shared" si="76"/>
        <v>фл/гр.</v>
      </c>
      <c r="E1594" s="303">
        <f t="shared" si="76"/>
        <v>0.01</v>
      </c>
      <c r="F1594" s="303">
        <f t="shared" si="76"/>
        <v>24.6</v>
      </c>
      <c r="G1594" s="228">
        <f t="shared" si="77"/>
        <v>0.25</v>
      </c>
      <c r="K1594" s="115"/>
    </row>
    <row r="1595" spans="3:11" x14ac:dyDescent="0.3">
      <c r="C1595" s="1019" t="s">
        <v>945</v>
      </c>
      <c r="D1595" s="1019"/>
      <c r="E1595" s="1019"/>
      <c r="F1595" s="1019"/>
      <c r="G1595" s="332">
        <f>SUM(G1586:G1594)</f>
        <v>9.43</v>
      </c>
      <c r="K1595" s="115"/>
    </row>
    <row r="1596" spans="3:11" ht="7.5" customHeight="1" x14ac:dyDescent="0.3"/>
    <row r="1597" spans="3:11" x14ac:dyDescent="0.3">
      <c r="C1597" s="12" t="s">
        <v>968</v>
      </c>
      <c r="D1597" s="227"/>
      <c r="E1597" s="227"/>
      <c r="F1597" s="298">
        <f>H1600</f>
        <v>0.1</v>
      </c>
      <c r="G1597" s="227" t="s">
        <v>971</v>
      </c>
    </row>
    <row r="1598" spans="3:11" ht="6.75" customHeight="1" x14ac:dyDescent="0.3">
      <c r="C1598" s="22"/>
      <c r="D1598" s="36"/>
      <c r="E1598" s="36"/>
      <c r="F1598" s="302"/>
      <c r="G1598" s="36"/>
    </row>
    <row r="1599" spans="3:11" ht="27.6" x14ac:dyDescent="0.3">
      <c r="C1599" s="14" t="s">
        <v>513</v>
      </c>
      <c r="D1599" s="14" t="s">
        <v>969</v>
      </c>
      <c r="E1599" s="14" t="s">
        <v>516</v>
      </c>
      <c r="F1599" s="14" t="s">
        <v>970</v>
      </c>
      <c r="G1599" s="14" t="s">
        <v>930</v>
      </c>
      <c r="H1599" s="14" t="s">
        <v>961</v>
      </c>
    </row>
    <row r="1600" spans="3:11" x14ac:dyDescent="0.3">
      <c r="C1600" s="17" t="s">
        <v>1107</v>
      </c>
      <c r="D1600" s="73">
        <f>D1491</f>
        <v>7000</v>
      </c>
      <c r="E1600" s="73">
        <v>12562.55</v>
      </c>
      <c r="F1600" s="73">
        <f>ROUND((D1600/E1600)/60,2)</f>
        <v>0.01</v>
      </c>
      <c r="G1600" s="73">
        <f>E1580</f>
        <v>10</v>
      </c>
      <c r="H1600" s="78">
        <f>ROUND(F1600*G1600,2)</f>
        <v>0.1</v>
      </c>
      <c r="I1600" s="333"/>
    </row>
    <row r="1601" spans="3:8" ht="5.25" customHeight="1" x14ac:dyDescent="0.3"/>
    <row r="1602" spans="3:8" x14ac:dyDescent="0.3">
      <c r="C1602" s="12" t="s">
        <v>948</v>
      </c>
      <c r="D1602" s="227"/>
      <c r="E1602" s="227"/>
      <c r="F1602" s="298">
        <f>H1615</f>
        <v>1.56</v>
      </c>
      <c r="G1602" s="227" t="s">
        <v>971</v>
      </c>
    </row>
    <row r="1603" spans="3:8" ht="6.75" customHeight="1" x14ac:dyDescent="0.3">
      <c r="C1603" s="22"/>
      <c r="D1603" s="36"/>
      <c r="E1603" s="36"/>
      <c r="F1603" s="302"/>
    </row>
    <row r="1604" spans="3:8" ht="41.4" x14ac:dyDescent="0.3">
      <c r="C1604" s="14" t="s">
        <v>948</v>
      </c>
      <c r="D1604" s="14" t="s">
        <v>955</v>
      </c>
      <c r="E1604" s="14" t="s">
        <v>516</v>
      </c>
      <c r="F1604" s="14" t="s">
        <v>954</v>
      </c>
      <c r="G1604" s="14" t="s">
        <v>930</v>
      </c>
      <c r="H1604" s="14" t="s">
        <v>956</v>
      </c>
    </row>
    <row r="1605" spans="3:8" x14ac:dyDescent="0.3">
      <c r="C1605" s="1009" t="str">
        <f>C1575</f>
        <v>Лікар-фізіотерапевт</v>
      </c>
      <c r="D1605" s="1010"/>
      <c r="E1605" s="1010"/>
      <c r="F1605" s="1010"/>
      <c r="G1605" s="1010"/>
      <c r="H1605" s="1011"/>
    </row>
    <row r="1606" spans="3:8" x14ac:dyDescent="0.3">
      <c r="C1606" s="17" t="s">
        <v>951</v>
      </c>
      <c r="D1606" s="221">
        <f>D1497</f>
        <v>12188.608008565312</v>
      </c>
      <c r="E1606" s="73">
        <f>I1575</f>
        <v>1932.7</v>
      </c>
      <c r="F1606" s="73">
        <f>ROUND((D1606/E1606)/60,2)</f>
        <v>0.11</v>
      </c>
      <c r="G1606" s="73">
        <f>E1579</f>
        <v>3</v>
      </c>
      <c r="H1606" s="78">
        <f>ROUND(F1606*G1606,2)</f>
        <v>0.33</v>
      </c>
    </row>
    <row r="1607" spans="3:8" x14ac:dyDescent="0.3">
      <c r="C1607" s="17" t="s">
        <v>952</v>
      </c>
      <c r="D1607" s="221">
        <f>D1498</f>
        <v>53.149721627408987</v>
      </c>
      <c r="E1607" s="73">
        <f>I1575</f>
        <v>1932.7</v>
      </c>
      <c r="F1607" s="73">
        <f>ROUND((D1607/E1607)/60,2)</f>
        <v>0</v>
      </c>
      <c r="G1607" s="73">
        <f>E1579</f>
        <v>3</v>
      </c>
      <c r="H1607" s="78">
        <f>ROUND(F1607*G1607,2)</f>
        <v>0</v>
      </c>
    </row>
    <row r="1608" spans="3:8" x14ac:dyDescent="0.3">
      <c r="C1608" s="17" t="s">
        <v>953</v>
      </c>
      <c r="D1608" s="221">
        <f>D1499</f>
        <v>374.98368308351178</v>
      </c>
      <c r="E1608" s="73">
        <f>I1575</f>
        <v>1932.7</v>
      </c>
      <c r="F1608" s="73">
        <f>ROUND((D1608/E1608)/60,2)</f>
        <v>0</v>
      </c>
      <c r="G1608" s="73">
        <f>E1579</f>
        <v>3</v>
      </c>
      <c r="H1608" s="78">
        <f>ROUND(F1608*G1608,2)</f>
        <v>0</v>
      </c>
    </row>
    <row r="1609" spans="3:8" x14ac:dyDescent="0.3">
      <c r="C1609" s="17" t="s">
        <v>1109</v>
      </c>
      <c r="D1609" s="221">
        <f>D1500</f>
        <v>1686.0389293361886</v>
      </c>
      <c r="E1609" s="73">
        <f>I1575</f>
        <v>1932.7</v>
      </c>
      <c r="F1609" s="73">
        <f>ROUND((D1609/E1609)/60,2)</f>
        <v>0.01</v>
      </c>
      <c r="G1609" s="73">
        <f>E1579</f>
        <v>3</v>
      </c>
      <c r="H1609" s="78">
        <f>ROUND(F1609*G1609,2)</f>
        <v>0.03</v>
      </c>
    </row>
    <row r="1610" spans="3:8" x14ac:dyDescent="0.3">
      <c r="C1610" s="1009" t="str">
        <f>C1576</f>
        <v>Сестра медична з фізіотерапії</v>
      </c>
      <c r="D1610" s="1010"/>
      <c r="E1610" s="1010"/>
      <c r="F1610" s="1010"/>
      <c r="G1610" s="1010"/>
      <c r="H1610" s="1011"/>
    </row>
    <row r="1611" spans="3:8" x14ac:dyDescent="0.3">
      <c r="C1611" s="17" t="s">
        <v>951</v>
      </c>
      <c r="D1611" s="221">
        <f>D1606</f>
        <v>12188.608008565312</v>
      </c>
      <c r="E1611" s="73">
        <f>I1576</f>
        <v>1932.7</v>
      </c>
      <c r="F1611" s="73">
        <f>ROUND((D1611/E1611)/60,2)</f>
        <v>0.11</v>
      </c>
      <c r="G1611" s="73">
        <f>E1580</f>
        <v>10</v>
      </c>
      <c r="H1611" s="78">
        <f>ROUND(F1611*G1611,2)</f>
        <v>1.1000000000000001</v>
      </c>
    </row>
    <row r="1612" spans="3:8" x14ac:dyDescent="0.3">
      <c r="C1612" s="17" t="s">
        <v>952</v>
      </c>
      <c r="D1612" s="221">
        <f>D1607</f>
        <v>53.149721627408987</v>
      </c>
      <c r="E1612" s="73">
        <f>I1576</f>
        <v>1932.7</v>
      </c>
      <c r="F1612" s="73">
        <f>ROUND((D1612/E1612)/60,2)</f>
        <v>0</v>
      </c>
      <c r="G1612" s="73">
        <f>E1580</f>
        <v>10</v>
      </c>
      <c r="H1612" s="78">
        <f>ROUND(F1612*G1612,2)</f>
        <v>0</v>
      </c>
    </row>
    <row r="1613" spans="3:8" x14ac:dyDescent="0.3">
      <c r="C1613" s="17" t="s">
        <v>953</v>
      </c>
      <c r="D1613" s="221">
        <f>D1608</f>
        <v>374.98368308351178</v>
      </c>
      <c r="E1613" s="73">
        <f>I1576</f>
        <v>1932.7</v>
      </c>
      <c r="F1613" s="73">
        <f>ROUND((D1613/E1613)/60,2)</f>
        <v>0</v>
      </c>
      <c r="G1613" s="73">
        <f>E1580</f>
        <v>10</v>
      </c>
      <c r="H1613" s="78">
        <f>ROUND(F1613*G1613,2)</f>
        <v>0</v>
      </c>
    </row>
    <row r="1614" spans="3:8" x14ac:dyDescent="0.3">
      <c r="C1614" s="17" t="s">
        <v>1109</v>
      </c>
      <c r="D1614" s="221">
        <f>D1609</f>
        <v>1686.0389293361886</v>
      </c>
      <c r="E1614" s="73">
        <f>I1576</f>
        <v>1932.7</v>
      </c>
      <c r="F1614" s="73">
        <f>ROUND((D1614/E1614)/60,2)</f>
        <v>0.01</v>
      </c>
      <c r="G1614" s="73">
        <f>E1580</f>
        <v>10</v>
      </c>
      <c r="H1614" s="78">
        <f>ROUND(F1614*G1614,2)</f>
        <v>0.1</v>
      </c>
    </row>
    <row r="1615" spans="3:8" x14ac:dyDescent="0.3">
      <c r="C1615" s="1012" t="s">
        <v>957</v>
      </c>
      <c r="D1615" s="1013"/>
      <c r="E1615" s="1013"/>
      <c r="F1615" s="1013"/>
      <c r="G1615" s="1014"/>
      <c r="H1615" s="299">
        <f>SUM(H1606:H1614)</f>
        <v>1.56</v>
      </c>
    </row>
    <row r="1616" spans="3:8" ht="9" customHeight="1" x14ac:dyDescent="0.3"/>
    <row r="1617" spans="2:15" x14ac:dyDescent="0.3">
      <c r="C1617" s="1015" t="s">
        <v>959</v>
      </c>
      <c r="D1617" s="1015"/>
      <c r="E1617" s="1015"/>
      <c r="F1617" s="1015"/>
      <c r="G1617" s="1015"/>
      <c r="H1617" s="334">
        <f>F1572+F1584+F1602+F1597</f>
        <v>25.96</v>
      </c>
    </row>
    <row r="1618" spans="2:15" x14ac:dyDescent="0.3">
      <c r="C1618" s="33"/>
      <c r="D1618" s="33"/>
      <c r="E1618" s="33"/>
      <c r="F1618" s="33"/>
      <c r="G1618" s="33"/>
      <c r="H1618" s="335"/>
    </row>
    <row r="1619" spans="2:15" x14ac:dyDescent="0.3">
      <c r="C1619" s="1015" t="s">
        <v>960</v>
      </c>
      <c r="D1619" s="1015"/>
      <c r="E1619" s="1015"/>
      <c r="F1619" s="1015"/>
      <c r="G1619" s="1015"/>
      <c r="H1619" s="334">
        <f>ROUND(H1617,0)</f>
        <v>26</v>
      </c>
    </row>
    <row r="1621" spans="2:15" s="54" customFormat="1" ht="19.8" x14ac:dyDescent="0.4">
      <c r="B1621" s="1016" t="s">
        <v>958</v>
      </c>
      <c r="C1621" s="1016"/>
      <c r="D1621" s="1016"/>
      <c r="E1621" s="1016"/>
      <c r="F1621" s="1016"/>
      <c r="G1621" s="1016"/>
      <c r="H1621" s="1016"/>
      <c r="I1621" s="1016"/>
      <c r="J1621" s="1016"/>
      <c r="K1621" s="115"/>
      <c r="L1621" s="119"/>
      <c r="M1621" s="631"/>
      <c r="N1621" s="53"/>
      <c r="O1621" s="53"/>
    </row>
    <row r="1622" spans="2:15" x14ac:dyDescent="0.3">
      <c r="K1622" s="115"/>
      <c r="L1622" s="119"/>
    </row>
    <row r="1623" spans="2:15" ht="37.5" customHeight="1" x14ac:dyDescent="0.3">
      <c r="B1623" s="673" t="s">
        <v>390</v>
      </c>
      <c r="C1623" s="1017" t="s">
        <v>395</v>
      </c>
      <c r="D1623" s="1017"/>
      <c r="E1623" s="1017"/>
      <c r="F1623" s="657">
        <f>H1673</f>
        <v>42</v>
      </c>
      <c r="G1623" s="657" t="s">
        <v>971</v>
      </c>
      <c r="K1623" s="115"/>
      <c r="L1623" s="119"/>
    </row>
    <row r="1624" spans="2:15" x14ac:dyDescent="0.3">
      <c r="K1624" s="115"/>
      <c r="L1624" s="116"/>
    </row>
    <row r="1625" spans="2:15" x14ac:dyDescent="0.3">
      <c r="C1625" s="1018" t="s">
        <v>932</v>
      </c>
      <c r="D1625" s="1018"/>
      <c r="E1625" s="297"/>
      <c r="F1625" s="298">
        <f>F1632+F1635+F1633</f>
        <v>14.870000000000001</v>
      </c>
      <c r="G1625" s="227" t="s">
        <v>971</v>
      </c>
      <c r="K1625" s="115"/>
      <c r="L1625" s="116"/>
    </row>
    <row r="1626" spans="2:15" ht="6" customHeight="1" x14ac:dyDescent="0.3">
      <c r="K1626" s="115"/>
      <c r="L1626" s="116"/>
    </row>
    <row r="1627" spans="2:15" ht="27.6" x14ac:dyDescent="0.3">
      <c r="C1627" s="13" t="s">
        <v>929</v>
      </c>
      <c r="D1627" s="14" t="s">
        <v>928</v>
      </c>
      <c r="E1627" s="14" t="s">
        <v>514</v>
      </c>
      <c r="F1627" s="14" t="s">
        <v>515</v>
      </c>
      <c r="G1627" s="14" t="s">
        <v>962</v>
      </c>
      <c r="H1627" s="14" t="s">
        <v>926</v>
      </c>
      <c r="I1627" s="14" t="s">
        <v>516</v>
      </c>
      <c r="J1627" s="14" t="s">
        <v>961</v>
      </c>
      <c r="K1627" s="605"/>
      <c r="L1627" s="606"/>
    </row>
    <row r="1628" spans="2:15" x14ac:dyDescent="0.3">
      <c r="C1628" s="17" t="str">
        <f>C1520</f>
        <v>Лікар-фізіотерапевт</v>
      </c>
      <c r="D1628" s="78">
        <f>D1520</f>
        <v>10799.43</v>
      </c>
      <c r="E1628" s="78">
        <f>D1628*12</f>
        <v>129593.16</v>
      </c>
      <c r="F1628" s="78">
        <f>F1520</f>
        <v>8307.26</v>
      </c>
      <c r="G1628" s="78">
        <f>G1520</f>
        <v>4153.63</v>
      </c>
      <c r="H1628" s="78">
        <f>E1628+F1628+G1628</f>
        <v>142054.05000000002</v>
      </c>
      <c r="I1628" s="73">
        <v>1932.7</v>
      </c>
      <c r="J1628" s="78">
        <f>ROUND((H1628/I1628)/60,2)</f>
        <v>1.23</v>
      </c>
      <c r="K1628" s="605"/>
      <c r="L1628" s="606"/>
    </row>
    <row r="1629" spans="2:15" x14ac:dyDescent="0.3">
      <c r="C1629" s="17" t="str">
        <f>C1521</f>
        <v>Сестра медична з фізіотерапії</v>
      </c>
      <c r="D1629" s="78">
        <f>D1521</f>
        <v>7482.48</v>
      </c>
      <c r="E1629" s="78">
        <f>D1629*12</f>
        <v>89789.759999999995</v>
      </c>
      <c r="F1629" s="78">
        <f>F1521</f>
        <v>5755.75</v>
      </c>
      <c r="G1629" s="78">
        <f>G1521</f>
        <v>2877.875</v>
      </c>
      <c r="H1629" s="78">
        <f>E1629+F1629+G1629</f>
        <v>98423.384999999995</v>
      </c>
      <c r="I1629" s="73">
        <v>1932.7</v>
      </c>
      <c r="J1629" s="78">
        <f>ROUND((H1629/I1629)/60,2)</f>
        <v>0.85</v>
      </c>
      <c r="K1629" s="605"/>
      <c r="L1629" s="606"/>
    </row>
    <row r="1630" spans="2:15" ht="5.25" customHeight="1" x14ac:dyDescent="0.3"/>
    <row r="1631" spans="2:15" ht="27.6" x14ac:dyDescent="0.3">
      <c r="C1631" s="13" t="s">
        <v>929</v>
      </c>
      <c r="D1631" s="14" t="s">
        <v>961</v>
      </c>
      <c r="E1631" s="14" t="s">
        <v>930</v>
      </c>
      <c r="F1631" s="14" t="s">
        <v>931</v>
      </c>
    </row>
    <row r="1632" spans="2:15" x14ac:dyDescent="0.3">
      <c r="C1632" s="15" t="str">
        <f>C1628</f>
        <v>Лікар-фізіотерапевт</v>
      </c>
      <c r="D1632" s="78">
        <f>J1628</f>
        <v>1.23</v>
      </c>
      <c r="E1632" s="73">
        <v>3</v>
      </c>
      <c r="F1632" s="299">
        <f>ROUND(D1632*E1632,2)</f>
        <v>3.69</v>
      </c>
    </row>
    <row r="1633" spans="3:11" x14ac:dyDescent="0.3">
      <c r="C1633" s="15" t="str">
        <f>C1629</f>
        <v>Сестра медична з фізіотерапії</v>
      </c>
      <c r="D1633" s="78">
        <f>J1629</f>
        <v>0.85</v>
      </c>
      <c r="E1633" s="73">
        <v>10</v>
      </c>
      <c r="F1633" s="299">
        <f>ROUND(D1633*E1633,2)</f>
        <v>8.5</v>
      </c>
    </row>
    <row r="1634" spans="3:11" x14ac:dyDescent="0.3">
      <c r="D1634" s="19"/>
    </row>
    <row r="1635" spans="3:11" x14ac:dyDescent="0.3">
      <c r="C1635" s="17" t="s">
        <v>933</v>
      </c>
      <c r="D1635" s="78">
        <f>F1632+F1633</f>
        <v>12.19</v>
      </c>
      <c r="E1635" s="300">
        <v>0.22</v>
      </c>
      <c r="F1635" s="301">
        <f>ROUND(D1635*E1635,2)</f>
        <v>2.68</v>
      </c>
    </row>
    <row r="1636" spans="3:11" ht="8.25" customHeight="1" x14ac:dyDescent="0.3"/>
    <row r="1637" spans="3:11" x14ac:dyDescent="0.3">
      <c r="C1637" s="12" t="s">
        <v>946</v>
      </c>
      <c r="D1637" s="227"/>
      <c r="E1637" s="227"/>
      <c r="F1637" s="227">
        <f>G1649</f>
        <v>25.13</v>
      </c>
      <c r="G1637" s="227" t="s">
        <v>971</v>
      </c>
    </row>
    <row r="1638" spans="3:11" ht="6" customHeight="1" x14ac:dyDescent="0.3"/>
    <row r="1639" spans="3:11" x14ac:dyDescent="0.3">
      <c r="C1639" s="27" t="str">
        <f t="shared" ref="C1639:F1647" si="78">C1586</f>
        <v>Антисептик для обробки рук</v>
      </c>
      <c r="D1639" s="303" t="str">
        <f t="shared" si="78"/>
        <v>мл</v>
      </c>
      <c r="E1639" s="303">
        <f t="shared" si="78"/>
        <v>1</v>
      </c>
      <c r="F1639" s="303">
        <f t="shared" si="78"/>
        <v>0.375</v>
      </c>
      <c r="G1639" s="228">
        <f>ROUND(F1639*E1639,2)</f>
        <v>0.38</v>
      </c>
      <c r="K1639" s="115"/>
    </row>
    <row r="1640" spans="3:11" x14ac:dyDescent="0.3">
      <c r="C1640" s="27" t="str">
        <f t="shared" si="78"/>
        <v>Антисептик швидкої дії</v>
      </c>
      <c r="D1640" s="303" t="str">
        <f t="shared" si="78"/>
        <v>мл</v>
      </c>
      <c r="E1640" s="303">
        <f t="shared" si="78"/>
        <v>1</v>
      </c>
      <c r="F1640" s="303">
        <f t="shared" si="78"/>
        <v>0.28799999999999998</v>
      </c>
      <c r="G1640" s="228">
        <f t="shared" ref="G1640:G1648" si="79">ROUND(F1640*E1640,2)</f>
        <v>0.28999999999999998</v>
      </c>
      <c r="K1640" s="115"/>
    </row>
    <row r="1641" spans="3:11" x14ac:dyDescent="0.3">
      <c r="C1641" s="27" t="str">
        <f t="shared" si="78"/>
        <v>Вата 100 гр.</v>
      </c>
      <c r="D1641" s="303" t="str">
        <f t="shared" si="78"/>
        <v>г</v>
      </c>
      <c r="E1641" s="303">
        <f t="shared" si="78"/>
        <v>0.01</v>
      </c>
      <c r="F1641" s="303">
        <f t="shared" si="78"/>
        <v>6.72</v>
      </c>
      <c r="G1641" s="228">
        <f t="shared" si="79"/>
        <v>7.0000000000000007E-2</v>
      </c>
      <c r="K1641" s="115"/>
    </row>
    <row r="1642" spans="3:11" x14ac:dyDescent="0.3">
      <c r="C1642" s="27" t="str">
        <f t="shared" si="78"/>
        <v>Деззасоби</v>
      </c>
      <c r="D1642" s="303" t="str">
        <f t="shared" si="78"/>
        <v>г</v>
      </c>
      <c r="E1642" s="303">
        <f t="shared" si="78"/>
        <v>0.5</v>
      </c>
      <c r="F1642" s="303">
        <f t="shared" si="78"/>
        <v>0.5</v>
      </c>
      <c r="G1642" s="228">
        <f t="shared" si="79"/>
        <v>0.25</v>
      </c>
      <c r="K1642" s="115"/>
    </row>
    <row r="1643" spans="3:11" x14ac:dyDescent="0.3">
      <c r="C1643" s="27" t="str">
        <f t="shared" si="78"/>
        <v>Маска одноразова тришарова на резинці</v>
      </c>
      <c r="D1643" s="303" t="str">
        <f t="shared" si="78"/>
        <v>шт</v>
      </c>
      <c r="E1643" s="303">
        <f t="shared" si="78"/>
        <v>1</v>
      </c>
      <c r="F1643" s="303">
        <f t="shared" si="78"/>
        <v>2</v>
      </c>
      <c r="G1643" s="228">
        <f t="shared" si="79"/>
        <v>2</v>
      </c>
      <c r="K1643" s="115"/>
    </row>
    <row r="1644" spans="3:11" x14ac:dyDescent="0.3">
      <c r="C1644" s="27" t="str">
        <f t="shared" si="78"/>
        <v>Мило рідке</v>
      </c>
      <c r="D1644" s="303" t="str">
        <f t="shared" si="78"/>
        <v>мл</v>
      </c>
      <c r="E1644" s="303">
        <f t="shared" si="78"/>
        <v>1</v>
      </c>
      <c r="F1644" s="303">
        <f t="shared" si="78"/>
        <v>0.19600000000000001</v>
      </c>
      <c r="G1644" s="228">
        <f t="shared" si="79"/>
        <v>0.2</v>
      </c>
      <c r="K1644" s="115"/>
    </row>
    <row r="1645" spans="3:11" x14ac:dyDescent="0.3">
      <c r="C1645" s="27" t="str">
        <f t="shared" si="78"/>
        <v>Рукавиці не стерильні</v>
      </c>
      <c r="D1645" s="303" t="str">
        <f t="shared" si="78"/>
        <v>пара</v>
      </c>
      <c r="E1645" s="303">
        <f t="shared" si="78"/>
        <v>0.1</v>
      </c>
      <c r="F1645" s="303">
        <f t="shared" si="78"/>
        <v>7.39</v>
      </c>
      <c r="G1645" s="228">
        <f t="shared" si="79"/>
        <v>0.74</v>
      </c>
      <c r="K1645" s="115"/>
    </row>
    <row r="1646" spans="3:11" x14ac:dyDescent="0.3">
      <c r="C1646" s="27" t="str">
        <f t="shared" si="78"/>
        <v>Рушник паперовий</v>
      </c>
      <c r="D1646" s="303" t="str">
        <f t="shared" si="78"/>
        <v>шт</v>
      </c>
      <c r="E1646" s="303">
        <f t="shared" si="78"/>
        <v>0.3</v>
      </c>
      <c r="F1646" s="303">
        <f t="shared" si="78"/>
        <v>17.5</v>
      </c>
      <c r="G1646" s="228">
        <f t="shared" si="79"/>
        <v>5.25</v>
      </c>
      <c r="K1646" s="115"/>
    </row>
    <row r="1647" spans="3:11" x14ac:dyDescent="0.3">
      <c r="C1647" s="27" t="str">
        <f t="shared" si="78"/>
        <v xml:space="preserve">Спирт 70% 100мл </v>
      </c>
      <c r="D1647" s="303" t="str">
        <f t="shared" si="78"/>
        <v>фл/гр.</v>
      </c>
      <c r="E1647" s="303">
        <f t="shared" si="78"/>
        <v>0.01</v>
      </c>
      <c r="F1647" s="303">
        <f t="shared" si="78"/>
        <v>24.6</v>
      </c>
      <c r="G1647" s="228">
        <f t="shared" si="79"/>
        <v>0.25</v>
      </c>
      <c r="K1647" s="115"/>
    </row>
    <row r="1648" spans="3:11" x14ac:dyDescent="0.3">
      <c r="C1648" s="27" t="s">
        <v>1085</v>
      </c>
      <c r="D1648" s="303" t="str">
        <f>'МЕДИЧНІ М'!D294</f>
        <v>амп</v>
      </c>
      <c r="E1648" s="303">
        <v>0.1</v>
      </c>
      <c r="F1648" s="303">
        <f>'МЕДИЧНІ М'!F294</f>
        <v>157</v>
      </c>
      <c r="G1648" s="228">
        <f t="shared" si="79"/>
        <v>15.7</v>
      </c>
      <c r="K1648" s="115"/>
    </row>
    <row r="1649" spans="3:11" x14ac:dyDescent="0.3">
      <c r="C1649" s="1019" t="s">
        <v>945</v>
      </c>
      <c r="D1649" s="1019"/>
      <c r="E1649" s="1019"/>
      <c r="F1649" s="1019"/>
      <c r="G1649" s="332">
        <f>SUM(G1639:G1648)</f>
        <v>25.13</v>
      </c>
      <c r="K1649" s="115"/>
    </row>
    <row r="1650" spans="3:11" ht="7.5" customHeight="1" x14ac:dyDescent="0.3"/>
    <row r="1651" spans="3:11" x14ac:dyDescent="0.3">
      <c r="C1651" s="12" t="s">
        <v>968</v>
      </c>
      <c r="D1651" s="227"/>
      <c r="E1651" s="227"/>
      <c r="F1651" s="298">
        <f>H1654</f>
        <v>0.1</v>
      </c>
      <c r="G1651" s="227" t="s">
        <v>971</v>
      </c>
    </row>
    <row r="1652" spans="3:11" ht="6.75" customHeight="1" x14ac:dyDescent="0.3">
      <c r="C1652" s="22"/>
      <c r="D1652" s="36"/>
      <c r="E1652" s="36"/>
      <c r="F1652" s="302"/>
      <c r="G1652" s="36"/>
    </row>
    <row r="1653" spans="3:11" ht="27.6" x14ac:dyDescent="0.3">
      <c r="C1653" s="14" t="s">
        <v>513</v>
      </c>
      <c r="D1653" s="14" t="s">
        <v>969</v>
      </c>
      <c r="E1653" s="14" t="s">
        <v>516</v>
      </c>
      <c r="F1653" s="14" t="s">
        <v>970</v>
      </c>
      <c r="G1653" s="14" t="s">
        <v>930</v>
      </c>
      <c r="H1653" s="14" t="s">
        <v>961</v>
      </c>
    </row>
    <row r="1654" spans="3:11" x14ac:dyDescent="0.3">
      <c r="C1654" s="17" t="s">
        <v>1107</v>
      </c>
      <c r="D1654" s="73">
        <f>D1546</f>
        <v>7000</v>
      </c>
      <c r="E1654" s="73">
        <v>12562.55</v>
      </c>
      <c r="F1654" s="73">
        <f>ROUND((D1654/E1654)/60,2)</f>
        <v>0.01</v>
      </c>
      <c r="G1654" s="73">
        <f>E1633</f>
        <v>10</v>
      </c>
      <c r="H1654" s="78">
        <f>ROUND(F1654*G1654,2)</f>
        <v>0.1</v>
      </c>
      <c r="I1654" s="333"/>
    </row>
    <row r="1655" spans="3:11" ht="5.25" customHeight="1" x14ac:dyDescent="0.3"/>
    <row r="1656" spans="3:11" x14ac:dyDescent="0.3">
      <c r="C1656" s="12" t="s">
        <v>948</v>
      </c>
      <c r="D1656" s="227"/>
      <c r="E1656" s="227"/>
      <c r="F1656" s="298">
        <f>H1669</f>
        <v>1.56</v>
      </c>
      <c r="G1656" s="227" t="s">
        <v>971</v>
      </c>
    </row>
    <row r="1657" spans="3:11" ht="6.75" customHeight="1" x14ac:dyDescent="0.3">
      <c r="C1657" s="22"/>
      <c r="D1657" s="36"/>
      <c r="E1657" s="36"/>
      <c r="F1657" s="302"/>
    </row>
    <row r="1658" spans="3:11" ht="41.4" x14ac:dyDescent="0.3">
      <c r="C1658" s="14" t="s">
        <v>948</v>
      </c>
      <c r="D1658" s="14" t="s">
        <v>955</v>
      </c>
      <c r="E1658" s="14" t="s">
        <v>516</v>
      </c>
      <c r="F1658" s="14" t="s">
        <v>954</v>
      </c>
      <c r="G1658" s="14" t="s">
        <v>930</v>
      </c>
      <c r="H1658" s="14" t="s">
        <v>956</v>
      </c>
    </row>
    <row r="1659" spans="3:11" x14ac:dyDescent="0.3">
      <c r="C1659" s="1009" t="str">
        <f>C1628</f>
        <v>Лікар-фізіотерапевт</v>
      </c>
      <c r="D1659" s="1010"/>
      <c r="E1659" s="1010"/>
      <c r="F1659" s="1010"/>
      <c r="G1659" s="1010"/>
      <c r="H1659" s="1011"/>
    </row>
    <row r="1660" spans="3:11" x14ac:dyDescent="0.3">
      <c r="C1660" s="17" t="s">
        <v>951</v>
      </c>
      <c r="D1660" s="221">
        <f>D1552</f>
        <v>12188.608008565312</v>
      </c>
      <c r="E1660" s="73">
        <f>I1628</f>
        <v>1932.7</v>
      </c>
      <c r="F1660" s="73">
        <f>ROUND((D1660/E1660)/60,2)</f>
        <v>0.11</v>
      </c>
      <c r="G1660" s="73">
        <f>E1632</f>
        <v>3</v>
      </c>
      <c r="H1660" s="78">
        <f>ROUND(F1660*G1660,2)</f>
        <v>0.33</v>
      </c>
    </row>
    <row r="1661" spans="3:11" x14ac:dyDescent="0.3">
      <c r="C1661" s="17" t="s">
        <v>952</v>
      </c>
      <c r="D1661" s="221">
        <f>D1553</f>
        <v>53.149721627408987</v>
      </c>
      <c r="E1661" s="73">
        <f>I1628</f>
        <v>1932.7</v>
      </c>
      <c r="F1661" s="73">
        <f>ROUND((D1661/E1661)/60,2)</f>
        <v>0</v>
      </c>
      <c r="G1661" s="73">
        <f>E1632</f>
        <v>3</v>
      </c>
      <c r="H1661" s="78">
        <f>ROUND(F1661*G1661,2)</f>
        <v>0</v>
      </c>
    </row>
    <row r="1662" spans="3:11" x14ac:dyDescent="0.3">
      <c r="C1662" s="17" t="s">
        <v>953</v>
      </c>
      <c r="D1662" s="221">
        <f>D1554</f>
        <v>374.98368308351178</v>
      </c>
      <c r="E1662" s="73">
        <f>I1628</f>
        <v>1932.7</v>
      </c>
      <c r="F1662" s="73">
        <f>ROUND((D1662/E1662)/60,2)</f>
        <v>0</v>
      </c>
      <c r="G1662" s="73">
        <f>E1632</f>
        <v>3</v>
      </c>
      <c r="H1662" s="78">
        <f>ROUND(F1662*G1662,2)</f>
        <v>0</v>
      </c>
    </row>
    <row r="1663" spans="3:11" x14ac:dyDescent="0.3">
      <c r="C1663" s="17" t="s">
        <v>1109</v>
      </c>
      <c r="D1663" s="221">
        <f>D1555</f>
        <v>1686.0389293361886</v>
      </c>
      <c r="E1663" s="73">
        <f>I1628</f>
        <v>1932.7</v>
      </c>
      <c r="F1663" s="73">
        <f>ROUND((D1663/E1663)/60,2)</f>
        <v>0.01</v>
      </c>
      <c r="G1663" s="73">
        <f>E1632</f>
        <v>3</v>
      </c>
      <c r="H1663" s="78">
        <f>ROUND(F1663*G1663,2)</f>
        <v>0.03</v>
      </c>
    </row>
    <row r="1664" spans="3:11" x14ac:dyDescent="0.3">
      <c r="C1664" s="1009" t="str">
        <f>C1629</f>
        <v>Сестра медична з фізіотерапії</v>
      </c>
      <c r="D1664" s="1010"/>
      <c r="E1664" s="1010"/>
      <c r="F1664" s="1010"/>
      <c r="G1664" s="1010"/>
      <c r="H1664" s="1011"/>
    </row>
    <row r="1665" spans="2:15" x14ac:dyDescent="0.3">
      <c r="C1665" s="17" t="s">
        <v>951</v>
      </c>
      <c r="D1665" s="221">
        <f>D1660</f>
        <v>12188.608008565312</v>
      </c>
      <c r="E1665" s="73">
        <f>I1629</f>
        <v>1932.7</v>
      </c>
      <c r="F1665" s="73">
        <f>ROUND((D1665/E1665)/60,2)</f>
        <v>0.11</v>
      </c>
      <c r="G1665" s="73">
        <f>E1633</f>
        <v>10</v>
      </c>
      <c r="H1665" s="78">
        <f>ROUND(F1665*G1665,2)</f>
        <v>1.1000000000000001</v>
      </c>
    </row>
    <row r="1666" spans="2:15" x14ac:dyDescent="0.3">
      <c r="C1666" s="17" t="s">
        <v>952</v>
      </c>
      <c r="D1666" s="221">
        <f>D1661</f>
        <v>53.149721627408987</v>
      </c>
      <c r="E1666" s="73">
        <f>I1629</f>
        <v>1932.7</v>
      </c>
      <c r="F1666" s="73">
        <f>ROUND((D1666/E1666)/60,2)</f>
        <v>0</v>
      </c>
      <c r="G1666" s="73">
        <f>E1633</f>
        <v>10</v>
      </c>
      <c r="H1666" s="78">
        <f>ROUND(F1666*G1666,2)</f>
        <v>0</v>
      </c>
    </row>
    <row r="1667" spans="2:15" x14ac:dyDescent="0.3">
      <c r="C1667" s="17" t="s">
        <v>953</v>
      </c>
      <c r="D1667" s="221">
        <f>D1662</f>
        <v>374.98368308351178</v>
      </c>
      <c r="E1667" s="73">
        <f>I1629</f>
        <v>1932.7</v>
      </c>
      <c r="F1667" s="73">
        <f>ROUND((D1667/E1667)/60,2)</f>
        <v>0</v>
      </c>
      <c r="G1667" s="73">
        <f>E1633</f>
        <v>10</v>
      </c>
      <c r="H1667" s="78">
        <f>ROUND(F1667*G1667,2)</f>
        <v>0</v>
      </c>
    </row>
    <row r="1668" spans="2:15" x14ac:dyDescent="0.3">
      <c r="C1668" s="17" t="s">
        <v>1109</v>
      </c>
      <c r="D1668" s="221">
        <f>D1663</f>
        <v>1686.0389293361886</v>
      </c>
      <c r="E1668" s="73">
        <f>I1629</f>
        <v>1932.7</v>
      </c>
      <c r="F1668" s="73">
        <f>ROUND((D1668/E1668)/60,2)</f>
        <v>0.01</v>
      </c>
      <c r="G1668" s="73">
        <f>E1633</f>
        <v>10</v>
      </c>
      <c r="H1668" s="78">
        <f>ROUND(F1668*G1668,2)</f>
        <v>0.1</v>
      </c>
    </row>
    <row r="1669" spans="2:15" x14ac:dyDescent="0.3">
      <c r="C1669" s="1012" t="s">
        <v>957</v>
      </c>
      <c r="D1669" s="1013"/>
      <c r="E1669" s="1013"/>
      <c r="F1669" s="1013"/>
      <c r="G1669" s="1014"/>
      <c r="H1669" s="299">
        <f>SUM(H1660:H1668)</f>
        <v>1.56</v>
      </c>
    </row>
    <row r="1670" spans="2:15" ht="9" customHeight="1" x14ac:dyDescent="0.3"/>
    <row r="1671" spans="2:15" x14ac:dyDescent="0.3">
      <c r="C1671" s="1015" t="s">
        <v>959</v>
      </c>
      <c r="D1671" s="1015"/>
      <c r="E1671" s="1015"/>
      <c r="F1671" s="1015"/>
      <c r="G1671" s="1015"/>
      <c r="H1671" s="334">
        <f>F1625+F1637+F1656+F1651</f>
        <v>41.660000000000004</v>
      </c>
    </row>
    <row r="1672" spans="2:15" x14ac:dyDescent="0.3">
      <c r="C1672" s="33"/>
      <c r="D1672" s="33"/>
      <c r="E1672" s="33"/>
      <c r="F1672" s="33"/>
      <c r="G1672" s="33"/>
      <c r="H1672" s="335"/>
    </row>
    <row r="1673" spans="2:15" x14ac:dyDescent="0.3">
      <c r="C1673" s="1015" t="s">
        <v>960</v>
      </c>
      <c r="D1673" s="1015"/>
      <c r="E1673" s="1015"/>
      <c r="F1673" s="1015"/>
      <c r="G1673" s="1015"/>
      <c r="H1673" s="334">
        <f>ROUND(H1671,0)</f>
        <v>42</v>
      </c>
    </row>
    <row r="1675" spans="2:15" s="54" customFormat="1" ht="19.8" x14ac:dyDescent="0.4">
      <c r="B1675" s="1016" t="s">
        <v>958</v>
      </c>
      <c r="C1675" s="1016"/>
      <c r="D1675" s="1016"/>
      <c r="E1675" s="1016"/>
      <c r="F1675" s="1016"/>
      <c r="G1675" s="1016"/>
      <c r="H1675" s="1016"/>
      <c r="I1675" s="1016"/>
      <c r="J1675" s="1016"/>
      <c r="K1675" s="115"/>
      <c r="L1675" s="119"/>
      <c r="M1675" s="631"/>
      <c r="N1675" s="53"/>
      <c r="O1675" s="53"/>
    </row>
    <row r="1676" spans="2:15" x14ac:dyDescent="0.3">
      <c r="K1676" s="115"/>
      <c r="L1676" s="119"/>
    </row>
    <row r="1677" spans="2:15" ht="37.5" customHeight="1" x14ac:dyDescent="0.3">
      <c r="B1677" s="673" t="s">
        <v>391</v>
      </c>
      <c r="C1677" s="1017" t="s">
        <v>396</v>
      </c>
      <c r="D1677" s="1017"/>
      <c r="E1677" s="1017"/>
      <c r="F1677" s="657">
        <f>H1727</f>
        <v>38</v>
      </c>
      <c r="G1677" s="657" t="s">
        <v>971</v>
      </c>
      <c r="K1677" s="115"/>
      <c r="L1677" s="119"/>
    </row>
    <row r="1678" spans="2:15" x14ac:dyDescent="0.3">
      <c r="K1678" s="115"/>
      <c r="L1678" s="116"/>
    </row>
    <row r="1679" spans="2:15" x14ac:dyDescent="0.3">
      <c r="C1679" s="1018" t="s">
        <v>932</v>
      </c>
      <c r="D1679" s="1018"/>
      <c r="E1679" s="297"/>
      <c r="F1679" s="298">
        <f>F1686+F1689+F1687</f>
        <v>14.870000000000001</v>
      </c>
      <c r="G1679" s="227" t="s">
        <v>971</v>
      </c>
      <c r="K1679" s="115"/>
      <c r="L1679" s="116"/>
    </row>
    <row r="1680" spans="2:15" ht="6" customHeight="1" x14ac:dyDescent="0.3">
      <c r="K1680" s="115"/>
      <c r="L1680" s="116"/>
    </row>
    <row r="1681" spans="3:12" ht="27.6" x14ac:dyDescent="0.3">
      <c r="C1681" s="13" t="s">
        <v>929</v>
      </c>
      <c r="D1681" s="14" t="s">
        <v>928</v>
      </c>
      <c r="E1681" s="14" t="s">
        <v>514</v>
      </c>
      <c r="F1681" s="14" t="s">
        <v>515</v>
      </c>
      <c r="G1681" s="14" t="s">
        <v>962</v>
      </c>
      <c r="H1681" s="14" t="s">
        <v>926</v>
      </c>
      <c r="I1681" s="14" t="s">
        <v>516</v>
      </c>
      <c r="J1681" s="14" t="s">
        <v>961</v>
      </c>
      <c r="K1681" s="605"/>
      <c r="L1681" s="606"/>
    </row>
    <row r="1682" spans="3:12" x14ac:dyDescent="0.3">
      <c r="C1682" s="17" t="str">
        <f>C1575</f>
        <v>Лікар-фізіотерапевт</v>
      </c>
      <c r="D1682" s="78">
        <f>D1575</f>
        <v>10799.43</v>
      </c>
      <c r="E1682" s="78">
        <f>D1682*12</f>
        <v>129593.16</v>
      </c>
      <c r="F1682" s="78">
        <f>F1575</f>
        <v>8307.26</v>
      </c>
      <c r="G1682" s="78">
        <f>G1575</f>
        <v>4153.63</v>
      </c>
      <c r="H1682" s="78">
        <f>E1682+F1682+G1682</f>
        <v>142054.05000000002</v>
      </c>
      <c r="I1682" s="73">
        <v>1932.7</v>
      </c>
      <c r="J1682" s="78">
        <f>ROUND((H1682/I1682)/60,2)</f>
        <v>1.23</v>
      </c>
      <c r="K1682" s="605"/>
      <c r="L1682" s="606"/>
    </row>
    <row r="1683" spans="3:12" x14ac:dyDescent="0.3">
      <c r="C1683" s="17" t="str">
        <f>C1576</f>
        <v>Сестра медична з фізіотерапії</v>
      </c>
      <c r="D1683" s="78">
        <f>D1576</f>
        <v>7482.48</v>
      </c>
      <c r="E1683" s="78">
        <f>D1683*12</f>
        <v>89789.759999999995</v>
      </c>
      <c r="F1683" s="78">
        <f>F1576</f>
        <v>5755.75</v>
      </c>
      <c r="G1683" s="78">
        <f>G1576</f>
        <v>2877.875</v>
      </c>
      <c r="H1683" s="78">
        <f>E1683+F1683+G1683</f>
        <v>98423.384999999995</v>
      </c>
      <c r="I1683" s="73">
        <v>1932.7</v>
      </c>
      <c r="J1683" s="78">
        <f>ROUND((H1683/I1683)/60,2)</f>
        <v>0.85</v>
      </c>
      <c r="K1683" s="605"/>
      <c r="L1683" s="606"/>
    </row>
    <row r="1684" spans="3:12" ht="5.25" customHeight="1" x14ac:dyDescent="0.3"/>
    <row r="1685" spans="3:12" ht="27.6" x14ac:dyDescent="0.3">
      <c r="C1685" s="13" t="s">
        <v>929</v>
      </c>
      <c r="D1685" s="14" t="s">
        <v>961</v>
      </c>
      <c r="E1685" s="14" t="s">
        <v>930</v>
      </c>
      <c r="F1685" s="14" t="s">
        <v>931</v>
      </c>
    </row>
    <row r="1686" spans="3:12" x14ac:dyDescent="0.3">
      <c r="C1686" s="15" t="str">
        <f>C1682</f>
        <v>Лікар-фізіотерапевт</v>
      </c>
      <c r="D1686" s="78">
        <f>J1682</f>
        <v>1.23</v>
      </c>
      <c r="E1686" s="73">
        <v>3</v>
      </c>
      <c r="F1686" s="299">
        <f>ROUND(D1686*E1686,2)</f>
        <v>3.69</v>
      </c>
    </row>
    <row r="1687" spans="3:12" x14ac:dyDescent="0.3">
      <c r="C1687" s="15" t="str">
        <f>C1683</f>
        <v>Сестра медична з фізіотерапії</v>
      </c>
      <c r="D1687" s="78">
        <f>J1683</f>
        <v>0.85</v>
      </c>
      <c r="E1687" s="73">
        <v>10</v>
      </c>
      <c r="F1687" s="299">
        <f>ROUND(D1687*E1687,2)</f>
        <v>8.5</v>
      </c>
    </row>
    <row r="1688" spans="3:12" x14ac:dyDescent="0.3">
      <c r="D1688" s="19"/>
    </row>
    <row r="1689" spans="3:12" x14ac:dyDescent="0.3">
      <c r="C1689" s="17" t="s">
        <v>933</v>
      </c>
      <c r="D1689" s="78">
        <f>F1686+F1687</f>
        <v>12.19</v>
      </c>
      <c r="E1689" s="300">
        <v>0.22</v>
      </c>
      <c r="F1689" s="301">
        <f>ROUND(D1689*E1689,2)</f>
        <v>2.68</v>
      </c>
    </row>
    <row r="1690" spans="3:12" ht="8.25" customHeight="1" x14ac:dyDescent="0.3"/>
    <row r="1691" spans="3:12" x14ac:dyDescent="0.3">
      <c r="C1691" s="12" t="s">
        <v>946</v>
      </c>
      <c r="D1691" s="227"/>
      <c r="E1691" s="227"/>
      <c r="F1691" s="227">
        <f>G1703</f>
        <v>21.009999999999998</v>
      </c>
      <c r="G1691" s="227" t="s">
        <v>971</v>
      </c>
    </row>
    <row r="1692" spans="3:12" ht="6" customHeight="1" x14ac:dyDescent="0.3"/>
    <row r="1693" spans="3:12" x14ac:dyDescent="0.3">
      <c r="C1693" s="27" t="str">
        <f t="shared" ref="C1693:F1701" si="80">C1639</f>
        <v>Антисептик для обробки рук</v>
      </c>
      <c r="D1693" s="303" t="str">
        <f t="shared" si="80"/>
        <v>мл</v>
      </c>
      <c r="E1693" s="303">
        <f t="shared" si="80"/>
        <v>1</v>
      </c>
      <c r="F1693" s="303">
        <f t="shared" si="80"/>
        <v>0.375</v>
      </c>
      <c r="G1693" s="228">
        <f>ROUND(F1693*E1693,2)</f>
        <v>0.38</v>
      </c>
      <c r="K1693" s="115"/>
    </row>
    <row r="1694" spans="3:12" x14ac:dyDescent="0.3">
      <c r="C1694" s="27" t="str">
        <f t="shared" si="80"/>
        <v>Антисептик швидкої дії</v>
      </c>
      <c r="D1694" s="303" t="str">
        <f t="shared" si="80"/>
        <v>мл</v>
      </c>
      <c r="E1694" s="303">
        <f t="shared" si="80"/>
        <v>1</v>
      </c>
      <c r="F1694" s="303">
        <f t="shared" si="80"/>
        <v>0.28799999999999998</v>
      </c>
      <c r="G1694" s="228">
        <f t="shared" ref="G1694:G1702" si="81">ROUND(F1694*E1694,2)</f>
        <v>0.28999999999999998</v>
      </c>
      <c r="K1694" s="115"/>
    </row>
    <row r="1695" spans="3:12" x14ac:dyDescent="0.3">
      <c r="C1695" s="27" t="str">
        <f t="shared" si="80"/>
        <v>Вата 100 гр.</v>
      </c>
      <c r="D1695" s="303" t="str">
        <f t="shared" si="80"/>
        <v>г</v>
      </c>
      <c r="E1695" s="303">
        <f t="shared" si="80"/>
        <v>0.01</v>
      </c>
      <c r="F1695" s="303">
        <f t="shared" si="80"/>
        <v>6.72</v>
      </c>
      <c r="G1695" s="228">
        <f t="shared" si="81"/>
        <v>7.0000000000000007E-2</v>
      </c>
      <c r="K1695" s="115"/>
    </row>
    <row r="1696" spans="3:12" x14ac:dyDescent="0.3">
      <c r="C1696" s="27" t="str">
        <f t="shared" si="80"/>
        <v>Деззасоби</v>
      </c>
      <c r="D1696" s="303" t="str">
        <f t="shared" si="80"/>
        <v>г</v>
      </c>
      <c r="E1696" s="303">
        <f t="shared" si="80"/>
        <v>0.5</v>
      </c>
      <c r="F1696" s="303">
        <f t="shared" si="80"/>
        <v>0.5</v>
      </c>
      <c r="G1696" s="228">
        <f t="shared" si="81"/>
        <v>0.25</v>
      </c>
      <c r="K1696" s="115"/>
    </row>
    <row r="1697" spans="3:11" x14ac:dyDescent="0.3">
      <c r="C1697" s="27" t="str">
        <f t="shared" si="80"/>
        <v>Маска одноразова тришарова на резинці</v>
      </c>
      <c r="D1697" s="303" t="str">
        <f t="shared" si="80"/>
        <v>шт</v>
      </c>
      <c r="E1697" s="303">
        <f t="shared" si="80"/>
        <v>1</v>
      </c>
      <c r="F1697" s="303">
        <f t="shared" si="80"/>
        <v>2</v>
      </c>
      <c r="G1697" s="228">
        <f t="shared" si="81"/>
        <v>2</v>
      </c>
      <c r="K1697" s="115"/>
    </row>
    <row r="1698" spans="3:11" x14ac:dyDescent="0.3">
      <c r="C1698" s="27" t="str">
        <f t="shared" si="80"/>
        <v>Мило рідке</v>
      </c>
      <c r="D1698" s="303" t="str">
        <f t="shared" si="80"/>
        <v>мл</v>
      </c>
      <c r="E1698" s="303">
        <f t="shared" si="80"/>
        <v>1</v>
      </c>
      <c r="F1698" s="303">
        <f t="shared" si="80"/>
        <v>0.19600000000000001</v>
      </c>
      <c r="G1698" s="228">
        <f t="shared" si="81"/>
        <v>0.2</v>
      </c>
      <c r="K1698" s="115"/>
    </row>
    <row r="1699" spans="3:11" x14ac:dyDescent="0.3">
      <c r="C1699" s="27" t="str">
        <f t="shared" si="80"/>
        <v>Рукавиці не стерильні</v>
      </c>
      <c r="D1699" s="303" t="str">
        <f t="shared" si="80"/>
        <v>пара</v>
      </c>
      <c r="E1699" s="303">
        <f t="shared" si="80"/>
        <v>0.1</v>
      </c>
      <c r="F1699" s="303">
        <f t="shared" si="80"/>
        <v>7.39</v>
      </c>
      <c r="G1699" s="228">
        <f t="shared" si="81"/>
        <v>0.74</v>
      </c>
      <c r="K1699" s="115"/>
    </row>
    <row r="1700" spans="3:11" x14ac:dyDescent="0.3">
      <c r="C1700" s="27" t="str">
        <f t="shared" si="80"/>
        <v>Рушник паперовий</v>
      </c>
      <c r="D1700" s="303" t="str">
        <f t="shared" si="80"/>
        <v>шт</v>
      </c>
      <c r="E1700" s="303">
        <f t="shared" si="80"/>
        <v>0.3</v>
      </c>
      <c r="F1700" s="303">
        <f t="shared" si="80"/>
        <v>17.5</v>
      </c>
      <c r="G1700" s="228">
        <f t="shared" si="81"/>
        <v>5.25</v>
      </c>
      <c r="K1700" s="115"/>
    </row>
    <row r="1701" spans="3:11" x14ac:dyDescent="0.3">
      <c r="C1701" s="27" t="str">
        <f t="shared" si="80"/>
        <v xml:space="preserve">Спирт 70% 100мл </v>
      </c>
      <c r="D1701" s="303" t="str">
        <f t="shared" si="80"/>
        <v>фл/гр.</v>
      </c>
      <c r="E1701" s="303">
        <f t="shared" si="80"/>
        <v>0.01</v>
      </c>
      <c r="F1701" s="303">
        <f t="shared" si="80"/>
        <v>24.6</v>
      </c>
      <c r="G1701" s="228">
        <f t="shared" si="81"/>
        <v>0.25</v>
      </c>
      <c r="K1701" s="115"/>
    </row>
    <row r="1702" spans="3:11" x14ac:dyDescent="0.3">
      <c r="C1702" s="27" t="str">
        <f>'МЕДИЧНІ М'!B295</f>
        <v>Небутамол небули 1 мг/мл - 2 мл № 10</v>
      </c>
      <c r="D1702" s="303" t="str">
        <f>D1648</f>
        <v>амп</v>
      </c>
      <c r="E1702" s="303">
        <f>E1648</f>
        <v>0.1</v>
      </c>
      <c r="F1702" s="303">
        <f>'МЕДИЧНІ М'!E295</f>
        <v>115.81</v>
      </c>
      <c r="G1702" s="228">
        <f t="shared" si="81"/>
        <v>11.58</v>
      </c>
      <c r="K1702" s="115"/>
    </row>
    <row r="1703" spans="3:11" x14ac:dyDescent="0.3">
      <c r="C1703" s="1019" t="s">
        <v>945</v>
      </c>
      <c r="D1703" s="1019"/>
      <c r="E1703" s="1019"/>
      <c r="F1703" s="1019"/>
      <c r="G1703" s="332">
        <f>SUM(G1693:G1702)</f>
        <v>21.009999999999998</v>
      </c>
      <c r="K1703" s="115"/>
    </row>
    <row r="1704" spans="3:11" ht="7.5" customHeight="1" x14ac:dyDescent="0.3"/>
    <row r="1705" spans="3:11" x14ac:dyDescent="0.3">
      <c r="C1705" s="12" t="s">
        <v>968</v>
      </c>
      <c r="D1705" s="227"/>
      <c r="E1705" s="227"/>
      <c r="F1705" s="298">
        <f>H1708</f>
        <v>0.1</v>
      </c>
      <c r="G1705" s="227" t="s">
        <v>971</v>
      </c>
    </row>
    <row r="1706" spans="3:11" ht="6.75" customHeight="1" x14ac:dyDescent="0.3">
      <c r="C1706" s="22"/>
      <c r="D1706" s="36"/>
      <c r="E1706" s="36"/>
      <c r="F1706" s="302"/>
      <c r="G1706" s="36"/>
    </row>
    <row r="1707" spans="3:11" ht="27.6" x14ac:dyDescent="0.3">
      <c r="C1707" s="14" t="s">
        <v>513</v>
      </c>
      <c r="D1707" s="14" t="s">
        <v>969</v>
      </c>
      <c r="E1707" s="14" t="s">
        <v>516</v>
      </c>
      <c r="F1707" s="14" t="s">
        <v>970</v>
      </c>
      <c r="G1707" s="14" t="s">
        <v>930</v>
      </c>
      <c r="H1707" s="14" t="s">
        <v>961</v>
      </c>
    </row>
    <row r="1708" spans="3:11" x14ac:dyDescent="0.3">
      <c r="C1708" s="17" t="s">
        <v>1107</v>
      </c>
      <c r="D1708" s="73">
        <f>D1654</f>
        <v>7000</v>
      </c>
      <c r="E1708" s="73">
        <f>E1654</f>
        <v>12562.55</v>
      </c>
      <c r="F1708" s="73">
        <f>F1654</f>
        <v>0.01</v>
      </c>
      <c r="G1708" s="73">
        <f>E1687</f>
        <v>10</v>
      </c>
      <c r="H1708" s="78">
        <f>ROUND(F1708*G1708,2)</f>
        <v>0.1</v>
      </c>
      <c r="I1708" s="333"/>
    </row>
    <row r="1709" spans="3:11" ht="5.25" customHeight="1" x14ac:dyDescent="0.3"/>
    <row r="1710" spans="3:11" x14ac:dyDescent="0.3">
      <c r="C1710" s="12" t="s">
        <v>948</v>
      </c>
      <c r="D1710" s="227"/>
      <c r="E1710" s="227"/>
      <c r="F1710" s="298">
        <f>H1723</f>
        <v>1.56</v>
      </c>
      <c r="G1710" s="227" t="s">
        <v>971</v>
      </c>
    </row>
    <row r="1711" spans="3:11" ht="6.75" customHeight="1" x14ac:dyDescent="0.3">
      <c r="C1711" s="22"/>
      <c r="D1711" s="36"/>
      <c r="E1711" s="36"/>
      <c r="F1711" s="302"/>
    </row>
    <row r="1712" spans="3:11" ht="41.4" x14ac:dyDescent="0.3">
      <c r="C1712" s="14" t="s">
        <v>948</v>
      </c>
      <c r="D1712" s="14" t="s">
        <v>955</v>
      </c>
      <c r="E1712" s="14" t="s">
        <v>516</v>
      </c>
      <c r="F1712" s="14" t="s">
        <v>954</v>
      </c>
      <c r="G1712" s="14" t="s">
        <v>930</v>
      </c>
      <c r="H1712" s="14" t="s">
        <v>956</v>
      </c>
    </row>
    <row r="1713" spans="3:8" x14ac:dyDescent="0.3">
      <c r="C1713" s="1009" t="str">
        <f>C1682</f>
        <v>Лікар-фізіотерапевт</v>
      </c>
      <c r="D1713" s="1010"/>
      <c r="E1713" s="1010"/>
      <c r="F1713" s="1010"/>
      <c r="G1713" s="1010"/>
      <c r="H1713" s="1011"/>
    </row>
    <row r="1714" spans="3:8" x14ac:dyDescent="0.3">
      <c r="C1714" s="17" t="s">
        <v>951</v>
      </c>
      <c r="D1714" s="221">
        <f>D1660</f>
        <v>12188.608008565312</v>
      </c>
      <c r="E1714" s="73">
        <f>I1682</f>
        <v>1932.7</v>
      </c>
      <c r="F1714" s="73">
        <f>ROUND((D1714/E1714)/60,2)</f>
        <v>0.11</v>
      </c>
      <c r="G1714" s="73">
        <f>E1686</f>
        <v>3</v>
      </c>
      <c r="H1714" s="78">
        <f>ROUND(F1714*G1714,2)</f>
        <v>0.33</v>
      </c>
    </row>
    <row r="1715" spans="3:8" x14ac:dyDescent="0.3">
      <c r="C1715" s="17" t="s">
        <v>952</v>
      </c>
      <c r="D1715" s="221">
        <f>D1661</f>
        <v>53.149721627408987</v>
      </c>
      <c r="E1715" s="73">
        <f>I1682</f>
        <v>1932.7</v>
      </c>
      <c r="F1715" s="73">
        <f>ROUND((D1715/E1715)/60,2)</f>
        <v>0</v>
      </c>
      <c r="G1715" s="73">
        <f>E1686</f>
        <v>3</v>
      </c>
      <c r="H1715" s="78">
        <f>ROUND(F1715*G1715,2)</f>
        <v>0</v>
      </c>
    </row>
    <row r="1716" spans="3:8" x14ac:dyDescent="0.3">
      <c r="C1716" s="17" t="s">
        <v>953</v>
      </c>
      <c r="D1716" s="221">
        <f>D1662</f>
        <v>374.98368308351178</v>
      </c>
      <c r="E1716" s="73">
        <f>I1682</f>
        <v>1932.7</v>
      </c>
      <c r="F1716" s="73">
        <f>ROUND((D1716/E1716)/60,2)</f>
        <v>0</v>
      </c>
      <c r="G1716" s="73">
        <f>E1686</f>
        <v>3</v>
      </c>
      <c r="H1716" s="78">
        <f>ROUND(F1716*G1716,2)</f>
        <v>0</v>
      </c>
    </row>
    <row r="1717" spans="3:8" x14ac:dyDescent="0.3">
      <c r="C1717" s="17" t="s">
        <v>1109</v>
      </c>
      <c r="D1717" s="221">
        <f>D1663</f>
        <v>1686.0389293361886</v>
      </c>
      <c r="E1717" s="73">
        <f>I1682</f>
        <v>1932.7</v>
      </c>
      <c r="F1717" s="73">
        <f>ROUND((D1717/E1717)/60,2)</f>
        <v>0.01</v>
      </c>
      <c r="G1717" s="73">
        <f>E1686</f>
        <v>3</v>
      </c>
      <c r="H1717" s="78">
        <f>ROUND(F1717*G1717,2)</f>
        <v>0.03</v>
      </c>
    </row>
    <row r="1718" spans="3:8" x14ac:dyDescent="0.3">
      <c r="C1718" s="1009" t="str">
        <f>C1683</f>
        <v>Сестра медична з фізіотерапії</v>
      </c>
      <c r="D1718" s="1010"/>
      <c r="E1718" s="1010"/>
      <c r="F1718" s="1010"/>
      <c r="G1718" s="1010"/>
      <c r="H1718" s="1011"/>
    </row>
    <row r="1719" spans="3:8" x14ac:dyDescent="0.3">
      <c r="C1719" s="17" t="s">
        <v>951</v>
      </c>
      <c r="D1719" s="221">
        <f>D1714</f>
        <v>12188.608008565312</v>
      </c>
      <c r="E1719" s="73">
        <f>I1683</f>
        <v>1932.7</v>
      </c>
      <c r="F1719" s="73">
        <f>ROUND((D1719/E1719)/60,2)</f>
        <v>0.11</v>
      </c>
      <c r="G1719" s="73">
        <f>E1687</f>
        <v>10</v>
      </c>
      <c r="H1719" s="78">
        <f>ROUND(F1719*G1719,2)</f>
        <v>1.1000000000000001</v>
      </c>
    </row>
    <row r="1720" spans="3:8" x14ac:dyDescent="0.3">
      <c r="C1720" s="17" t="s">
        <v>952</v>
      </c>
      <c r="D1720" s="221">
        <f>D1715</f>
        <v>53.149721627408987</v>
      </c>
      <c r="E1720" s="73">
        <f>I1683</f>
        <v>1932.7</v>
      </c>
      <c r="F1720" s="73">
        <f>ROUND((D1720/E1720)/60,2)</f>
        <v>0</v>
      </c>
      <c r="G1720" s="73">
        <f>E1687</f>
        <v>10</v>
      </c>
      <c r="H1720" s="78">
        <f>ROUND(F1720*G1720,2)</f>
        <v>0</v>
      </c>
    </row>
    <row r="1721" spans="3:8" x14ac:dyDescent="0.3">
      <c r="C1721" s="17" t="s">
        <v>953</v>
      </c>
      <c r="D1721" s="221">
        <f>D1716</f>
        <v>374.98368308351178</v>
      </c>
      <c r="E1721" s="73">
        <f>I1683</f>
        <v>1932.7</v>
      </c>
      <c r="F1721" s="73">
        <f>ROUND((D1721/E1721)/60,2)</f>
        <v>0</v>
      </c>
      <c r="G1721" s="73">
        <f>E1687</f>
        <v>10</v>
      </c>
      <c r="H1721" s="78">
        <f>ROUND(F1721*G1721,2)</f>
        <v>0</v>
      </c>
    </row>
    <row r="1722" spans="3:8" x14ac:dyDescent="0.3">
      <c r="C1722" s="17" t="s">
        <v>1109</v>
      </c>
      <c r="D1722" s="221">
        <f>D1717</f>
        <v>1686.0389293361886</v>
      </c>
      <c r="E1722" s="73">
        <f>I1683</f>
        <v>1932.7</v>
      </c>
      <c r="F1722" s="73">
        <f>ROUND((D1722/E1722)/60,2)</f>
        <v>0.01</v>
      </c>
      <c r="G1722" s="73">
        <f>E1687</f>
        <v>10</v>
      </c>
      <c r="H1722" s="78">
        <f>ROUND(F1722*G1722,2)</f>
        <v>0.1</v>
      </c>
    </row>
    <row r="1723" spans="3:8" x14ac:dyDescent="0.3">
      <c r="C1723" s="1012" t="s">
        <v>957</v>
      </c>
      <c r="D1723" s="1013"/>
      <c r="E1723" s="1013"/>
      <c r="F1723" s="1013"/>
      <c r="G1723" s="1014"/>
      <c r="H1723" s="299">
        <f>SUM(H1714:H1722)</f>
        <v>1.56</v>
      </c>
    </row>
    <row r="1724" spans="3:8" ht="9" customHeight="1" x14ac:dyDescent="0.3"/>
    <row r="1725" spans="3:8" x14ac:dyDescent="0.3">
      <c r="C1725" s="1015" t="s">
        <v>959</v>
      </c>
      <c r="D1725" s="1015"/>
      <c r="E1725" s="1015"/>
      <c r="F1725" s="1015"/>
      <c r="G1725" s="1015"/>
      <c r="H1725" s="334">
        <f>F1679+F1691+F1710+F1705</f>
        <v>37.54</v>
      </c>
    </row>
    <row r="1726" spans="3:8" x14ac:dyDescent="0.3">
      <c r="C1726" s="33"/>
      <c r="D1726" s="33"/>
      <c r="E1726" s="33"/>
      <c r="F1726" s="33"/>
      <c r="G1726" s="33"/>
      <c r="H1726" s="335"/>
    </row>
    <row r="1727" spans="3:8" x14ac:dyDescent="0.3">
      <c r="C1727" s="1015" t="s">
        <v>960</v>
      </c>
      <c r="D1727" s="1015"/>
      <c r="E1727" s="1015"/>
      <c r="F1727" s="1015"/>
      <c r="G1727" s="1015"/>
      <c r="H1727" s="334">
        <f>ROUND(H1725,0)</f>
        <v>38</v>
      </c>
    </row>
    <row r="1729" spans="2:15" s="54" customFormat="1" ht="19.8" x14ac:dyDescent="0.4">
      <c r="B1729" s="1016" t="s">
        <v>958</v>
      </c>
      <c r="C1729" s="1016"/>
      <c r="D1729" s="1016"/>
      <c r="E1729" s="1016"/>
      <c r="F1729" s="1016"/>
      <c r="G1729" s="1016"/>
      <c r="H1729" s="1016"/>
      <c r="I1729" s="1016"/>
      <c r="J1729" s="1016"/>
      <c r="K1729" s="115"/>
      <c r="L1729" s="119"/>
      <c r="M1729" s="631"/>
      <c r="N1729" s="53"/>
      <c r="O1729" s="53"/>
    </row>
    <row r="1730" spans="2:15" x14ac:dyDescent="0.3">
      <c r="K1730" s="115"/>
      <c r="L1730" s="119"/>
    </row>
    <row r="1731" spans="2:15" ht="37.5" customHeight="1" x14ac:dyDescent="0.3">
      <c r="B1731" s="673" t="s">
        <v>392</v>
      </c>
      <c r="C1731" s="1017" t="s">
        <v>398</v>
      </c>
      <c r="D1731" s="1017"/>
      <c r="E1731" s="1017"/>
      <c r="F1731" s="657">
        <f>H1781</f>
        <v>58</v>
      </c>
      <c r="G1731" s="657" t="s">
        <v>971</v>
      </c>
      <c r="K1731" s="115"/>
      <c r="L1731" s="119"/>
    </row>
    <row r="1732" spans="2:15" x14ac:dyDescent="0.3">
      <c r="K1732" s="115"/>
      <c r="L1732" s="116"/>
    </row>
    <row r="1733" spans="2:15" x14ac:dyDescent="0.3">
      <c r="C1733" s="1018" t="s">
        <v>932</v>
      </c>
      <c r="D1733" s="1018"/>
      <c r="E1733" s="297"/>
      <c r="F1733" s="298">
        <f>F1740+F1743+F1741</f>
        <v>14.870000000000001</v>
      </c>
      <c r="G1733" s="227" t="s">
        <v>971</v>
      </c>
      <c r="K1733" s="115"/>
      <c r="L1733" s="116"/>
    </row>
    <row r="1734" spans="2:15" ht="6" customHeight="1" x14ac:dyDescent="0.3">
      <c r="K1734" s="115"/>
      <c r="L1734" s="116"/>
    </row>
    <row r="1735" spans="2:15" ht="27.6" x14ac:dyDescent="0.3">
      <c r="C1735" s="13" t="s">
        <v>929</v>
      </c>
      <c r="D1735" s="14" t="s">
        <v>928</v>
      </c>
      <c r="E1735" s="14" t="s">
        <v>514</v>
      </c>
      <c r="F1735" s="14" t="s">
        <v>515</v>
      </c>
      <c r="G1735" s="14" t="s">
        <v>962</v>
      </c>
      <c r="H1735" s="14" t="s">
        <v>926</v>
      </c>
      <c r="I1735" s="14" t="s">
        <v>516</v>
      </c>
      <c r="J1735" s="14" t="s">
        <v>961</v>
      </c>
      <c r="K1735" s="605"/>
      <c r="L1735" s="606"/>
    </row>
    <row r="1736" spans="2:15" x14ac:dyDescent="0.3">
      <c r="C1736" s="17" t="str">
        <f>C1628</f>
        <v>Лікар-фізіотерапевт</v>
      </c>
      <c r="D1736" s="78">
        <f>D1628</f>
        <v>10799.43</v>
      </c>
      <c r="E1736" s="78">
        <f>D1736*12</f>
        <v>129593.16</v>
      </c>
      <c r="F1736" s="78">
        <f>F1628</f>
        <v>8307.26</v>
      </c>
      <c r="G1736" s="78">
        <f>G1628</f>
        <v>4153.63</v>
      </c>
      <c r="H1736" s="78">
        <f>E1736+F1736+G1736</f>
        <v>142054.05000000002</v>
      </c>
      <c r="I1736" s="73">
        <v>1932.7</v>
      </c>
      <c r="J1736" s="78">
        <f>ROUND((H1736/I1736)/60,2)</f>
        <v>1.23</v>
      </c>
      <c r="K1736" s="605"/>
      <c r="L1736" s="606"/>
    </row>
    <row r="1737" spans="2:15" x14ac:dyDescent="0.3">
      <c r="C1737" s="17" t="str">
        <f>C1629</f>
        <v>Сестра медична з фізіотерапії</v>
      </c>
      <c r="D1737" s="78">
        <f>D1629</f>
        <v>7482.48</v>
      </c>
      <c r="E1737" s="78">
        <f>D1737*12</f>
        <v>89789.759999999995</v>
      </c>
      <c r="F1737" s="78">
        <f>F1629</f>
        <v>5755.75</v>
      </c>
      <c r="G1737" s="78">
        <f>G1629</f>
        <v>2877.875</v>
      </c>
      <c r="H1737" s="78">
        <f>E1737+F1737+G1737</f>
        <v>98423.384999999995</v>
      </c>
      <c r="I1737" s="73">
        <v>1932.7</v>
      </c>
      <c r="J1737" s="78">
        <f>ROUND((H1737/I1737)/60,2)</f>
        <v>0.85</v>
      </c>
      <c r="K1737" s="605"/>
      <c r="L1737" s="606"/>
    </row>
    <row r="1738" spans="2:15" ht="5.25" customHeight="1" x14ac:dyDescent="0.3"/>
    <row r="1739" spans="2:15" ht="27.6" x14ac:dyDescent="0.3">
      <c r="C1739" s="13" t="s">
        <v>929</v>
      </c>
      <c r="D1739" s="14" t="s">
        <v>961</v>
      </c>
      <c r="E1739" s="14" t="s">
        <v>930</v>
      </c>
      <c r="F1739" s="14" t="s">
        <v>931</v>
      </c>
    </row>
    <row r="1740" spans="2:15" x14ac:dyDescent="0.3">
      <c r="C1740" s="15" t="str">
        <f>C1736</f>
        <v>Лікар-фізіотерапевт</v>
      </c>
      <c r="D1740" s="78">
        <f>J1736</f>
        <v>1.23</v>
      </c>
      <c r="E1740" s="73">
        <v>3</v>
      </c>
      <c r="F1740" s="299">
        <f>ROUND(D1740*E1740,2)</f>
        <v>3.69</v>
      </c>
    </row>
    <row r="1741" spans="2:15" x14ac:dyDescent="0.3">
      <c r="C1741" s="15" t="str">
        <f>C1737</f>
        <v>Сестра медична з фізіотерапії</v>
      </c>
      <c r="D1741" s="78">
        <f>J1737</f>
        <v>0.85</v>
      </c>
      <c r="E1741" s="73">
        <v>10</v>
      </c>
      <c r="F1741" s="299">
        <f>ROUND(D1741*E1741,2)</f>
        <v>8.5</v>
      </c>
    </row>
    <row r="1742" spans="2:15" x14ac:dyDescent="0.3">
      <c r="D1742" s="19"/>
    </row>
    <row r="1743" spans="2:15" x14ac:dyDescent="0.3">
      <c r="C1743" s="17" t="s">
        <v>933</v>
      </c>
      <c r="D1743" s="78">
        <f>F1740+F1741</f>
        <v>12.19</v>
      </c>
      <c r="E1743" s="300">
        <v>0.22</v>
      </c>
      <c r="F1743" s="301">
        <f>ROUND(D1743*E1743,2)</f>
        <v>2.68</v>
      </c>
    </row>
    <row r="1744" spans="2:15" ht="8.25" customHeight="1" x14ac:dyDescent="0.3"/>
    <row r="1745" spans="3:11" x14ac:dyDescent="0.3">
      <c r="C1745" s="12" t="s">
        <v>946</v>
      </c>
      <c r="D1745" s="227"/>
      <c r="E1745" s="227"/>
      <c r="F1745" s="227">
        <f>G1757</f>
        <v>41.68</v>
      </c>
      <c r="G1745" s="227" t="s">
        <v>971</v>
      </c>
    </row>
    <row r="1746" spans="3:11" ht="6" customHeight="1" x14ac:dyDescent="0.3"/>
    <row r="1747" spans="3:11" x14ac:dyDescent="0.3">
      <c r="C1747" s="27" t="str">
        <f t="shared" ref="C1747:F1755" si="82">C1693</f>
        <v>Антисептик для обробки рук</v>
      </c>
      <c r="D1747" s="303" t="str">
        <f t="shared" si="82"/>
        <v>мл</v>
      </c>
      <c r="E1747" s="303">
        <f t="shared" si="82"/>
        <v>1</v>
      </c>
      <c r="F1747" s="303">
        <f t="shared" si="82"/>
        <v>0.375</v>
      </c>
      <c r="G1747" s="228">
        <f>ROUND(F1747*E1747,2)</f>
        <v>0.38</v>
      </c>
      <c r="K1747" s="115"/>
    </row>
    <row r="1748" spans="3:11" x14ac:dyDescent="0.3">
      <c r="C1748" s="27" t="str">
        <f t="shared" si="82"/>
        <v>Антисептик швидкої дії</v>
      </c>
      <c r="D1748" s="303" t="str">
        <f t="shared" si="82"/>
        <v>мл</v>
      </c>
      <c r="E1748" s="303">
        <f t="shared" si="82"/>
        <v>1</v>
      </c>
      <c r="F1748" s="303">
        <f t="shared" si="82"/>
        <v>0.28799999999999998</v>
      </c>
      <c r="G1748" s="228">
        <f t="shared" ref="G1748:G1756" si="83">ROUND(F1748*E1748,2)</f>
        <v>0.28999999999999998</v>
      </c>
      <c r="K1748" s="115"/>
    </row>
    <row r="1749" spans="3:11" x14ac:dyDescent="0.3">
      <c r="C1749" s="27" t="str">
        <f t="shared" si="82"/>
        <v>Вата 100 гр.</v>
      </c>
      <c r="D1749" s="303" t="str">
        <f t="shared" si="82"/>
        <v>г</v>
      </c>
      <c r="E1749" s="303">
        <f t="shared" si="82"/>
        <v>0.01</v>
      </c>
      <c r="F1749" s="303">
        <f t="shared" si="82"/>
        <v>6.72</v>
      </c>
      <c r="G1749" s="228">
        <f t="shared" si="83"/>
        <v>7.0000000000000007E-2</v>
      </c>
      <c r="K1749" s="115"/>
    </row>
    <row r="1750" spans="3:11" x14ac:dyDescent="0.3">
      <c r="C1750" s="27" t="str">
        <f t="shared" si="82"/>
        <v>Деззасоби</v>
      </c>
      <c r="D1750" s="303" t="str">
        <f t="shared" si="82"/>
        <v>г</v>
      </c>
      <c r="E1750" s="303">
        <f t="shared" si="82"/>
        <v>0.5</v>
      </c>
      <c r="F1750" s="303">
        <f t="shared" si="82"/>
        <v>0.5</v>
      </c>
      <c r="G1750" s="228">
        <f t="shared" si="83"/>
        <v>0.25</v>
      </c>
      <c r="K1750" s="115"/>
    </row>
    <row r="1751" spans="3:11" x14ac:dyDescent="0.3">
      <c r="C1751" s="27" t="str">
        <f t="shared" si="82"/>
        <v>Маска одноразова тришарова на резинці</v>
      </c>
      <c r="D1751" s="303" t="str">
        <f t="shared" si="82"/>
        <v>шт</v>
      </c>
      <c r="E1751" s="303">
        <f t="shared" si="82"/>
        <v>1</v>
      </c>
      <c r="F1751" s="303">
        <f t="shared" si="82"/>
        <v>2</v>
      </c>
      <c r="G1751" s="228">
        <f t="shared" si="83"/>
        <v>2</v>
      </c>
      <c r="K1751" s="115"/>
    </row>
    <row r="1752" spans="3:11" x14ac:dyDescent="0.3">
      <c r="C1752" s="27" t="str">
        <f t="shared" si="82"/>
        <v>Мило рідке</v>
      </c>
      <c r="D1752" s="303" t="str">
        <f t="shared" si="82"/>
        <v>мл</v>
      </c>
      <c r="E1752" s="303">
        <f t="shared" si="82"/>
        <v>1</v>
      </c>
      <c r="F1752" s="303">
        <f t="shared" si="82"/>
        <v>0.19600000000000001</v>
      </c>
      <c r="G1752" s="228">
        <f t="shared" si="83"/>
        <v>0.2</v>
      </c>
      <c r="K1752" s="115"/>
    </row>
    <row r="1753" spans="3:11" x14ac:dyDescent="0.3">
      <c r="C1753" s="27" t="str">
        <f t="shared" si="82"/>
        <v>Рукавиці не стерильні</v>
      </c>
      <c r="D1753" s="303" t="str">
        <f t="shared" si="82"/>
        <v>пара</v>
      </c>
      <c r="E1753" s="303">
        <f t="shared" si="82"/>
        <v>0.1</v>
      </c>
      <c r="F1753" s="303">
        <f t="shared" si="82"/>
        <v>7.39</v>
      </c>
      <c r="G1753" s="228">
        <f t="shared" si="83"/>
        <v>0.74</v>
      </c>
      <c r="K1753" s="115"/>
    </row>
    <row r="1754" spans="3:11" x14ac:dyDescent="0.3">
      <c r="C1754" s="27" t="str">
        <f t="shared" si="82"/>
        <v>Рушник паперовий</v>
      </c>
      <c r="D1754" s="303" t="str">
        <f t="shared" si="82"/>
        <v>шт</v>
      </c>
      <c r="E1754" s="303">
        <f t="shared" si="82"/>
        <v>0.3</v>
      </c>
      <c r="F1754" s="303">
        <f t="shared" si="82"/>
        <v>17.5</v>
      </c>
      <c r="G1754" s="228">
        <f t="shared" si="83"/>
        <v>5.25</v>
      </c>
      <c r="K1754" s="115"/>
    </row>
    <row r="1755" spans="3:11" x14ac:dyDescent="0.3">
      <c r="C1755" s="27" t="str">
        <f t="shared" si="82"/>
        <v xml:space="preserve">Спирт 70% 100мл </v>
      </c>
      <c r="D1755" s="303" t="str">
        <f t="shared" si="82"/>
        <v>фл/гр.</v>
      </c>
      <c r="E1755" s="303">
        <f t="shared" si="82"/>
        <v>0.01</v>
      </c>
      <c r="F1755" s="303">
        <f t="shared" si="82"/>
        <v>24.6</v>
      </c>
      <c r="G1755" s="228">
        <f t="shared" si="83"/>
        <v>0.25</v>
      </c>
      <c r="K1755" s="115"/>
    </row>
    <row r="1756" spans="3:11" x14ac:dyDescent="0.3">
      <c r="C1756" s="27" t="str">
        <f>'МЕДИЧНІ М'!B296</f>
        <v>Пульмікорт 0,5 мг/мл - 2 мл № 20</v>
      </c>
      <c r="D1756" s="303" t="str">
        <f>D1702</f>
        <v>амп</v>
      </c>
      <c r="E1756" s="303">
        <v>0.05</v>
      </c>
      <c r="F1756" s="303">
        <f>'МЕДИЧНІ М'!F296</f>
        <v>645</v>
      </c>
      <c r="G1756" s="228">
        <f t="shared" si="83"/>
        <v>32.25</v>
      </c>
      <c r="K1756" s="115"/>
    </row>
    <row r="1757" spans="3:11" x14ac:dyDescent="0.3">
      <c r="C1757" s="1019" t="s">
        <v>945</v>
      </c>
      <c r="D1757" s="1019"/>
      <c r="E1757" s="1019"/>
      <c r="F1757" s="1019"/>
      <c r="G1757" s="332">
        <f>SUM(G1747:G1756)</f>
        <v>41.68</v>
      </c>
    </row>
    <row r="1758" spans="3:11" ht="7.5" customHeight="1" x14ac:dyDescent="0.3"/>
    <row r="1759" spans="3:11" x14ac:dyDescent="0.3">
      <c r="C1759" s="12" t="s">
        <v>968</v>
      </c>
      <c r="D1759" s="227"/>
      <c r="E1759" s="227"/>
      <c r="F1759" s="298">
        <f>H1762</f>
        <v>0.1</v>
      </c>
      <c r="G1759" s="227" t="s">
        <v>971</v>
      </c>
    </row>
    <row r="1760" spans="3:11" ht="6.75" customHeight="1" x14ac:dyDescent="0.3">
      <c r="C1760" s="22"/>
      <c r="D1760" s="36"/>
      <c r="E1760" s="36"/>
      <c r="F1760" s="302"/>
      <c r="G1760" s="36"/>
    </row>
    <row r="1761" spans="3:9" ht="27.6" x14ac:dyDescent="0.3">
      <c r="C1761" s="14" t="s">
        <v>513</v>
      </c>
      <c r="D1761" s="14" t="s">
        <v>969</v>
      </c>
      <c r="E1761" s="14" t="s">
        <v>516</v>
      </c>
      <c r="F1761" s="14" t="s">
        <v>970</v>
      </c>
      <c r="G1761" s="14" t="s">
        <v>930</v>
      </c>
      <c r="H1761" s="14" t="s">
        <v>961</v>
      </c>
    </row>
    <row r="1762" spans="3:9" x14ac:dyDescent="0.3">
      <c r="C1762" s="17" t="s">
        <v>1107</v>
      </c>
      <c r="D1762" s="73">
        <f>D1708</f>
        <v>7000</v>
      </c>
      <c r="E1762" s="73">
        <f>E1708</f>
        <v>12562.55</v>
      </c>
      <c r="F1762" s="73">
        <f>F1708</f>
        <v>0.01</v>
      </c>
      <c r="G1762" s="73">
        <f>E1741</f>
        <v>10</v>
      </c>
      <c r="H1762" s="78">
        <f>ROUND(F1762*G1762,2)</f>
        <v>0.1</v>
      </c>
      <c r="I1762" s="333"/>
    </row>
    <row r="1763" spans="3:9" ht="5.25" customHeight="1" x14ac:dyDescent="0.3"/>
    <row r="1764" spans="3:9" x14ac:dyDescent="0.3">
      <c r="C1764" s="12" t="s">
        <v>948</v>
      </c>
      <c r="D1764" s="227"/>
      <c r="E1764" s="227"/>
      <c r="F1764" s="298">
        <f>H1777</f>
        <v>1.56</v>
      </c>
      <c r="G1764" s="227" t="s">
        <v>971</v>
      </c>
    </row>
    <row r="1765" spans="3:9" ht="6.75" customHeight="1" x14ac:dyDescent="0.3">
      <c r="C1765" s="22"/>
      <c r="D1765" s="36"/>
      <c r="E1765" s="36"/>
      <c r="F1765" s="302"/>
    </row>
    <row r="1766" spans="3:9" ht="41.4" x14ac:dyDescent="0.3">
      <c r="C1766" s="14" t="s">
        <v>948</v>
      </c>
      <c r="D1766" s="14" t="s">
        <v>955</v>
      </c>
      <c r="E1766" s="14" t="s">
        <v>516</v>
      </c>
      <c r="F1766" s="14" t="s">
        <v>954</v>
      </c>
      <c r="G1766" s="14" t="s">
        <v>930</v>
      </c>
      <c r="H1766" s="14" t="s">
        <v>956</v>
      </c>
    </row>
    <row r="1767" spans="3:9" x14ac:dyDescent="0.3">
      <c r="C1767" s="1009" t="str">
        <f>C1736</f>
        <v>Лікар-фізіотерапевт</v>
      </c>
      <c r="D1767" s="1010"/>
      <c r="E1767" s="1010"/>
      <c r="F1767" s="1010"/>
      <c r="G1767" s="1010"/>
      <c r="H1767" s="1011"/>
    </row>
    <row r="1768" spans="3:9" x14ac:dyDescent="0.3">
      <c r="C1768" s="17" t="s">
        <v>951</v>
      </c>
      <c r="D1768" s="221">
        <f>D1714</f>
        <v>12188.608008565312</v>
      </c>
      <c r="E1768" s="73">
        <f>I1736</f>
        <v>1932.7</v>
      </c>
      <c r="F1768" s="73">
        <f>ROUND((D1768/E1768)/60,2)</f>
        <v>0.11</v>
      </c>
      <c r="G1768" s="73">
        <f>E1740</f>
        <v>3</v>
      </c>
      <c r="H1768" s="78">
        <f>ROUND(F1768*G1768,2)</f>
        <v>0.33</v>
      </c>
    </row>
    <row r="1769" spans="3:9" x14ac:dyDescent="0.3">
      <c r="C1769" s="17" t="s">
        <v>952</v>
      </c>
      <c r="D1769" s="221">
        <f>D1715</f>
        <v>53.149721627408987</v>
      </c>
      <c r="E1769" s="73">
        <f>I1736</f>
        <v>1932.7</v>
      </c>
      <c r="F1769" s="73">
        <f>ROUND((D1769/E1769)/60,2)</f>
        <v>0</v>
      </c>
      <c r="G1769" s="73">
        <f>E1740</f>
        <v>3</v>
      </c>
      <c r="H1769" s="78">
        <f>ROUND(F1769*G1769,2)</f>
        <v>0</v>
      </c>
    </row>
    <row r="1770" spans="3:9" x14ac:dyDescent="0.3">
      <c r="C1770" s="17" t="s">
        <v>953</v>
      </c>
      <c r="D1770" s="221">
        <f>D1716</f>
        <v>374.98368308351178</v>
      </c>
      <c r="E1770" s="73">
        <f>I1736</f>
        <v>1932.7</v>
      </c>
      <c r="F1770" s="73">
        <f>ROUND((D1770/E1770)/60,2)</f>
        <v>0</v>
      </c>
      <c r="G1770" s="73">
        <f>E1740</f>
        <v>3</v>
      </c>
      <c r="H1770" s="78">
        <f>ROUND(F1770*G1770,2)</f>
        <v>0</v>
      </c>
    </row>
    <row r="1771" spans="3:9" x14ac:dyDescent="0.3">
      <c r="C1771" s="17" t="s">
        <v>1109</v>
      </c>
      <c r="D1771" s="221">
        <f>D1717</f>
        <v>1686.0389293361886</v>
      </c>
      <c r="E1771" s="73">
        <f>I1736</f>
        <v>1932.7</v>
      </c>
      <c r="F1771" s="73">
        <f>ROUND((D1771/E1771)/60,2)</f>
        <v>0.01</v>
      </c>
      <c r="G1771" s="73">
        <f>E1740</f>
        <v>3</v>
      </c>
      <c r="H1771" s="78">
        <f>ROUND(F1771*G1771,2)</f>
        <v>0.03</v>
      </c>
    </row>
    <row r="1772" spans="3:9" x14ac:dyDescent="0.3">
      <c r="C1772" s="1009" t="str">
        <f>C1737</f>
        <v>Сестра медична з фізіотерапії</v>
      </c>
      <c r="D1772" s="1010"/>
      <c r="E1772" s="1010"/>
      <c r="F1772" s="1010"/>
      <c r="G1772" s="1010"/>
      <c r="H1772" s="1011"/>
    </row>
    <row r="1773" spans="3:9" x14ac:dyDescent="0.3">
      <c r="C1773" s="17" t="s">
        <v>951</v>
      </c>
      <c r="D1773" s="221">
        <f>D1768</f>
        <v>12188.608008565312</v>
      </c>
      <c r="E1773" s="73">
        <f>I1737</f>
        <v>1932.7</v>
      </c>
      <c r="F1773" s="73">
        <f>ROUND((D1773/E1773)/60,2)</f>
        <v>0.11</v>
      </c>
      <c r="G1773" s="73">
        <f>E1741</f>
        <v>10</v>
      </c>
      <c r="H1773" s="78">
        <f>ROUND(F1773*G1773,2)</f>
        <v>1.1000000000000001</v>
      </c>
    </row>
    <row r="1774" spans="3:9" x14ac:dyDescent="0.3">
      <c r="C1774" s="17" t="s">
        <v>952</v>
      </c>
      <c r="D1774" s="221">
        <f>D1769</f>
        <v>53.149721627408987</v>
      </c>
      <c r="E1774" s="73">
        <f>I1737</f>
        <v>1932.7</v>
      </c>
      <c r="F1774" s="73">
        <f>ROUND((D1774/E1774)/60,2)</f>
        <v>0</v>
      </c>
      <c r="G1774" s="73">
        <f>E1741</f>
        <v>10</v>
      </c>
      <c r="H1774" s="78">
        <f>ROUND(F1774*G1774,2)</f>
        <v>0</v>
      </c>
    </row>
    <row r="1775" spans="3:9" x14ac:dyDescent="0.3">
      <c r="C1775" s="17" t="s">
        <v>953</v>
      </c>
      <c r="D1775" s="221">
        <f>D1770</f>
        <v>374.98368308351178</v>
      </c>
      <c r="E1775" s="73">
        <f>I1737</f>
        <v>1932.7</v>
      </c>
      <c r="F1775" s="73">
        <f>ROUND((D1775/E1775)/60,2)</f>
        <v>0</v>
      </c>
      <c r="G1775" s="73">
        <f>E1741</f>
        <v>10</v>
      </c>
      <c r="H1775" s="78">
        <f>ROUND(F1775*G1775,2)</f>
        <v>0</v>
      </c>
    </row>
    <row r="1776" spans="3:9" x14ac:dyDescent="0.3">
      <c r="C1776" s="17" t="s">
        <v>1109</v>
      </c>
      <c r="D1776" s="221">
        <f>D1771</f>
        <v>1686.0389293361886</v>
      </c>
      <c r="E1776" s="73">
        <f>I1737</f>
        <v>1932.7</v>
      </c>
      <c r="F1776" s="73">
        <f>ROUND((D1776/E1776)/60,2)</f>
        <v>0.01</v>
      </c>
      <c r="G1776" s="73">
        <f>E1741</f>
        <v>10</v>
      </c>
      <c r="H1776" s="78">
        <f>ROUND(F1776*G1776,2)</f>
        <v>0.1</v>
      </c>
    </row>
    <row r="1777" spans="2:15" x14ac:dyDescent="0.3">
      <c r="C1777" s="1012" t="s">
        <v>957</v>
      </c>
      <c r="D1777" s="1013"/>
      <c r="E1777" s="1013"/>
      <c r="F1777" s="1013"/>
      <c r="G1777" s="1014"/>
      <c r="H1777" s="299">
        <f>SUM(H1768:H1776)</f>
        <v>1.56</v>
      </c>
    </row>
    <row r="1778" spans="2:15" ht="9" customHeight="1" x14ac:dyDescent="0.3"/>
    <row r="1779" spans="2:15" x14ac:dyDescent="0.3">
      <c r="C1779" s="1015" t="s">
        <v>959</v>
      </c>
      <c r="D1779" s="1015"/>
      <c r="E1779" s="1015"/>
      <c r="F1779" s="1015"/>
      <c r="G1779" s="1015"/>
      <c r="H1779" s="334">
        <f>F1733+F1745+F1764+F1759</f>
        <v>58.21</v>
      </c>
    </row>
    <row r="1780" spans="2:15" x14ac:dyDescent="0.3">
      <c r="C1780" s="33"/>
      <c r="D1780" s="33"/>
      <c r="E1780" s="33"/>
      <c r="F1780" s="33"/>
      <c r="G1780" s="33"/>
      <c r="H1780" s="335"/>
    </row>
    <row r="1781" spans="2:15" x14ac:dyDescent="0.3">
      <c r="C1781" s="1015" t="s">
        <v>960</v>
      </c>
      <c r="D1781" s="1015"/>
      <c r="E1781" s="1015"/>
      <c r="F1781" s="1015"/>
      <c r="G1781" s="1015"/>
      <c r="H1781" s="334">
        <f>ROUND(H1779,0)</f>
        <v>58</v>
      </c>
    </row>
    <row r="1783" spans="2:15" s="54" customFormat="1" ht="19.8" x14ac:dyDescent="0.4">
      <c r="B1783" s="1016" t="s">
        <v>958</v>
      </c>
      <c r="C1783" s="1016"/>
      <c r="D1783" s="1016"/>
      <c r="E1783" s="1016"/>
      <c r="F1783" s="1016"/>
      <c r="G1783" s="1016"/>
      <c r="H1783" s="1016"/>
      <c r="I1783" s="1016"/>
      <c r="J1783" s="1016"/>
      <c r="K1783" s="115"/>
      <c r="L1783" s="119"/>
      <c r="M1783" s="631"/>
      <c r="N1783" s="53"/>
      <c r="O1783" s="53"/>
    </row>
    <row r="1784" spans="2:15" x14ac:dyDescent="0.3">
      <c r="K1784" s="115"/>
      <c r="L1784" s="119"/>
    </row>
    <row r="1785" spans="2:15" ht="37.5" customHeight="1" x14ac:dyDescent="0.3">
      <c r="B1785" s="673" t="s">
        <v>393</v>
      </c>
      <c r="C1785" s="1017" t="s">
        <v>399</v>
      </c>
      <c r="D1785" s="1017"/>
      <c r="E1785" s="1017"/>
      <c r="F1785" s="657">
        <f>H1835</f>
        <v>58</v>
      </c>
      <c r="G1785" s="657" t="s">
        <v>971</v>
      </c>
      <c r="K1785" s="115"/>
      <c r="L1785" s="119"/>
    </row>
    <row r="1786" spans="2:15" x14ac:dyDescent="0.3">
      <c r="K1786" s="115"/>
      <c r="L1786" s="116"/>
    </row>
    <row r="1787" spans="2:15" x14ac:dyDescent="0.3">
      <c r="C1787" s="1018" t="s">
        <v>932</v>
      </c>
      <c r="D1787" s="1018"/>
      <c r="E1787" s="297"/>
      <c r="F1787" s="298">
        <f>F1794+F1797+F1795</f>
        <v>14.870000000000001</v>
      </c>
      <c r="G1787" s="227" t="s">
        <v>971</v>
      </c>
      <c r="K1787" s="115"/>
      <c r="L1787" s="116"/>
    </row>
    <row r="1788" spans="2:15" ht="6" customHeight="1" x14ac:dyDescent="0.3">
      <c r="K1788" s="115"/>
      <c r="L1788" s="116"/>
    </row>
    <row r="1789" spans="2:15" ht="27.6" x14ac:dyDescent="0.3">
      <c r="C1789" s="13" t="s">
        <v>929</v>
      </c>
      <c r="D1789" s="14" t="s">
        <v>928</v>
      </c>
      <c r="E1789" s="14" t="s">
        <v>514</v>
      </c>
      <c r="F1789" s="14" t="s">
        <v>515</v>
      </c>
      <c r="G1789" s="14" t="s">
        <v>962</v>
      </c>
      <c r="H1789" s="14" t="s">
        <v>926</v>
      </c>
      <c r="I1789" s="14" t="s">
        <v>516</v>
      </c>
      <c r="J1789" s="14" t="s">
        <v>961</v>
      </c>
      <c r="K1789" s="605"/>
      <c r="L1789" s="606"/>
    </row>
    <row r="1790" spans="2:15" x14ac:dyDescent="0.3">
      <c r="C1790" s="17" t="str">
        <f>C1682</f>
        <v>Лікар-фізіотерапевт</v>
      </c>
      <c r="D1790" s="78">
        <f>D1682</f>
        <v>10799.43</v>
      </c>
      <c r="E1790" s="78">
        <f>D1790*12</f>
        <v>129593.16</v>
      </c>
      <c r="F1790" s="78">
        <f>F1682</f>
        <v>8307.26</v>
      </c>
      <c r="G1790" s="78">
        <f>G1682</f>
        <v>4153.63</v>
      </c>
      <c r="H1790" s="78">
        <f>E1790+F1790+G1790</f>
        <v>142054.05000000002</v>
      </c>
      <c r="I1790" s="73">
        <v>1932.7</v>
      </c>
      <c r="J1790" s="78">
        <f>ROUND((H1790/I1790)/60,2)</f>
        <v>1.23</v>
      </c>
      <c r="K1790" s="605"/>
      <c r="L1790" s="606"/>
    </row>
    <row r="1791" spans="2:15" x14ac:dyDescent="0.3">
      <c r="C1791" s="17" t="str">
        <f>C1683</f>
        <v>Сестра медична з фізіотерапії</v>
      </c>
      <c r="D1791" s="78">
        <f>D1683</f>
        <v>7482.48</v>
      </c>
      <c r="E1791" s="78">
        <f>D1791*12</f>
        <v>89789.759999999995</v>
      </c>
      <c r="F1791" s="78">
        <f>F1683</f>
        <v>5755.75</v>
      </c>
      <c r="G1791" s="78">
        <f>G1683</f>
        <v>2877.875</v>
      </c>
      <c r="H1791" s="78">
        <f>E1791+F1791+G1791</f>
        <v>98423.384999999995</v>
      </c>
      <c r="I1791" s="73">
        <v>1932.7</v>
      </c>
      <c r="J1791" s="78">
        <f>ROUND((H1791/I1791)/60,2)</f>
        <v>0.85</v>
      </c>
      <c r="K1791" s="605"/>
      <c r="L1791" s="606"/>
    </row>
    <row r="1792" spans="2:15" ht="5.25" customHeight="1" x14ac:dyDescent="0.3"/>
    <row r="1793" spans="3:11" ht="27.6" x14ac:dyDescent="0.3">
      <c r="C1793" s="13" t="s">
        <v>929</v>
      </c>
      <c r="D1793" s="14" t="s">
        <v>961</v>
      </c>
      <c r="E1793" s="14" t="s">
        <v>930</v>
      </c>
      <c r="F1793" s="14" t="s">
        <v>931</v>
      </c>
    </row>
    <row r="1794" spans="3:11" x14ac:dyDescent="0.3">
      <c r="C1794" s="15" t="str">
        <f>C1790</f>
        <v>Лікар-фізіотерапевт</v>
      </c>
      <c r="D1794" s="78">
        <f>J1790</f>
        <v>1.23</v>
      </c>
      <c r="E1794" s="73">
        <v>3</v>
      </c>
      <c r="F1794" s="299">
        <f>ROUND(D1794*E1794,2)</f>
        <v>3.69</v>
      </c>
    </row>
    <row r="1795" spans="3:11" x14ac:dyDescent="0.3">
      <c r="C1795" s="15" t="str">
        <f>C1791</f>
        <v>Сестра медична з фізіотерапії</v>
      </c>
      <c r="D1795" s="78">
        <f>J1791</f>
        <v>0.85</v>
      </c>
      <c r="E1795" s="73">
        <v>10</v>
      </c>
      <c r="F1795" s="299">
        <f>ROUND(D1795*E1795,2)</f>
        <v>8.5</v>
      </c>
    </row>
    <row r="1796" spans="3:11" x14ac:dyDescent="0.3">
      <c r="D1796" s="19"/>
    </row>
    <row r="1797" spans="3:11" x14ac:dyDescent="0.3">
      <c r="C1797" s="17" t="s">
        <v>933</v>
      </c>
      <c r="D1797" s="78">
        <f>F1794+F1795</f>
        <v>12.19</v>
      </c>
      <c r="E1797" s="300">
        <v>0.22</v>
      </c>
      <c r="F1797" s="301">
        <f>ROUND(D1797*E1797,2)</f>
        <v>2.68</v>
      </c>
    </row>
    <row r="1798" spans="3:11" ht="8.25" customHeight="1" x14ac:dyDescent="0.3"/>
    <row r="1799" spans="3:11" x14ac:dyDescent="0.3">
      <c r="C1799" s="12" t="s">
        <v>946</v>
      </c>
      <c r="D1799" s="227"/>
      <c r="E1799" s="227"/>
      <c r="F1799" s="227">
        <f>G1811</f>
        <v>41.68</v>
      </c>
      <c r="G1799" s="227" t="s">
        <v>971</v>
      </c>
    </row>
    <row r="1800" spans="3:11" ht="6" customHeight="1" x14ac:dyDescent="0.3"/>
    <row r="1801" spans="3:11" x14ac:dyDescent="0.3">
      <c r="C1801" s="27" t="str">
        <f t="shared" ref="C1801:F1810" si="84">C1747</f>
        <v>Антисептик для обробки рук</v>
      </c>
      <c r="D1801" s="303" t="str">
        <f t="shared" si="84"/>
        <v>мл</v>
      </c>
      <c r="E1801" s="303">
        <f t="shared" si="84"/>
        <v>1</v>
      </c>
      <c r="F1801" s="303">
        <f t="shared" si="84"/>
        <v>0.375</v>
      </c>
      <c r="G1801" s="228">
        <f>ROUND(F1801*E1801,2)</f>
        <v>0.38</v>
      </c>
      <c r="K1801" s="115"/>
    </row>
    <row r="1802" spans="3:11" x14ac:dyDescent="0.3">
      <c r="C1802" s="27" t="str">
        <f t="shared" si="84"/>
        <v>Антисептик швидкої дії</v>
      </c>
      <c r="D1802" s="303" t="str">
        <f t="shared" si="84"/>
        <v>мл</v>
      </c>
      <c r="E1802" s="303">
        <f t="shared" si="84"/>
        <v>1</v>
      </c>
      <c r="F1802" s="303">
        <f t="shared" si="84"/>
        <v>0.28799999999999998</v>
      </c>
      <c r="G1802" s="228">
        <f t="shared" ref="G1802:G1810" si="85">ROUND(F1802*E1802,2)</f>
        <v>0.28999999999999998</v>
      </c>
      <c r="K1802" s="115"/>
    </row>
    <row r="1803" spans="3:11" x14ac:dyDescent="0.3">
      <c r="C1803" s="27" t="str">
        <f t="shared" si="84"/>
        <v>Вата 100 гр.</v>
      </c>
      <c r="D1803" s="303" t="str">
        <f t="shared" si="84"/>
        <v>г</v>
      </c>
      <c r="E1803" s="303">
        <f t="shared" si="84"/>
        <v>0.01</v>
      </c>
      <c r="F1803" s="303">
        <f t="shared" si="84"/>
        <v>6.72</v>
      </c>
      <c r="G1803" s="228">
        <f t="shared" si="85"/>
        <v>7.0000000000000007E-2</v>
      </c>
      <c r="K1803" s="115"/>
    </row>
    <row r="1804" spans="3:11" x14ac:dyDescent="0.3">
      <c r="C1804" s="27" t="str">
        <f t="shared" si="84"/>
        <v>Деззасоби</v>
      </c>
      <c r="D1804" s="303" t="str">
        <f t="shared" si="84"/>
        <v>г</v>
      </c>
      <c r="E1804" s="303">
        <f t="shared" si="84"/>
        <v>0.5</v>
      </c>
      <c r="F1804" s="303">
        <f t="shared" si="84"/>
        <v>0.5</v>
      </c>
      <c r="G1804" s="228">
        <f t="shared" si="85"/>
        <v>0.25</v>
      </c>
      <c r="K1804" s="115"/>
    </row>
    <row r="1805" spans="3:11" x14ac:dyDescent="0.3">
      <c r="C1805" s="27" t="str">
        <f t="shared" si="84"/>
        <v>Маска одноразова тришарова на резинці</v>
      </c>
      <c r="D1805" s="303" t="str">
        <f t="shared" si="84"/>
        <v>шт</v>
      </c>
      <c r="E1805" s="303">
        <f t="shared" si="84"/>
        <v>1</v>
      </c>
      <c r="F1805" s="303">
        <f t="shared" si="84"/>
        <v>2</v>
      </c>
      <c r="G1805" s="228">
        <f t="shared" si="85"/>
        <v>2</v>
      </c>
      <c r="K1805" s="115"/>
    </row>
    <row r="1806" spans="3:11" x14ac:dyDescent="0.3">
      <c r="C1806" s="27" t="str">
        <f t="shared" si="84"/>
        <v>Мило рідке</v>
      </c>
      <c r="D1806" s="303" t="str">
        <f t="shared" si="84"/>
        <v>мл</v>
      </c>
      <c r="E1806" s="303">
        <f t="shared" si="84"/>
        <v>1</v>
      </c>
      <c r="F1806" s="303">
        <f t="shared" si="84"/>
        <v>0.19600000000000001</v>
      </c>
      <c r="G1806" s="228">
        <f t="shared" si="85"/>
        <v>0.2</v>
      </c>
      <c r="K1806" s="115"/>
    </row>
    <row r="1807" spans="3:11" x14ac:dyDescent="0.3">
      <c r="C1807" s="27" t="str">
        <f t="shared" si="84"/>
        <v>Рукавиці не стерильні</v>
      </c>
      <c r="D1807" s="303" t="str">
        <f t="shared" si="84"/>
        <v>пара</v>
      </c>
      <c r="E1807" s="303">
        <f t="shared" si="84"/>
        <v>0.1</v>
      </c>
      <c r="F1807" s="303">
        <f t="shared" si="84"/>
        <v>7.39</v>
      </c>
      <c r="G1807" s="228">
        <f t="shared" si="85"/>
        <v>0.74</v>
      </c>
      <c r="K1807" s="115"/>
    </row>
    <row r="1808" spans="3:11" x14ac:dyDescent="0.3">
      <c r="C1808" s="27" t="str">
        <f t="shared" si="84"/>
        <v>Рушник паперовий</v>
      </c>
      <c r="D1808" s="303" t="str">
        <f t="shared" si="84"/>
        <v>шт</v>
      </c>
      <c r="E1808" s="303">
        <f t="shared" si="84"/>
        <v>0.3</v>
      </c>
      <c r="F1808" s="303">
        <f t="shared" si="84"/>
        <v>17.5</v>
      </c>
      <c r="G1808" s="228">
        <f t="shared" si="85"/>
        <v>5.25</v>
      </c>
      <c r="K1808" s="115"/>
    </row>
    <row r="1809" spans="3:11" x14ac:dyDescent="0.3">
      <c r="C1809" s="27" t="str">
        <f t="shared" si="84"/>
        <v xml:space="preserve">Спирт 70% 100мл </v>
      </c>
      <c r="D1809" s="303" t="str">
        <f t="shared" si="84"/>
        <v>фл/гр.</v>
      </c>
      <c r="E1809" s="303">
        <f t="shared" si="84"/>
        <v>0.01</v>
      </c>
      <c r="F1809" s="303">
        <f t="shared" si="84"/>
        <v>24.6</v>
      </c>
      <c r="G1809" s="228">
        <f t="shared" si="85"/>
        <v>0.25</v>
      </c>
      <c r="K1809" s="115"/>
    </row>
    <row r="1810" spans="3:11" x14ac:dyDescent="0.3">
      <c r="C1810" s="27" t="str">
        <f t="shared" si="84"/>
        <v>Пульмікорт 0,5 мг/мл - 2 мл № 20</v>
      </c>
      <c r="D1810" s="303" t="str">
        <f t="shared" si="84"/>
        <v>амп</v>
      </c>
      <c r="E1810" s="303">
        <f t="shared" si="84"/>
        <v>0.05</v>
      </c>
      <c r="F1810" s="303">
        <f t="shared" si="84"/>
        <v>645</v>
      </c>
      <c r="G1810" s="228">
        <f t="shared" si="85"/>
        <v>32.25</v>
      </c>
      <c r="K1810" s="115"/>
    </row>
    <row r="1811" spans="3:11" x14ac:dyDescent="0.3">
      <c r="C1811" s="1019" t="s">
        <v>945</v>
      </c>
      <c r="D1811" s="1019"/>
      <c r="E1811" s="1019"/>
      <c r="F1811" s="1019"/>
      <c r="G1811" s="332">
        <f>SUM(G1801:G1810)</f>
        <v>41.68</v>
      </c>
    </row>
    <row r="1812" spans="3:11" ht="7.5" customHeight="1" x14ac:dyDescent="0.3"/>
    <row r="1813" spans="3:11" x14ac:dyDescent="0.3">
      <c r="C1813" s="12" t="s">
        <v>968</v>
      </c>
      <c r="D1813" s="227"/>
      <c r="E1813" s="227"/>
      <c r="F1813" s="298">
        <f>H1816</f>
        <v>0.1</v>
      </c>
      <c r="G1813" s="227" t="s">
        <v>971</v>
      </c>
    </row>
    <row r="1814" spans="3:11" ht="6.75" customHeight="1" x14ac:dyDescent="0.3">
      <c r="C1814" s="22"/>
      <c r="D1814" s="36"/>
      <c r="E1814" s="36"/>
      <c r="F1814" s="302"/>
      <c r="G1814" s="36"/>
    </row>
    <row r="1815" spans="3:11" ht="27.6" x14ac:dyDescent="0.3">
      <c r="C1815" s="14" t="s">
        <v>513</v>
      </c>
      <c r="D1815" s="14" t="s">
        <v>969</v>
      </c>
      <c r="E1815" s="14" t="s">
        <v>516</v>
      </c>
      <c r="F1815" s="14" t="s">
        <v>970</v>
      </c>
      <c r="G1815" s="14" t="s">
        <v>930</v>
      </c>
      <c r="H1815" s="14" t="s">
        <v>961</v>
      </c>
    </row>
    <row r="1816" spans="3:11" x14ac:dyDescent="0.3">
      <c r="C1816" s="17" t="s">
        <v>1107</v>
      </c>
      <c r="D1816" s="73">
        <f>D1762</f>
        <v>7000</v>
      </c>
      <c r="E1816" s="73">
        <f>E1762</f>
        <v>12562.55</v>
      </c>
      <c r="F1816" s="73">
        <f>F1762</f>
        <v>0.01</v>
      </c>
      <c r="G1816" s="73">
        <f>E1795</f>
        <v>10</v>
      </c>
      <c r="H1816" s="78">
        <f>ROUND(F1816*G1816,2)</f>
        <v>0.1</v>
      </c>
      <c r="I1816" s="333"/>
    </row>
    <row r="1817" spans="3:11" ht="5.25" customHeight="1" x14ac:dyDescent="0.3"/>
    <row r="1818" spans="3:11" x14ac:dyDescent="0.3">
      <c r="C1818" s="12" t="s">
        <v>948</v>
      </c>
      <c r="D1818" s="227"/>
      <c r="E1818" s="227"/>
      <c r="F1818" s="298">
        <f>H1831</f>
        <v>1.56</v>
      </c>
      <c r="G1818" s="227" t="s">
        <v>971</v>
      </c>
    </row>
    <row r="1819" spans="3:11" ht="6.75" customHeight="1" x14ac:dyDescent="0.3">
      <c r="C1819" s="22"/>
      <c r="D1819" s="36"/>
      <c r="E1819" s="36"/>
      <c r="F1819" s="302"/>
    </row>
    <row r="1820" spans="3:11" ht="41.4" x14ac:dyDescent="0.3">
      <c r="C1820" s="14" t="s">
        <v>948</v>
      </c>
      <c r="D1820" s="14" t="s">
        <v>955</v>
      </c>
      <c r="E1820" s="14" t="s">
        <v>516</v>
      </c>
      <c r="F1820" s="14" t="s">
        <v>954</v>
      </c>
      <c r="G1820" s="14" t="s">
        <v>930</v>
      </c>
      <c r="H1820" s="14" t="s">
        <v>956</v>
      </c>
    </row>
    <row r="1821" spans="3:11" x14ac:dyDescent="0.3">
      <c r="C1821" s="1009" t="str">
        <f>C1790</f>
        <v>Лікар-фізіотерапевт</v>
      </c>
      <c r="D1821" s="1010"/>
      <c r="E1821" s="1010"/>
      <c r="F1821" s="1010"/>
      <c r="G1821" s="1010"/>
      <c r="H1821" s="1011"/>
    </row>
    <row r="1822" spans="3:11" x14ac:dyDescent="0.3">
      <c r="C1822" s="17" t="s">
        <v>951</v>
      </c>
      <c r="D1822" s="221">
        <f>D1768</f>
        <v>12188.608008565312</v>
      </c>
      <c r="E1822" s="73">
        <f>I1790</f>
        <v>1932.7</v>
      </c>
      <c r="F1822" s="73">
        <f>ROUND((D1822/E1822)/60,2)</f>
        <v>0.11</v>
      </c>
      <c r="G1822" s="73">
        <f>E1794</f>
        <v>3</v>
      </c>
      <c r="H1822" s="78">
        <f>ROUND(F1822*G1822,2)</f>
        <v>0.33</v>
      </c>
    </row>
    <row r="1823" spans="3:11" x14ac:dyDescent="0.3">
      <c r="C1823" s="17" t="s">
        <v>952</v>
      </c>
      <c r="D1823" s="221">
        <f>D1769</f>
        <v>53.149721627408987</v>
      </c>
      <c r="E1823" s="73">
        <f>I1790</f>
        <v>1932.7</v>
      </c>
      <c r="F1823" s="73">
        <f>ROUND((D1823/E1823)/60,2)</f>
        <v>0</v>
      </c>
      <c r="G1823" s="73">
        <f>E1794</f>
        <v>3</v>
      </c>
      <c r="H1823" s="78">
        <f>ROUND(F1823*G1823,2)</f>
        <v>0</v>
      </c>
    </row>
    <row r="1824" spans="3:11" x14ac:dyDescent="0.3">
      <c r="C1824" s="17" t="s">
        <v>953</v>
      </c>
      <c r="D1824" s="221">
        <f>D1770</f>
        <v>374.98368308351178</v>
      </c>
      <c r="E1824" s="73">
        <f>I1790</f>
        <v>1932.7</v>
      </c>
      <c r="F1824" s="73">
        <f>ROUND((D1824/E1824)/60,2)</f>
        <v>0</v>
      </c>
      <c r="G1824" s="73">
        <f>E1794</f>
        <v>3</v>
      </c>
      <c r="H1824" s="78">
        <f>ROUND(F1824*G1824,2)</f>
        <v>0</v>
      </c>
    </row>
    <row r="1825" spans="2:15" x14ac:dyDescent="0.3">
      <c r="C1825" s="17" t="s">
        <v>1109</v>
      </c>
      <c r="D1825" s="221">
        <f>D1771</f>
        <v>1686.0389293361886</v>
      </c>
      <c r="E1825" s="73">
        <f>I1790</f>
        <v>1932.7</v>
      </c>
      <c r="F1825" s="73">
        <f>ROUND((D1825/E1825)/60,2)</f>
        <v>0.01</v>
      </c>
      <c r="G1825" s="73">
        <f>E1794</f>
        <v>3</v>
      </c>
      <c r="H1825" s="78">
        <f>ROUND(F1825*G1825,2)</f>
        <v>0.03</v>
      </c>
    </row>
    <row r="1826" spans="2:15" x14ac:dyDescent="0.3">
      <c r="C1826" s="1009" t="str">
        <f>C1791</f>
        <v>Сестра медична з фізіотерапії</v>
      </c>
      <c r="D1826" s="1010"/>
      <c r="E1826" s="1010"/>
      <c r="F1826" s="1010"/>
      <c r="G1826" s="1010"/>
      <c r="H1826" s="1011"/>
    </row>
    <row r="1827" spans="2:15" x14ac:dyDescent="0.3">
      <c r="C1827" s="17" t="s">
        <v>951</v>
      </c>
      <c r="D1827" s="221">
        <f>D1822</f>
        <v>12188.608008565312</v>
      </c>
      <c r="E1827" s="73">
        <f>I1791</f>
        <v>1932.7</v>
      </c>
      <c r="F1827" s="73">
        <f>ROUND((D1827/E1827)/60,2)</f>
        <v>0.11</v>
      </c>
      <c r="G1827" s="73">
        <f>E1795</f>
        <v>10</v>
      </c>
      <c r="H1827" s="78">
        <f>ROUND(F1827*G1827,2)</f>
        <v>1.1000000000000001</v>
      </c>
    </row>
    <row r="1828" spans="2:15" x14ac:dyDescent="0.3">
      <c r="C1828" s="17" t="s">
        <v>952</v>
      </c>
      <c r="D1828" s="221">
        <f>D1823</f>
        <v>53.149721627408987</v>
      </c>
      <c r="E1828" s="73">
        <f>I1791</f>
        <v>1932.7</v>
      </c>
      <c r="F1828" s="73">
        <f>ROUND((D1828/E1828)/60,2)</f>
        <v>0</v>
      </c>
      <c r="G1828" s="73">
        <f>E1795</f>
        <v>10</v>
      </c>
      <c r="H1828" s="78">
        <f>ROUND(F1828*G1828,2)</f>
        <v>0</v>
      </c>
    </row>
    <row r="1829" spans="2:15" x14ac:dyDescent="0.3">
      <c r="C1829" s="17" t="s">
        <v>953</v>
      </c>
      <c r="D1829" s="221">
        <f>D1824</f>
        <v>374.98368308351178</v>
      </c>
      <c r="E1829" s="73">
        <f>I1791</f>
        <v>1932.7</v>
      </c>
      <c r="F1829" s="73">
        <f>ROUND((D1829/E1829)/60,2)</f>
        <v>0</v>
      </c>
      <c r="G1829" s="73">
        <f>E1795</f>
        <v>10</v>
      </c>
      <c r="H1829" s="78">
        <f>ROUND(F1829*G1829,2)</f>
        <v>0</v>
      </c>
    </row>
    <row r="1830" spans="2:15" x14ac:dyDescent="0.3">
      <c r="C1830" s="17" t="s">
        <v>1109</v>
      </c>
      <c r="D1830" s="221">
        <f>D1825</f>
        <v>1686.0389293361886</v>
      </c>
      <c r="E1830" s="73">
        <f>I1791</f>
        <v>1932.7</v>
      </c>
      <c r="F1830" s="73">
        <f>ROUND((D1830/E1830)/60,2)</f>
        <v>0.01</v>
      </c>
      <c r="G1830" s="73">
        <f>E1795</f>
        <v>10</v>
      </c>
      <c r="H1830" s="78">
        <f>ROUND(F1830*G1830,2)</f>
        <v>0.1</v>
      </c>
    </row>
    <row r="1831" spans="2:15" x14ac:dyDescent="0.3">
      <c r="C1831" s="1012" t="s">
        <v>957</v>
      </c>
      <c r="D1831" s="1013"/>
      <c r="E1831" s="1013"/>
      <c r="F1831" s="1013"/>
      <c r="G1831" s="1014"/>
      <c r="H1831" s="299">
        <f>SUM(H1822:H1830)</f>
        <v>1.56</v>
      </c>
    </row>
    <row r="1832" spans="2:15" ht="9" customHeight="1" x14ac:dyDescent="0.3"/>
    <row r="1833" spans="2:15" x14ac:dyDescent="0.3">
      <c r="C1833" s="1015" t="s">
        <v>959</v>
      </c>
      <c r="D1833" s="1015"/>
      <c r="E1833" s="1015"/>
      <c r="F1833" s="1015"/>
      <c r="G1833" s="1015"/>
      <c r="H1833" s="334">
        <f>F1787+F1799+F1818+F1813</f>
        <v>58.21</v>
      </c>
    </row>
    <row r="1834" spans="2:15" x14ac:dyDescent="0.3">
      <c r="C1834" s="33"/>
      <c r="D1834" s="33"/>
      <c r="E1834" s="33"/>
      <c r="F1834" s="33"/>
      <c r="G1834" s="33"/>
      <c r="H1834" s="335"/>
    </row>
    <row r="1835" spans="2:15" x14ac:dyDescent="0.3">
      <c r="C1835" s="1015" t="s">
        <v>960</v>
      </c>
      <c r="D1835" s="1015"/>
      <c r="E1835" s="1015"/>
      <c r="F1835" s="1015"/>
      <c r="G1835" s="1015"/>
      <c r="H1835" s="334">
        <f>ROUND(H1833,0)</f>
        <v>58</v>
      </c>
    </row>
    <row r="1837" spans="2:15" s="54" customFormat="1" ht="19.8" x14ac:dyDescent="0.4">
      <c r="B1837" s="1016" t="s">
        <v>958</v>
      </c>
      <c r="C1837" s="1016"/>
      <c r="D1837" s="1016"/>
      <c r="E1837" s="1016"/>
      <c r="F1837" s="1016"/>
      <c r="G1837" s="1016"/>
      <c r="H1837" s="1016"/>
      <c r="I1837" s="1016"/>
      <c r="J1837" s="1016"/>
      <c r="K1837" s="115"/>
      <c r="L1837" s="119"/>
      <c r="M1837" s="631"/>
      <c r="N1837" s="53"/>
      <c r="O1837" s="53"/>
    </row>
    <row r="1838" spans="2:15" x14ac:dyDescent="0.3">
      <c r="K1838" s="115"/>
      <c r="L1838" s="119"/>
    </row>
    <row r="1839" spans="2:15" ht="37.5" customHeight="1" x14ac:dyDescent="0.3">
      <c r="B1839" s="673" t="s">
        <v>394</v>
      </c>
      <c r="C1839" s="1017" t="s">
        <v>400</v>
      </c>
      <c r="D1839" s="1017"/>
      <c r="E1839" s="1017"/>
      <c r="F1839" s="657">
        <f>H1895</f>
        <v>62</v>
      </c>
      <c r="G1839" s="657" t="s">
        <v>971</v>
      </c>
      <c r="K1839" s="115"/>
      <c r="L1839" s="119"/>
    </row>
    <row r="1840" spans="2:15" x14ac:dyDescent="0.3">
      <c r="K1840" s="115"/>
      <c r="L1840" s="116"/>
    </row>
    <row r="1841" spans="3:12" x14ac:dyDescent="0.3">
      <c r="C1841" s="1018" t="s">
        <v>932</v>
      </c>
      <c r="D1841" s="1018"/>
      <c r="E1841" s="297"/>
      <c r="F1841" s="298">
        <f>F1848+F1851+F1849</f>
        <v>14.870000000000001</v>
      </c>
      <c r="G1841" s="227" t="s">
        <v>971</v>
      </c>
      <c r="K1841" s="115"/>
      <c r="L1841" s="116"/>
    </row>
    <row r="1842" spans="3:12" ht="6" customHeight="1" x14ac:dyDescent="0.3">
      <c r="K1842" s="115"/>
      <c r="L1842" s="116"/>
    </row>
    <row r="1843" spans="3:12" ht="27.6" x14ac:dyDescent="0.3">
      <c r="C1843" s="13" t="s">
        <v>929</v>
      </c>
      <c r="D1843" s="14" t="s">
        <v>928</v>
      </c>
      <c r="E1843" s="14" t="s">
        <v>514</v>
      </c>
      <c r="F1843" s="14" t="s">
        <v>515</v>
      </c>
      <c r="G1843" s="14" t="s">
        <v>962</v>
      </c>
      <c r="H1843" s="14" t="s">
        <v>926</v>
      </c>
      <c r="I1843" s="14" t="s">
        <v>516</v>
      </c>
      <c r="J1843" s="14" t="s">
        <v>961</v>
      </c>
      <c r="K1843" s="605"/>
      <c r="L1843" s="606"/>
    </row>
    <row r="1844" spans="3:12" x14ac:dyDescent="0.3">
      <c r="C1844" s="17" t="str">
        <f>C1736</f>
        <v>Лікар-фізіотерапевт</v>
      </c>
      <c r="D1844" s="78">
        <f>D1736</f>
        <v>10799.43</v>
      </c>
      <c r="E1844" s="78">
        <f>D1844*12</f>
        <v>129593.16</v>
      </c>
      <c r="F1844" s="78">
        <f>F1736</f>
        <v>8307.26</v>
      </c>
      <c r="G1844" s="78">
        <f>G1736</f>
        <v>4153.63</v>
      </c>
      <c r="H1844" s="78">
        <f>E1844+F1844+G1844</f>
        <v>142054.05000000002</v>
      </c>
      <c r="I1844" s="73">
        <v>1932.7</v>
      </c>
      <c r="J1844" s="78">
        <f>ROUND((H1844/I1844)/60,2)</f>
        <v>1.23</v>
      </c>
      <c r="K1844" s="605"/>
      <c r="L1844" s="606"/>
    </row>
    <row r="1845" spans="3:12" x14ac:dyDescent="0.3">
      <c r="C1845" s="17" t="str">
        <f>C1737</f>
        <v>Сестра медична з фізіотерапії</v>
      </c>
      <c r="D1845" s="78">
        <f>D1737</f>
        <v>7482.48</v>
      </c>
      <c r="E1845" s="78">
        <f>D1845*12</f>
        <v>89789.759999999995</v>
      </c>
      <c r="F1845" s="78">
        <f>F1737</f>
        <v>5755.75</v>
      </c>
      <c r="G1845" s="78">
        <f>G1737</f>
        <v>2877.875</v>
      </c>
      <c r="H1845" s="78">
        <f>E1845+F1845+G1845</f>
        <v>98423.384999999995</v>
      </c>
      <c r="I1845" s="73">
        <v>1932.7</v>
      </c>
      <c r="J1845" s="78">
        <f>ROUND((H1845/I1845)/60,2)</f>
        <v>0.85</v>
      </c>
      <c r="K1845" s="605"/>
      <c r="L1845" s="606"/>
    </row>
    <row r="1846" spans="3:12" ht="5.25" customHeight="1" x14ac:dyDescent="0.3"/>
    <row r="1847" spans="3:12" ht="27.6" x14ac:dyDescent="0.3">
      <c r="C1847" s="13" t="s">
        <v>929</v>
      </c>
      <c r="D1847" s="14" t="s">
        <v>961</v>
      </c>
      <c r="E1847" s="14" t="s">
        <v>930</v>
      </c>
      <c r="F1847" s="14" t="s">
        <v>931</v>
      </c>
    </row>
    <row r="1848" spans="3:12" x14ac:dyDescent="0.3">
      <c r="C1848" s="15" t="str">
        <f>C1844</f>
        <v>Лікар-фізіотерапевт</v>
      </c>
      <c r="D1848" s="78">
        <f>J1844</f>
        <v>1.23</v>
      </c>
      <c r="E1848" s="73">
        <v>3</v>
      </c>
      <c r="F1848" s="299">
        <f>ROUND(D1848*E1848,2)</f>
        <v>3.69</v>
      </c>
    </row>
    <row r="1849" spans="3:12" x14ac:dyDescent="0.3">
      <c r="C1849" s="15" t="str">
        <f>C1845</f>
        <v>Сестра медична з фізіотерапії</v>
      </c>
      <c r="D1849" s="78">
        <f>J1845</f>
        <v>0.85</v>
      </c>
      <c r="E1849" s="73">
        <v>10</v>
      </c>
      <c r="F1849" s="299">
        <f>ROUND(D1849*E1849,2)</f>
        <v>8.5</v>
      </c>
    </row>
    <row r="1850" spans="3:12" x14ac:dyDescent="0.3">
      <c r="D1850" s="19"/>
    </row>
    <row r="1851" spans="3:12" x14ac:dyDescent="0.3">
      <c r="C1851" s="17" t="s">
        <v>933</v>
      </c>
      <c r="D1851" s="78">
        <f>F1848+F1849</f>
        <v>12.19</v>
      </c>
      <c r="E1851" s="300">
        <v>0.22</v>
      </c>
      <c r="F1851" s="301">
        <f>ROUND(D1851*E1851,2)</f>
        <v>2.68</v>
      </c>
    </row>
    <row r="1852" spans="3:12" ht="8.25" customHeight="1" x14ac:dyDescent="0.3"/>
    <row r="1853" spans="3:12" x14ac:dyDescent="0.3">
      <c r="C1853" s="12" t="s">
        <v>946</v>
      </c>
      <c r="D1853" s="227"/>
      <c r="E1853" s="227"/>
      <c r="F1853" s="227">
        <f>G1871</f>
        <v>45.920000000000009</v>
      </c>
      <c r="G1853" s="227" t="s">
        <v>971</v>
      </c>
    </row>
    <row r="1854" spans="3:12" ht="6" customHeight="1" x14ac:dyDescent="0.3"/>
    <row r="1855" spans="3:12" x14ac:dyDescent="0.3">
      <c r="C1855" s="27" t="str">
        <f>'МЕДИЧНІ М'!B297</f>
        <v>Атропіну сульфат 0,1 % - 1 мл № 10</v>
      </c>
      <c r="D1855" s="28" t="str">
        <f>'МЕДИЧНІ М'!D297</f>
        <v>амп</v>
      </c>
      <c r="E1855" s="81">
        <v>0.1</v>
      </c>
      <c r="F1855" s="81">
        <f>'МЕДИЧНІ М'!F297</f>
        <v>36.5</v>
      </c>
      <c r="G1855" s="228">
        <f>ROUND(F1855*E1855,2)</f>
        <v>3.65</v>
      </c>
    </row>
    <row r="1856" spans="3:12" x14ac:dyDescent="0.3">
      <c r="C1856" s="27" t="str">
        <f>'МЕДИЧНІ М'!B298</f>
        <v>Адреналін 0,18 % - 1 мл № 10</v>
      </c>
      <c r="D1856" s="28" t="str">
        <f>'МЕДИЧНІ М'!D298</f>
        <v>амп</v>
      </c>
      <c r="E1856" s="81">
        <v>0.1</v>
      </c>
      <c r="F1856" s="81">
        <f>'МЕДИЧНІ М'!F298</f>
        <v>57</v>
      </c>
      <c r="G1856" s="228">
        <f>ROUND(F1856*E1856,2)</f>
        <v>5.7</v>
      </c>
    </row>
    <row r="1857" spans="2:15" x14ac:dyDescent="0.3">
      <c r="C1857" s="27" t="str">
        <f>'МЕДИЧНІ М'!B299</f>
        <v>Преднізолон 30 мг/мл - 1 мл № 3</v>
      </c>
      <c r="D1857" s="28" t="s">
        <v>941</v>
      </c>
      <c r="E1857" s="81">
        <v>1</v>
      </c>
      <c r="F1857" s="81">
        <f>'МЕДИЧНІ М'!F299</f>
        <v>16</v>
      </c>
      <c r="G1857" s="228">
        <f>ROUND(F1857*E1857,2)</f>
        <v>16</v>
      </c>
    </row>
    <row r="1858" spans="2:15" x14ac:dyDescent="0.3">
      <c r="C1858" s="27" t="str">
        <f>'МЕДИЧНІ М'!B300</f>
        <v>Димедрол 0,5 % - 1 мл № 10</v>
      </c>
      <c r="D1858" s="28" t="str">
        <f>'МЕДИЧНІ М'!D300</f>
        <v>амп</v>
      </c>
      <c r="E1858" s="81">
        <v>0.1</v>
      </c>
      <c r="F1858" s="81">
        <f>'МЕДИЧНІ М'!F300</f>
        <v>22.85</v>
      </c>
      <c r="G1858" s="28">
        <f>ROUND(E1858*F1858,2)</f>
        <v>2.29</v>
      </c>
    </row>
    <row r="1859" spans="2:15" x14ac:dyDescent="0.3">
      <c r="C1859" s="27" t="str">
        <f>'МЕДИЧНІ М'!B301</f>
        <v>Аскорбінова кислота 10 % - 2 мл № 10</v>
      </c>
      <c r="D1859" s="28" t="str">
        <f>'МЕДИЧНІ М'!D301</f>
        <v>амп</v>
      </c>
      <c r="E1859" s="81">
        <v>0.1</v>
      </c>
      <c r="F1859" s="81">
        <f>'МЕДИЧНІ М'!F301</f>
        <v>35.5</v>
      </c>
      <c r="G1859" s="228">
        <f>ROUND(F1859*E1859,2)</f>
        <v>3.55</v>
      </c>
    </row>
    <row r="1860" spans="2:15" x14ac:dyDescent="0.3">
      <c r="C1860" s="27" t="str">
        <f>'МЕДИЧНІ М'!B302</f>
        <v>Вода для ін'єкцій 2 мл № 10</v>
      </c>
      <c r="D1860" s="28" t="str">
        <f>'МЕДИЧНІ М'!D302</f>
        <v>амп</v>
      </c>
      <c r="E1860" s="81">
        <v>0.1</v>
      </c>
      <c r="F1860" s="81">
        <f>'МЕДИЧНІ М'!F302</f>
        <v>45</v>
      </c>
      <c r="G1860" s="228">
        <f>ROUND(F1860*E1860,2)</f>
        <v>4.5</v>
      </c>
    </row>
    <row r="1861" spans="2:15" x14ac:dyDescent="0.3">
      <c r="C1861" s="27" t="str">
        <f>'МЕДИЧНІ М'!B303</f>
        <v>Шприц 5 мл</v>
      </c>
      <c r="D1861" s="28" t="str">
        <f>'МЕДИЧНІ М'!D303</f>
        <v>шт</v>
      </c>
      <c r="E1861" s="81">
        <v>1</v>
      </c>
      <c r="F1861" s="81">
        <f>'МЕДИЧНІ М'!F303</f>
        <v>2.6</v>
      </c>
      <c r="G1861" s="228">
        <f>ROUND(F1861*E1861,2)</f>
        <v>2.6</v>
      </c>
    </row>
    <row r="1862" spans="2:15" x14ac:dyDescent="0.3">
      <c r="C1862" s="27" t="str">
        <f>'МЕДИЧНІ М'!B304</f>
        <v>Антисептик для обробки рук</v>
      </c>
      <c r="D1862" s="28" t="str">
        <f>'МЕДИЧНІ М'!D304</f>
        <v>мл</v>
      </c>
      <c r="E1862" s="81">
        <v>1</v>
      </c>
      <c r="F1862" s="81">
        <f>'МЕДИЧНІ М'!F304</f>
        <v>0.375</v>
      </c>
      <c r="G1862" s="28">
        <f>ROUND(E1862*F1862,2)</f>
        <v>0.38</v>
      </c>
    </row>
    <row r="1863" spans="2:15" x14ac:dyDescent="0.3">
      <c r="C1863" s="27" t="str">
        <f>'МЕДИЧНІ М'!B305</f>
        <v>Антисептик швидкої дії</v>
      </c>
      <c r="D1863" s="28" t="str">
        <f>'МЕДИЧНІ М'!D305</f>
        <v>мл</v>
      </c>
      <c r="E1863" s="81">
        <v>1</v>
      </c>
      <c r="F1863" s="81">
        <f>'МЕДИЧНІ М'!F305</f>
        <v>0.28799999999999998</v>
      </c>
      <c r="G1863" s="228">
        <f>ROUND(F1863*E1863,2)</f>
        <v>0.28999999999999998</v>
      </c>
    </row>
    <row r="1864" spans="2:15" s="184" customFormat="1" x14ac:dyDescent="0.3">
      <c r="B1864" s="672"/>
      <c r="C1864" s="27" t="str">
        <f>'МЕДИЧНІ М'!B306</f>
        <v>Вата 100 гр.</v>
      </c>
      <c r="D1864" s="28" t="str">
        <f>'МЕДИЧНІ М'!D306</f>
        <v>г</v>
      </c>
      <c r="E1864" s="656">
        <v>0.01</v>
      </c>
      <c r="F1864" s="81">
        <f>'МЕДИЧНІ М'!F306</f>
        <v>6.72</v>
      </c>
      <c r="G1864" s="186">
        <f>ROUND(F1864*E1864,2)</f>
        <v>7.0000000000000007E-2</v>
      </c>
      <c r="H1864" s="336"/>
      <c r="I1864" s="336"/>
      <c r="J1864" s="336"/>
      <c r="K1864" s="189"/>
      <c r="L1864" s="189"/>
      <c r="M1864" s="637"/>
      <c r="N1864" s="180"/>
      <c r="O1864" s="180"/>
    </row>
    <row r="1865" spans="2:15" x14ac:dyDescent="0.3">
      <c r="C1865" s="27" t="str">
        <f>'МЕДИЧНІ М'!B307</f>
        <v>Деззасоби</v>
      </c>
      <c r="D1865" s="28" t="str">
        <f>'МЕДИЧНІ М'!D307</f>
        <v>г</v>
      </c>
      <c r="E1865" s="81">
        <v>0.5</v>
      </c>
      <c r="F1865" s="81">
        <f>'МЕДИЧНІ М'!F307</f>
        <v>0.5</v>
      </c>
      <c r="G1865" s="28">
        <f>ROUND(E1865*F1865,2)</f>
        <v>0.25</v>
      </c>
    </row>
    <row r="1866" spans="2:15" x14ac:dyDescent="0.3">
      <c r="C1866" s="27" t="str">
        <f>'МЕДИЧНІ М'!B308</f>
        <v>Маска одноразова тришарова на резинці</v>
      </c>
      <c r="D1866" s="28" t="str">
        <f>'МЕДИЧНІ М'!D308</f>
        <v>шт</v>
      </c>
      <c r="E1866" s="81">
        <v>0.1</v>
      </c>
      <c r="F1866" s="81">
        <f>'МЕДИЧНІ М'!F308</f>
        <v>2</v>
      </c>
      <c r="G1866" s="228">
        <f>ROUND(F1866*E1866,2)</f>
        <v>0.2</v>
      </c>
    </row>
    <row r="1867" spans="2:15" x14ac:dyDescent="0.3">
      <c r="C1867" s="27" t="str">
        <f>'МЕДИЧНІ М'!B309</f>
        <v>Мило рідке</v>
      </c>
      <c r="D1867" s="28" t="str">
        <f>'МЕДИЧНІ М'!D309</f>
        <v>мл</v>
      </c>
      <c r="E1867" s="81">
        <v>1</v>
      </c>
      <c r="F1867" s="81">
        <f>'МЕДИЧНІ М'!F309</f>
        <v>0.19600000000000001</v>
      </c>
      <c r="G1867" s="228">
        <f>ROUND(F1867*E1867,2)</f>
        <v>0.2</v>
      </c>
    </row>
    <row r="1868" spans="2:15" x14ac:dyDescent="0.3">
      <c r="C1868" s="27" t="str">
        <f>'МЕДИЧНІ М'!B310</f>
        <v>Рукавиці не стерильні</v>
      </c>
      <c r="D1868" s="28" t="str">
        <f>'МЕДИЧНІ М'!D310</f>
        <v>пара</v>
      </c>
      <c r="E1868" s="81">
        <v>0.1</v>
      </c>
      <c r="F1868" s="81">
        <f>'МЕДИЧНІ М'!F310</f>
        <v>7.39</v>
      </c>
      <c r="G1868" s="228">
        <f>ROUND(F1868*E1868,2)</f>
        <v>0.74</v>
      </c>
    </row>
    <row r="1869" spans="2:15" x14ac:dyDescent="0.3">
      <c r="C1869" s="27" t="str">
        <f>'МЕДИЧНІ М'!B311</f>
        <v>Рушник паперовий</v>
      </c>
      <c r="D1869" s="28" t="str">
        <f>'МЕДИЧНІ М'!D311</f>
        <v>шт</v>
      </c>
      <c r="E1869" s="81">
        <v>0.3</v>
      </c>
      <c r="F1869" s="81">
        <f>'МЕДИЧНІ М'!F311</f>
        <v>17.5</v>
      </c>
      <c r="G1869" s="28">
        <f>ROUND(E1869*F1869,2)</f>
        <v>5.25</v>
      </c>
    </row>
    <row r="1870" spans="2:15" x14ac:dyDescent="0.3">
      <c r="C1870" s="27" t="str">
        <f>'МЕДИЧНІ М'!B312</f>
        <v xml:space="preserve">Спирт 70% 100мл </v>
      </c>
      <c r="D1870" s="28" t="str">
        <f>'МЕДИЧНІ М'!D312</f>
        <v>фл/гр.</v>
      </c>
      <c r="E1870" s="81">
        <v>0.01</v>
      </c>
      <c r="F1870" s="81">
        <f>'МЕДИЧНІ М'!F312</f>
        <v>24.6</v>
      </c>
      <c r="G1870" s="228">
        <f>ROUND(F1870*E1870,2)</f>
        <v>0.25</v>
      </c>
    </row>
    <row r="1871" spans="2:15" x14ac:dyDescent="0.3">
      <c r="C1871" s="1019" t="s">
        <v>945</v>
      </c>
      <c r="D1871" s="1019"/>
      <c r="E1871" s="1019"/>
      <c r="F1871" s="1019"/>
      <c r="G1871" s="332">
        <f>SUM(G1855:G1870)</f>
        <v>45.920000000000009</v>
      </c>
    </row>
    <row r="1872" spans="2:15" ht="7.5" customHeight="1" x14ac:dyDescent="0.3"/>
    <row r="1873" spans="3:9" x14ac:dyDescent="0.3">
      <c r="C1873" s="12" t="s">
        <v>968</v>
      </c>
      <c r="D1873" s="227"/>
      <c r="E1873" s="227"/>
      <c r="F1873" s="298">
        <f>H1876</f>
        <v>0.1</v>
      </c>
      <c r="G1873" s="227" t="s">
        <v>971</v>
      </c>
    </row>
    <row r="1874" spans="3:9" ht="6.75" customHeight="1" x14ac:dyDescent="0.3">
      <c r="C1874" s="22"/>
      <c r="D1874" s="36"/>
      <c r="E1874" s="36"/>
      <c r="F1874" s="302"/>
      <c r="G1874" s="36"/>
    </row>
    <row r="1875" spans="3:9" ht="27.6" x14ac:dyDescent="0.3">
      <c r="C1875" s="14" t="s">
        <v>513</v>
      </c>
      <c r="D1875" s="14" t="s">
        <v>969</v>
      </c>
      <c r="E1875" s="14" t="s">
        <v>516</v>
      </c>
      <c r="F1875" s="14" t="s">
        <v>970</v>
      </c>
      <c r="G1875" s="14" t="s">
        <v>930</v>
      </c>
      <c r="H1875" s="14" t="s">
        <v>961</v>
      </c>
    </row>
    <row r="1876" spans="3:9" x14ac:dyDescent="0.3">
      <c r="C1876" s="17" t="s">
        <v>1107</v>
      </c>
      <c r="D1876" s="73">
        <f>D1816</f>
        <v>7000</v>
      </c>
      <c r="E1876" s="73">
        <f>E1816</f>
        <v>12562.55</v>
      </c>
      <c r="F1876" s="73">
        <f>F1816</f>
        <v>0.01</v>
      </c>
      <c r="G1876" s="73">
        <f>E1849</f>
        <v>10</v>
      </c>
      <c r="H1876" s="78">
        <f>ROUND(F1876*G1876,2)</f>
        <v>0.1</v>
      </c>
      <c r="I1876" s="333"/>
    </row>
    <row r="1877" spans="3:9" ht="5.25" customHeight="1" x14ac:dyDescent="0.3"/>
    <row r="1878" spans="3:9" x14ac:dyDescent="0.3">
      <c r="C1878" s="12" t="s">
        <v>948</v>
      </c>
      <c r="D1878" s="227"/>
      <c r="E1878" s="227"/>
      <c r="F1878" s="298">
        <f>H1891</f>
        <v>1.56</v>
      </c>
      <c r="G1878" s="227" t="s">
        <v>971</v>
      </c>
    </row>
    <row r="1879" spans="3:9" ht="6.75" customHeight="1" x14ac:dyDescent="0.3">
      <c r="C1879" s="22"/>
      <c r="D1879" s="36"/>
      <c r="E1879" s="36"/>
      <c r="F1879" s="302"/>
    </row>
    <row r="1880" spans="3:9" ht="41.4" x14ac:dyDescent="0.3">
      <c r="C1880" s="14" t="s">
        <v>948</v>
      </c>
      <c r="D1880" s="14" t="s">
        <v>955</v>
      </c>
      <c r="E1880" s="14" t="s">
        <v>516</v>
      </c>
      <c r="F1880" s="14" t="s">
        <v>954</v>
      </c>
      <c r="G1880" s="14" t="s">
        <v>930</v>
      </c>
      <c r="H1880" s="14" t="s">
        <v>956</v>
      </c>
    </row>
    <row r="1881" spans="3:9" x14ac:dyDescent="0.3">
      <c r="C1881" s="1009" t="str">
        <f>C1844</f>
        <v>Лікар-фізіотерапевт</v>
      </c>
      <c r="D1881" s="1010"/>
      <c r="E1881" s="1010"/>
      <c r="F1881" s="1010"/>
      <c r="G1881" s="1010"/>
      <c r="H1881" s="1011"/>
    </row>
    <row r="1882" spans="3:9" x14ac:dyDescent="0.3">
      <c r="C1882" s="17" t="s">
        <v>951</v>
      </c>
      <c r="D1882" s="221">
        <f>D1822</f>
        <v>12188.608008565312</v>
      </c>
      <c r="E1882" s="73">
        <f>I1844</f>
        <v>1932.7</v>
      </c>
      <c r="F1882" s="73">
        <f>ROUND((D1882/E1882)/60,2)</f>
        <v>0.11</v>
      </c>
      <c r="G1882" s="73">
        <f>E1848</f>
        <v>3</v>
      </c>
      <c r="H1882" s="78">
        <f>ROUND(F1882*G1882,2)</f>
        <v>0.33</v>
      </c>
    </row>
    <row r="1883" spans="3:9" x14ac:dyDescent="0.3">
      <c r="C1883" s="17" t="s">
        <v>952</v>
      </c>
      <c r="D1883" s="221">
        <f>D1823</f>
        <v>53.149721627408987</v>
      </c>
      <c r="E1883" s="73">
        <f>I1844</f>
        <v>1932.7</v>
      </c>
      <c r="F1883" s="73">
        <f>ROUND((D1883/E1883)/60,2)</f>
        <v>0</v>
      </c>
      <c r="G1883" s="73">
        <f>E1848</f>
        <v>3</v>
      </c>
      <c r="H1883" s="78">
        <f>ROUND(F1883*G1883,2)</f>
        <v>0</v>
      </c>
    </row>
    <row r="1884" spans="3:9" x14ac:dyDescent="0.3">
      <c r="C1884" s="17" t="s">
        <v>953</v>
      </c>
      <c r="D1884" s="221">
        <f>D1824</f>
        <v>374.98368308351178</v>
      </c>
      <c r="E1884" s="73">
        <f>I1844</f>
        <v>1932.7</v>
      </c>
      <c r="F1884" s="73">
        <f>ROUND((D1884/E1884)/60,2)</f>
        <v>0</v>
      </c>
      <c r="G1884" s="73">
        <f>E1848</f>
        <v>3</v>
      </c>
      <c r="H1884" s="78">
        <f>ROUND(F1884*G1884,2)</f>
        <v>0</v>
      </c>
    </row>
    <row r="1885" spans="3:9" x14ac:dyDescent="0.3">
      <c r="C1885" s="17" t="s">
        <v>1109</v>
      </c>
      <c r="D1885" s="221">
        <f>D1825</f>
        <v>1686.0389293361886</v>
      </c>
      <c r="E1885" s="73">
        <f>I1844</f>
        <v>1932.7</v>
      </c>
      <c r="F1885" s="73">
        <f>ROUND((D1885/E1885)/60,2)</f>
        <v>0.01</v>
      </c>
      <c r="G1885" s="73">
        <f>E1848</f>
        <v>3</v>
      </c>
      <c r="H1885" s="78">
        <f>ROUND(F1885*G1885,2)</f>
        <v>0.03</v>
      </c>
    </row>
    <row r="1886" spans="3:9" x14ac:dyDescent="0.3">
      <c r="C1886" s="1009" t="str">
        <f>C1845</f>
        <v>Сестра медична з фізіотерапії</v>
      </c>
      <c r="D1886" s="1010"/>
      <c r="E1886" s="1010"/>
      <c r="F1886" s="1010"/>
      <c r="G1886" s="1010"/>
      <c r="H1886" s="1011"/>
    </row>
    <row r="1887" spans="3:9" x14ac:dyDescent="0.3">
      <c r="C1887" s="17" t="s">
        <v>951</v>
      </c>
      <c r="D1887" s="221">
        <f>D1882</f>
        <v>12188.608008565312</v>
      </c>
      <c r="E1887" s="73">
        <f>I1845</f>
        <v>1932.7</v>
      </c>
      <c r="F1887" s="73">
        <f>ROUND((D1887/E1887)/60,2)</f>
        <v>0.11</v>
      </c>
      <c r="G1887" s="73">
        <f>E1849</f>
        <v>10</v>
      </c>
      <c r="H1887" s="78">
        <f>ROUND(F1887*G1887,2)</f>
        <v>1.1000000000000001</v>
      </c>
    </row>
    <row r="1888" spans="3:9" x14ac:dyDescent="0.3">
      <c r="C1888" s="17" t="s">
        <v>952</v>
      </c>
      <c r="D1888" s="221">
        <f>D1883</f>
        <v>53.149721627408987</v>
      </c>
      <c r="E1888" s="73">
        <f>I1845</f>
        <v>1932.7</v>
      </c>
      <c r="F1888" s="73">
        <f>ROUND((D1888/E1888)/60,2)</f>
        <v>0</v>
      </c>
      <c r="G1888" s="73">
        <f>E1849</f>
        <v>10</v>
      </c>
      <c r="H1888" s="78">
        <f>ROUND(F1888*G1888,2)</f>
        <v>0</v>
      </c>
    </row>
    <row r="1889" spans="2:15" x14ac:dyDescent="0.3">
      <c r="C1889" s="17" t="s">
        <v>953</v>
      </c>
      <c r="D1889" s="221">
        <f>D1884</f>
        <v>374.98368308351178</v>
      </c>
      <c r="E1889" s="73">
        <f>I1845</f>
        <v>1932.7</v>
      </c>
      <c r="F1889" s="73">
        <f>ROUND((D1889/E1889)/60,2)</f>
        <v>0</v>
      </c>
      <c r="G1889" s="73">
        <f>E1849</f>
        <v>10</v>
      </c>
      <c r="H1889" s="78">
        <f>ROUND(F1889*G1889,2)</f>
        <v>0</v>
      </c>
    </row>
    <row r="1890" spans="2:15" x14ac:dyDescent="0.3">
      <c r="C1890" s="17" t="s">
        <v>1109</v>
      </c>
      <c r="D1890" s="221">
        <f>D1885</f>
        <v>1686.0389293361886</v>
      </c>
      <c r="E1890" s="73">
        <f>I1845</f>
        <v>1932.7</v>
      </c>
      <c r="F1890" s="73">
        <f>ROUND((D1890/E1890)/60,2)</f>
        <v>0.01</v>
      </c>
      <c r="G1890" s="73">
        <f>E1849</f>
        <v>10</v>
      </c>
      <c r="H1890" s="78">
        <f>ROUND(F1890*G1890,2)</f>
        <v>0.1</v>
      </c>
    </row>
    <row r="1891" spans="2:15" x14ac:dyDescent="0.3">
      <c r="C1891" s="1012" t="s">
        <v>957</v>
      </c>
      <c r="D1891" s="1013"/>
      <c r="E1891" s="1013"/>
      <c r="F1891" s="1013"/>
      <c r="G1891" s="1014"/>
      <c r="H1891" s="299">
        <f>SUM(H1882:H1890)</f>
        <v>1.56</v>
      </c>
    </row>
    <row r="1892" spans="2:15" ht="9" customHeight="1" x14ac:dyDescent="0.3"/>
    <row r="1893" spans="2:15" x14ac:dyDescent="0.3">
      <c r="C1893" s="1015" t="s">
        <v>959</v>
      </c>
      <c r="D1893" s="1015"/>
      <c r="E1893" s="1015"/>
      <c r="F1893" s="1015"/>
      <c r="G1893" s="1015"/>
      <c r="H1893" s="334">
        <f>F1841+F1853+F1878+F1873</f>
        <v>62.45000000000001</v>
      </c>
    </row>
    <row r="1894" spans="2:15" x14ac:dyDescent="0.3">
      <c r="C1894" s="33"/>
      <c r="D1894" s="33"/>
      <c r="E1894" s="33"/>
      <c r="F1894" s="33"/>
      <c r="G1894" s="33"/>
      <c r="H1894" s="335"/>
    </row>
    <row r="1895" spans="2:15" x14ac:dyDescent="0.3">
      <c r="C1895" s="1015" t="s">
        <v>960</v>
      </c>
      <c r="D1895" s="1015"/>
      <c r="E1895" s="1015"/>
      <c r="F1895" s="1015"/>
      <c r="G1895" s="1015"/>
      <c r="H1895" s="334">
        <f>ROUND(H1893,0)</f>
        <v>62</v>
      </c>
    </row>
    <row r="1897" spans="2:15" s="54" customFormat="1" ht="19.8" x14ac:dyDescent="0.4">
      <c r="B1897" s="1016" t="s">
        <v>958</v>
      </c>
      <c r="C1897" s="1016"/>
      <c r="D1897" s="1016"/>
      <c r="E1897" s="1016"/>
      <c r="F1897" s="1016"/>
      <c r="G1897" s="1016"/>
      <c r="H1897" s="1016"/>
      <c r="I1897" s="1016"/>
      <c r="J1897" s="1016"/>
      <c r="K1897" s="126"/>
      <c r="L1897" s="126"/>
      <c r="M1897" s="631"/>
      <c r="N1897" s="53"/>
      <c r="O1897" s="53"/>
    </row>
    <row r="1899" spans="2:15" s="54" customFormat="1" ht="19.8" x14ac:dyDescent="0.4">
      <c r="B1899" s="673" t="s">
        <v>861</v>
      </c>
      <c r="C1899" s="1017" t="s">
        <v>864</v>
      </c>
      <c r="D1899" s="1017"/>
      <c r="E1899" s="1017"/>
      <c r="F1899" s="296">
        <f>H1949</f>
        <v>36</v>
      </c>
      <c r="G1899" s="296" t="s">
        <v>971</v>
      </c>
      <c r="H1899" s="225"/>
      <c r="I1899" s="225"/>
      <c r="J1899" s="225"/>
      <c r="K1899" s="114"/>
      <c r="L1899" s="114"/>
      <c r="M1899" s="631"/>
      <c r="N1899" s="53"/>
      <c r="O1899" s="53"/>
    </row>
    <row r="1901" spans="2:15" x14ac:dyDescent="0.3">
      <c r="C1901" s="1018" t="s">
        <v>932</v>
      </c>
      <c r="D1901" s="1018"/>
      <c r="E1901" s="297"/>
      <c r="F1901" s="298">
        <f>F1908+F1911+F1909</f>
        <v>25.240000000000002</v>
      </c>
      <c r="G1901" s="227" t="s">
        <v>971</v>
      </c>
    </row>
    <row r="1903" spans="2:15" ht="27.6" x14ac:dyDescent="0.3">
      <c r="C1903" s="13" t="s">
        <v>929</v>
      </c>
      <c r="D1903" s="14" t="s">
        <v>928</v>
      </c>
      <c r="E1903" s="14" t="s">
        <v>514</v>
      </c>
      <c r="F1903" s="14" t="s">
        <v>515</v>
      </c>
      <c r="G1903" s="14" t="s">
        <v>962</v>
      </c>
      <c r="H1903" s="14" t="s">
        <v>926</v>
      </c>
      <c r="I1903" s="14" t="s">
        <v>516</v>
      </c>
      <c r="J1903" s="14" t="s">
        <v>961</v>
      </c>
    </row>
    <row r="1904" spans="2:15" x14ac:dyDescent="0.3">
      <c r="C1904" s="17" t="str">
        <f>C1575</f>
        <v>Лікар-фізіотерапевт</v>
      </c>
      <c r="D1904" s="78">
        <f>D1575</f>
        <v>10799.43</v>
      </c>
      <c r="E1904" s="78">
        <f>D1904*12</f>
        <v>129593.16</v>
      </c>
      <c r="F1904" s="78">
        <f>F1575</f>
        <v>8307.26</v>
      </c>
      <c r="G1904" s="78">
        <f>G1575</f>
        <v>4153.63</v>
      </c>
      <c r="H1904" s="78">
        <f>E1904+F1904+G1904</f>
        <v>142054.05000000002</v>
      </c>
      <c r="I1904" s="73">
        <v>1932.7</v>
      </c>
      <c r="J1904" s="78">
        <f>ROUND((H1904/I1904)/60,2)</f>
        <v>1.23</v>
      </c>
    </row>
    <row r="1905" spans="2:15" x14ac:dyDescent="0.3">
      <c r="C1905" s="17" t="str">
        <f>C1576</f>
        <v>Сестра медична з фізіотерапії</v>
      </c>
      <c r="D1905" s="78">
        <f>D1576</f>
        <v>7482.48</v>
      </c>
      <c r="E1905" s="78">
        <f>D1905*12</f>
        <v>89789.759999999995</v>
      </c>
      <c r="F1905" s="78">
        <f>F1576</f>
        <v>5755.75</v>
      </c>
      <c r="G1905" s="78">
        <f>G1576</f>
        <v>2877.875</v>
      </c>
      <c r="H1905" s="78">
        <f>E1905+F1905+G1905</f>
        <v>98423.384999999995</v>
      </c>
      <c r="I1905" s="73">
        <v>1932.7</v>
      </c>
      <c r="J1905" s="78">
        <f>ROUND((H1905/I1905)/60,2)</f>
        <v>0.85</v>
      </c>
    </row>
    <row r="1907" spans="2:15" ht="27.6" x14ac:dyDescent="0.3">
      <c r="C1907" s="13" t="s">
        <v>929</v>
      </c>
      <c r="D1907" s="14" t="s">
        <v>961</v>
      </c>
      <c r="E1907" s="14" t="s">
        <v>930</v>
      </c>
      <c r="F1907" s="14" t="s">
        <v>931</v>
      </c>
    </row>
    <row r="1908" spans="2:15" x14ac:dyDescent="0.3">
      <c r="C1908" s="15" t="str">
        <f>C1904</f>
        <v>Лікар-фізіотерапевт</v>
      </c>
      <c r="D1908" s="78">
        <f>J1904</f>
        <v>1.23</v>
      </c>
      <c r="E1908" s="73">
        <v>3</v>
      </c>
      <c r="F1908" s="299">
        <f>ROUND(D1908*E1908,2)</f>
        <v>3.69</v>
      </c>
    </row>
    <row r="1909" spans="2:15" x14ac:dyDescent="0.3">
      <c r="C1909" s="15" t="str">
        <f>C1905</f>
        <v>Сестра медична з фізіотерапії</v>
      </c>
      <c r="D1909" s="78">
        <f>J1905</f>
        <v>0.85</v>
      </c>
      <c r="E1909" s="73">
        <v>20</v>
      </c>
      <c r="F1909" s="299">
        <f>ROUND(D1909*E1909,2)</f>
        <v>17</v>
      </c>
    </row>
    <row r="1910" spans="2:15" x14ac:dyDescent="0.3">
      <c r="D1910" s="19"/>
    </row>
    <row r="1911" spans="2:15" x14ac:dyDescent="0.3">
      <c r="C1911" s="17" t="s">
        <v>933</v>
      </c>
      <c r="D1911" s="78">
        <f>F1908+F1909</f>
        <v>20.69</v>
      </c>
      <c r="E1911" s="300">
        <v>0.22</v>
      </c>
      <c r="F1911" s="301">
        <f>ROUND(D1911*E1911,2)</f>
        <v>4.55</v>
      </c>
    </row>
    <row r="1913" spans="2:15" x14ac:dyDescent="0.3">
      <c r="C1913" s="12" t="s">
        <v>946</v>
      </c>
      <c r="D1913" s="227"/>
      <c r="E1913" s="227"/>
      <c r="F1913" s="227">
        <f>G1925</f>
        <v>7.91</v>
      </c>
      <c r="G1913" s="227" t="s">
        <v>971</v>
      </c>
    </row>
    <row r="1915" spans="2:15" x14ac:dyDescent="0.3">
      <c r="C1915" s="27" t="str">
        <f>C1862</f>
        <v>Антисептик для обробки рук</v>
      </c>
      <c r="D1915" s="303" t="str">
        <f>D1862</f>
        <v>мл</v>
      </c>
      <c r="E1915" s="303">
        <f>E1862</f>
        <v>1</v>
      </c>
      <c r="F1915" s="303">
        <f>F1862</f>
        <v>0.375</v>
      </c>
      <c r="G1915" s="228">
        <f>ROUND(F1915*E1915,2)</f>
        <v>0.38</v>
      </c>
    </row>
    <row r="1916" spans="2:15" x14ac:dyDescent="0.3">
      <c r="C1916" s="27" t="str">
        <f t="shared" ref="C1916:F1923" si="86">C1863</f>
        <v>Антисептик швидкої дії</v>
      </c>
      <c r="D1916" s="303" t="str">
        <f t="shared" si="86"/>
        <v>мл</v>
      </c>
      <c r="E1916" s="303">
        <f t="shared" si="86"/>
        <v>1</v>
      </c>
      <c r="F1916" s="303">
        <f t="shared" si="86"/>
        <v>0.28799999999999998</v>
      </c>
      <c r="G1916" s="28">
        <f>ROUND(E1916*F1916,2)</f>
        <v>0.28999999999999998</v>
      </c>
    </row>
    <row r="1917" spans="2:15" x14ac:dyDescent="0.3">
      <c r="C1917" s="27" t="str">
        <f t="shared" si="86"/>
        <v>Вата 100 гр.</v>
      </c>
      <c r="D1917" s="303" t="str">
        <f t="shared" si="86"/>
        <v>г</v>
      </c>
      <c r="E1917" s="303">
        <f t="shared" si="86"/>
        <v>0.01</v>
      </c>
      <c r="F1917" s="303">
        <f t="shared" si="86"/>
        <v>6.72</v>
      </c>
      <c r="G1917" s="228">
        <f>ROUND(F1917*E1917,2)</f>
        <v>7.0000000000000007E-2</v>
      </c>
    </row>
    <row r="1918" spans="2:15" s="184" customFormat="1" x14ac:dyDescent="0.3">
      <c r="B1918" s="672"/>
      <c r="C1918" s="27" t="str">
        <f t="shared" si="86"/>
        <v>Деззасоби</v>
      </c>
      <c r="D1918" s="303" t="str">
        <f t="shared" si="86"/>
        <v>г</v>
      </c>
      <c r="E1918" s="303">
        <f t="shared" si="86"/>
        <v>0.5</v>
      </c>
      <c r="F1918" s="303">
        <f t="shared" si="86"/>
        <v>0.5</v>
      </c>
      <c r="G1918" s="186">
        <f>ROUND(F1918*E1918,2)</f>
        <v>0.25</v>
      </c>
      <c r="H1918" s="336"/>
      <c r="I1918" s="336"/>
      <c r="J1918" s="336"/>
      <c r="K1918" s="189"/>
      <c r="L1918" s="189"/>
      <c r="M1918" s="637"/>
      <c r="N1918" s="180"/>
      <c r="O1918" s="180"/>
    </row>
    <row r="1919" spans="2:15" x14ac:dyDescent="0.3">
      <c r="C1919" s="27" t="str">
        <f t="shared" si="86"/>
        <v>Маска одноразова тришарова на резинці</v>
      </c>
      <c r="D1919" s="303" t="str">
        <f t="shared" si="86"/>
        <v>шт</v>
      </c>
      <c r="E1919" s="303">
        <f t="shared" si="86"/>
        <v>0.1</v>
      </c>
      <c r="F1919" s="303">
        <f t="shared" si="86"/>
        <v>2</v>
      </c>
      <c r="G1919" s="28">
        <f>ROUND(E1919*F1919,2)</f>
        <v>0.2</v>
      </c>
    </row>
    <row r="1920" spans="2:15" x14ac:dyDescent="0.3">
      <c r="C1920" s="27" t="str">
        <f t="shared" si="86"/>
        <v>Мило рідке</v>
      </c>
      <c r="D1920" s="303" t="str">
        <f t="shared" si="86"/>
        <v>мл</v>
      </c>
      <c r="E1920" s="303">
        <f t="shared" si="86"/>
        <v>1</v>
      </c>
      <c r="F1920" s="303">
        <f t="shared" si="86"/>
        <v>0.19600000000000001</v>
      </c>
      <c r="G1920" s="228">
        <f>ROUND(F1920*E1920,2)</f>
        <v>0.2</v>
      </c>
    </row>
    <row r="1921" spans="3:9" x14ac:dyDescent="0.3">
      <c r="C1921" s="27" t="str">
        <f t="shared" si="86"/>
        <v>Рукавиці не стерильні</v>
      </c>
      <c r="D1921" s="303" t="str">
        <f t="shared" si="86"/>
        <v>пара</v>
      </c>
      <c r="E1921" s="303">
        <f t="shared" si="86"/>
        <v>0.1</v>
      </c>
      <c r="F1921" s="303">
        <f t="shared" si="86"/>
        <v>7.39</v>
      </c>
      <c r="G1921" s="228">
        <f>ROUND(F1921*E1921,2)</f>
        <v>0.74</v>
      </c>
    </row>
    <row r="1922" spans="3:9" x14ac:dyDescent="0.3">
      <c r="C1922" s="27" t="str">
        <f t="shared" si="86"/>
        <v>Рушник паперовий</v>
      </c>
      <c r="D1922" s="303" t="str">
        <f t="shared" si="86"/>
        <v>шт</v>
      </c>
      <c r="E1922" s="303">
        <f t="shared" si="86"/>
        <v>0.3</v>
      </c>
      <c r="F1922" s="303">
        <f t="shared" si="86"/>
        <v>17.5</v>
      </c>
      <c r="G1922" s="228">
        <f>ROUND(F1922*E1922,2)</f>
        <v>5.25</v>
      </c>
    </row>
    <row r="1923" spans="3:9" x14ac:dyDescent="0.3">
      <c r="C1923" s="27" t="str">
        <f t="shared" si="86"/>
        <v xml:space="preserve">Спирт 70% 100мл </v>
      </c>
      <c r="D1923" s="303" t="str">
        <f t="shared" si="86"/>
        <v>фл/гр.</v>
      </c>
      <c r="E1923" s="303">
        <f t="shared" si="86"/>
        <v>0.01</v>
      </c>
      <c r="F1923" s="303">
        <f t="shared" si="86"/>
        <v>24.6</v>
      </c>
      <c r="G1923" s="28">
        <f>ROUND(E1923*F1923,2)</f>
        <v>0.25</v>
      </c>
    </row>
    <row r="1924" spans="3:9" x14ac:dyDescent="0.3">
      <c r="C1924" s="27" t="str">
        <f>'МЕДИЧНІ М'!B313</f>
        <v>Перекис водню 3 % 100 мл</v>
      </c>
      <c r="D1924" s="28" t="s">
        <v>941</v>
      </c>
      <c r="E1924" s="158">
        <v>0.1</v>
      </c>
      <c r="F1924" s="81">
        <f>'МЕДИЧНІ М'!E172</f>
        <v>2.8</v>
      </c>
      <c r="G1924" s="228">
        <f>ROUND(F1924*E1924,2)</f>
        <v>0.28000000000000003</v>
      </c>
    </row>
    <row r="1925" spans="3:9" x14ac:dyDescent="0.3">
      <c r="C1925" s="1019" t="s">
        <v>945</v>
      </c>
      <c r="D1925" s="1019"/>
      <c r="E1925" s="1019"/>
      <c r="F1925" s="1019"/>
      <c r="G1925" s="332">
        <f>SUM(G1915:G1924)</f>
        <v>7.91</v>
      </c>
    </row>
    <row r="1927" spans="3:9" x14ac:dyDescent="0.3">
      <c r="C1927" s="12" t="s">
        <v>968</v>
      </c>
      <c r="D1927" s="227"/>
      <c r="E1927" s="227"/>
      <c r="F1927" s="298">
        <f>H1930</f>
        <v>0.2</v>
      </c>
      <c r="G1927" s="227" t="s">
        <v>971</v>
      </c>
    </row>
    <row r="1928" spans="3:9" x14ac:dyDescent="0.3">
      <c r="C1928" s="22"/>
      <c r="D1928" s="36"/>
      <c r="E1928" s="36"/>
      <c r="F1928" s="302"/>
      <c r="G1928" s="36"/>
    </row>
    <row r="1929" spans="3:9" ht="27.6" x14ac:dyDescent="0.3">
      <c r="C1929" s="14" t="s">
        <v>513</v>
      </c>
      <c r="D1929" s="14" t="s">
        <v>969</v>
      </c>
      <c r="E1929" s="14" t="s">
        <v>516</v>
      </c>
      <c r="F1929" s="14" t="s">
        <v>970</v>
      </c>
      <c r="G1929" s="14" t="s">
        <v>930</v>
      </c>
      <c r="H1929" s="14" t="s">
        <v>961</v>
      </c>
    </row>
    <row r="1930" spans="3:9" x14ac:dyDescent="0.3">
      <c r="C1930" s="280" t="str">
        <f>C1600</f>
        <v>Фізіотерапія</v>
      </c>
      <c r="D1930" s="658">
        <f>D1600</f>
        <v>7000</v>
      </c>
      <c r="E1930" s="73">
        <v>12562.55</v>
      </c>
      <c r="F1930" s="73">
        <f>ROUND((D1930/E1930)/60,2)</f>
        <v>0.01</v>
      </c>
      <c r="G1930" s="73">
        <f>E1909</f>
        <v>20</v>
      </c>
      <c r="H1930" s="78">
        <f>ROUND(F1930*G1930,2)</f>
        <v>0.2</v>
      </c>
      <c r="I1930" s="333"/>
    </row>
    <row r="1932" spans="3:9" x14ac:dyDescent="0.3">
      <c r="C1932" s="12" t="s">
        <v>948</v>
      </c>
      <c r="D1932" s="227"/>
      <c r="E1932" s="227"/>
      <c r="F1932" s="298">
        <f>H1945</f>
        <v>2.7600000000000002</v>
      </c>
      <c r="G1932" s="227" t="s">
        <v>971</v>
      </c>
    </row>
    <row r="1933" spans="3:9" x14ac:dyDescent="0.3">
      <c r="C1933" s="22"/>
      <c r="D1933" s="36"/>
      <c r="E1933" s="36"/>
      <c r="F1933" s="302"/>
    </row>
    <row r="1934" spans="3:9" ht="41.4" x14ac:dyDescent="0.3">
      <c r="C1934" s="14" t="s">
        <v>948</v>
      </c>
      <c r="D1934" s="14" t="s">
        <v>955</v>
      </c>
      <c r="E1934" s="14" t="s">
        <v>516</v>
      </c>
      <c r="F1934" s="14" t="s">
        <v>954</v>
      </c>
      <c r="G1934" s="14" t="s">
        <v>930</v>
      </c>
      <c r="H1934" s="14" t="s">
        <v>956</v>
      </c>
    </row>
    <row r="1935" spans="3:9" x14ac:dyDescent="0.3">
      <c r="C1935" s="1009" t="str">
        <f>C1904</f>
        <v>Лікар-фізіотерапевт</v>
      </c>
      <c r="D1935" s="1010"/>
      <c r="E1935" s="1010"/>
      <c r="F1935" s="1010"/>
      <c r="G1935" s="1010"/>
      <c r="H1935" s="1011"/>
    </row>
    <row r="1936" spans="3:9" x14ac:dyDescent="0.3">
      <c r="C1936" s="17" t="s">
        <v>951</v>
      </c>
      <c r="D1936" s="221">
        <f>D1606</f>
        <v>12188.608008565312</v>
      </c>
      <c r="E1936" s="73">
        <f>I1904</f>
        <v>1932.7</v>
      </c>
      <c r="F1936" s="73">
        <f>ROUND((D1936/E1936)/60,2)</f>
        <v>0.11</v>
      </c>
      <c r="G1936" s="73">
        <f>E1908</f>
        <v>3</v>
      </c>
      <c r="H1936" s="78">
        <f>ROUND(F1936*G1936,2)</f>
        <v>0.33</v>
      </c>
    </row>
    <row r="1937" spans="2:15" x14ac:dyDescent="0.3">
      <c r="C1937" s="17" t="s">
        <v>952</v>
      </c>
      <c r="D1937" s="221">
        <f>D1607</f>
        <v>53.149721627408987</v>
      </c>
      <c r="E1937" s="73">
        <f>I1904</f>
        <v>1932.7</v>
      </c>
      <c r="F1937" s="73">
        <f>ROUND((D1937/E1937)/60,2)</f>
        <v>0</v>
      </c>
      <c r="G1937" s="73">
        <f>E1908</f>
        <v>3</v>
      </c>
      <c r="H1937" s="78">
        <f>ROUND(F1937*G1937,2)</f>
        <v>0</v>
      </c>
    </row>
    <row r="1938" spans="2:15" x14ac:dyDescent="0.3">
      <c r="C1938" s="17" t="s">
        <v>953</v>
      </c>
      <c r="D1938" s="221">
        <f>D1608</f>
        <v>374.98368308351178</v>
      </c>
      <c r="E1938" s="73">
        <f>I1904</f>
        <v>1932.7</v>
      </c>
      <c r="F1938" s="73">
        <f>ROUND((D1938/E1938)/60,2)</f>
        <v>0</v>
      </c>
      <c r="G1938" s="73">
        <f>E1908</f>
        <v>3</v>
      </c>
      <c r="H1938" s="78">
        <f>ROUND(F1938*G1938,2)</f>
        <v>0</v>
      </c>
    </row>
    <row r="1939" spans="2:15" x14ac:dyDescent="0.3">
      <c r="C1939" s="17" t="s">
        <v>1109</v>
      </c>
      <c r="D1939" s="221">
        <f>D1609</f>
        <v>1686.0389293361886</v>
      </c>
      <c r="E1939" s="73">
        <f>I1904</f>
        <v>1932.7</v>
      </c>
      <c r="F1939" s="73">
        <f>ROUND((D1939/E1939)/60,2)</f>
        <v>0.01</v>
      </c>
      <c r="G1939" s="73">
        <f>E1908</f>
        <v>3</v>
      </c>
      <c r="H1939" s="78">
        <f>ROUND(F1939*G1939,2)</f>
        <v>0.03</v>
      </c>
    </row>
    <row r="1940" spans="2:15" x14ac:dyDescent="0.3">
      <c r="C1940" s="1009" t="str">
        <f>C1905</f>
        <v>Сестра медична з фізіотерапії</v>
      </c>
      <c r="D1940" s="1010"/>
      <c r="E1940" s="1010"/>
      <c r="F1940" s="1010"/>
      <c r="G1940" s="1010"/>
      <c r="H1940" s="1011"/>
    </row>
    <row r="1941" spans="2:15" x14ac:dyDescent="0.3">
      <c r="C1941" s="17" t="s">
        <v>951</v>
      </c>
      <c r="D1941" s="221">
        <f>D1936</f>
        <v>12188.608008565312</v>
      </c>
      <c r="E1941" s="73">
        <f>I1905</f>
        <v>1932.7</v>
      </c>
      <c r="F1941" s="73">
        <f>ROUND((D1941/E1941)/60,2)</f>
        <v>0.11</v>
      </c>
      <c r="G1941" s="73">
        <f>E1909</f>
        <v>20</v>
      </c>
      <c r="H1941" s="78">
        <f>ROUND(F1941*G1941,2)</f>
        <v>2.2000000000000002</v>
      </c>
    </row>
    <row r="1942" spans="2:15" x14ac:dyDescent="0.3">
      <c r="C1942" s="17" t="s">
        <v>952</v>
      </c>
      <c r="D1942" s="221">
        <f>D1937</f>
        <v>53.149721627408987</v>
      </c>
      <c r="E1942" s="73">
        <f>I1905</f>
        <v>1932.7</v>
      </c>
      <c r="F1942" s="73">
        <f>ROUND((D1942/E1942)/60,2)</f>
        <v>0</v>
      </c>
      <c r="G1942" s="73">
        <f>E1909</f>
        <v>20</v>
      </c>
      <c r="H1942" s="78">
        <f>ROUND(F1942*G1942,2)</f>
        <v>0</v>
      </c>
    </row>
    <row r="1943" spans="2:15" x14ac:dyDescent="0.3">
      <c r="C1943" s="17" t="s">
        <v>953</v>
      </c>
      <c r="D1943" s="221">
        <f>D1938</f>
        <v>374.98368308351178</v>
      </c>
      <c r="E1943" s="73">
        <f>I1905</f>
        <v>1932.7</v>
      </c>
      <c r="F1943" s="73">
        <f>ROUND((D1943/E1943)/60,2)</f>
        <v>0</v>
      </c>
      <c r="G1943" s="73">
        <f>E1909</f>
        <v>20</v>
      </c>
      <c r="H1943" s="78">
        <f>ROUND(F1943*G1943,2)</f>
        <v>0</v>
      </c>
    </row>
    <row r="1944" spans="2:15" x14ac:dyDescent="0.3">
      <c r="C1944" s="17" t="s">
        <v>1109</v>
      </c>
      <c r="D1944" s="221">
        <f>D1939</f>
        <v>1686.0389293361886</v>
      </c>
      <c r="E1944" s="73">
        <f>I1905</f>
        <v>1932.7</v>
      </c>
      <c r="F1944" s="73">
        <f>ROUND((D1944/E1944)/60,2)</f>
        <v>0.01</v>
      </c>
      <c r="G1944" s="73">
        <f>E1909</f>
        <v>20</v>
      </c>
      <c r="H1944" s="78">
        <f>ROUND(F1944*G1944,2)</f>
        <v>0.2</v>
      </c>
    </row>
    <row r="1945" spans="2:15" x14ac:dyDescent="0.3">
      <c r="C1945" s="1012" t="s">
        <v>957</v>
      </c>
      <c r="D1945" s="1013"/>
      <c r="E1945" s="1013"/>
      <c r="F1945" s="1013"/>
      <c r="G1945" s="1014"/>
      <c r="H1945" s="299">
        <f>SUM(H1936:H1944)</f>
        <v>2.7600000000000002</v>
      </c>
    </row>
    <row r="1947" spans="2:15" x14ac:dyDescent="0.3">
      <c r="C1947" s="1015" t="s">
        <v>959</v>
      </c>
      <c r="D1947" s="1015"/>
      <c r="E1947" s="1015"/>
      <c r="F1947" s="1015"/>
      <c r="G1947" s="1015"/>
      <c r="H1947" s="334">
        <f>F1901+F1913+F1932+F1927</f>
        <v>36.110000000000007</v>
      </c>
    </row>
    <row r="1948" spans="2:15" x14ac:dyDescent="0.3">
      <c r="C1948" s="33"/>
      <c r="D1948" s="33"/>
      <c r="E1948" s="33"/>
      <c r="F1948" s="33"/>
      <c r="G1948" s="33"/>
      <c r="H1948" s="335"/>
    </row>
    <row r="1949" spans="2:15" x14ac:dyDescent="0.3">
      <c r="C1949" s="1015" t="s">
        <v>960</v>
      </c>
      <c r="D1949" s="1015"/>
      <c r="E1949" s="1015"/>
      <c r="F1949" s="1015"/>
      <c r="G1949" s="1015"/>
      <c r="H1949" s="334">
        <f>ROUND(H1947,0)</f>
        <v>36</v>
      </c>
    </row>
    <row r="1952" spans="2:15" s="54" customFormat="1" ht="19.8" x14ac:dyDescent="0.4">
      <c r="B1952" s="1016" t="s">
        <v>958</v>
      </c>
      <c r="C1952" s="1016"/>
      <c r="D1952" s="1016"/>
      <c r="E1952" s="1016"/>
      <c r="F1952" s="1016"/>
      <c r="G1952" s="1016"/>
      <c r="H1952" s="1016"/>
      <c r="I1952" s="1016"/>
      <c r="J1952" s="1016"/>
      <c r="K1952" s="126"/>
      <c r="L1952" s="126"/>
      <c r="M1952" s="631"/>
      <c r="N1952" s="53"/>
      <c r="O1952" s="53"/>
    </row>
    <row r="1954" spans="2:15" s="54" customFormat="1" ht="52.5" customHeight="1" x14ac:dyDescent="0.4">
      <c r="B1954" s="673" t="s">
        <v>863</v>
      </c>
      <c r="C1954" s="1017" t="s">
        <v>401</v>
      </c>
      <c r="D1954" s="1017"/>
      <c r="E1954" s="1017"/>
      <c r="F1954" s="296">
        <f>H2004</f>
        <v>60</v>
      </c>
      <c r="G1954" s="296" t="s">
        <v>971</v>
      </c>
      <c r="H1954" s="225"/>
      <c r="I1954" s="225"/>
      <c r="J1954" s="225"/>
      <c r="K1954" s="114"/>
      <c r="L1954" s="114"/>
      <c r="M1954" s="631"/>
      <c r="N1954" s="53"/>
      <c r="O1954" s="53"/>
    </row>
    <row r="1956" spans="2:15" x14ac:dyDescent="0.3">
      <c r="C1956" s="1018" t="s">
        <v>932</v>
      </c>
      <c r="D1956" s="1018"/>
      <c r="E1956" s="297"/>
      <c r="F1956" s="298">
        <f>F1963+F1966+F1964</f>
        <v>20.060000000000002</v>
      </c>
      <c r="G1956" s="227" t="s">
        <v>971</v>
      </c>
    </row>
    <row r="1958" spans="2:15" ht="27.6" x14ac:dyDescent="0.3">
      <c r="C1958" s="13" t="s">
        <v>929</v>
      </c>
      <c r="D1958" s="14" t="s">
        <v>928</v>
      </c>
      <c r="E1958" s="14" t="s">
        <v>514</v>
      </c>
      <c r="F1958" s="14" t="s">
        <v>515</v>
      </c>
      <c r="G1958" s="14" t="s">
        <v>962</v>
      </c>
      <c r="H1958" s="14" t="s">
        <v>926</v>
      </c>
      <c r="I1958" s="14" t="s">
        <v>516</v>
      </c>
      <c r="J1958" s="14" t="s">
        <v>961</v>
      </c>
    </row>
    <row r="1959" spans="2:15" x14ac:dyDescent="0.3">
      <c r="C1959" s="17" t="str">
        <f>C1904</f>
        <v>Лікар-фізіотерапевт</v>
      </c>
      <c r="D1959" s="78">
        <f>D1904</f>
        <v>10799.43</v>
      </c>
      <c r="E1959" s="78">
        <f>D1959*12</f>
        <v>129593.16</v>
      </c>
      <c r="F1959" s="78">
        <f>F1904</f>
        <v>8307.26</v>
      </c>
      <c r="G1959" s="78">
        <f>G1904</f>
        <v>4153.63</v>
      </c>
      <c r="H1959" s="78">
        <f>E1959+F1959+G1959</f>
        <v>142054.05000000002</v>
      </c>
      <c r="I1959" s="73">
        <v>1932.7</v>
      </c>
      <c r="J1959" s="78">
        <f>ROUND((H1959/I1959)/60,2)</f>
        <v>1.23</v>
      </c>
    </row>
    <row r="1960" spans="2:15" x14ac:dyDescent="0.3">
      <c r="C1960" s="17" t="str">
        <f>C1905</f>
        <v>Сестра медична з фізіотерапії</v>
      </c>
      <c r="D1960" s="78">
        <f>D1905</f>
        <v>7482.48</v>
      </c>
      <c r="E1960" s="78">
        <f>D1960*12</f>
        <v>89789.759999999995</v>
      </c>
      <c r="F1960" s="78">
        <f>F1905</f>
        <v>5755.75</v>
      </c>
      <c r="G1960" s="78">
        <f>G1905</f>
        <v>2877.875</v>
      </c>
      <c r="H1960" s="78">
        <f>E1960+F1960+G1960</f>
        <v>98423.384999999995</v>
      </c>
      <c r="I1960" s="73">
        <v>1932.7</v>
      </c>
      <c r="J1960" s="78">
        <f>ROUND((H1960/I1960)/60,2)</f>
        <v>0.85</v>
      </c>
    </row>
    <row r="1962" spans="2:15" ht="27.6" x14ac:dyDescent="0.3">
      <c r="C1962" s="13" t="s">
        <v>929</v>
      </c>
      <c r="D1962" s="14" t="s">
        <v>961</v>
      </c>
      <c r="E1962" s="14" t="s">
        <v>930</v>
      </c>
      <c r="F1962" s="14" t="s">
        <v>931</v>
      </c>
    </row>
    <row r="1963" spans="2:15" x14ac:dyDescent="0.3">
      <c r="C1963" s="15" t="str">
        <f>C1959</f>
        <v>Лікар-фізіотерапевт</v>
      </c>
      <c r="D1963" s="78">
        <f>J1959</f>
        <v>1.23</v>
      </c>
      <c r="E1963" s="73">
        <v>3</v>
      </c>
      <c r="F1963" s="299">
        <f>ROUND(D1963*E1963,2)</f>
        <v>3.69</v>
      </c>
    </row>
    <row r="1964" spans="2:15" x14ac:dyDescent="0.3">
      <c r="C1964" s="15" t="str">
        <f>C1960</f>
        <v>Сестра медична з фізіотерапії</v>
      </c>
      <c r="D1964" s="78">
        <f>J1960</f>
        <v>0.85</v>
      </c>
      <c r="E1964" s="73">
        <v>15</v>
      </c>
      <c r="F1964" s="299">
        <f>ROUND(D1964*E1964,2)</f>
        <v>12.75</v>
      </c>
    </row>
    <row r="1965" spans="2:15" x14ac:dyDescent="0.3">
      <c r="D1965" s="19"/>
    </row>
    <row r="1966" spans="2:15" x14ac:dyDescent="0.3">
      <c r="C1966" s="17" t="s">
        <v>933</v>
      </c>
      <c r="D1966" s="78">
        <f>F1963+F1964</f>
        <v>16.440000000000001</v>
      </c>
      <c r="E1966" s="300">
        <v>0.22</v>
      </c>
      <c r="F1966" s="301">
        <f>ROUND(D1966*E1966,2)</f>
        <v>3.62</v>
      </c>
    </row>
    <row r="1968" spans="2:15" x14ac:dyDescent="0.3">
      <c r="C1968" s="12" t="s">
        <v>946</v>
      </c>
      <c r="D1968" s="227"/>
      <c r="E1968" s="227"/>
      <c r="F1968" s="227">
        <f>G1980</f>
        <v>37.429999999999993</v>
      </c>
      <c r="G1968" s="227" t="s">
        <v>971</v>
      </c>
    </row>
    <row r="1970" spans="3:8" ht="27.6" x14ac:dyDescent="0.3">
      <c r="C1970" s="27" t="str">
        <f>C1476</f>
        <v>Електроди одноразові поверхневі з гідрофільною прокладкою з целюлози прямокутні № 25</v>
      </c>
      <c r="D1970" s="303" t="str">
        <f>D1476</f>
        <v>шт</v>
      </c>
      <c r="E1970" s="303">
        <f>E1476</f>
        <v>2</v>
      </c>
      <c r="F1970" s="303">
        <f>F1476</f>
        <v>14</v>
      </c>
      <c r="G1970" s="228">
        <f>ROUND(F1970*E1970,2)</f>
        <v>28</v>
      </c>
    </row>
    <row r="1971" spans="3:8" x14ac:dyDescent="0.3">
      <c r="C1971" s="27" t="str">
        <f t="shared" ref="C1971:F1979" si="87">C1477</f>
        <v>Антисептик для обробки рук</v>
      </c>
      <c r="D1971" s="303" t="str">
        <f t="shared" si="87"/>
        <v>мл</v>
      </c>
      <c r="E1971" s="303">
        <f t="shared" si="87"/>
        <v>1</v>
      </c>
      <c r="F1971" s="303">
        <f t="shared" si="87"/>
        <v>0.375</v>
      </c>
      <c r="G1971" s="228">
        <f>ROUND(F1971*E1971,2)</f>
        <v>0.38</v>
      </c>
    </row>
    <row r="1972" spans="3:8" x14ac:dyDescent="0.3">
      <c r="C1972" s="27" t="str">
        <f t="shared" si="87"/>
        <v>Антисептик швидкої дії</v>
      </c>
      <c r="D1972" s="303" t="str">
        <f t="shared" si="87"/>
        <v>мл</v>
      </c>
      <c r="E1972" s="303">
        <f t="shared" si="87"/>
        <v>1</v>
      </c>
      <c r="F1972" s="303">
        <f t="shared" si="87"/>
        <v>0.28799999999999998</v>
      </c>
      <c r="G1972" s="228">
        <f>ROUND(F1972*E1972,2)</f>
        <v>0.28999999999999998</v>
      </c>
    </row>
    <row r="1973" spans="3:8" x14ac:dyDescent="0.3">
      <c r="C1973" s="27" t="str">
        <f t="shared" si="87"/>
        <v>Вата 100 гр.</v>
      </c>
      <c r="D1973" s="303" t="str">
        <f t="shared" si="87"/>
        <v>г</v>
      </c>
      <c r="E1973" s="303">
        <f t="shared" si="87"/>
        <v>0.01</v>
      </c>
      <c r="F1973" s="303">
        <f t="shared" si="87"/>
        <v>6.72</v>
      </c>
      <c r="G1973" s="28">
        <f>ROUND(E1973*F1973,2)</f>
        <v>7.0000000000000007E-2</v>
      </c>
    </row>
    <row r="1974" spans="3:8" x14ac:dyDescent="0.3">
      <c r="C1974" s="27" t="str">
        <f t="shared" si="87"/>
        <v>Деззасоби</v>
      </c>
      <c r="D1974" s="303" t="str">
        <f t="shared" si="87"/>
        <v>г</v>
      </c>
      <c r="E1974" s="303">
        <f t="shared" si="87"/>
        <v>0.5</v>
      </c>
      <c r="F1974" s="303">
        <f t="shared" si="87"/>
        <v>0.5</v>
      </c>
      <c r="G1974" s="28">
        <f>ROUND(E1974*F1974,2)</f>
        <v>0.25</v>
      </c>
    </row>
    <row r="1975" spans="3:8" x14ac:dyDescent="0.3">
      <c r="C1975" s="27" t="str">
        <f t="shared" si="87"/>
        <v>Маска одноразова тришарова на резинці</v>
      </c>
      <c r="D1975" s="303" t="str">
        <f t="shared" si="87"/>
        <v>шт</v>
      </c>
      <c r="E1975" s="303">
        <f t="shared" si="87"/>
        <v>1</v>
      </c>
      <c r="F1975" s="303">
        <f t="shared" si="87"/>
        <v>2</v>
      </c>
      <c r="G1975" s="28">
        <f>ROUND(E1975*F1975,2)</f>
        <v>2</v>
      </c>
    </row>
    <row r="1976" spans="3:8" x14ac:dyDescent="0.3">
      <c r="C1976" s="27" t="str">
        <f t="shared" si="87"/>
        <v>Мило рідке</v>
      </c>
      <c r="D1976" s="303" t="str">
        <f t="shared" si="87"/>
        <v>мл</v>
      </c>
      <c r="E1976" s="303">
        <f t="shared" si="87"/>
        <v>1</v>
      </c>
      <c r="F1976" s="303">
        <f t="shared" si="87"/>
        <v>0.19600000000000001</v>
      </c>
      <c r="G1976" s="228">
        <f>ROUND(F1976*E1976,2)</f>
        <v>0.2</v>
      </c>
    </row>
    <row r="1977" spans="3:8" x14ac:dyDescent="0.3">
      <c r="C1977" s="27" t="str">
        <f t="shared" si="87"/>
        <v>Рукавиці не стерильні</v>
      </c>
      <c r="D1977" s="303" t="str">
        <f t="shared" si="87"/>
        <v>пара</v>
      </c>
      <c r="E1977" s="303">
        <f t="shared" si="87"/>
        <v>0.1</v>
      </c>
      <c r="F1977" s="303">
        <f t="shared" si="87"/>
        <v>7.39</v>
      </c>
      <c r="G1977" s="228">
        <f>ROUND(F1977*E1977,2)</f>
        <v>0.74</v>
      </c>
    </row>
    <row r="1978" spans="3:8" x14ac:dyDescent="0.3">
      <c r="C1978" s="27" t="str">
        <f t="shared" si="87"/>
        <v>Рушник паперовий</v>
      </c>
      <c r="D1978" s="303" t="str">
        <f t="shared" si="87"/>
        <v>шт</v>
      </c>
      <c r="E1978" s="303">
        <f t="shared" si="87"/>
        <v>0.3</v>
      </c>
      <c r="F1978" s="303">
        <f t="shared" si="87"/>
        <v>17.5</v>
      </c>
      <c r="G1978" s="28">
        <f>ROUND(E1978*F1978,2)</f>
        <v>5.25</v>
      </c>
    </row>
    <row r="1979" spans="3:8" x14ac:dyDescent="0.3">
      <c r="C1979" s="27" t="str">
        <f t="shared" si="87"/>
        <v xml:space="preserve">Спирт 70% 100мл </v>
      </c>
      <c r="D1979" s="303" t="str">
        <f t="shared" si="87"/>
        <v>фл/гр.</v>
      </c>
      <c r="E1979" s="303">
        <f t="shared" si="87"/>
        <v>0.01</v>
      </c>
      <c r="F1979" s="303">
        <f t="shared" si="87"/>
        <v>24.6</v>
      </c>
      <c r="G1979" s="28">
        <f>ROUND(E1979*F1979,2)</f>
        <v>0.25</v>
      </c>
    </row>
    <row r="1980" spans="3:8" x14ac:dyDescent="0.3">
      <c r="C1980" s="1019" t="s">
        <v>945</v>
      </c>
      <c r="D1980" s="1019"/>
      <c r="E1980" s="1019"/>
      <c r="F1980" s="1019"/>
      <c r="G1980" s="332">
        <f>SUM(G1970:G1979)</f>
        <v>37.429999999999993</v>
      </c>
    </row>
    <row r="1982" spans="3:8" x14ac:dyDescent="0.3">
      <c r="C1982" s="12" t="s">
        <v>968</v>
      </c>
      <c r="D1982" s="227"/>
      <c r="E1982" s="227"/>
      <c r="F1982" s="298">
        <f>H1985</f>
        <v>0.15</v>
      </c>
      <c r="G1982" s="227" t="s">
        <v>971</v>
      </c>
    </row>
    <row r="1983" spans="3:8" x14ac:dyDescent="0.3">
      <c r="C1983" s="22"/>
      <c r="D1983" s="36"/>
      <c r="E1983" s="36"/>
      <c r="F1983" s="302"/>
      <c r="G1983" s="36"/>
    </row>
    <row r="1984" spans="3:8" ht="27.6" x14ac:dyDescent="0.3">
      <c r="C1984" s="14" t="s">
        <v>513</v>
      </c>
      <c r="D1984" s="14" t="s">
        <v>969</v>
      </c>
      <c r="E1984" s="14" t="s">
        <v>516</v>
      </c>
      <c r="F1984" s="14" t="s">
        <v>970</v>
      </c>
      <c r="G1984" s="14" t="s">
        <v>930</v>
      </c>
      <c r="H1984" s="14" t="s">
        <v>961</v>
      </c>
    </row>
    <row r="1985" spans="3:9" x14ac:dyDescent="0.3">
      <c r="C1985" s="278" t="str">
        <f>C1930</f>
        <v>Фізіотерапія</v>
      </c>
      <c r="D1985" s="150">
        <f>D1930</f>
        <v>7000</v>
      </c>
      <c r="E1985" s="73">
        <v>12562.55</v>
      </c>
      <c r="F1985" s="73">
        <f>ROUND((D1985/E1985)/60,2)</f>
        <v>0.01</v>
      </c>
      <c r="G1985" s="73">
        <f>E1964</f>
        <v>15</v>
      </c>
      <c r="H1985" s="78">
        <f>ROUND(F1985*G1985,2)</f>
        <v>0.15</v>
      </c>
      <c r="I1985" s="333"/>
    </row>
    <row r="1987" spans="3:9" x14ac:dyDescent="0.3">
      <c r="C1987" s="12" t="s">
        <v>948</v>
      </c>
      <c r="D1987" s="227"/>
      <c r="E1987" s="227"/>
      <c r="F1987" s="298">
        <f>H2000</f>
        <v>2.1599999999999997</v>
      </c>
      <c r="G1987" s="227" t="s">
        <v>971</v>
      </c>
    </row>
    <row r="1988" spans="3:9" x14ac:dyDescent="0.3">
      <c r="C1988" s="22"/>
      <c r="D1988" s="36"/>
      <c r="E1988" s="36"/>
      <c r="F1988" s="302"/>
    </row>
    <row r="1989" spans="3:9" ht="41.4" x14ac:dyDescent="0.3">
      <c r="C1989" s="14" t="s">
        <v>948</v>
      </c>
      <c r="D1989" s="14" t="s">
        <v>955</v>
      </c>
      <c r="E1989" s="14" t="s">
        <v>516</v>
      </c>
      <c r="F1989" s="14" t="s">
        <v>954</v>
      </c>
      <c r="G1989" s="14" t="s">
        <v>930</v>
      </c>
      <c r="H1989" s="14" t="s">
        <v>956</v>
      </c>
    </row>
    <row r="1990" spans="3:9" x14ac:dyDescent="0.3">
      <c r="C1990" s="1009" t="str">
        <f>C1959</f>
        <v>Лікар-фізіотерапевт</v>
      </c>
      <c r="D1990" s="1010"/>
      <c r="E1990" s="1010"/>
      <c r="F1990" s="1010"/>
      <c r="G1990" s="1010"/>
      <c r="H1990" s="1011"/>
    </row>
    <row r="1991" spans="3:9" x14ac:dyDescent="0.3">
      <c r="C1991" s="17" t="s">
        <v>951</v>
      </c>
      <c r="D1991" s="221">
        <f>D1936</f>
        <v>12188.608008565312</v>
      </c>
      <c r="E1991" s="73">
        <f>I1959</f>
        <v>1932.7</v>
      </c>
      <c r="F1991" s="73">
        <f>ROUND((D1991/E1991)/60,2)</f>
        <v>0.11</v>
      </c>
      <c r="G1991" s="73">
        <f>E1963</f>
        <v>3</v>
      </c>
      <c r="H1991" s="78">
        <f>ROUND(F1991*G1991,2)</f>
        <v>0.33</v>
      </c>
    </row>
    <row r="1992" spans="3:9" x14ac:dyDescent="0.3">
      <c r="C1992" s="17" t="s">
        <v>952</v>
      </c>
      <c r="D1992" s="221">
        <f>D1937</f>
        <v>53.149721627408987</v>
      </c>
      <c r="E1992" s="73">
        <f>I1959</f>
        <v>1932.7</v>
      </c>
      <c r="F1992" s="73">
        <f>ROUND((D1992/E1992)/60,2)</f>
        <v>0</v>
      </c>
      <c r="G1992" s="73">
        <f>E1963</f>
        <v>3</v>
      </c>
      <c r="H1992" s="78">
        <f>ROUND(F1992*G1992,2)</f>
        <v>0</v>
      </c>
    </row>
    <row r="1993" spans="3:9" x14ac:dyDescent="0.3">
      <c r="C1993" s="17" t="s">
        <v>953</v>
      </c>
      <c r="D1993" s="221">
        <f>D1938</f>
        <v>374.98368308351178</v>
      </c>
      <c r="E1993" s="73">
        <f>I1959</f>
        <v>1932.7</v>
      </c>
      <c r="F1993" s="73">
        <f>ROUND((D1993/E1993)/60,2)</f>
        <v>0</v>
      </c>
      <c r="G1993" s="73">
        <f>E1963</f>
        <v>3</v>
      </c>
      <c r="H1993" s="78">
        <f>ROUND(F1993*G1993,2)</f>
        <v>0</v>
      </c>
    </row>
    <row r="1994" spans="3:9" x14ac:dyDescent="0.3">
      <c r="C1994" s="17" t="s">
        <v>1109</v>
      </c>
      <c r="D1994" s="221">
        <f>D1939</f>
        <v>1686.0389293361886</v>
      </c>
      <c r="E1994" s="73">
        <f>I1959</f>
        <v>1932.7</v>
      </c>
      <c r="F1994" s="73">
        <f>ROUND((D1994/E1994)/60,2)</f>
        <v>0.01</v>
      </c>
      <c r="G1994" s="73">
        <f>E1963</f>
        <v>3</v>
      </c>
      <c r="H1994" s="78">
        <f>ROUND(F1994*G1994,2)</f>
        <v>0.03</v>
      </c>
    </row>
    <row r="1995" spans="3:9" x14ac:dyDescent="0.3">
      <c r="C1995" s="1009" t="str">
        <f>C1960</f>
        <v>Сестра медична з фізіотерапії</v>
      </c>
      <c r="D1995" s="1010"/>
      <c r="E1995" s="1010"/>
      <c r="F1995" s="1010"/>
      <c r="G1995" s="1010"/>
      <c r="H1995" s="1011"/>
    </row>
    <row r="1996" spans="3:9" x14ac:dyDescent="0.3">
      <c r="C1996" s="17" t="s">
        <v>951</v>
      </c>
      <c r="D1996" s="221">
        <f>D1991</f>
        <v>12188.608008565312</v>
      </c>
      <c r="E1996" s="73">
        <f>I1960</f>
        <v>1932.7</v>
      </c>
      <c r="F1996" s="73">
        <f>ROUND((D1996/E1996)/60,2)</f>
        <v>0.11</v>
      </c>
      <c r="G1996" s="73">
        <f>E1964</f>
        <v>15</v>
      </c>
      <c r="H1996" s="78">
        <f>ROUND(F1996*G1996,2)</f>
        <v>1.65</v>
      </c>
    </row>
    <row r="1997" spans="3:9" x14ac:dyDescent="0.3">
      <c r="C1997" s="17" t="s">
        <v>952</v>
      </c>
      <c r="D1997" s="221">
        <f>D1992</f>
        <v>53.149721627408987</v>
      </c>
      <c r="E1997" s="73">
        <f>I1960</f>
        <v>1932.7</v>
      </c>
      <c r="F1997" s="73">
        <f>ROUND((D1997/E1997)/60,2)</f>
        <v>0</v>
      </c>
      <c r="G1997" s="73">
        <f>E1964</f>
        <v>15</v>
      </c>
      <c r="H1997" s="78">
        <f>ROUND(F1997*G1997,2)</f>
        <v>0</v>
      </c>
    </row>
    <row r="1998" spans="3:9" x14ac:dyDescent="0.3">
      <c r="C1998" s="17" t="s">
        <v>953</v>
      </c>
      <c r="D1998" s="221">
        <f>D1993</f>
        <v>374.98368308351178</v>
      </c>
      <c r="E1998" s="73">
        <f>I1960</f>
        <v>1932.7</v>
      </c>
      <c r="F1998" s="73">
        <f>ROUND((D1998/E1998)/60,2)</f>
        <v>0</v>
      </c>
      <c r="G1998" s="73">
        <f>E1964</f>
        <v>15</v>
      </c>
      <c r="H1998" s="78">
        <f>ROUND(F1998*G1998,2)</f>
        <v>0</v>
      </c>
    </row>
    <row r="1999" spans="3:9" x14ac:dyDescent="0.3">
      <c r="C1999" s="17" t="s">
        <v>1109</v>
      </c>
      <c r="D1999" s="221">
        <f>D1994</f>
        <v>1686.0389293361886</v>
      </c>
      <c r="E1999" s="73">
        <f>I1959</f>
        <v>1932.7</v>
      </c>
      <c r="F1999" s="73">
        <f>ROUND((D1999/E1999)/60,2)</f>
        <v>0.01</v>
      </c>
      <c r="G1999" s="73">
        <f>E1964</f>
        <v>15</v>
      </c>
      <c r="H1999" s="78">
        <f>ROUND(F1999*G1999,2)</f>
        <v>0.15</v>
      </c>
    </row>
    <row r="2000" spans="3:9" x14ac:dyDescent="0.3">
      <c r="C2000" s="1012" t="s">
        <v>957</v>
      </c>
      <c r="D2000" s="1013"/>
      <c r="E2000" s="1013"/>
      <c r="F2000" s="1013"/>
      <c r="G2000" s="1014"/>
      <c r="H2000" s="299">
        <f>SUM(H1991:H1999)</f>
        <v>2.1599999999999997</v>
      </c>
    </row>
    <row r="2002" spans="2:15" x14ac:dyDescent="0.3">
      <c r="C2002" s="1015" t="s">
        <v>959</v>
      </c>
      <c r="D2002" s="1015"/>
      <c r="E2002" s="1015"/>
      <c r="F2002" s="1015"/>
      <c r="G2002" s="1015"/>
      <c r="H2002" s="334">
        <f>F1956+F1968+F1987+F1982</f>
        <v>59.79999999999999</v>
      </c>
    </row>
    <row r="2003" spans="2:15" x14ac:dyDescent="0.3">
      <c r="C2003" s="33"/>
      <c r="D2003" s="33"/>
      <c r="E2003" s="33"/>
      <c r="F2003" s="33"/>
      <c r="G2003" s="33"/>
      <c r="H2003" s="335"/>
    </row>
    <row r="2004" spans="2:15" x14ac:dyDescent="0.3">
      <c r="C2004" s="1015" t="s">
        <v>960</v>
      </c>
      <c r="D2004" s="1015"/>
      <c r="E2004" s="1015"/>
      <c r="F2004" s="1015"/>
      <c r="G2004" s="1015"/>
      <c r="H2004" s="334">
        <f>ROUND(H2002,0)</f>
        <v>60</v>
      </c>
    </row>
    <row r="2006" spans="2:15" s="54" customFormat="1" ht="19.8" x14ac:dyDescent="0.4">
      <c r="B2006" s="1016" t="s">
        <v>958</v>
      </c>
      <c r="C2006" s="1016"/>
      <c r="D2006" s="1016"/>
      <c r="E2006" s="1016"/>
      <c r="F2006" s="1016"/>
      <c r="G2006" s="1016"/>
      <c r="H2006" s="1016"/>
      <c r="I2006" s="1016"/>
      <c r="J2006" s="1016"/>
      <c r="K2006" s="126"/>
      <c r="L2006" s="126"/>
      <c r="M2006" s="631"/>
      <c r="N2006" s="53"/>
      <c r="O2006" s="53"/>
    </row>
    <row r="2008" spans="2:15" s="54" customFormat="1" ht="55.5" customHeight="1" x14ac:dyDescent="0.4">
      <c r="B2008" s="673" t="s">
        <v>402</v>
      </c>
      <c r="C2008" s="1017" t="s">
        <v>403</v>
      </c>
      <c r="D2008" s="1017"/>
      <c r="E2008" s="1017"/>
      <c r="F2008" s="296">
        <f>H2058</f>
        <v>36</v>
      </c>
      <c r="G2008" s="296" t="s">
        <v>971</v>
      </c>
      <c r="H2008" s="225"/>
      <c r="I2008" s="225"/>
      <c r="J2008" s="225"/>
      <c r="K2008" s="114"/>
      <c r="L2008" s="114"/>
      <c r="M2008" s="631"/>
      <c r="N2008" s="53"/>
      <c r="O2008" s="53"/>
    </row>
    <row r="2010" spans="2:15" x14ac:dyDescent="0.3">
      <c r="C2010" s="1018" t="s">
        <v>932</v>
      </c>
      <c r="D2010" s="1018"/>
      <c r="E2010" s="297"/>
      <c r="F2010" s="298">
        <f>F2017+F2020+F2018</f>
        <v>20.060000000000002</v>
      </c>
      <c r="G2010" s="227" t="s">
        <v>971</v>
      </c>
    </row>
    <row r="2012" spans="2:15" ht="27.6" x14ac:dyDescent="0.3">
      <c r="C2012" s="13" t="s">
        <v>929</v>
      </c>
      <c r="D2012" s="14" t="s">
        <v>928</v>
      </c>
      <c r="E2012" s="14" t="s">
        <v>514</v>
      </c>
      <c r="F2012" s="14" t="s">
        <v>515</v>
      </c>
      <c r="G2012" s="14" t="s">
        <v>962</v>
      </c>
      <c r="H2012" s="14" t="s">
        <v>926</v>
      </c>
      <c r="I2012" s="14" t="s">
        <v>516</v>
      </c>
      <c r="J2012" s="14" t="s">
        <v>961</v>
      </c>
    </row>
    <row r="2013" spans="2:15" x14ac:dyDescent="0.3">
      <c r="C2013" s="17" t="str">
        <f t="shared" ref="C2013:G2014" si="88">C1959</f>
        <v>Лікар-фізіотерапевт</v>
      </c>
      <c r="D2013" s="73">
        <f t="shared" si="88"/>
        <v>10799.43</v>
      </c>
      <c r="E2013" s="73">
        <f t="shared" si="88"/>
        <v>129593.16</v>
      </c>
      <c r="F2013" s="73">
        <f t="shared" si="88"/>
        <v>8307.26</v>
      </c>
      <c r="G2013" s="73">
        <f t="shared" si="88"/>
        <v>4153.63</v>
      </c>
      <c r="H2013" s="78">
        <f>E2013+F2013+G2013</f>
        <v>142054.05000000002</v>
      </c>
      <c r="I2013" s="73">
        <v>1932.7</v>
      </c>
      <c r="J2013" s="78">
        <f>ROUND((H2013/I2013)/60,2)</f>
        <v>1.23</v>
      </c>
    </row>
    <row r="2014" spans="2:15" x14ac:dyDescent="0.3">
      <c r="C2014" s="17" t="str">
        <f t="shared" si="88"/>
        <v>Сестра медична з фізіотерапії</v>
      </c>
      <c r="D2014" s="73">
        <f t="shared" si="88"/>
        <v>7482.48</v>
      </c>
      <c r="E2014" s="73">
        <f t="shared" si="88"/>
        <v>89789.759999999995</v>
      </c>
      <c r="F2014" s="73">
        <f t="shared" si="88"/>
        <v>5755.75</v>
      </c>
      <c r="G2014" s="73">
        <f t="shared" si="88"/>
        <v>2877.875</v>
      </c>
      <c r="H2014" s="78">
        <f>E2014+F2014+G2014</f>
        <v>98423.384999999995</v>
      </c>
      <c r="I2014" s="73">
        <v>1932.7</v>
      </c>
      <c r="J2014" s="78">
        <f>ROUND((H2014/I2014)/60,2)</f>
        <v>0.85</v>
      </c>
    </row>
    <row r="2016" spans="2:15" ht="27.6" x14ac:dyDescent="0.3">
      <c r="C2016" s="13" t="s">
        <v>929</v>
      </c>
      <c r="D2016" s="14" t="s">
        <v>961</v>
      </c>
      <c r="E2016" s="14" t="s">
        <v>930</v>
      </c>
      <c r="F2016" s="14" t="s">
        <v>931</v>
      </c>
    </row>
    <row r="2017" spans="3:7" x14ac:dyDescent="0.3">
      <c r="C2017" s="15" t="str">
        <f>C2013</f>
        <v>Лікар-фізіотерапевт</v>
      </c>
      <c r="D2017" s="78">
        <f>J2013</f>
        <v>1.23</v>
      </c>
      <c r="E2017" s="73">
        <v>3</v>
      </c>
      <c r="F2017" s="299">
        <f>ROUND(D2017*E2017,2)</f>
        <v>3.69</v>
      </c>
    </row>
    <row r="2018" spans="3:7" x14ac:dyDescent="0.3">
      <c r="C2018" s="15" t="str">
        <f>C2014</f>
        <v>Сестра медична з фізіотерапії</v>
      </c>
      <c r="D2018" s="78">
        <f>J2014</f>
        <v>0.85</v>
      </c>
      <c r="E2018" s="73">
        <v>15</v>
      </c>
      <c r="F2018" s="299">
        <f>ROUND(D2018*E2018,2)</f>
        <v>12.75</v>
      </c>
    </row>
    <row r="2019" spans="3:7" x14ac:dyDescent="0.3">
      <c r="D2019" s="19"/>
    </row>
    <row r="2020" spans="3:7" x14ac:dyDescent="0.3">
      <c r="C2020" s="17" t="s">
        <v>933</v>
      </c>
      <c r="D2020" s="78">
        <f>F2017+F2018</f>
        <v>16.440000000000001</v>
      </c>
      <c r="E2020" s="300">
        <v>0.22</v>
      </c>
      <c r="F2020" s="301">
        <f>ROUND(D2020*E2020,2)</f>
        <v>3.62</v>
      </c>
    </row>
    <row r="2022" spans="3:7" x14ac:dyDescent="0.3">
      <c r="C2022" s="12" t="s">
        <v>946</v>
      </c>
      <c r="D2022" s="227"/>
      <c r="E2022" s="227"/>
      <c r="F2022" s="227">
        <f>G2034</f>
        <v>13.43</v>
      </c>
      <c r="G2022" s="227" t="s">
        <v>971</v>
      </c>
    </row>
    <row r="2024" spans="3:7" x14ac:dyDescent="0.3">
      <c r="C2024" s="27" t="str">
        <f>C1531</f>
        <v>Гідрофільні прокладки багаторазові поверхневі</v>
      </c>
      <c r="D2024" s="303" t="str">
        <f>D1531</f>
        <v>шт</v>
      </c>
      <c r="E2024" s="303">
        <f>E1531</f>
        <v>2</v>
      </c>
      <c r="F2024" s="303">
        <f>F1531</f>
        <v>2</v>
      </c>
      <c r="G2024" s="303">
        <f>G1531</f>
        <v>4</v>
      </c>
    </row>
    <row r="2025" spans="3:7" x14ac:dyDescent="0.3">
      <c r="C2025" s="27" t="str">
        <f t="shared" ref="C2025:G2033" si="89">C1532</f>
        <v>Антисептик для обробки рук</v>
      </c>
      <c r="D2025" s="303" t="str">
        <f t="shared" si="89"/>
        <v>мл</v>
      </c>
      <c r="E2025" s="303">
        <f t="shared" si="89"/>
        <v>1</v>
      </c>
      <c r="F2025" s="303">
        <f t="shared" si="89"/>
        <v>0.375</v>
      </c>
      <c r="G2025" s="303">
        <f t="shared" si="89"/>
        <v>0.38</v>
      </c>
    </row>
    <row r="2026" spans="3:7" x14ac:dyDescent="0.3">
      <c r="C2026" s="27" t="str">
        <f t="shared" si="89"/>
        <v>Антисептик швидкої дії</v>
      </c>
      <c r="D2026" s="303" t="str">
        <f t="shared" si="89"/>
        <v>мл</v>
      </c>
      <c r="E2026" s="303">
        <f t="shared" si="89"/>
        <v>1</v>
      </c>
      <c r="F2026" s="303">
        <f t="shared" si="89"/>
        <v>0.28799999999999998</v>
      </c>
      <c r="G2026" s="303">
        <f t="shared" si="89"/>
        <v>0.28999999999999998</v>
      </c>
    </row>
    <row r="2027" spans="3:7" x14ac:dyDescent="0.3">
      <c r="C2027" s="27" t="str">
        <f t="shared" si="89"/>
        <v>Вата 100 гр.</v>
      </c>
      <c r="D2027" s="303" t="str">
        <f t="shared" si="89"/>
        <v>г</v>
      </c>
      <c r="E2027" s="303">
        <f t="shared" si="89"/>
        <v>0.01</v>
      </c>
      <c r="F2027" s="303">
        <f t="shared" si="89"/>
        <v>6.72</v>
      </c>
      <c r="G2027" s="303">
        <f t="shared" si="89"/>
        <v>7.0000000000000007E-2</v>
      </c>
    </row>
    <row r="2028" spans="3:7" x14ac:dyDescent="0.3">
      <c r="C2028" s="27" t="str">
        <f t="shared" si="89"/>
        <v>Деззасоби</v>
      </c>
      <c r="D2028" s="303" t="str">
        <f t="shared" si="89"/>
        <v>г</v>
      </c>
      <c r="E2028" s="303">
        <f t="shared" si="89"/>
        <v>0.5</v>
      </c>
      <c r="F2028" s="303">
        <f t="shared" si="89"/>
        <v>0.5</v>
      </c>
      <c r="G2028" s="303">
        <f t="shared" si="89"/>
        <v>0.25</v>
      </c>
    </row>
    <row r="2029" spans="3:7" x14ac:dyDescent="0.3">
      <c r="C2029" s="27" t="str">
        <f t="shared" si="89"/>
        <v>Маска одноразова тришарова на резинці</v>
      </c>
      <c r="D2029" s="303" t="str">
        <f t="shared" si="89"/>
        <v>шт</v>
      </c>
      <c r="E2029" s="303">
        <f t="shared" si="89"/>
        <v>1</v>
      </c>
      <c r="F2029" s="303">
        <f t="shared" si="89"/>
        <v>2</v>
      </c>
      <c r="G2029" s="303">
        <f t="shared" si="89"/>
        <v>2</v>
      </c>
    </row>
    <row r="2030" spans="3:7" x14ac:dyDescent="0.3">
      <c r="C2030" s="27" t="str">
        <f t="shared" si="89"/>
        <v>Мило рідке</v>
      </c>
      <c r="D2030" s="303" t="str">
        <f t="shared" si="89"/>
        <v>мл</v>
      </c>
      <c r="E2030" s="303">
        <f t="shared" si="89"/>
        <v>1</v>
      </c>
      <c r="F2030" s="303">
        <f t="shared" si="89"/>
        <v>0.19600000000000001</v>
      </c>
      <c r="G2030" s="303">
        <f t="shared" si="89"/>
        <v>0.2</v>
      </c>
    </row>
    <row r="2031" spans="3:7" x14ac:dyDescent="0.3">
      <c r="C2031" s="27" t="str">
        <f t="shared" si="89"/>
        <v>Рукавиці не стерильні</v>
      </c>
      <c r="D2031" s="303" t="str">
        <f t="shared" si="89"/>
        <v>пара</v>
      </c>
      <c r="E2031" s="303">
        <f t="shared" si="89"/>
        <v>0.1</v>
      </c>
      <c r="F2031" s="303">
        <f t="shared" si="89"/>
        <v>7.39</v>
      </c>
      <c r="G2031" s="303">
        <f t="shared" si="89"/>
        <v>0.74</v>
      </c>
    </row>
    <row r="2032" spans="3:7" x14ac:dyDescent="0.3">
      <c r="C2032" s="27" t="str">
        <f t="shared" si="89"/>
        <v>Рушник паперовий</v>
      </c>
      <c r="D2032" s="303" t="str">
        <f t="shared" si="89"/>
        <v>шт</v>
      </c>
      <c r="E2032" s="303">
        <f t="shared" si="89"/>
        <v>0.3</v>
      </c>
      <c r="F2032" s="303">
        <f t="shared" si="89"/>
        <v>17.5</v>
      </c>
      <c r="G2032" s="303">
        <f t="shared" si="89"/>
        <v>5.25</v>
      </c>
    </row>
    <row r="2033" spans="3:9" x14ac:dyDescent="0.3">
      <c r="C2033" s="27" t="str">
        <f t="shared" si="89"/>
        <v xml:space="preserve">Спирт 70% 100мл </v>
      </c>
      <c r="D2033" s="303" t="str">
        <f t="shared" si="89"/>
        <v>фл/гр.</v>
      </c>
      <c r="E2033" s="303">
        <f t="shared" si="89"/>
        <v>0.01</v>
      </c>
      <c r="F2033" s="303">
        <f t="shared" si="89"/>
        <v>24.6</v>
      </c>
      <c r="G2033" s="303">
        <f t="shared" si="89"/>
        <v>0.25</v>
      </c>
    </row>
    <row r="2034" spans="3:9" x14ac:dyDescent="0.3">
      <c r="C2034" s="1019" t="s">
        <v>945</v>
      </c>
      <c r="D2034" s="1019"/>
      <c r="E2034" s="1019"/>
      <c r="F2034" s="1019"/>
      <c r="G2034" s="332">
        <f>SUM(G2024:G2033)</f>
        <v>13.43</v>
      </c>
    </row>
    <row r="2036" spans="3:9" x14ac:dyDescent="0.3">
      <c r="C2036" s="12" t="s">
        <v>968</v>
      </c>
      <c r="D2036" s="227"/>
      <c r="E2036" s="227"/>
      <c r="F2036" s="298">
        <f>H2039</f>
        <v>0.15</v>
      </c>
      <c r="G2036" s="227" t="s">
        <v>971</v>
      </c>
    </row>
    <row r="2037" spans="3:9" x14ac:dyDescent="0.3">
      <c r="C2037" s="22"/>
      <c r="D2037" s="36"/>
      <c r="E2037" s="36"/>
      <c r="F2037" s="302"/>
      <c r="G2037" s="36"/>
    </row>
    <row r="2038" spans="3:9" ht="27.6" x14ac:dyDescent="0.3">
      <c r="C2038" s="14" t="s">
        <v>513</v>
      </c>
      <c r="D2038" s="14" t="s">
        <v>969</v>
      </c>
      <c r="E2038" s="14" t="s">
        <v>516</v>
      </c>
      <c r="F2038" s="14" t="s">
        <v>970</v>
      </c>
      <c r="G2038" s="14" t="s">
        <v>930</v>
      </c>
      <c r="H2038" s="14" t="s">
        <v>961</v>
      </c>
    </row>
    <row r="2039" spans="3:9" x14ac:dyDescent="0.3">
      <c r="C2039" s="278" t="str">
        <f>C1985</f>
        <v>Фізіотерапія</v>
      </c>
      <c r="D2039" s="150">
        <f>D1985</f>
        <v>7000</v>
      </c>
      <c r="E2039" s="150">
        <f>E1985</f>
        <v>12562.55</v>
      </c>
      <c r="F2039" s="150">
        <f>F1985</f>
        <v>0.01</v>
      </c>
      <c r="G2039" s="73">
        <f>E2018</f>
        <v>15</v>
      </c>
      <c r="H2039" s="78">
        <f>ROUND(F2039*G2039,2)</f>
        <v>0.15</v>
      </c>
      <c r="I2039" s="333"/>
    </row>
    <row r="2041" spans="3:9" x14ac:dyDescent="0.3">
      <c r="C2041" s="12" t="s">
        <v>948</v>
      </c>
      <c r="D2041" s="227"/>
      <c r="E2041" s="227"/>
      <c r="F2041" s="298">
        <f>H2054</f>
        <v>2.1599999999999997</v>
      </c>
      <c r="G2041" s="227" t="s">
        <v>971</v>
      </c>
    </row>
    <row r="2042" spans="3:9" x14ac:dyDescent="0.3">
      <c r="C2042" s="22"/>
      <c r="D2042" s="36"/>
      <c r="E2042" s="36"/>
      <c r="F2042" s="302"/>
    </row>
    <row r="2043" spans="3:9" ht="41.4" x14ac:dyDescent="0.3">
      <c r="C2043" s="14" t="s">
        <v>948</v>
      </c>
      <c r="D2043" s="14" t="s">
        <v>955</v>
      </c>
      <c r="E2043" s="14" t="s">
        <v>516</v>
      </c>
      <c r="F2043" s="14" t="s">
        <v>954</v>
      </c>
      <c r="G2043" s="14" t="s">
        <v>930</v>
      </c>
      <c r="H2043" s="14" t="s">
        <v>956</v>
      </c>
    </row>
    <row r="2044" spans="3:9" x14ac:dyDescent="0.3">
      <c r="C2044" s="1009" t="str">
        <f>C2013</f>
        <v>Лікар-фізіотерапевт</v>
      </c>
      <c r="D2044" s="1010"/>
      <c r="E2044" s="1010"/>
      <c r="F2044" s="1010"/>
      <c r="G2044" s="1010"/>
      <c r="H2044" s="1011"/>
    </row>
    <row r="2045" spans="3:9" x14ac:dyDescent="0.3">
      <c r="C2045" s="17" t="s">
        <v>951</v>
      </c>
      <c r="D2045" s="221">
        <f>D1991</f>
        <v>12188.608008565312</v>
      </c>
      <c r="E2045" s="73">
        <f>I2013</f>
        <v>1932.7</v>
      </c>
      <c r="F2045" s="73">
        <f>ROUND((D2045/E2045)/60,2)</f>
        <v>0.11</v>
      </c>
      <c r="G2045" s="73">
        <f>E2017</f>
        <v>3</v>
      </c>
      <c r="H2045" s="78">
        <f>ROUND(F2045*G2045,2)</f>
        <v>0.33</v>
      </c>
    </row>
    <row r="2046" spans="3:9" x14ac:dyDescent="0.3">
      <c r="C2046" s="17" t="s">
        <v>952</v>
      </c>
      <c r="D2046" s="221">
        <f>D1992</f>
        <v>53.149721627408987</v>
      </c>
      <c r="E2046" s="73">
        <f>I2013</f>
        <v>1932.7</v>
      </c>
      <c r="F2046" s="73">
        <f>ROUND((D2046/E2046)/60,2)</f>
        <v>0</v>
      </c>
      <c r="G2046" s="73">
        <f>E2017</f>
        <v>3</v>
      </c>
      <c r="H2046" s="78">
        <f>ROUND(F2046*G2046,2)</f>
        <v>0</v>
      </c>
    </row>
    <row r="2047" spans="3:9" x14ac:dyDescent="0.3">
      <c r="C2047" s="17" t="s">
        <v>953</v>
      </c>
      <c r="D2047" s="221">
        <f>D1993</f>
        <v>374.98368308351178</v>
      </c>
      <c r="E2047" s="73">
        <f>I2013</f>
        <v>1932.7</v>
      </c>
      <c r="F2047" s="73">
        <f>ROUND((D2047/E2047)/60,2)</f>
        <v>0</v>
      </c>
      <c r="G2047" s="73">
        <f>E2017</f>
        <v>3</v>
      </c>
      <c r="H2047" s="78">
        <f>ROUND(F2047*G2047,2)</f>
        <v>0</v>
      </c>
    </row>
    <row r="2048" spans="3:9" x14ac:dyDescent="0.3">
      <c r="C2048" s="17" t="s">
        <v>1109</v>
      </c>
      <c r="D2048" s="221">
        <f>D1994</f>
        <v>1686.0389293361886</v>
      </c>
      <c r="E2048" s="73">
        <f>I2013</f>
        <v>1932.7</v>
      </c>
      <c r="F2048" s="73">
        <f>ROUND((D2048/E2048)/60,2)</f>
        <v>0.01</v>
      </c>
      <c r="G2048" s="73">
        <f>E2017</f>
        <v>3</v>
      </c>
      <c r="H2048" s="78">
        <f>ROUND(F2048*G2048,2)</f>
        <v>0.03</v>
      </c>
    </row>
    <row r="2049" spans="2:15" x14ac:dyDescent="0.3">
      <c r="C2049" s="1009" t="str">
        <f>C2014</f>
        <v>Сестра медична з фізіотерапії</v>
      </c>
      <c r="D2049" s="1010"/>
      <c r="E2049" s="1010"/>
      <c r="F2049" s="1010"/>
      <c r="G2049" s="1010"/>
      <c r="H2049" s="1011"/>
    </row>
    <row r="2050" spans="2:15" x14ac:dyDescent="0.3">
      <c r="C2050" s="17" t="s">
        <v>951</v>
      </c>
      <c r="D2050" s="221">
        <f>D2045</f>
        <v>12188.608008565312</v>
      </c>
      <c r="E2050" s="73">
        <f>I2014</f>
        <v>1932.7</v>
      </c>
      <c r="F2050" s="73">
        <f>ROUND((D2050/E2050)/60,2)</f>
        <v>0.11</v>
      </c>
      <c r="G2050" s="73">
        <f>E2018</f>
        <v>15</v>
      </c>
      <c r="H2050" s="78">
        <f>ROUND(F2050*G2050,2)</f>
        <v>1.65</v>
      </c>
    </row>
    <row r="2051" spans="2:15" x14ac:dyDescent="0.3">
      <c r="C2051" s="17" t="s">
        <v>952</v>
      </c>
      <c r="D2051" s="221">
        <f>D2046</f>
        <v>53.149721627408987</v>
      </c>
      <c r="E2051" s="73">
        <f>I2014</f>
        <v>1932.7</v>
      </c>
      <c r="F2051" s="73">
        <f>ROUND((D2051/E2051)/60,2)</f>
        <v>0</v>
      </c>
      <c r="G2051" s="73">
        <f>E2018</f>
        <v>15</v>
      </c>
      <c r="H2051" s="78">
        <f>ROUND(F2051*G2051,2)</f>
        <v>0</v>
      </c>
    </row>
    <row r="2052" spans="2:15" x14ac:dyDescent="0.3">
      <c r="C2052" s="17" t="s">
        <v>953</v>
      </c>
      <c r="D2052" s="221">
        <f>D2047</f>
        <v>374.98368308351178</v>
      </c>
      <c r="E2052" s="73">
        <f>I2014</f>
        <v>1932.7</v>
      </c>
      <c r="F2052" s="73">
        <f>ROUND((D2052/E2052)/60,2)</f>
        <v>0</v>
      </c>
      <c r="G2052" s="73">
        <f>E2018</f>
        <v>15</v>
      </c>
      <c r="H2052" s="78">
        <f>ROUND(F2052*G2052,2)</f>
        <v>0</v>
      </c>
    </row>
    <row r="2053" spans="2:15" x14ac:dyDescent="0.3">
      <c r="C2053" s="17" t="s">
        <v>1109</v>
      </c>
      <c r="D2053" s="221">
        <f>D2048</f>
        <v>1686.0389293361886</v>
      </c>
      <c r="E2053" s="73">
        <f>I2013</f>
        <v>1932.7</v>
      </c>
      <c r="F2053" s="73">
        <f>ROUND((D2053/E2053)/60,2)</f>
        <v>0.01</v>
      </c>
      <c r="G2053" s="73">
        <f>E2018</f>
        <v>15</v>
      </c>
      <c r="H2053" s="78">
        <f>ROUND(F2053*G2053,2)</f>
        <v>0.15</v>
      </c>
    </row>
    <row r="2054" spans="2:15" x14ac:dyDescent="0.3">
      <c r="C2054" s="1012" t="s">
        <v>957</v>
      </c>
      <c r="D2054" s="1013"/>
      <c r="E2054" s="1013"/>
      <c r="F2054" s="1013"/>
      <c r="G2054" s="1014"/>
      <c r="H2054" s="299">
        <f>SUM(H2045:H2053)</f>
        <v>2.1599999999999997</v>
      </c>
    </row>
    <row r="2056" spans="2:15" x14ac:dyDescent="0.3">
      <c r="C2056" s="1015" t="s">
        <v>959</v>
      </c>
      <c r="D2056" s="1015"/>
      <c r="E2056" s="1015"/>
      <c r="F2056" s="1015"/>
      <c r="G2056" s="1015"/>
      <c r="H2056" s="334">
        <f>F2010+F2022+F2041+F2036</f>
        <v>35.799999999999997</v>
      </c>
    </row>
    <row r="2057" spans="2:15" x14ac:dyDescent="0.3">
      <c r="C2057" s="33"/>
      <c r="D2057" s="33"/>
      <c r="E2057" s="33"/>
      <c r="F2057" s="33"/>
      <c r="G2057" s="33"/>
      <c r="H2057" s="335"/>
    </row>
    <row r="2058" spans="2:15" x14ac:dyDescent="0.3">
      <c r="C2058" s="1015" t="s">
        <v>960</v>
      </c>
      <c r="D2058" s="1015"/>
      <c r="E2058" s="1015"/>
      <c r="F2058" s="1015"/>
      <c r="G2058" s="1015"/>
      <c r="H2058" s="334">
        <f>ROUND(H2056,0)</f>
        <v>36</v>
      </c>
    </row>
    <row r="2060" spans="2:15" s="54" customFormat="1" ht="19.8" x14ac:dyDescent="0.4">
      <c r="B2060" s="1016" t="s">
        <v>958</v>
      </c>
      <c r="C2060" s="1016"/>
      <c r="D2060" s="1016"/>
      <c r="E2060" s="1016"/>
      <c r="F2060" s="1016"/>
      <c r="G2060" s="1016"/>
      <c r="H2060" s="1016"/>
      <c r="I2060" s="1016"/>
      <c r="J2060" s="1016"/>
      <c r="K2060" s="126"/>
      <c r="L2060" s="126"/>
      <c r="M2060" s="631"/>
      <c r="N2060" s="53"/>
      <c r="O2060" s="53"/>
    </row>
    <row r="2062" spans="2:15" s="54" customFormat="1" ht="19.8" x14ac:dyDescent="0.4">
      <c r="B2062" s="673" t="s">
        <v>865</v>
      </c>
      <c r="C2062" s="1017" t="s">
        <v>870</v>
      </c>
      <c r="D2062" s="1017"/>
      <c r="E2062" s="1017"/>
      <c r="F2062" s="296">
        <f>H2111</f>
        <v>26</v>
      </c>
      <c r="G2062" s="296" t="s">
        <v>971</v>
      </c>
      <c r="H2062" s="225"/>
      <c r="I2062" s="225"/>
      <c r="J2062" s="225"/>
      <c r="K2062" s="114"/>
      <c r="L2062" s="114"/>
      <c r="M2062" s="631"/>
      <c r="N2062" s="53"/>
      <c r="O2062" s="53"/>
    </row>
    <row r="2064" spans="2:15" x14ac:dyDescent="0.3">
      <c r="C2064" s="1018" t="s">
        <v>932</v>
      </c>
      <c r="D2064" s="1018"/>
      <c r="E2064" s="297"/>
      <c r="F2064" s="298">
        <f>F2071+F2074+F2072</f>
        <v>14.870000000000001</v>
      </c>
      <c r="G2064" s="227" t="s">
        <v>971</v>
      </c>
    </row>
    <row r="2066" spans="3:10" ht="27.6" x14ac:dyDescent="0.3">
      <c r="C2066" s="13" t="s">
        <v>929</v>
      </c>
      <c r="D2066" s="14" t="s">
        <v>928</v>
      </c>
      <c r="E2066" s="14" t="s">
        <v>514</v>
      </c>
      <c r="F2066" s="14" t="s">
        <v>515</v>
      </c>
      <c r="G2066" s="14" t="s">
        <v>962</v>
      </c>
      <c r="H2066" s="14" t="s">
        <v>926</v>
      </c>
      <c r="I2066" s="14" t="s">
        <v>516</v>
      </c>
      <c r="J2066" s="14" t="s">
        <v>961</v>
      </c>
    </row>
    <row r="2067" spans="3:10" x14ac:dyDescent="0.3">
      <c r="C2067" s="17" t="str">
        <f>C1959</f>
        <v>Лікар-фізіотерапевт</v>
      </c>
      <c r="D2067" s="73">
        <f>D1959</f>
        <v>10799.43</v>
      </c>
      <c r="E2067" s="78">
        <f>D2067*12</f>
        <v>129593.16</v>
      </c>
      <c r="F2067" s="73">
        <f>F1959</f>
        <v>8307.26</v>
      </c>
      <c r="G2067" s="73">
        <f>G1959</f>
        <v>4153.63</v>
      </c>
      <c r="H2067" s="78">
        <f>E2067+F2067+G2067</f>
        <v>142054.05000000002</v>
      </c>
      <c r="I2067" s="73">
        <v>1932.7</v>
      </c>
      <c r="J2067" s="78">
        <f>ROUND((H2067/I2067)/60,2)</f>
        <v>1.23</v>
      </c>
    </row>
    <row r="2068" spans="3:10" x14ac:dyDescent="0.3">
      <c r="C2068" s="17" t="str">
        <f>C1960</f>
        <v>Сестра медична з фізіотерапії</v>
      </c>
      <c r="D2068" s="73">
        <f>D1960</f>
        <v>7482.48</v>
      </c>
      <c r="E2068" s="78">
        <f>D2068*12</f>
        <v>89789.759999999995</v>
      </c>
      <c r="F2068" s="73">
        <f>F1960</f>
        <v>5755.75</v>
      </c>
      <c r="G2068" s="73">
        <f>G1960</f>
        <v>2877.875</v>
      </c>
      <c r="H2068" s="78">
        <f>E2068+F2068+G2068</f>
        <v>98423.384999999995</v>
      </c>
      <c r="I2068" s="73">
        <v>1932.7</v>
      </c>
      <c r="J2068" s="78">
        <f>ROUND((H2068/I2068)/60,2)</f>
        <v>0.85</v>
      </c>
    </row>
    <row r="2070" spans="3:10" ht="27.6" x14ac:dyDescent="0.3">
      <c r="C2070" s="13" t="s">
        <v>929</v>
      </c>
      <c r="D2070" s="14" t="s">
        <v>961</v>
      </c>
      <c r="E2070" s="14" t="s">
        <v>930</v>
      </c>
      <c r="F2070" s="14" t="s">
        <v>931</v>
      </c>
    </row>
    <row r="2071" spans="3:10" x14ac:dyDescent="0.3">
      <c r="C2071" s="15" t="str">
        <f>C2067</f>
        <v>Лікар-фізіотерапевт</v>
      </c>
      <c r="D2071" s="78">
        <f>J2067</f>
        <v>1.23</v>
      </c>
      <c r="E2071" s="73">
        <v>3</v>
      </c>
      <c r="F2071" s="299">
        <f>ROUND(D2071*E2071,2)</f>
        <v>3.69</v>
      </c>
    </row>
    <row r="2072" spans="3:10" x14ac:dyDescent="0.3">
      <c r="C2072" s="15" t="str">
        <f>C2068</f>
        <v>Сестра медична з фізіотерапії</v>
      </c>
      <c r="D2072" s="78">
        <f>J2068</f>
        <v>0.85</v>
      </c>
      <c r="E2072" s="73">
        <v>10</v>
      </c>
      <c r="F2072" s="299">
        <f>ROUND(D2072*E2072,2)</f>
        <v>8.5</v>
      </c>
    </row>
    <row r="2073" spans="3:10" x14ac:dyDescent="0.3">
      <c r="D2073" s="19"/>
    </row>
    <row r="2074" spans="3:10" x14ac:dyDescent="0.3">
      <c r="C2074" s="17" t="s">
        <v>933</v>
      </c>
      <c r="D2074" s="78">
        <f>F2071+F2072</f>
        <v>12.19</v>
      </c>
      <c r="E2074" s="300">
        <v>0.22</v>
      </c>
      <c r="F2074" s="301">
        <f>ROUND(D2074*E2074,2)</f>
        <v>2.68</v>
      </c>
    </row>
    <row r="2076" spans="3:10" x14ac:dyDescent="0.3">
      <c r="C2076" s="12" t="s">
        <v>946</v>
      </c>
      <c r="D2076" s="227"/>
      <c r="E2076" s="227"/>
      <c r="F2076" s="227">
        <f>G2087</f>
        <v>9.43</v>
      </c>
      <c r="G2076" s="227" t="s">
        <v>971</v>
      </c>
    </row>
    <row r="2078" spans="3:10" x14ac:dyDescent="0.3">
      <c r="C2078" s="27" t="str">
        <f>C2025</f>
        <v>Антисептик для обробки рук</v>
      </c>
      <c r="D2078" s="303" t="str">
        <f>D2025</f>
        <v>мл</v>
      </c>
      <c r="E2078" s="303">
        <f>E2025</f>
        <v>1</v>
      </c>
      <c r="F2078" s="303">
        <f>F2025</f>
        <v>0.375</v>
      </c>
      <c r="G2078" s="228">
        <f>ROUND(F2078*E2078,2)</f>
        <v>0.38</v>
      </c>
    </row>
    <row r="2079" spans="3:10" x14ac:dyDescent="0.3">
      <c r="C2079" s="27" t="str">
        <f t="shared" ref="C2079:F2086" si="90">C2026</f>
        <v>Антисептик швидкої дії</v>
      </c>
      <c r="D2079" s="303" t="str">
        <f t="shared" si="90"/>
        <v>мл</v>
      </c>
      <c r="E2079" s="303">
        <f t="shared" si="90"/>
        <v>1</v>
      </c>
      <c r="F2079" s="303">
        <f t="shared" si="90"/>
        <v>0.28799999999999998</v>
      </c>
      <c r="G2079" s="228">
        <f t="shared" ref="G2079:G2086" si="91">ROUND(F2079*E2079,2)</f>
        <v>0.28999999999999998</v>
      </c>
    </row>
    <row r="2080" spans="3:10" x14ac:dyDescent="0.3">
      <c r="C2080" s="27" t="str">
        <f t="shared" si="90"/>
        <v>Вата 100 гр.</v>
      </c>
      <c r="D2080" s="303" t="str">
        <f t="shared" si="90"/>
        <v>г</v>
      </c>
      <c r="E2080" s="303">
        <f t="shared" si="90"/>
        <v>0.01</v>
      </c>
      <c r="F2080" s="303">
        <f t="shared" si="90"/>
        <v>6.72</v>
      </c>
      <c r="G2080" s="228">
        <f t="shared" si="91"/>
        <v>7.0000000000000007E-2</v>
      </c>
    </row>
    <row r="2081" spans="3:9" x14ac:dyDescent="0.3">
      <c r="C2081" s="27" t="str">
        <f t="shared" si="90"/>
        <v>Деззасоби</v>
      </c>
      <c r="D2081" s="303" t="str">
        <f t="shared" si="90"/>
        <v>г</v>
      </c>
      <c r="E2081" s="303">
        <f t="shared" si="90"/>
        <v>0.5</v>
      </c>
      <c r="F2081" s="303">
        <f t="shared" si="90"/>
        <v>0.5</v>
      </c>
      <c r="G2081" s="228">
        <f t="shared" si="91"/>
        <v>0.25</v>
      </c>
    </row>
    <row r="2082" spans="3:9" x14ac:dyDescent="0.3">
      <c r="C2082" s="27" t="str">
        <f t="shared" si="90"/>
        <v>Маска одноразова тришарова на резинці</v>
      </c>
      <c r="D2082" s="303" t="str">
        <f t="shared" si="90"/>
        <v>шт</v>
      </c>
      <c r="E2082" s="303">
        <f t="shared" si="90"/>
        <v>1</v>
      </c>
      <c r="F2082" s="303">
        <f t="shared" si="90"/>
        <v>2</v>
      </c>
      <c r="G2082" s="228">
        <f t="shared" si="91"/>
        <v>2</v>
      </c>
    </row>
    <row r="2083" spans="3:9" x14ac:dyDescent="0.3">
      <c r="C2083" s="27" t="str">
        <f t="shared" si="90"/>
        <v>Мило рідке</v>
      </c>
      <c r="D2083" s="303" t="str">
        <f t="shared" si="90"/>
        <v>мл</v>
      </c>
      <c r="E2083" s="303">
        <f t="shared" si="90"/>
        <v>1</v>
      </c>
      <c r="F2083" s="303">
        <f t="shared" si="90"/>
        <v>0.19600000000000001</v>
      </c>
      <c r="G2083" s="228">
        <f t="shared" si="91"/>
        <v>0.2</v>
      </c>
    </row>
    <row r="2084" spans="3:9" x14ac:dyDescent="0.3">
      <c r="C2084" s="27" t="str">
        <f t="shared" si="90"/>
        <v>Рукавиці не стерильні</v>
      </c>
      <c r="D2084" s="303" t="str">
        <f t="shared" si="90"/>
        <v>пара</v>
      </c>
      <c r="E2084" s="303">
        <f t="shared" si="90"/>
        <v>0.1</v>
      </c>
      <c r="F2084" s="303">
        <f t="shared" si="90"/>
        <v>7.39</v>
      </c>
      <c r="G2084" s="228">
        <f t="shared" si="91"/>
        <v>0.74</v>
      </c>
    </row>
    <row r="2085" spans="3:9" x14ac:dyDescent="0.3">
      <c r="C2085" s="27" t="str">
        <f t="shared" si="90"/>
        <v>Рушник паперовий</v>
      </c>
      <c r="D2085" s="303" t="str">
        <f t="shared" si="90"/>
        <v>шт</v>
      </c>
      <c r="E2085" s="303">
        <f t="shared" si="90"/>
        <v>0.3</v>
      </c>
      <c r="F2085" s="303">
        <f t="shared" si="90"/>
        <v>17.5</v>
      </c>
      <c r="G2085" s="228">
        <f t="shared" si="91"/>
        <v>5.25</v>
      </c>
    </row>
    <row r="2086" spans="3:9" x14ac:dyDescent="0.3">
      <c r="C2086" s="27" t="str">
        <f t="shared" si="90"/>
        <v xml:space="preserve">Спирт 70% 100мл </v>
      </c>
      <c r="D2086" s="303" t="str">
        <f t="shared" si="90"/>
        <v>фл/гр.</v>
      </c>
      <c r="E2086" s="303">
        <f t="shared" si="90"/>
        <v>0.01</v>
      </c>
      <c r="F2086" s="303">
        <f t="shared" si="90"/>
        <v>24.6</v>
      </c>
      <c r="G2086" s="228">
        <f t="shared" si="91"/>
        <v>0.25</v>
      </c>
    </row>
    <row r="2087" spans="3:9" x14ac:dyDescent="0.3">
      <c r="C2087" s="1019" t="s">
        <v>945</v>
      </c>
      <c r="D2087" s="1019"/>
      <c r="E2087" s="1019"/>
      <c r="F2087" s="1019"/>
      <c r="G2087" s="332">
        <f>SUM(G2078:G2086)</f>
        <v>9.43</v>
      </c>
    </row>
    <row r="2089" spans="3:9" x14ac:dyDescent="0.3">
      <c r="C2089" s="12" t="s">
        <v>968</v>
      </c>
      <c r="D2089" s="227"/>
      <c r="E2089" s="227"/>
      <c r="F2089" s="298">
        <f>H2092</f>
        <v>0.1</v>
      </c>
      <c r="G2089" s="227" t="s">
        <v>971</v>
      </c>
    </row>
    <row r="2090" spans="3:9" x14ac:dyDescent="0.3">
      <c r="C2090" s="22"/>
      <c r="D2090" s="36"/>
      <c r="E2090" s="36"/>
      <c r="F2090" s="302"/>
      <c r="G2090" s="36"/>
    </row>
    <row r="2091" spans="3:9" ht="27.6" x14ac:dyDescent="0.3">
      <c r="C2091" s="14" t="s">
        <v>513</v>
      </c>
      <c r="D2091" s="14" t="s">
        <v>969</v>
      </c>
      <c r="E2091" s="14" t="s">
        <v>516</v>
      </c>
      <c r="F2091" s="14" t="s">
        <v>970</v>
      </c>
      <c r="G2091" s="14" t="s">
        <v>930</v>
      </c>
      <c r="H2091" s="14" t="s">
        <v>961</v>
      </c>
    </row>
    <row r="2092" spans="3:9" x14ac:dyDescent="0.3">
      <c r="C2092" s="17" t="s">
        <v>1107</v>
      </c>
      <c r="D2092" s="78">
        <f>D1985</f>
        <v>7000</v>
      </c>
      <c r="E2092" s="73">
        <v>12562.55</v>
      </c>
      <c r="F2092" s="73">
        <f>ROUND((D2092/E2092)/60,2)</f>
        <v>0.01</v>
      </c>
      <c r="G2092" s="73">
        <f>E2072</f>
        <v>10</v>
      </c>
      <c r="H2092" s="78">
        <f>ROUND(F2092*G2092,2)</f>
        <v>0.1</v>
      </c>
      <c r="I2092" s="333"/>
    </row>
    <row r="2094" spans="3:9" x14ac:dyDescent="0.3">
      <c r="C2094" s="12" t="s">
        <v>948</v>
      </c>
      <c r="D2094" s="227"/>
      <c r="E2094" s="227"/>
      <c r="F2094" s="298">
        <f>H2107</f>
        <v>1.56</v>
      </c>
      <c r="G2094" s="227" t="s">
        <v>971</v>
      </c>
    </row>
    <row r="2095" spans="3:9" x14ac:dyDescent="0.3">
      <c r="C2095" s="22"/>
      <c r="D2095" s="36"/>
      <c r="E2095" s="36"/>
      <c r="F2095" s="302"/>
    </row>
    <row r="2096" spans="3:9" ht="41.4" x14ac:dyDescent="0.3">
      <c r="C2096" s="14" t="s">
        <v>948</v>
      </c>
      <c r="D2096" s="14" t="s">
        <v>955</v>
      </c>
      <c r="E2096" s="14" t="s">
        <v>516</v>
      </c>
      <c r="F2096" s="14" t="s">
        <v>954</v>
      </c>
      <c r="G2096" s="14" t="s">
        <v>930</v>
      </c>
      <c r="H2096" s="14" t="s">
        <v>956</v>
      </c>
    </row>
    <row r="2097" spans="3:8" x14ac:dyDescent="0.3">
      <c r="C2097" s="1009" t="str">
        <f>C2067</f>
        <v>Лікар-фізіотерапевт</v>
      </c>
      <c r="D2097" s="1010"/>
      <c r="E2097" s="1010"/>
      <c r="F2097" s="1010"/>
      <c r="G2097" s="1010"/>
      <c r="H2097" s="1011"/>
    </row>
    <row r="2098" spans="3:8" x14ac:dyDescent="0.3">
      <c r="C2098" s="17" t="s">
        <v>951</v>
      </c>
      <c r="D2098" s="221">
        <f>D1991</f>
        <v>12188.608008565312</v>
      </c>
      <c r="E2098" s="73">
        <f>I2067</f>
        <v>1932.7</v>
      </c>
      <c r="F2098" s="73">
        <f>ROUND((D2098/E2098)/60,2)</f>
        <v>0.11</v>
      </c>
      <c r="G2098" s="73">
        <f>E2071</f>
        <v>3</v>
      </c>
      <c r="H2098" s="78">
        <f>ROUND(F2098*G2098,2)</f>
        <v>0.33</v>
      </c>
    </row>
    <row r="2099" spans="3:8" x14ac:dyDescent="0.3">
      <c r="C2099" s="17" t="s">
        <v>952</v>
      </c>
      <c r="D2099" s="221">
        <f>D1992</f>
        <v>53.149721627408987</v>
      </c>
      <c r="E2099" s="73">
        <f>I2067</f>
        <v>1932.7</v>
      </c>
      <c r="F2099" s="73">
        <f>ROUND((D2099/E2099)/60,2)</f>
        <v>0</v>
      </c>
      <c r="G2099" s="73">
        <f>E2071</f>
        <v>3</v>
      </c>
      <c r="H2099" s="78">
        <f>ROUND(F2099*G2099,2)</f>
        <v>0</v>
      </c>
    </row>
    <row r="2100" spans="3:8" x14ac:dyDescent="0.3">
      <c r="C2100" s="17" t="s">
        <v>953</v>
      </c>
      <c r="D2100" s="221">
        <f>D1993</f>
        <v>374.98368308351178</v>
      </c>
      <c r="E2100" s="73">
        <f>I2067</f>
        <v>1932.7</v>
      </c>
      <c r="F2100" s="73">
        <f>ROUND((D2100/E2100)/60,2)</f>
        <v>0</v>
      </c>
      <c r="G2100" s="73">
        <f>E2071</f>
        <v>3</v>
      </c>
      <c r="H2100" s="78">
        <f>ROUND(F2100*G2100,2)</f>
        <v>0</v>
      </c>
    </row>
    <row r="2101" spans="3:8" x14ac:dyDescent="0.3">
      <c r="C2101" s="17" t="s">
        <v>1109</v>
      </c>
      <c r="D2101" s="221">
        <f>D1994</f>
        <v>1686.0389293361886</v>
      </c>
      <c r="E2101" s="73">
        <f>I2067</f>
        <v>1932.7</v>
      </c>
      <c r="F2101" s="73">
        <f>ROUND((D2101/E2101)/60,2)</f>
        <v>0.01</v>
      </c>
      <c r="G2101" s="73">
        <f>E2071</f>
        <v>3</v>
      </c>
      <c r="H2101" s="78">
        <f>ROUND(F2101*G2101,2)</f>
        <v>0.03</v>
      </c>
    </row>
    <row r="2102" spans="3:8" x14ac:dyDescent="0.3">
      <c r="C2102" s="1009" t="str">
        <f>C2068</f>
        <v>Сестра медична з фізіотерапії</v>
      </c>
      <c r="D2102" s="1010"/>
      <c r="E2102" s="1010"/>
      <c r="F2102" s="1010"/>
      <c r="G2102" s="1010"/>
      <c r="H2102" s="1011"/>
    </row>
    <row r="2103" spans="3:8" x14ac:dyDescent="0.3">
      <c r="C2103" s="17" t="s">
        <v>951</v>
      </c>
      <c r="D2103" s="221">
        <f>D2098</f>
        <v>12188.608008565312</v>
      </c>
      <c r="E2103" s="73">
        <f>I2068</f>
        <v>1932.7</v>
      </c>
      <c r="F2103" s="73">
        <f>ROUND((D2103/E2103)/60,2)</f>
        <v>0.11</v>
      </c>
      <c r="G2103" s="73">
        <f>E2072</f>
        <v>10</v>
      </c>
      <c r="H2103" s="78">
        <f>ROUND(F2103*G2103,2)</f>
        <v>1.1000000000000001</v>
      </c>
    </row>
    <row r="2104" spans="3:8" x14ac:dyDescent="0.3">
      <c r="C2104" s="17" t="s">
        <v>952</v>
      </c>
      <c r="D2104" s="221">
        <f>D2099</f>
        <v>53.149721627408987</v>
      </c>
      <c r="E2104" s="73">
        <f>I2068</f>
        <v>1932.7</v>
      </c>
      <c r="F2104" s="73">
        <f>ROUND((D2104/E2104)/60,2)</f>
        <v>0</v>
      </c>
      <c r="G2104" s="73">
        <f>E2072</f>
        <v>10</v>
      </c>
      <c r="H2104" s="78">
        <f>ROUND(F2104*G2104,2)</f>
        <v>0</v>
      </c>
    </row>
    <row r="2105" spans="3:8" x14ac:dyDescent="0.3">
      <c r="C2105" s="17" t="s">
        <v>953</v>
      </c>
      <c r="D2105" s="221">
        <f>D2100</f>
        <v>374.98368308351178</v>
      </c>
      <c r="E2105" s="73">
        <f>I2068</f>
        <v>1932.7</v>
      </c>
      <c r="F2105" s="73">
        <f>ROUND((D2105/E2105)/60,2)</f>
        <v>0</v>
      </c>
      <c r="G2105" s="73">
        <f>E2072</f>
        <v>10</v>
      </c>
      <c r="H2105" s="78">
        <f>ROUND(F2105*G2105,2)</f>
        <v>0</v>
      </c>
    </row>
    <row r="2106" spans="3:8" x14ac:dyDescent="0.3">
      <c r="C2106" s="17" t="s">
        <v>1109</v>
      </c>
      <c r="D2106" s="221">
        <f>D2101</f>
        <v>1686.0389293361886</v>
      </c>
      <c r="E2106" s="73">
        <f>I2068</f>
        <v>1932.7</v>
      </c>
      <c r="F2106" s="73">
        <f>ROUND((D2106/E2106)/60,2)</f>
        <v>0.01</v>
      </c>
      <c r="G2106" s="73">
        <f>E2072</f>
        <v>10</v>
      </c>
      <c r="H2106" s="78">
        <f>ROUND(F2106*G2106,2)</f>
        <v>0.1</v>
      </c>
    </row>
    <row r="2107" spans="3:8" x14ac:dyDescent="0.3">
      <c r="C2107" s="1012" t="s">
        <v>957</v>
      </c>
      <c r="D2107" s="1013"/>
      <c r="E2107" s="1013"/>
      <c r="F2107" s="1013"/>
      <c r="G2107" s="1014"/>
      <c r="H2107" s="299">
        <f>SUM(H2098:H2106)</f>
        <v>1.56</v>
      </c>
    </row>
    <row r="2109" spans="3:8" x14ac:dyDescent="0.3">
      <c r="C2109" s="1015" t="s">
        <v>959</v>
      </c>
      <c r="D2109" s="1015"/>
      <c r="E2109" s="1015"/>
      <c r="F2109" s="1015"/>
      <c r="G2109" s="1015"/>
      <c r="H2109" s="334">
        <f>F2064+F2076+F2094+F2089</f>
        <v>25.96</v>
      </c>
    </row>
    <row r="2110" spans="3:8" x14ac:dyDescent="0.3">
      <c r="C2110" s="33"/>
      <c r="D2110" s="33"/>
      <c r="E2110" s="33"/>
      <c r="F2110" s="33"/>
      <c r="G2110" s="33"/>
      <c r="H2110" s="335"/>
    </row>
    <row r="2111" spans="3:8" x14ac:dyDescent="0.3">
      <c r="C2111" s="1015" t="s">
        <v>960</v>
      </c>
      <c r="D2111" s="1015"/>
      <c r="E2111" s="1015"/>
      <c r="F2111" s="1015"/>
      <c r="G2111" s="1015"/>
      <c r="H2111" s="334">
        <f>ROUND(H2109,0)</f>
        <v>26</v>
      </c>
    </row>
    <row r="2114" spans="2:15" s="54" customFormat="1" ht="19.8" x14ac:dyDescent="0.4">
      <c r="B2114" s="1016" t="s">
        <v>958</v>
      </c>
      <c r="C2114" s="1016"/>
      <c r="D2114" s="1016"/>
      <c r="E2114" s="1016"/>
      <c r="F2114" s="1016"/>
      <c r="G2114" s="1016"/>
      <c r="H2114" s="1016"/>
      <c r="I2114" s="1016"/>
      <c r="J2114" s="1016"/>
      <c r="K2114" s="126"/>
      <c r="L2114" s="126"/>
      <c r="M2114" s="631"/>
      <c r="N2114" s="53"/>
      <c r="O2114" s="53"/>
    </row>
    <row r="2116" spans="2:15" s="54" customFormat="1" ht="19.8" x14ac:dyDescent="0.4">
      <c r="B2116" s="673" t="s">
        <v>867</v>
      </c>
      <c r="C2116" s="1017" t="s">
        <v>872</v>
      </c>
      <c r="D2116" s="1017"/>
      <c r="E2116" s="1017"/>
      <c r="F2116" s="296">
        <f>H2167</f>
        <v>32</v>
      </c>
      <c r="G2116" s="296" t="s">
        <v>971</v>
      </c>
      <c r="H2116" s="225"/>
      <c r="I2116" s="225"/>
      <c r="J2116" s="225"/>
      <c r="K2116" s="114"/>
      <c r="L2116" s="114"/>
      <c r="M2116" s="631"/>
      <c r="N2116" s="53"/>
      <c r="O2116" s="53"/>
    </row>
    <row r="2118" spans="2:15" x14ac:dyDescent="0.3">
      <c r="C2118" s="1018" t="s">
        <v>932</v>
      </c>
      <c r="D2118" s="1018"/>
      <c r="E2118" s="297"/>
      <c r="F2118" s="298">
        <f>F2125+F2128+F2126</f>
        <v>20.060000000000002</v>
      </c>
      <c r="G2118" s="227" t="s">
        <v>971</v>
      </c>
    </row>
    <row r="2120" spans="2:15" ht="27.6" x14ac:dyDescent="0.3">
      <c r="C2120" s="13" t="s">
        <v>929</v>
      </c>
      <c r="D2120" s="14" t="s">
        <v>928</v>
      </c>
      <c r="E2120" s="14" t="s">
        <v>514</v>
      </c>
      <c r="F2120" s="14" t="s">
        <v>515</v>
      </c>
      <c r="G2120" s="14" t="s">
        <v>962</v>
      </c>
      <c r="H2120" s="14" t="s">
        <v>926</v>
      </c>
      <c r="I2120" s="14" t="s">
        <v>516</v>
      </c>
      <c r="J2120" s="14" t="s">
        <v>961</v>
      </c>
    </row>
    <row r="2121" spans="2:15" x14ac:dyDescent="0.3">
      <c r="C2121" s="17" t="str">
        <f>C2067</f>
        <v>Лікар-фізіотерапевт</v>
      </c>
      <c r="D2121" s="78">
        <f>D2067</f>
        <v>10799.43</v>
      </c>
      <c r="E2121" s="78">
        <f>D2121*12</f>
        <v>129593.16</v>
      </c>
      <c r="F2121" s="78">
        <f>F2067</f>
        <v>8307.26</v>
      </c>
      <c r="G2121" s="78">
        <f>G2067</f>
        <v>4153.63</v>
      </c>
      <c r="H2121" s="78">
        <f>E2121+F2121+G2121</f>
        <v>142054.05000000002</v>
      </c>
      <c r="I2121" s="73">
        <v>1932.7</v>
      </c>
      <c r="J2121" s="78">
        <f>ROUND((H2121/I2121)/60,2)</f>
        <v>1.23</v>
      </c>
    </row>
    <row r="2122" spans="2:15" x14ac:dyDescent="0.3">
      <c r="C2122" s="17" t="str">
        <f>C2068</f>
        <v>Сестра медична з фізіотерапії</v>
      </c>
      <c r="D2122" s="78">
        <f>D2068</f>
        <v>7482.48</v>
      </c>
      <c r="E2122" s="78">
        <f>D2122*12</f>
        <v>89789.759999999995</v>
      </c>
      <c r="F2122" s="78">
        <f>F2068</f>
        <v>5755.75</v>
      </c>
      <c r="G2122" s="78">
        <f>G2068</f>
        <v>2877.875</v>
      </c>
      <c r="H2122" s="78">
        <f>E2122+F2122+G2122</f>
        <v>98423.384999999995</v>
      </c>
      <c r="I2122" s="73">
        <v>1932.7</v>
      </c>
      <c r="J2122" s="78">
        <f>ROUND((H2122/I2122)/60,2)</f>
        <v>0.85</v>
      </c>
    </row>
    <row r="2124" spans="2:15" ht="27.6" x14ac:dyDescent="0.3">
      <c r="C2124" s="13" t="s">
        <v>929</v>
      </c>
      <c r="D2124" s="14" t="s">
        <v>961</v>
      </c>
      <c r="E2124" s="14" t="s">
        <v>930</v>
      </c>
      <c r="F2124" s="14" t="s">
        <v>931</v>
      </c>
    </row>
    <row r="2125" spans="2:15" x14ac:dyDescent="0.3">
      <c r="C2125" s="15" t="str">
        <f>C2121</f>
        <v>Лікар-фізіотерапевт</v>
      </c>
      <c r="D2125" s="78">
        <f>J2121</f>
        <v>1.23</v>
      </c>
      <c r="E2125" s="73">
        <v>3</v>
      </c>
      <c r="F2125" s="299">
        <f>ROUND(D2125*E2125,2)</f>
        <v>3.69</v>
      </c>
    </row>
    <row r="2126" spans="2:15" x14ac:dyDescent="0.3">
      <c r="C2126" s="15" t="str">
        <f>C2122</f>
        <v>Сестра медична з фізіотерапії</v>
      </c>
      <c r="D2126" s="78">
        <f>J2122</f>
        <v>0.85</v>
      </c>
      <c r="E2126" s="73">
        <v>15</v>
      </c>
      <c r="F2126" s="299">
        <f>ROUND(D2126*E2126,2)</f>
        <v>12.75</v>
      </c>
    </row>
    <row r="2127" spans="2:15" x14ac:dyDescent="0.3">
      <c r="D2127" s="19"/>
    </row>
    <row r="2128" spans="2:15" x14ac:dyDescent="0.3">
      <c r="C2128" s="17" t="s">
        <v>933</v>
      </c>
      <c r="D2128" s="78">
        <f>F2125+F2126</f>
        <v>16.440000000000001</v>
      </c>
      <c r="E2128" s="300">
        <v>0.22</v>
      </c>
      <c r="F2128" s="301">
        <f>ROUND(D2128*E2128,2)</f>
        <v>3.62</v>
      </c>
    </row>
    <row r="2130" spans="3:7" x14ac:dyDescent="0.3">
      <c r="C2130" s="12" t="s">
        <v>946</v>
      </c>
      <c r="D2130" s="227"/>
      <c r="E2130" s="227"/>
      <c r="F2130" s="227">
        <f>G2141</f>
        <v>9.43</v>
      </c>
      <c r="G2130" s="227" t="s">
        <v>971</v>
      </c>
    </row>
    <row r="2132" spans="3:7" x14ac:dyDescent="0.3">
      <c r="C2132" s="27" t="str">
        <f>C2078</f>
        <v>Антисептик для обробки рук</v>
      </c>
      <c r="D2132" s="303" t="str">
        <f>D2078</f>
        <v>мл</v>
      </c>
      <c r="E2132" s="303">
        <f>E2078</f>
        <v>1</v>
      </c>
      <c r="F2132" s="303">
        <f>F2078</f>
        <v>0.375</v>
      </c>
      <c r="G2132" s="228">
        <f>ROUND(F2132*E2132,2)</f>
        <v>0.38</v>
      </c>
    </row>
    <row r="2133" spans="3:7" x14ac:dyDescent="0.3">
      <c r="C2133" s="27" t="str">
        <f t="shared" ref="C2133:F2140" si="92">C2079</f>
        <v>Антисептик швидкої дії</v>
      </c>
      <c r="D2133" s="303" t="str">
        <f t="shared" si="92"/>
        <v>мл</v>
      </c>
      <c r="E2133" s="303">
        <f t="shared" si="92"/>
        <v>1</v>
      </c>
      <c r="F2133" s="303">
        <f t="shared" si="92"/>
        <v>0.28799999999999998</v>
      </c>
      <c r="G2133" s="228">
        <f>ROUND(F2133*E2133,2)</f>
        <v>0.28999999999999998</v>
      </c>
    </row>
    <row r="2134" spans="3:7" x14ac:dyDescent="0.3">
      <c r="C2134" s="27" t="str">
        <f t="shared" si="92"/>
        <v>Вата 100 гр.</v>
      </c>
      <c r="D2134" s="303" t="str">
        <f t="shared" si="92"/>
        <v>г</v>
      </c>
      <c r="E2134" s="303">
        <f t="shared" si="92"/>
        <v>0.01</v>
      </c>
      <c r="F2134" s="303">
        <f t="shared" si="92"/>
        <v>6.72</v>
      </c>
      <c r="G2134" s="228">
        <f>ROUND(F2134*E2134,2)</f>
        <v>7.0000000000000007E-2</v>
      </c>
    </row>
    <row r="2135" spans="3:7" x14ac:dyDescent="0.3">
      <c r="C2135" s="27" t="str">
        <f t="shared" si="92"/>
        <v>Деззасоби</v>
      </c>
      <c r="D2135" s="303" t="str">
        <f t="shared" si="92"/>
        <v>г</v>
      </c>
      <c r="E2135" s="303">
        <f t="shared" si="92"/>
        <v>0.5</v>
      </c>
      <c r="F2135" s="303">
        <f t="shared" si="92"/>
        <v>0.5</v>
      </c>
      <c r="G2135" s="28">
        <f>ROUND(E2135*F2135,2)</f>
        <v>0.25</v>
      </c>
    </row>
    <row r="2136" spans="3:7" x14ac:dyDescent="0.3">
      <c r="C2136" s="27" t="str">
        <f t="shared" si="92"/>
        <v>Маска одноразова тришарова на резинці</v>
      </c>
      <c r="D2136" s="303" t="str">
        <f t="shared" si="92"/>
        <v>шт</v>
      </c>
      <c r="E2136" s="303">
        <f t="shared" si="92"/>
        <v>1</v>
      </c>
      <c r="F2136" s="303">
        <f t="shared" si="92"/>
        <v>2</v>
      </c>
      <c r="G2136" s="228">
        <f>ROUND(F2136*E2136,2)</f>
        <v>2</v>
      </c>
    </row>
    <row r="2137" spans="3:7" x14ac:dyDescent="0.3">
      <c r="C2137" s="27" t="str">
        <f t="shared" si="92"/>
        <v>Мило рідке</v>
      </c>
      <c r="D2137" s="303" t="str">
        <f t="shared" si="92"/>
        <v>мл</v>
      </c>
      <c r="E2137" s="303">
        <f t="shared" si="92"/>
        <v>1</v>
      </c>
      <c r="F2137" s="303">
        <f t="shared" si="92"/>
        <v>0.19600000000000001</v>
      </c>
      <c r="G2137" s="228">
        <f>ROUND(F2137*E2137,2)</f>
        <v>0.2</v>
      </c>
    </row>
    <row r="2138" spans="3:7" x14ac:dyDescent="0.3">
      <c r="C2138" s="27" t="str">
        <f t="shared" si="92"/>
        <v>Рукавиці не стерильні</v>
      </c>
      <c r="D2138" s="303" t="str">
        <f t="shared" si="92"/>
        <v>пара</v>
      </c>
      <c r="E2138" s="303">
        <f t="shared" si="92"/>
        <v>0.1</v>
      </c>
      <c r="F2138" s="303">
        <f t="shared" si="92"/>
        <v>7.39</v>
      </c>
      <c r="G2138" s="28">
        <f>ROUND(E2138*F2138,2)</f>
        <v>0.74</v>
      </c>
    </row>
    <row r="2139" spans="3:7" x14ac:dyDescent="0.3">
      <c r="C2139" s="27" t="str">
        <f t="shared" si="92"/>
        <v>Рушник паперовий</v>
      </c>
      <c r="D2139" s="303" t="str">
        <f t="shared" si="92"/>
        <v>шт</v>
      </c>
      <c r="E2139" s="303">
        <f t="shared" si="92"/>
        <v>0.3</v>
      </c>
      <c r="F2139" s="303">
        <f t="shared" si="92"/>
        <v>17.5</v>
      </c>
      <c r="G2139" s="28">
        <f>ROUND(E2139*F2139,2)</f>
        <v>5.25</v>
      </c>
    </row>
    <row r="2140" spans="3:7" x14ac:dyDescent="0.3">
      <c r="C2140" s="27" t="str">
        <f t="shared" si="92"/>
        <v xml:space="preserve">Спирт 70% 100мл </v>
      </c>
      <c r="D2140" s="303" t="str">
        <f t="shared" si="92"/>
        <v>фл/гр.</v>
      </c>
      <c r="E2140" s="303">
        <f t="shared" si="92"/>
        <v>0.01</v>
      </c>
      <c r="F2140" s="303">
        <f t="shared" si="92"/>
        <v>24.6</v>
      </c>
      <c r="G2140" s="28">
        <f>ROUND(E2140*F2140,2)</f>
        <v>0.25</v>
      </c>
    </row>
    <row r="2141" spans="3:7" x14ac:dyDescent="0.3">
      <c r="C2141" s="1019" t="s">
        <v>945</v>
      </c>
      <c r="D2141" s="1019"/>
      <c r="E2141" s="1019"/>
      <c r="F2141" s="1019"/>
      <c r="G2141" s="332">
        <f>SUM(G2132:G2140)</f>
        <v>9.43</v>
      </c>
    </row>
    <row r="2143" spans="3:7" x14ac:dyDescent="0.3">
      <c r="C2143" s="12" t="s">
        <v>968</v>
      </c>
      <c r="D2143" s="227"/>
      <c r="E2143" s="227"/>
      <c r="F2143" s="298">
        <f>H2146</f>
        <v>0.15</v>
      </c>
      <c r="G2143" s="227" t="s">
        <v>971</v>
      </c>
    </row>
    <row r="2144" spans="3:7" x14ac:dyDescent="0.3">
      <c r="C2144" s="22"/>
      <c r="D2144" s="36"/>
      <c r="E2144" s="36"/>
      <c r="F2144" s="302"/>
      <c r="G2144" s="36"/>
    </row>
    <row r="2145" spans="3:9" ht="27.6" x14ac:dyDescent="0.3">
      <c r="C2145" s="14" t="s">
        <v>513</v>
      </c>
      <c r="D2145" s="14" t="s">
        <v>969</v>
      </c>
      <c r="E2145" s="14" t="s">
        <v>516</v>
      </c>
      <c r="F2145" s="14" t="s">
        <v>970</v>
      </c>
      <c r="G2145" s="14" t="s">
        <v>930</v>
      </c>
      <c r="H2145" s="14" t="s">
        <v>961</v>
      </c>
    </row>
    <row r="2146" spans="3:9" x14ac:dyDescent="0.3">
      <c r="C2146" s="17" t="s">
        <v>1107</v>
      </c>
      <c r="D2146" s="73">
        <f>D2092</f>
        <v>7000</v>
      </c>
      <c r="E2146" s="73">
        <v>12562.55</v>
      </c>
      <c r="F2146" s="73">
        <f>ROUND((D2146/E2146)/60,2)</f>
        <v>0.01</v>
      </c>
      <c r="G2146" s="73">
        <f>E2126</f>
        <v>15</v>
      </c>
      <c r="H2146" s="78">
        <f>ROUND(F2146*G2146,2)</f>
        <v>0.15</v>
      </c>
      <c r="I2146" s="333"/>
    </row>
    <row r="2148" spans="3:9" x14ac:dyDescent="0.3">
      <c r="C2148" s="12" t="s">
        <v>948</v>
      </c>
      <c r="D2148" s="227"/>
      <c r="E2148" s="227"/>
      <c r="F2148" s="298">
        <f>H2161</f>
        <v>2.1599999999999997</v>
      </c>
      <c r="G2148" s="227" t="s">
        <v>971</v>
      </c>
    </row>
    <row r="2149" spans="3:9" x14ac:dyDescent="0.3">
      <c r="C2149" s="22"/>
      <c r="D2149" s="36"/>
      <c r="E2149" s="36"/>
      <c r="F2149" s="302"/>
    </row>
    <row r="2150" spans="3:9" ht="41.4" x14ac:dyDescent="0.3">
      <c r="C2150" s="14" t="s">
        <v>948</v>
      </c>
      <c r="D2150" s="14" t="s">
        <v>955</v>
      </c>
      <c r="E2150" s="14" t="s">
        <v>516</v>
      </c>
      <c r="F2150" s="14" t="s">
        <v>954</v>
      </c>
      <c r="G2150" s="14" t="s">
        <v>930</v>
      </c>
      <c r="H2150" s="14" t="s">
        <v>956</v>
      </c>
    </row>
    <row r="2151" spans="3:9" x14ac:dyDescent="0.3">
      <c r="C2151" s="1009" t="str">
        <f>C2121</f>
        <v>Лікар-фізіотерапевт</v>
      </c>
      <c r="D2151" s="1010"/>
      <c r="E2151" s="1010"/>
      <c r="F2151" s="1010"/>
      <c r="G2151" s="1010"/>
      <c r="H2151" s="1011"/>
    </row>
    <row r="2152" spans="3:9" x14ac:dyDescent="0.3">
      <c r="C2152" s="17" t="s">
        <v>951</v>
      </c>
      <c r="D2152" s="221">
        <f>D2098</f>
        <v>12188.608008565312</v>
      </c>
      <c r="E2152" s="73">
        <f>I2121</f>
        <v>1932.7</v>
      </c>
      <c r="F2152" s="73">
        <f>ROUND((D2152/E2152)/60,2)</f>
        <v>0.11</v>
      </c>
      <c r="G2152" s="73">
        <f>E2125</f>
        <v>3</v>
      </c>
      <c r="H2152" s="78">
        <f>ROUND(F2152*G2152,2)</f>
        <v>0.33</v>
      </c>
    </row>
    <row r="2153" spans="3:9" x14ac:dyDescent="0.3">
      <c r="C2153" s="17" t="s">
        <v>952</v>
      </c>
      <c r="D2153" s="221">
        <f>D2099</f>
        <v>53.149721627408987</v>
      </c>
      <c r="E2153" s="73">
        <f>I2121</f>
        <v>1932.7</v>
      </c>
      <c r="F2153" s="73">
        <f>ROUND((D2153/E2153)/60,2)</f>
        <v>0</v>
      </c>
      <c r="G2153" s="73">
        <f>E2125</f>
        <v>3</v>
      </c>
      <c r="H2153" s="78">
        <f>ROUND(F2153*G2153,2)</f>
        <v>0</v>
      </c>
    </row>
    <row r="2154" spans="3:9" x14ac:dyDescent="0.3">
      <c r="C2154" s="17" t="s">
        <v>953</v>
      </c>
      <c r="D2154" s="221">
        <f>D2100</f>
        <v>374.98368308351178</v>
      </c>
      <c r="E2154" s="73">
        <f>I2121</f>
        <v>1932.7</v>
      </c>
      <c r="F2154" s="73">
        <f>ROUND((D2154/E2154)/60,2)</f>
        <v>0</v>
      </c>
      <c r="G2154" s="73">
        <f>E2125</f>
        <v>3</v>
      </c>
      <c r="H2154" s="78">
        <f>ROUND(F2154*G2154,2)</f>
        <v>0</v>
      </c>
    </row>
    <row r="2155" spans="3:9" x14ac:dyDescent="0.3">
      <c r="C2155" s="17" t="s">
        <v>1109</v>
      </c>
      <c r="D2155" s="221">
        <f>D2101</f>
        <v>1686.0389293361886</v>
      </c>
      <c r="E2155" s="73">
        <f>I2121</f>
        <v>1932.7</v>
      </c>
      <c r="F2155" s="73">
        <f>ROUND((D2155/E2155)/60,2)</f>
        <v>0.01</v>
      </c>
      <c r="G2155" s="73">
        <f>E2125</f>
        <v>3</v>
      </c>
      <c r="H2155" s="78">
        <f>ROUND(F2155*G2155,2)</f>
        <v>0.03</v>
      </c>
    </row>
    <row r="2156" spans="3:9" x14ac:dyDescent="0.3">
      <c r="C2156" s="1009" t="str">
        <f>C2122</f>
        <v>Сестра медична з фізіотерапії</v>
      </c>
      <c r="D2156" s="1010"/>
      <c r="E2156" s="1010"/>
      <c r="F2156" s="1010"/>
      <c r="G2156" s="1010"/>
      <c r="H2156" s="1011"/>
    </row>
    <row r="2157" spans="3:9" x14ac:dyDescent="0.3">
      <c r="C2157" s="17" t="s">
        <v>951</v>
      </c>
      <c r="D2157" s="221">
        <f>D2152</f>
        <v>12188.608008565312</v>
      </c>
      <c r="E2157" s="73">
        <f>I2122</f>
        <v>1932.7</v>
      </c>
      <c r="F2157" s="73">
        <f>ROUND((D2157/E2157)/60,2)</f>
        <v>0.11</v>
      </c>
      <c r="G2157" s="73">
        <f>E2126</f>
        <v>15</v>
      </c>
      <c r="H2157" s="78">
        <f>ROUND(F2157*G2157,2)</f>
        <v>1.65</v>
      </c>
    </row>
    <row r="2158" spans="3:9" x14ac:dyDescent="0.3">
      <c r="C2158" s="17" t="s">
        <v>952</v>
      </c>
      <c r="D2158" s="221">
        <f>D2153</f>
        <v>53.149721627408987</v>
      </c>
      <c r="E2158" s="73">
        <f>I2122</f>
        <v>1932.7</v>
      </c>
      <c r="F2158" s="73">
        <f>ROUND((D2158/E2158)/60,2)</f>
        <v>0</v>
      </c>
      <c r="G2158" s="73">
        <f>E2126</f>
        <v>15</v>
      </c>
      <c r="H2158" s="78">
        <f>ROUND(F2158*G2158,2)</f>
        <v>0</v>
      </c>
    </row>
    <row r="2159" spans="3:9" x14ac:dyDescent="0.3">
      <c r="C2159" s="17" t="s">
        <v>953</v>
      </c>
      <c r="D2159" s="221">
        <f>D2154</f>
        <v>374.98368308351178</v>
      </c>
      <c r="E2159" s="73">
        <f>I2122</f>
        <v>1932.7</v>
      </c>
      <c r="F2159" s="73">
        <f>ROUND((D2159/E2159)/60,2)</f>
        <v>0</v>
      </c>
      <c r="G2159" s="73">
        <f>E2126</f>
        <v>15</v>
      </c>
      <c r="H2159" s="78">
        <f>ROUND(F2159*G2159,2)</f>
        <v>0</v>
      </c>
    </row>
    <row r="2160" spans="3:9" x14ac:dyDescent="0.3">
      <c r="C2160" s="17" t="s">
        <v>1109</v>
      </c>
      <c r="D2160" s="221">
        <f>D2155</f>
        <v>1686.0389293361886</v>
      </c>
      <c r="E2160" s="73">
        <f>I2122</f>
        <v>1932.7</v>
      </c>
      <c r="F2160" s="73">
        <f>ROUND((D2160/E2160)/60,2)</f>
        <v>0.01</v>
      </c>
      <c r="G2160" s="73">
        <f>E2126</f>
        <v>15</v>
      </c>
      <c r="H2160" s="78">
        <f>ROUND(F2160*G2160,2)</f>
        <v>0.15</v>
      </c>
    </row>
    <row r="2161" spans="2:15" x14ac:dyDescent="0.3">
      <c r="C2161" s="1012" t="s">
        <v>957</v>
      </c>
      <c r="D2161" s="1013"/>
      <c r="E2161" s="1013"/>
      <c r="F2161" s="1013"/>
      <c r="G2161" s="1014"/>
      <c r="H2161" s="299">
        <f>SUM(H2152:H2160)</f>
        <v>2.1599999999999997</v>
      </c>
    </row>
    <row r="2163" spans="2:15" ht="14.25" customHeight="1" x14ac:dyDescent="0.3"/>
    <row r="2165" spans="2:15" x14ac:dyDescent="0.3">
      <c r="C2165" s="1015" t="s">
        <v>959</v>
      </c>
      <c r="D2165" s="1015"/>
      <c r="E2165" s="1015"/>
      <c r="F2165" s="1015"/>
      <c r="G2165" s="1015"/>
      <c r="H2165" s="334">
        <f>F2118+F2130+F2148+F2143</f>
        <v>31.8</v>
      </c>
    </row>
    <row r="2166" spans="2:15" x14ac:dyDescent="0.3">
      <c r="C2166" s="33"/>
      <c r="D2166" s="33"/>
      <c r="E2166" s="33"/>
      <c r="F2166" s="33"/>
      <c r="G2166" s="33"/>
      <c r="H2166" s="335"/>
    </row>
    <row r="2167" spans="2:15" x14ac:dyDescent="0.3">
      <c r="C2167" s="1015" t="s">
        <v>960</v>
      </c>
      <c r="D2167" s="1015"/>
      <c r="E2167" s="1015"/>
      <c r="F2167" s="1015"/>
      <c r="G2167" s="1015"/>
      <c r="H2167" s="334">
        <f>ROUND(H2165,0)</f>
        <v>32</v>
      </c>
    </row>
    <row r="2169" spans="2:15" s="54" customFormat="1" ht="19.8" x14ac:dyDescent="0.4">
      <c r="B2169" s="1016" t="s">
        <v>958</v>
      </c>
      <c r="C2169" s="1016"/>
      <c r="D2169" s="1016"/>
      <c r="E2169" s="1016"/>
      <c r="F2169" s="1016"/>
      <c r="G2169" s="1016"/>
      <c r="H2169" s="1016"/>
      <c r="I2169" s="1016"/>
      <c r="J2169" s="1016"/>
      <c r="K2169" s="126"/>
      <c r="L2169" s="126"/>
      <c r="M2169" s="631"/>
      <c r="N2169" s="53"/>
      <c r="O2169" s="53"/>
    </row>
    <row r="2171" spans="2:15" s="54" customFormat="1" ht="19.8" x14ac:dyDescent="0.4">
      <c r="B2171" s="673" t="s">
        <v>869</v>
      </c>
      <c r="C2171" s="1017" t="s">
        <v>874</v>
      </c>
      <c r="D2171" s="1017"/>
      <c r="E2171" s="1017"/>
      <c r="F2171" s="296">
        <f>H2220</f>
        <v>31</v>
      </c>
      <c r="G2171" s="296" t="s">
        <v>971</v>
      </c>
      <c r="H2171" s="225"/>
      <c r="I2171" s="225"/>
      <c r="J2171" s="225"/>
      <c r="K2171" s="114"/>
      <c r="L2171" s="114"/>
      <c r="M2171" s="631"/>
      <c r="N2171" s="53"/>
      <c r="O2171" s="53"/>
    </row>
    <row r="2173" spans="2:15" x14ac:dyDescent="0.3">
      <c r="C2173" s="1018" t="s">
        <v>932</v>
      </c>
      <c r="D2173" s="1018"/>
      <c r="E2173" s="297"/>
      <c r="F2173" s="298">
        <f>F2180+F2183+F2181</f>
        <v>19.02</v>
      </c>
      <c r="G2173" s="227" t="s">
        <v>971</v>
      </c>
    </row>
    <row r="2175" spans="2:15" ht="27.6" x14ac:dyDescent="0.3">
      <c r="C2175" s="13" t="s">
        <v>929</v>
      </c>
      <c r="D2175" s="14" t="s">
        <v>928</v>
      </c>
      <c r="E2175" s="14" t="s">
        <v>514</v>
      </c>
      <c r="F2175" s="14" t="s">
        <v>515</v>
      </c>
      <c r="G2175" s="14" t="s">
        <v>962</v>
      </c>
      <c r="H2175" s="14" t="s">
        <v>926</v>
      </c>
      <c r="I2175" s="14" t="s">
        <v>516</v>
      </c>
      <c r="J2175" s="14" t="s">
        <v>961</v>
      </c>
    </row>
    <row r="2176" spans="2:15" x14ac:dyDescent="0.3">
      <c r="C2176" s="17" t="str">
        <f>C2121</f>
        <v>Лікар-фізіотерапевт</v>
      </c>
      <c r="D2176" s="78">
        <f>D2121</f>
        <v>10799.43</v>
      </c>
      <c r="E2176" s="78">
        <f>D2176*12</f>
        <v>129593.16</v>
      </c>
      <c r="F2176" s="78">
        <f>F2121</f>
        <v>8307.26</v>
      </c>
      <c r="G2176" s="78">
        <f>G2121</f>
        <v>4153.63</v>
      </c>
      <c r="H2176" s="78">
        <f>E2176+F2176+G2176</f>
        <v>142054.05000000002</v>
      </c>
      <c r="I2176" s="73">
        <v>1932.7</v>
      </c>
      <c r="J2176" s="78">
        <f>ROUND((H2176/I2176)/60,2)</f>
        <v>1.23</v>
      </c>
    </row>
    <row r="2177" spans="3:10" x14ac:dyDescent="0.3">
      <c r="C2177" s="17" t="str">
        <f>C2122</f>
        <v>Сестра медична з фізіотерапії</v>
      </c>
      <c r="D2177" s="78">
        <f>D2122</f>
        <v>7482.48</v>
      </c>
      <c r="E2177" s="78">
        <f>D2177*12</f>
        <v>89789.759999999995</v>
      </c>
      <c r="F2177" s="78">
        <f>F2122</f>
        <v>5755.75</v>
      </c>
      <c r="G2177" s="78">
        <f>G2122</f>
        <v>2877.875</v>
      </c>
      <c r="H2177" s="78">
        <f>E2177+F2177+G2177</f>
        <v>98423.384999999995</v>
      </c>
      <c r="I2177" s="73">
        <v>1932.7</v>
      </c>
      <c r="J2177" s="78">
        <f>ROUND((H2177/I2177)/60,2)</f>
        <v>0.85</v>
      </c>
    </row>
    <row r="2179" spans="3:10" ht="27.6" x14ac:dyDescent="0.3">
      <c r="C2179" s="13" t="s">
        <v>929</v>
      </c>
      <c r="D2179" s="14" t="s">
        <v>961</v>
      </c>
      <c r="E2179" s="14" t="s">
        <v>930</v>
      </c>
      <c r="F2179" s="14" t="s">
        <v>931</v>
      </c>
    </row>
    <row r="2180" spans="3:10" x14ac:dyDescent="0.3">
      <c r="C2180" s="15" t="str">
        <f>C2176</f>
        <v>Лікар-фізіотерапевт</v>
      </c>
      <c r="D2180" s="78">
        <f>J2176</f>
        <v>1.23</v>
      </c>
      <c r="E2180" s="73">
        <v>3</v>
      </c>
      <c r="F2180" s="299">
        <f>ROUND(D2180*E2180,2)</f>
        <v>3.69</v>
      </c>
    </row>
    <row r="2181" spans="3:10" x14ac:dyDescent="0.3">
      <c r="C2181" s="15" t="str">
        <f>C2177</f>
        <v>Сестра медична з фізіотерапії</v>
      </c>
      <c r="D2181" s="78">
        <f>J2177</f>
        <v>0.85</v>
      </c>
      <c r="E2181" s="73">
        <v>14</v>
      </c>
      <c r="F2181" s="299">
        <f>ROUND(D2181*E2181,2)</f>
        <v>11.9</v>
      </c>
    </row>
    <row r="2182" spans="3:10" x14ac:dyDescent="0.3">
      <c r="D2182" s="19"/>
    </row>
    <row r="2183" spans="3:10" x14ac:dyDescent="0.3">
      <c r="C2183" s="17" t="s">
        <v>933</v>
      </c>
      <c r="D2183" s="78">
        <f>F2180+F2181</f>
        <v>15.59</v>
      </c>
      <c r="E2183" s="300">
        <v>0.22</v>
      </c>
      <c r="F2183" s="301">
        <f>ROUND(D2183*E2183,2)</f>
        <v>3.43</v>
      </c>
    </row>
    <row r="2185" spans="3:10" x14ac:dyDescent="0.3">
      <c r="C2185" s="12" t="s">
        <v>946</v>
      </c>
      <c r="D2185" s="227"/>
      <c r="E2185" s="227"/>
      <c r="F2185" s="227">
        <f>G2196</f>
        <v>9.43</v>
      </c>
      <c r="G2185" s="227" t="s">
        <v>971</v>
      </c>
    </row>
    <row r="2187" spans="3:10" x14ac:dyDescent="0.3">
      <c r="C2187" s="27" t="str">
        <f>C2132</f>
        <v>Антисептик для обробки рук</v>
      </c>
      <c r="D2187" s="303" t="str">
        <f>D2132</f>
        <v>мл</v>
      </c>
      <c r="E2187" s="303">
        <f>E2132</f>
        <v>1</v>
      </c>
      <c r="F2187" s="303">
        <f>F2132</f>
        <v>0.375</v>
      </c>
      <c r="G2187" s="303">
        <f>G2132</f>
        <v>0.38</v>
      </c>
    </row>
    <row r="2188" spans="3:10" x14ac:dyDescent="0.3">
      <c r="C2188" s="27" t="str">
        <f t="shared" ref="C2188:G2195" si="93">C2133</f>
        <v>Антисептик швидкої дії</v>
      </c>
      <c r="D2188" s="303" t="str">
        <f t="shared" si="93"/>
        <v>мл</v>
      </c>
      <c r="E2188" s="303">
        <f t="shared" si="93"/>
        <v>1</v>
      </c>
      <c r="F2188" s="303">
        <f t="shared" si="93"/>
        <v>0.28799999999999998</v>
      </c>
      <c r="G2188" s="303">
        <f t="shared" si="93"/>
        <v>0.28999999999999998</v>
      </c>
    </row>
    <row r="2189" spans="3:10" x14ac:dyDescent="0.3">
      <c r="C2189" s="27" t="str">
        <f t="shared" si="93"/>
        <v>Вата 100 гр.</v>
      </c>
      <c r="D2189" s="303" t="str">
        <f t="shared" si="93"/>
        <v>г</v>
      </c>
      <c r="E2189" s="303">
        <f t="shared" si="93"/>
        <v>0.01</v>
      </c>
      <c r="F2189" s="303">
        <f t="shared" si="93"/>
        <v>6.72</v>
      </c>
      <c r="G2189" s="303">
        <f t="shared" si="93"/>
        <v>7.0000000000000007E-2</v>
      </c>
    </row>
    <row r="2190" spans="3:10" x14ac:dyDescent="0.3">
      <c r="C2190" s="27" t="str">
        <f t="shared" si="93"/>
        <v>Деззасоби</v>
      </c>
      <c r="D2190" s="303" t="str">
        <f t="shared" si="93"/>
        <v>г</v>
      </c>
      <c r="E2190" s="303">
        <f t="shared" si="93"/>
        <v>0.5</v>
      </c>
      <c r="F2190" s="303">
        <f t="shared" si="93"/>
        <v>0.5</v>
      </c>
      <c r="G2190" s="303">
        <f t="shared" si="93"/>
        <v>0.25</v>
      </c>
    </row>
    <row r="2191" spans="3:10" x14ac:dyDescent="0.3">
      <c r="C2191" s="27" t="str">
        <f t="shared" si="93"/>
        <v>Маска одноразова тришарова на резинці</v>
      </c>
      <c r="D2191" s="303" t="str">
        <f t="shared" si="93"/>
        <v>шт</v>
      </c>
      <c r="E2191" s="303">
        <f t="shared" si="93"/>
        <v>1</v>
      </c>
      <c r="F2191" s="303">
        <f t="shared" si="93"/>
        <v>2</v>
      </c>
      <c r="G2191" s="303">
        <f t="shared" si="93"/>
        <v>2</v>
      </c>
    </row>
    <row r="2192" spans="3:10" x14ac:dyDescent="0.3">
      <c r="C2192" s="27" t="str">
        <f t="shared" si="93"/>
        <v>Мило рідке</v>
      </c>
      <c r="D2192" s="303" t="str">
        <f t="shared" si="93"/>
        <v>мл</v>
      </c>
      <c r="E2192" s="303">
        <f t="shared" si="93"/>
        <v>1</v>
      </c>
      <c r="F2192" s="303">
        <f t="shared" si="93"/>
        <v>0.19600000000000001</v>
      </c>
      <c r="G2192" s="303">
        <f t="shared" si="93"/>
        <v>0.2</v>
      </c>
    </row>
    <row r="2193" spans="3:9" x14ac:dyDescent="0.3">
      <c r="C2193" s="27" t="str">
        <f t="shared" si="93"/>
        <v>Рукавиці не стерильні</v>
      </c>
      <c r="D2193" s="303" t="str">
        <f t="shared" si="93"/>
        <v>пара</v>
      </c>
      <c r="E2193" s="303">
        <f t="shared" si="93"/>
        <v>0.1</v>
      </c>
      <c r="F2193" s="303">
        <f t="shared" si="93"/>
        <v>7.39</v>
      </c>
      <c r="G2193" s="303">
        <f t="shared" si="93"/>
        <v>0.74</v>
      </c>
    </row>
    <row r="2194" spans="3:9" x14ac:dyDescent="0.3">
      <c r="C2194" s="27" t="str">
        <f t="shared" si="93"/>
        <v>Рушник паперовий</v>
      </c>
      <c r="D2194" s="303" t="str">
        <f t="shared" si="93"/>
        <v>шт</v>
      </c>
      <c r="E2194" s="303">
        <f t="shared" si="93"/>
        <v>0.3</v>
      </c>
      <c r="F2194" s="303">
        <f t="shared" si="93"/>
        <v>17.5</v>
      </c>
      <c r="G2194" s="303">
        <f t="shared" si="93"/>
        <v>5.25</v>
      </c>
    </row>
    <row r="2195" spans="3:9" x14ac:dyDescent="0.3">
      <c r="C2195" s="27" t="str">
        <f t="shared" si="93"/>
        <v xml:space="preserve">Спирт 70% 100мл </v>
      </c>
      <c r="D2195" s="303" t="str">
        <f t="shared" si="93"/>
        <v>фл/гр.</v>
      </c>
      <c r="E2195" s="303">
        <f t="shared" si="93"/>
        <v>0.01</v>
      </c>
      <c r="F2195" s="303">
        <f t="shared" si="93"/>
        <v>24.6</v>
      </c>
      <c r="G2195" s="303">
        <f t="shared" si="93"/>
        <v>0.25</v>
      </c>
    </row>
    <row r="2196" spans="3:9" x14ac:dyDescent="0.3">
      <c r="C2196" s="1019" t="s">
        <v>945</v>
      </c>
      <c r="D2196" s="1019"/>
      <c r="E2196" s="1019"/>
      <c r="F2196" s="1019"/>
      <c r="G2196" s="332">
        <f>SUM(G2187:G2195)</f>
        <v>9.43</v>
      </c>
    </row>
    <row r="2198" spans="3:9" x14ac:dyDescent="0.3">
      <c r="C2198" s="12" t="s">
        <v>968</v>
      </c>
      <c r="D2198" s="227"/>
      <c r="E2198" s="227"/>
      <c r="F2198" s="298">
        <f>H2201</f>
        <v>0.14000000000000001</v>
      </c>
      <c r="G2198" s="227" t="s">
        <v>971</v>
      </c>
    </row>
    <row r="2199" spans="3:9" x14ac:dyDescent="0.3">
      <c r="C2199" s="22"/>
      <c r="D2199" s="36"/>
      <c r="E2199" s="36"/>
      <c r="F2199" s="302"/>
      <c r="G2199" s="36"/>
    </row>
    <row r="2200" spans="3:9" ht="27.6" x14ac:dyDescent="0.3">
      <c r="C2200" s="14" t="s">
        <v>513</v>
      </c>
      <c r="D2200" s="14" t="s">
        <v>969</v>
      </c>
      <c r="E2200" s="14" t="s">
        <v>516</v>
      </c>
      <c r="F2200" s="14" t="s">
        <v>970</v>
      </c>
      <c r="G2200" s="14" t="s">
        <v>930</v>
      </c>
      <c r="H2200" s="14" t="s">
        <v>961</v>
      </c>
    </row>
    <row r="2201" spans="3:9" x14ac:dyDescent="0.3">
      <c r="C2201" s="17" t="s">
        <v>1107</v>
      </c>
      <c r="D2201" s="73">
        <f>D2146</f>
        <v>7000</v>
      </c>
      <c r="E2201" s="73">
        <v>12562.55</v>
      </c>
      <c r="F2201" s="73">
        <f>ROUND((D2201/E2201)/60,2)</f>
        <v>0.01</v>
      </c>
      <c r="G2201" s="73">
        <f>E2181</f>
        <v>14</v>
      </c>
      <c r="H2201" s="78">
        <f>ROUND(F2201*G2201,2)</f>
        <v>0.14000000000000001</v>
      </c>
      <c r="I2201" s="333"/>
    </row>
    <row r="2203" spans="3:9" x14ac:dyDescent="0.3">
      <c r="C2203" s="12" t="s">
        <v>948</v>
      </c>
      <c r="D2203" s="227"/>
      <c r="E2203" s="227"/>
      <c r="F2203" s="298">
        <f>H2216</f>
        <v>2.04</v>
      </c>
      <c r="G2203" s="227" t="s">
        <v>971</v>
      </c>
    </row>
    <row r="2204" spans="3:9" x14ac:dyDescent="0.3">
      <c r="C2204" s="22"/>
      <c r="D2204" s="36"/>
      <c r="E2204" s="36"/>
      <c r="F2204" s="302"/>
    </row>
    <row r="2205" spans="3:9" ht="41.4" x14ac:dyDescent="0.3">
      <c r="C2205" s="14" t="s">
        <v>948</v>
      </c>
      <c r="D2205" s="14" t="s">
        <v>955</v>
      </c>
      <c r="E2205" s="14" t="s">
        <v>516</v>
      </c>
      <c r="F2205" s="14" t="s">
        <v>954</v>
      </c>
      <c r="G2205" s="14" t="s">
        <v>930</v>
      </c>
      <c r="H2205" s="14" t="s">
        <v>956</v>
      </c>
    </row>
    <row r="2206" spans="3:9" x14ac:dyDescent="0.3">
      <c r="C2206" s="1009" t="str">
        <f>C2176</f>
        <v>Лікар-фізіотерапевт</v>
      </c>
      <c r="D2206" s="1010"/>
      <c r="E2206" s="1010"/>
      <c r="F2206" s="1010"/>
      <c r="G2206" s="1010"/>
      <c r="H2206" s="1011"/>
    </row>
    <row r="2207" spans="3:9" x14ac:dyDescent="0.3">
      <c r="C2207" s="17" t="s">
        <v>951</v>
      </c>
      <c r="D2207" s="221">
        <f>D2152</f>
        <v>12188.608008565312</v>
      </c>
      <c r="E2207" s="73">
        <f>I2176</f>
        <v>1932.7</v>
      </c>
      <c r="F2207" s="73">
        <f>ROUND((D2207/E2207)/60,2)</f>
        <v>0.11</v>
      </c>
      <c r="G2207" s="73">
        <f>E2180</f>
        <v>3</v>
      </c>
      <c r="H2207" s="78">
        <f>ROUND(F2207*G2207,2)</f>
        <v>0.33</v>
      </c>
    </row>
    <row r="2208" spans="3:9" x14ac:dyDescent="0.3">
      <c r="C2208" s="17" t="s">
        <v>952</v>
      </c>
      <c r="D2208" s="221">
        <f>D2153</f>
        <v>53.149721627408987</v>
      </c>
      <c r="E2208" s="73">
        <f>I2176</f>
        <v>1932.7</v>
      </c>
      <c r="F2208" s="73">
        <f>ROUND((D2208/E2208)/60,2)</f>
        <v>0</v>
      </c>
      <c r="G2208" s="73">
        <f>E2180</f>
        <v>3</v>
      </c>
      <c r="H2208" s="78">
        <f>ROUND(F2208*G2208,2)</f>
        <v>0</v>
      </c>
    </row>
    <row r="2209" spans="2:15" x14ac:dyDescent="0.3">
      <c r="C2209" s="17" t="s">
        <v>953</v>
      </c>
      <c r="D2209" s="221">
        <f>D2154</f>
        <v>374.98368308351178</v>
      </c>
      <c r="E2209" s="73">
        <f>I2176</f>
        <v>1932.7</v>
      </c>
      <c r="F2209" s="73">
        <f>ROUND((D2209/E2209)/60,2)</f>
        <v>0</v>
      </c>
      <c r="G2209" s="73">
        <f>E2180</f>
        <v>3</v>
      </c>
      <c r="H2209" s="78">
        <f>ROUND(F2209*G2209,2)</f>
        <v>0</v>
      </c>
    </row>
    <row r="2210" spans="2:15" x14ac:dyDescent="0.3">
      <c r="C2210" s="17" t="s">
        <v>1109</v>
      </c>
      <c r="D2210" s="221">
        <f>D2155</f>
        <v>1686.0389293361886</v>
      </c>
      <c r="E2210" s="73">
        <f>I2176</f>
        <v>1932.7</v>
      </c>
      <c r="F2210" s="73">
        <f>ROUND((D2210/E2210)/60,2)</f>
        <v>0.01</v>
      </c>
      <c r="G2210" s="73">
        <f>E2180</f>
        <v>3</v>
      </c>
      <c r="H2210" s="78">
        <f>ROUND(F2210*G2210,2)</f>
        <v>0.03</v>
      </c>
    </row>
    <row r="2211" spans="2:15" x14ac:dyDescent="0.3">
      <c r="C2211" s="1009" t="str">
        <f>C2177</f>
        <v>Сестра медична з фізіотерапії</v>
      </c>
      <c r="D2211" s="1010"/>
      <c r="E2211" s="1010"/>
      <c r="F2211" s="1010"/>
      <c r="G2211" s="1010"/>
      <c r="H2211" s="1011"/>
    </row>
    <row r="2212" spans="2:15" x14ac:dyDescent="0.3">
      <c r="C2212" s="17" t="s">
        <v>951</v>
      </c>
      <c r="D2212" s="221">
        <f>D2207</f>
        <v>12188.608008565312</v>
      </c>
      <c r="E2212" s="73">
        <f>I2177</f>
        <v>1932.7</v>
      </c>
      <c r="F2212" s="73">
        <f>ROUND((D2212/E2212)/60,2)</f>
        <v>0.11</v>
      </c>
      <c r="G2212" s="73">
        <f>E2181</f>
        <v>14</v>
      </c>
      <c r="H2212" s="78">
        <f>ROUND(F2212*G2212,2)</f>
        <v>1.54</v>
      </c>
    </row>
    <row r="2213" spans="2:15" x14ac:dyDescent="0.3">
      <c r="C2213" s="17" t="s">
        <v>952</v>
      </c>
      <c r="D2213" s="221">
        <f>D2208</f>
        <v>53.149721627408987</v>
      </c>
      <c r="E2213" s="73">
        <f>I2177</f>
        <v>1932.7</v>
      </c>
      <c r="F2213" s="73">
        <f>ROUND((D2213/E2213)/60,2)</f>
        <v>0</v>
      </c>
      <c r="G2213" s="73">
        <f>E2181</f>
        <v>14</v>
      </c>
      <c r="H2213" s="78">
        <f>ROUND(F2213*G2213,2)</f>
        <v>0</v>
      </c>
    </row>
    <row r="2214" spans="2:15" x14ac:dyDescent="0.3">
      <c r="C2214" s="17" t="s">
        <v>953</v>
      </c>
      <c r="D2214" s="221">
        <f>D2209</f>
        <v>374.98368308351178</v>
      </c>
      <c r="E2214" s="73">
        <f>I2177</f>
        <v>1932.7</v>
      </c>
      <c r="F2214" s="73">
        <f>ROUND((D2214/E2214)/60,2)</f>
        <v>0</v>
      </c>
      <c r="G2214" s="73">
        <f>E2181</f>
        <v>14</v>
      </c>
      <c r="H2214" s="78">
        <f>ROUND(F2214*G2214,2)</f>
        <v>0</v>
      </c>
    </row>
    <row r="2215" spans="2:15" x14ac:dyDescent="0.3">
      <c r="C2215" s="17" t="s">
        <v>1109</v>
      </c>
      <c r="D2215" s="221">
        <f>D2210</f>
        <v>1686.0389293361886</v>
      </c>
      <c r="E2215" s="73">
        <f>I2177</f>
        <v>1932.7</v>
      </c>
      <c r="F2215" s="73">
        <f>ROUND((D2215/E2215)/60,2)</f>
        <v>0.01</v>
      </c>
      <c r="G2215" s="73">
        <f>E2181</f>
        <v>14</v>
      </c>
      <c r="H2215" s="78">
        <f>ROUND(F2215*G2215,2)</f>
        <v>0.14000000000000001</v>
      </c>
    </row>
    <row r="2216" spans="2:15" x14ac:dyDescent="0.3">
      <c r="C2216" s="1012" t="s">
        <v>957</v>
      </c>
      <c r="D2216" s="1013"/>
      <c r="E2216" s="1013"/>
      <c r="F2216" s="1013"/>
      <c r="G2216" s="1014"/>
      <c r="H2216" s="299">
        <f>SUM(H2207:H2215)</f>
        <v>2.04</v>
      </c>
    </row>
    <row r="2218" spans="2:15" x14ac:dyDescent="0.3">
      <c r="C2218" s="1015" t="s">
        <v>959</v>
      </c>
      <c r="D2218" s="1015"/>
      <c r="E2218" s="1015"/>
      <c r="F2218" s="1015"/>
      <c r="G2218" s="1015"/>
      <c r="H2218" s="334">
        <f>F2173+F2185+F2203+F2198</f>
        <v>30.63</v>
      </c>
    </row>
    <row r="2219" spans="2:15" x14ac:dyDescent="0.3">
      <c r="C2219" s="33"/>
      <c r="D2219" s="33"/>
      <c r="E2219" s="33"/>
      <c r="F2219" s="33"/>
      <c r="G2219" s="33"/>
      <c r="H2219" s="335"/>
    </row>
    <row r="2220" spans="2:15" x14ac:dyDescent="0.3">
      <c r="C2220" s="1015" t="s">
        <v>960</v>
      </c>
      <c r="D2220" s="1015"/>
      <c r="E2220" s="1015"/>
      <c r="F2220" s="1015"/>
      <c r="G2220" s="1015"/>
      <c r="H2220" s="334">
        <f>ROUND(H2218,0)</f>
        <v>31</v>
      </c>
    </row>
    <row r="2223" spans="2:15" s="54" customFormat="1" ht="19.8" x14ac:dyDescent="0.4">
      <c r="B2223" s="1016" t="s">
        <v>958</v>
      </c>
      <c r="C2223" s="1016"/>
      <c r="D2223" s="1016"/>
      <c r="E2223" s="1016"/>
      <c r="F2223" s="1016"/>
      <c r="G2223" s="1016"/>
      <c r="H2223" s="1016"/>
      <c r="I2223" s="1016"/>
      <c r="J2223" s="1016"/>
      <c r="K2223" s="126"/>
      <c r="L2223" s="126"/>
      <c r="M2223" s="631"/>
      <c r="N2223" s="53"/>
      <c r="O2223" s="53"/>
    </row>
    <row r="2225" spans="2:15" s="54" customFormat="1" ht="35.25" customHeight="1" x14ac:dyDescent="0.4">
      <c r="B2225" s="673" t="s">
        <v>871</v>
      </c>
      <c r="C2225" s="1017" t="s">
        <v>404</v>
      </c>
      <c r="D2225" s="1017"/>
      <c r="E2225" s="1017"/>
      <c r="F2225" s="296">
        <f>H2275</f>
        <v>60</v>
      </c>
      <c r="G2225" s="296" t="s">
        <v>971</v>
      </c>
      <c r="H2225" s="225"/>
      <c r="I2225" s="225"/>
      <c r="J2225" s="225"/>
      <c r="K2225" s="114"/>
      <c r="L2225" s="114"/>
      <c r="M2225" s="631"/>
      <c r="N2225" s="53"/>
      <c r="O2225" s="53"/>
    </row>
    <row r="2227" spans="2:15" x14ac:dyDescent="0.3">
      <c r="C2227" s="1018" t="s">
        <v>932</v>
      </c>
      <c r="D2227" s="1018"/>
      <c r="E2227" s="297"/>
      <c r="F2227" s="298">
        <f>F2234+F2237+F2235</f>
        <v>20.060000000000002</v>
      </c>
      <c r="G2227" s="227" t="s">
        <v>971</v>
      </c>
    </row>
    <row r="2229" spans="2:15" ht="27.6" x14ac:dyDescent="0.3">
      <c r="C2229" s="13" t="s">
        <v>929</v>
      </c>
      <c r="D2229" s="14" t="s">
        <v>928</v>
      </c>
      <c r="E2229" s="14" t="s">
        <v>514</v>
      </c>
      <c r="F2229" s="14" t="s">
        <v>515</v>
      </c>
      <c r="G2229" s="14" t="s">
        <v>962</v>
      </c>
      <c r="H2229" s="14" t="s">
        <v>926</v>
      </c>
      <c r="I2229" s="14" t="s">
        <v>516</v>
      </c>
      <c r="J2229" s="14" t="s">
        <v>961</v>
      </c>
    </row>
    <row r="2230" spans="2:15" x14ac:dyDescent="0.3">
      <c r="C2230" s="17" t="str">
        <f>C2176</f>
        <v>Лікар-фізіотерапевт</v>
      </c>
      <c r="D2230" s="78">
        <f>D2176</f>
        <v>10799.43</v>
      </c>
      <c r="E2230" s="78">
        <f>D2230*12</f>
        <v>129593.16</v>
      </c>
      <c r="F2230" s="78">
        <f>F2176</f>
        <v>8307.26</v>
      </c>
      <c r="G2230" s="78">
        <f>G2176</f>
        <v>4153.63</v>
      </c>
      <c r="H2230" s="78">
        <f>E2230+F2230+G2230</f>
        <v>142054.05000000002</v>
      </c>
      <c r="I2230" s="73">
        <v>1932.7</v>
      </c>
      <c r="J2230" s="78">
        <f>ROUND((H2230/I2230)/60,2)</f>
        <v>1.23</v>
      </c>
    </row>
    <row r="2231" spans="2:15" x14ac:dyDescent="0.3">
      <c r="C2231" s="17" t="str">
        <f>C2177</f>
        <v>Сестра медична з фізіотерапії</v>
      </c>
      <c r="D2231" s="78">
        <f>D2177</f>
        <v>7482.48</v>
      </c>
      <c r="E2231" s="78">
        <f>D2231*12</f>
        <v>89789.759999999995</v>
      </c>
      <c r="F2231" s="78">
        <f>F2177</f>
        <v>5755.75</v>
      </c>
      <c r="G2231" s="78">
        <f>G2177</f>
        <v>2877.875</v>
      </c>
      <c r="H2231" s="78">
        <f>E2231+F2231+G2231</f>
        <v>98423.384999999995</v>
      </c>
      <c r="I2231" s="73">
        <v>1932.7</v>
      </c>
      <c r="J2231" s="78">
        <f>ROUND((H2231/I2231)/60,2)</f>
        <v>0.85</v>
      </c>
    </row>
    <row r="2233" spans="2:15" ht="27.6" x14ac:dyDescent="0.3">
      <c r="C2233" s="13" t="s">
        <v>929</v>
      </c>
      <c r="D2233" s="14" t="s">
        <v>961</v>
      </c>
      <c r="E2233" s="14" t="s">
        <v>930</v>
      </c>
      <c r="F2233" s="14" t="s">
        <v>931</v>
      </c>
    </row>
    <row r="2234" spans="2:15" x14ac:dyDescent="0.3">
      <c r="C2234" s="15" t="str">
        <f>C2230</f>
        <v>Лікар-фізіотерапевт</v>
      </c>
      <c r="D2234" s="78">
        <f>J2230</f>
        <v>1.23</v>
      </c>
      <c r="E2234" s="73">
        <v>3</v>
      </c>
      <c r="F2234" s="299">
        <f>ROUND(D2234*E2234,2)</f>
        <v>3.69</v>
      </c>
    </row>
    <row r="2235" spans="2:15" x14ac:dyDescent="0.3">
      <c r="C2235" s="15" t="str">
        <f>C2231</f>
        <v>Сестра медична з фізіотерапії</v>
      </c>
      <c r="D2235" s="78">
        <f>J2231</f>
        <v>0.85</v>
      </c>
      <c r="E2235" s="73">
        <v>15</v>
      </c>
      <c r="F2235" s="299">
        <f>ROUND(D2235*E2235,2)</f>
        <v>12.75</v>
      </c>
    </row>
    <row r="2236" spans="2:15" x14ac:dyDescent="0.3">
      <c r="D2236" s="19"/>
    </row>
    <row r="2237" spans="2:15" x14ac:dyDescent="0.3">
      <c r="C2237" s="17" t="s">
        <v>933</v>
      </c>
      <c r="D2237" s="78">
        <f>F2234+F2235</f>
        <v>16.440000000000001</v>
      </c>
      <c r="E2237" s="300">
        <v>0.22</v>
      </c>
      <c r="F2237" s="301">
        <f>ROUND(D2237*E2237,2)</f>
        <v>3.62</v>
      </c>
    </row>
    <row r="2239" spans="2:15" x14ac:dyDescent="0.3">
      <c r="C2239" s="12" t="s">
        <v>946</v>
      </c>
      <c r="D2239" s="227"/>
      <c r="E2239" s="227"/>
      <c r="F2239" s="227">
        <f>G2251</f>
        <v>37.429999999999993</v>
      </c>
      <c r="G2239" s="227" t="s">
        <v>971</v>
      </c>
    </row>
    <row r="2241" spans="3:9" ht="27.6" x14ac:dyDescent="0.3">
      <c r="C2241" s="27" t="str">
        <f>C1970</f>
        <v>Електроди одноразові поверхневі з гідрофільною прокладкою з целюлози прямокутні № 25</v>
      </c>
      <c r="D2241" s="303" t="str">
        <f>D1970</f>
        <v>шт</v>
      </c>
      <c r="E2241" s="303">
        <f>E1970</f>
        <v>2</v>
      </c>
      <c r="F2241" s="303">
        <f>F1970</f>
        <v>14</v>
      </c>
      <c r="G2241" s="228">
        <f>ROUND(F2241*E2241,2)</f>
        <v>28</v>
      </c>
    </row>
    <row r="2242" spans="3:9" x14ac:dyDescent="0.3">
      <c r="C2242" s="27" t="str">
        <f t="shared" ref="C2242:F2250" si="94">C1971</f>
        <v>Антисептик для обробки рук</v>
      </c>
      <c r="D2242" s="303" t="str">
        <f t="shared" si="94"/>
        <v>мл</v>
      </c>
      <c r="E2242" s="303">
        <f t="shared" si="94"/>
        <v>1</v>
      </c>
      <c r="F2242" s="303">
        <f t="shared" si="94"/>
        <v>0.375</v>
      </c>
      <c r="G2242" s="228">
        <f>ROUND(F2242*E2242,2)</f>
        <v>0.38</v>
      </c>
    </row>
    <row r="2243" spans="3:9" x14ac:dyDescent="0.3">
      <c r="C2243" s="27" t="str">
        <f t="shared" si="94"/>
        <v>Антисептик швидкої дії</v>
      </c>
      <c r="D2243" s="303" t="str">
        <f t="shared" si="94"/>
        <v>мл</v>
      </c>
      <c r="E2243" s="303">
        <f t="shared" si="94"/>
        <v>1</v>
      </c>
      <c r="F2243" s="303">
        <f t="shared" si="94"/>
        <v>0.28799999999999998</v>
      </c>
      <c r="G2243" s="228">
        <f>ROUND(F2243*E2243,2)</f>
        <v>0.28999999999999998</v>
      </c>
    </row>
    <row r="2244" spans="3:9" x14ac:dyDescent="0.3">
      <c r="C2244" s="27" t="str">
        <f t="shared" si="94"/>
        <v>Вата 100 гр.</v>
      </c>
      <c r="D2244" s="303" t="str">
        <f t="shared" si="94"/>
        <v>г</v>
      </c>
      <c r="E2244" s="303">
        <f t="shared" si="94"/>
        <v>0.01</v>
      </c>
      <c r="F2244" s="303">
        <f t="shared" si="94"/>
        <v>6.72</v>
      </c>
      <c r="G2244" s="28">
        <f>ROUND(E2244*F2244,2)</f>
        <v>7.0000000000000007E-2</v>
      </c>
    </row>
    <row r="2245" spans="3:9" x14ac:dyDescent="0.3">
      <c r="C2245" s="27" t="str">
        <f t="shared" si="94"/>
        <v>Деззасоби</v>
      </c>
      <c r="D2245" s="303" t="str">
        <f t="shared" si="94"/>
        <v>г</v>
      </c>
      <c r="E2245" s="303">
        <f t="shared" si="94"/>
        <v>0.5</v>
      </c>
      <c r="F2245" s="303">
        <f t="shared" si="94"/>
        <v>0.5</v>
      </c>
      <c r="G2245" s="28">
        <f>ROUND(E2245*F2245,2)</f>
        <v>0.25</v>
      </c>
    </row>
    <row r="2246" spans="3:9" x14ac:dyDescent="0.3">
      <c r="C2246" s="27" t="str">
        <f t="shared" si="94"/>
        <v>Маска одноразова тришарова на резинці</v>
      </c>
      <c r="D2246" s="303" t="str">
        <f t="shared" si="94"/>
        <v>шт</v>
      </c>
      <c r="E2246" s="303">
        <f t="shared" si="94"/>
        <v>1</v>
      </c>
      <c r="F2246" s="303">
        <f t="shared" si="94"/>
        <v>2</v>
      </c>
      <c r="G2246" s="28">
        <f>ROUND(E2246*F2246,2)</f>
        <v>2</v>
      </c>
    </row>
    <row r="2247" spans="3:9" x14ac:dyDescent="0.3">
      <c r="C2247" s="27" t="str">
        <f t="shared" si="94"/>
        <v>Мило рідке</v>
      </c>
      <c r="D2247" s="303" t="str">
        <f t="shared" si="94"/>
        <v>мл</v>
      </c>
      <c r="E2247" s="303">
        <f t="shared" si="94"/>
        <v>1</v>
      </c>
      <c r="F2247" s="303">
        <f t="shared" si="94"/>
        <v>0.19600000000000001</v>
      </c>
      <c r="G2247" s="228">
        <f>ROUND(F2247*E2247,2)</f>
        <v>0.2</v>
      </c>
    </row>
    <row r="2248" spans="3:9" x14ac:dyDescent="0.3">
      <c r="C2248" s="27" t="str">
        <f t="shared" si="94"/>
        <v>Рукавиці не стерильні</v>
      </c>
      <c r="D2248" s="303" t="str">
        <f t="shared" si="94"/>
        <v>пара</v>
      </c>
      <c r="E2248" s="303">
        <f t="shared" si="94"/>
        <v>0.1</v>
      </c>
      <c r="F2248" s="303">
        <f t="shared" si="94"/>
        <v>7.39</v>
      </c>
      <c r="G2248" s="228">
        <f>ROUND(F2248*E2248,2)</f>
        <v>0.74</v>
      </c>
    </row>
    <row r="2249" spans="3:9" x14ac:dyDescent="0.3">
      <c r="C2249" s="27" t="str">
        <f t="shared" si="94"/>
        <v>Рушник паперовий</v>
      </c>
      <c r="D2249" s="303" t="str">
        <f t="shared" si="94"/>
        <v>шт</v>
      </c>
      <c r="E2249" s="303">
        <f t="shared" si="94"/>
        <v>0.3</v>
      </c>
      <c r="F2249" s="303">
        <f t="shared" si="94"/>
        <v>17.5</v>
      </c>
      <c r="G2249" s="28">
        <f>ROUND(E2249*F2249,2)</f>
        <v>5.25</v>
      </c>
    </row>
    <row r="2250" spans="3:9" x14ac:dyDescent="0.3">
      <c r="C2250" s="27" t="str">
        <f t="shared" si="94"/>
        <v xml:space="preserve">Спирт 70% 100мл </v>
      </c>
      <c r="D2250" s="303" t="str">
        <f t="shared" si="94"/>
        <v>фл/гр.</v>
      </c>
      <c r="E2250" s="303">
        <f t="shared" si="94"/>
        <v>0.01</v>
      </c>
      <c r="F2250" s="303">
        <f t="shared" si="94"/>
        <v>24.6</v>
      </c>
      <c r="G2250" s="28">
        <f>ROUND(E2250*F2250,2)</f>
        <v>0.25</v>
      </c>
    </row>
    <row r="2251" spans="3:9" x14ac:dyDescent="0.3">
      <c r="C2251" s="1019" t="s">
        <v>945</v>
      </c>
      <c r="D2251" s="1019"/>
      <c r="E2251" s="1019"/>
      <c r="F2251" s="1019"/>
      <c r="G2251" s="332">
        <f>SUM(G2241:G2250)</f>
        <v>37.429999999999993</v>
      </c>
    </row>
    <row r="2253" spans="3:9" x14ac:dyDescent="0.3">
      <c r="C2253" s="12" t="s">
        <v>968</v>
      </c>
      <c r="D2253" s="227"/>
      <c r="E2253" s="227"/>
      <c r="F2253" s="298">
        <f>H2256</f>
        <v>0.15</v>
      </c>
      <c r="G2253" s="227" t="s">
        <v>971</v>
      </c>
    </row>
    <row r="2254" spans="3:9" x14ac:dyDescent="0.3">
      <c r="C2254" s="22"/>
      <c r="D2254" s="36"/>
      <c r="E2254" s="36"/>
      <c r="F2254" s="302"/>
      <c r="G2254" s="36"/>
    </row>
    <row r="2255" spans="3:9" ht="27.6" x14ac:dyDescent="0.3">
      <c r="C2255" s="14" t="s">
        <v>513</v>
      </c>
      <c r="D2255" s="14" t="s">
        <v>969</v>
      </c>
      <c r="E2255" s="14" t="s">
        <v>516</v>
      </c>
      <c r="F2255" s="14" t="s">
        <v>970</v>
      </c>
      <c r="G2255" s="14" t="s">
        <v>930</v>
      </c>
      <c r="H2255" s="14" t="s">
        <v>961</v>
      </c>
    </row>
    <row r="2256" spans="3:9" x14ac:dyDescent="0.3">
      <c r="C2256" s="17" t="s">
        <v>1107</v>
      </c>
      <c r="D2256" s="73">
        <f>D2201</f>
        <v>7000</v>
      </c>
      <c r="E2256" s="73">
        <v>12562.55</v>
      </c>
      <c r="F2256" s="73">
        <f>ROUND((D2256/E2256)/60,2)</f>
        <v>0.01</v>
      </c>
      <c r="G2256" s="73">
        <f>E2235</f>
        <v>15</v>
      </c>
      <c r="H2256" s="78">
        <f>ROUND(F2256*G2256,2)</f>
        <v>0.15</v>
      </c>
      <c r="I2256" s="333"/>
    </row>
    <row r="2258" spans="3:8" x14ac:dyDescent="0.3">
      <c r="C2258" s="12" t="s">
        <v>948</v>
      </c>
      <c r="D2258" s="227"/>
      <c r="E2258" s="227"/>
      <c r="F2258" s="298">
        <f>H2271</f>
        <v>2.1599999999999997</v>
      </c>
      <c r="G2258" s="227" t="s">
        <v>971</v>
      </c>
    </row>
    <row r="2259" spans="3:8" x14ac:dyDescent="0.3">
      <c r="C2259" s="22"/>
      <c r="D2259" s="36"/>
      <c r="E2259" s="36"/>
      <c r="F2259" s="302"/>
    </row>
    <row r="2260" spans="3:8" ht="41.4" x14ac:dyDescent="0.3">
      <c r="C2260" s="14" t="s">
        <v>948</v>
      </c>
      <c r="D2260" s="14" t="s">
        <v>955</v>
      </c>
      <c r="E2260" s="14" t="s">
        <v>516</v>
      </c>
      <c r="F2260" s="14" t="s">
        <v>954</v>
      </c>
      <c r="G2260" s="14" t="s">
        <v>930</v>
      </c>
      <c r="H2260" s="14" t="s">
        <v>956</v>
      </c>
    </row>
    <row r="2261" spans="3:8" x14ac:dyDescent="0.3">
      <c r="C2261" s="1009" t="str">
        <f>C2230</f>
        <v>Лікар-фізіотерапевт</v>
      </c>
      <c r="D2261" s="1010"/>
      <c r="E2261" s="1010"/>
      <c r="F2261" s="1010"/>
      <c r="G2261" s="1010"/>
      <c r="H2261" s="1011"/>
    </row>
    <row r="2262" spans="3:8" x14ac:dyDescent="0.3">
      <c r="C2262" s="17" t="s">
        <v>951</v>
      </c>
      <c r="D2262" s="221">
        <f>D2207</f>
        <v>12188.608008565312</v>
      </c>
      <c r="E2262" s="73">
        <f>I2230</f>
        <v>1932.7</v>
      </c>
      <c r="F2262" s="73">
        <f>ROUND((D2262/E2262)/60,2)</f>
        <v>0.11</v>
      </c>
      <c r="G2262" s="73">
        <f>E2234</f>
        <v>3</v>
      </c>
      <c r="H2262" s="78">
        <f>ROUND(F2262*G2262,2)</f>
        <v>0.33</v>
      </c>
    </row>
    <row r="2263" spans="3:8" x14ac:dyDescent="0.3">
      <c r="C2263" s="17" t="s">
        <v>952</v>
      </c>
      <c r="D2263" s="221">
        <f>D2208</f>
        <v>53.149721627408987</v>
      </c>
      <c r="E2263" s="73">
        <f>I2230</f>
        <v>1932.7</v>
      </c>
      <c r="F2263" s="73">
        <f>ROUND((D2263/E2263)/60,2)</f>
        <v>0</v>
      </c>
      <c r="G2263" s="73">
        <f>E2234</f>
        <v>3</v>
      </c>
      <c r="H2263" s="78">
        <f>ROUND(F2263*G2263,2)</f>
        <v>0</v>
      </c>
    </row>
    <row r="2264" spans="3:8" x14ac:dyDescent="0.3">
      <c r="C2264" s="17" t="s">
        <v>953</v>
      </c>
      <c r="D2264" s="221">
        <f>D2209</f>
        <v>374.98368308351178</v>
      </c>
      <c r="E2264" s="73">
        <f>I2230</f>
        <v>1932.7</v>
      </c>
      <c r="F2264" s="73">
        <f>ROUND((D2264/E2264)/60,2)</f>
        <v>0</v>
      </c>
      <c r="G2264" s="73">
        <f>E2234</f>
        <v>3</v>
      </c>
      <c r="H2264" s="78">
        <f>ROUND(F2264*G2264,2)</f>
        <v>0</v>
      </c>
    </row>
    <row r="2265" spans="3:8" x14ac:dyDescent="0.3">
      <c r="C2265" s="17" t="s">
        <v>1109</v>
      </c>
      <c r="D2265" s="221">
        <f>D2210</f>
        <v>1686.0389293361886</v>
      </c>
      <c r="E2265" s="73">
        <f>I2230</f>
        <v>1932.7</v>
      </c>
      <c r="F2265" s="73">
        <f>ROUND((D2265/E2265)/60,2)</f>
        <v>0.01</v>
      </c>
      <c r="G2265" s="73">
        <f>E2234</f>
        <v>3</v>
      </c>
      <c r="H2265" s="78">
        <f>ROUND(F2265*G2265,2)</f>
        <v>0.03</v>
      </c>
    </row>
    <row r="2266" spans="3:8" x14ac:dyDescent="0.3">
      <c r="C2266" s="1009" t="str">
        <f>C2231</f>
        <v>Сестра медична з фізіотерапії</v>
      </c>
      <c r="D2266" s="1010"/>
      <c r="E2266" s="1010"/>
      <c r="F2266" s="1010"/>
      <c r="G2266" s="1010"/>
      <c r="H2266" s="1011"/>
    </row>
    <row r="2267" spans="3:8" x14ac:dyDescent="0.3">
      <c r="C2267" s="17" t="s">
        <v>951</v>
      </c>
      <c r="D2267" s="221">
        <f>D2262</f>
        <v>12188.608008565312</v>
      </c>
      <c r="E2267" s="73">
        <f>I2231</f>
        <v>1932.7</v>
      </c>
      <c r="F2267" s="73">
        <f>ROUND((D2267/E2267)/60,2)</f>
        <v>0.11</v>
      </c>
      <c r="G2267" s="73">
        <f>E2235</f>
        <v>15</v>
      </c>
      <c r="H2267" s="78">
        <f>ROUND(F2267*G2267,2)</f>
        <v>1.65</v>
      </c>
    </row>
    <row r="2268" spans="3:8" x14ac:dyDescent="0.3">
      <c r="C2268" s="17" t="s">
        <v>952</v>
      </c>
      <c r="D2268" s="221">
        <f>D2263</f>
        <v>53.149721627408987</v>
      </c>
      <c r="E2268" s="73">
        <f>I2231</f>
        <v>1932.7</v>
      </c>
      <c r="F2268" s="73">
        <f>ROUND((D2268/E2268)/60,2)</f>
        <v>0</v>
      </c>
      <c r="G2268" s="73">
        <f>E2235</f>
        <v>15</v>
      </c>
      <c r="H2268" s="78">
        <f>ROUND(F2268*G2268,2)</f>
        <v>0</v>
      </c>
    </row>
    <row r="2269" spans="3:8" x14ac:dyDescent="0.3">
      <c r="C2269" s="17" t="s">
        <v>953</v>
      </c>
      <c r="D2269" s="221">
        <f>D2264</f>
        <v>374.98368308351178</v>
      </c>
      <c r="E2269" s="73">
        <f>I2231</f>
        <v>1932.7</v>
      </c>
      <c r="F2269" s="73">
        <f>ROUND((D2269/E2269)/60,2)</f>
        <v>0</v>
      </c>
      <c r="G2269" s="73">
        <f>E2235</f>
        <v>15</v>
      </c>
      <c r="H2269" s="78">
        <f>ROUND(F2269*G2269,2)</f>
        <v>0</v>
      </c>
    </row>
    <row r="2270" spans="3:8" x14ac:dyDescent="0.3">
      <c r="C2270" s="17" t="s">
        <v>1109</v>
      </c>
      <c r="D2270" s="221">
        <f>D2265</f>
        <v>1686.0389293361886</v>
      </c>
      <c r="E2270" s="73">
        <f>I2231</f>
        <v>1932.7</v>
      </c>
      <c r="F2270" s="73">
        <f>ROUND((D2270/E2270)/60,2)</f>
        <v>0.01</v>
      </c>
      <c r="G2270" s="73">
        <f>E2235</f>
        <v>15</v>
      </c>
      <c r="H2270" s="78">
        <f>ROUND(F2270*G2270,2)</f>
        <v>0.15</v>
      </c>
    </row>
    <row r="2271" spans="3:8" x14ac:dyDescent="0.3">
      <c r="C2271" s="1012" t="s">
        <v>957</v>
      </c>
      <c r="D2271" s="1013"/>
      <c r="E2271" s="1013"/>
      <c r="F2271" s="1013"/>
      <c r="G2271" s="1014"/>
      <c r="H2271" s="299">
        <f>SUM(H2262:H2270)</f>
        <v>2.1599999999999997</v>
      </c>
    </row>
    <row r="2273" spans="2:15" x14ac:dyDescent="0.3">
      <c r="C2273" s="1015" t="s">
        <v>959</v>
      </c>
      <c r="D2273" s="1015"/>
      <c r="E2273" s="1015"/>
      <c r="F2273" s="1015"/>
      <c r="G2273" s="1015"/>
      <c r="H2273" s="334">
        <f>F2227+F2239+F2258+F2253</f>
        <v>59.79999999999999</v>
      </c>
    </row>
    <row r="2274" spans="2:15" x14ac:dyDescent="0.3">
      <c r="C2274" s="33"/>
      <c r="D2274" s="33"/>
      <c r="E2274" s="33"/>
      <c r="F2274" s="33"/>
      <c r="G2274" s="33"/>
      <c r="H2274" s="335"/>
    </row>
    <row r="2275" spans="2:15" x14ac:dyDescent="0.3">
      <c r="C2275" s="1015" t="s">
        <v>960</v>
      </c>
      <c r="D2275" s="1015"/>
      <c r="E2275" s="1015"/>
      <c r="F2275" s="1015"/>
      <c r="G2275" s="1015"/>
      <c r="H2275" s="334">
        <f>ROUND(H2273,0)</f>
        <v>60</v>
      </c>
    </row>
    <row r="2278" spans="2:15" s="54" customFormat="1" ht="19.8" x14ac:dyDescent="0.4">
      <c r="B2278" s="1016" t="s">
        <v>958</v>
      </c>
      <c r="C2278" s="1016"/>
      <c r="D2278" s="1016"/>
      <c r="E2278" s="1016"/>
      <c r="F2278" s="1016"/>
      <c r="G2278" s="1016"/>
      <c r="H2278" s="1016"/>
      <c r="I2278" s="1016"/>
      <c r="J2278" s="1016"/>
      <c r="K2278" s="126"/>
      <c r="L2278" s="126"/>
      <c r="M2278" s="631"/>
      <c r="N2278" s="53"/>
      <c r="O2278" s="53"/>
    </row>
    <row r="2280" spans="2:15" s="54" customFormat="1" ht="39" customHeight="1" x14ac:dyDescent="0.4">
      <c r="B2280" s="673" t="s">
        <v>406</v>
      </c>
      <c r="C2280" s="1017" t="s">
        <v>405</v>
      </c>
      <c r="D2280" s="1017"/>
      <c r="E2280" s="1017"/>
      <c r="F2280" s="296">
        <f>H2330</f>
        <v>35</v>
      </c>
      <c r="G2280" s="296" t="s">
        <v>971</v>
      </c>
      <c r="H2280" s="225"/>
      <c r="I2280" s="225"/>
      <c r="J2280" s="225"/>
      <c r="K2280" s="114"/>
      <c r="L2280" s="114"/>
      <c r="M2280" s="631"/>
      <c r="N2280" s="53"/>
      <c r="O2280" s="53"/>
    </row>
    <row r="2282" spans="2:15" x14ac:dyDescent="0.3">
      <c r="C2282" s="1018" t="s">
        <v>932</v>
      </c>
      <c r="D2282" s="1018"/>
      <c r="E2282" s="297"/>
      <c r="F2282" s="298">
        <f>F2289+F2292+F2290</f>
        <v>19.02</v>
      </c>
      <c r="G2282" s="227" t="s">
        <v>971</v>
      </c>
    </row>
    <row r="2284" spans="2:15" ht="27.6" x14ac:dyDescent="0.3">
      <c r="C2284" s="13" t="s">
        <v>929</v>
      </c>
      <c r="D2284" s="14" t="s">
        <v>928</v>
      </c>
      <c r="E2284" s="14" t="s">
        <v>514</v>
      </c>
      <c r="F2284" s="14" t="s">
        <v>515</v>
      </c>
      <c r="G2284" s="14" t="s">
        <v>962</v>
      </c>
      <c r="H2284" s="14" t="s">
        <v>926</v>
      </c>
      <c r="I2284" s="14" t="s">
        <v>516</v>
      </c>
      <c r="J2284" s="14" t="s">
        <v>961</v>
      </c>
    </row>
    <row r="2285" spans="2:15" x14ac:dyDescent="0.3">
      <c r="C2285" s="17" t="str">
        <f>C2230</f>
        <v>Лікар-фізіотерапевт</v>
      </c>
      <c r="D2285" s="78">
        <f>D2230</f>
        <v>10799.43</v>
      </c>
      <c r="E2285" s="78">
        <f>D2285*12</f>
        <v>129593.16</v>
      </c>
      <c r="F2285" s="78">
        <f>F2230</f>
        <v>8307.26</v>
      </c>
      <c r="G2285" s="78">
        <f>G2230</f>
        <v>4153.63</v>
      </c>
      <c r="H2285" s="78">
        <f>E2285+F2285+G2285</f>
        <v>142054.05000000002</v>
      </c>
      <c r="I2285" s="73">
        <v>1932.7</v>
      </c>
      <c r="J2285" s="78">
        <f>ROUND((H2285/I2285)/60,2)</f>
        <v>1.23</v>
      </c>
    </row>
    <row r="2286" spans="2:15" x14ac:dyDescent="0.3">
      <c r="C2286" s="17" t="str">
        <f>C2231</f>
        <v>Сестра медична з фізіотерапії</v>
      </c>
      <c r="D2286" s="78">
        <f>D2231</f>
        <v>7482.48</v>
      </c>
      <c r="E2286" s="78">
        <f>D2286*12</f>
        <v>89789.759999999995</v>
      </c>
      <c r="F2286" s="78">
        <f>F2231</f>
        <v>5755.75</v>
      </c>
      <c r="G2286" s="78">
        <f>G2231</f>
        <v>2877.875</v>
      </c>
      <c r="H2286" s="78">
        <f>E2286+F2286+G2286</f>
        <v>98423.384999999995</v>
      </c>
      <c r="I2286" s="73">
        <v>1932.7</v>
      </c>
      <c r="J2286" s="78">
        <f>ROUND((H2286/I2286)/60,2)</f>
        <v>0.85</v>
      </c>
    </row>
    <row r="2288" spans="2:15" ht="27.6" x14ac:dyDescent="0.3">
      <c r="C2288" s="13" t="s">
        <v>929</v>
      </c>
      <c r="D2288" s="14" t="s">
        <v>961</v>
      </c>
      <c r="E2288" s="14" t="s">
        <v>930</v>
      </c>
      <c r="F2288" s="14" t="s">
        <v>931</v>
      </c>
    </row>
    <row r="2289" spans="3:7" x14ac:dyDescent="0.3">
      <c r="C2289" s="15" t="str">
        <f>C2285</f>
        <v>Лікар-фізіотерапевт</v>
      </c>
      <c r="D2289" s="78">
        <f>J2285</f>
        <v>1.23</v>
      </c>
      <c r="E2289" s="73">
        <v>3</v>
      </c>
      <c r="F2289" s="299">
        <f>ROUND(D2289*E2289,2)</f>
        <v>3.69</v>
      </c>
    </row>
    <row r="2290" spans="3:7" x14ac:dyDescent="0.3">
      <c r="C2290" s="15" t="str">
        <f>C2286</f>
        <v>Сестра медична з фізіотерапії</v>
      </c>
      <c r="D2290" s="78">
        <f>J2286</f>
        <v>0.85</v>
      </c>
      <c r="E2290" s="73">
        <v>14</v>
      </c>
      <c r="F2290" s="299">
        <f>ROUND(D2290*E2290,2)</f>
        <v>11.9</v>
      </c>
    </row>
    <row r="2291" spans="3:7" x14ac:dyDescent="0.3">
      <c r="D2291" s="19"/>
    </row>
    <row r="2292" spans="3:7" x14ac:dyDescent="0.3">
      <c r="C2292" s="17" t="s">
        <v>933</v>
      </c>
      <c r="D2292" s="78">
        <f>F2289+F2290</f>
        <v>15.59</v>
      </c>
      <c r="E2292" s="300">
        <v>0.22</v>
      </c>
      <c r="F2292" s="301">
        <f>ROUND(D2292*E2292,2)</f>
        <v>3.43</v>
      </c>
    </row>
    <row r="2294" spans="3:7" x14ac:dyDescent="0.3">
      <c r="C2294" s="12" t="s">
        <v>946</v>
      </c>
      <c r="D2294" s="227"/>
      <c r="E2294" s="227"/>
      <c r="F2294" s="227">
        <f>G2306</f>
        <v>13.43</v>
      </c>
      <c r="G2294" s="227" t="s">
        <v>971</v>
      </c>
    </row>
    <row r="2296" spans="3:7" x14ac:dyDescent="0.3">
      <c r="C2296" s="27" t="str">
        <f>C2024</f>
        <v>Гідрофільні прокладки багаторазові поверхневі</v>
      </c>
      <c r="D2296" s="303" t="str">
        <f>D2024</f>
        <v>шт</v>
      </c>
      <c r="E2296" s="303">
        <f>E2024</f>
        <v>2</v>
      </c>
      <c r="F2296" s="303">
        <f>F2024</f>
        <v>2</v>
      </c>
      <c r="G2296" s="228">
        <f>ROUND(F2296*E2296,2)</f>
        <v>4</v>
      </c>
    </row>
    <row r="2297" spans="3:7" x14ac:dyDescent="0.3">
      <c r="C2297" s="27" t="str">
        <f t="shared" ref="C2297:E2305" si="95">C2025</f>
        <v>Антисептик для обробки рук</v>
      </c>
      <c r="D2297" s="303" t="str">
        <f t="shared" si="95"/>
        <v>мл</v>
      </c>
      <c r="E2297" s="303">
        <f t="shared" si="95"/>
        <v>1</v>
      </c>
      <c r="F2297" s="303">
        <f t="shared" ref="F2297:F2305" si="96">F2025</f>
        <v>0.375</v>
      </c>
      <c r="G2297" s="228">
        <f>ROUND(F2297*E2297,2)</f>
        <v>0.38</v>
      </c>
    </row>
    <row r="2298" spans="3:7" x14ac:dyDescent="0.3">
      <c r="C2298" s="27" t="str">
        <f t="shared" si="95"/>
        <v>Антисептик швидкої дії</v>
      </c>
      <c r="D2298" s="303" t="str">
        <f t="shared" si="95"/>
        <v>мл</v>
      </c>
      <c r="E2298" s="303">
        <f t="shared" si="95"/>
        <v>1</v>
      </c>
      <c r="F2298" s="303">
        <f t="shared" si="96"/>
        <v>0.28799999999999998</v>
      </c>
      <c r="G2298" s="228">
        <f>ROUND(F2298*E2298,2)</f>
        <v>0.28999999999999998</v>
      </c>
    </row>
    <row r="2299" spans="3:7" x14ac:dyDescent="0.3">
      <c r="C2299" s="27" t="str">
        <f t="shared" si="95"/>
        <v>Вата 100 гр.</v>
      </c>
      <c r="D2299" s="303" t="str">
        <f t="shared" si="95"/>
        <v>г</v>
      </c>
      <c r="E2299" s="303">
        <f t="shared" si="95"/>
        <v>0.01</v>
      </c>
      <c r="F2299" s="303">
        <f t="shared" si="96"/>
        <v>6.72</v>
      </c>
      <c r="G2299" s="28">
        <f>ROUND(E2299*F2299,2)</f>
        <v>7.0000000000000007E-2</v>
      </c>
    </row>
    <row r="2300" spans="3:7" x14ac:dyDescent="0.3">
      <c r="C2300" s="27" t="str">
        <f t="shared" si="95"/>
        <v>Деззасоби</v>
      </c>
      <c r="D2300" s="303" t="str">
        <f t="shared" si="95"/>
        <v>г</v>
      </c>
      <c r="E2300" s="303">
        <f t="shared" si="95"/>
        <v>0.5</v>
      </c>
      <c r="F2300" s="303">
        <f t="shared" si="96"/>
        <v>0.5</v>
      </c>
      <c r="G2300" s="28">
        <f>ROUND(E2300*F2300,2)</f>
        <v>0.25</v>
      </c>
    </row>
    <row r="2301" spans="3:7" x14ac:dyDescent="0.3">
      <c r="C2301" s="27" t="str">
        <f t="shared" si="95"/>
        <v>Маска одноразова тришарова на резинці</v>
      </c>
      <c r="D2301" s="303" t="str">
        <f t="shared" si="95"/>
        <v>шт</v>
      </c>
      <c r="E2301" s="303">
        <f t="shared" si="95"/>
        <v>1</v>
      </c>
      <c r="F2301" s="303">
        <f t="shared" si="96"/>
        <v>2</v>
      </c>
      <c r="G2301" s="28">
        <f>ROUND(E2301*F2301,2)</f>
        <v>2</v>
      </c>
    </row>
    <row r="2302" spans="3:7" x14ac:dyDescent="0.3">
      <c r="C2302" s="27" t="str">
        <f t="shared" si="95"/>
        <v>Мило рідке</v>
      </c>
      <c r="D2302" s="303" t="str">
        <f t="shared" si="95"/>
        <v>мл</v>
      </c>
      <c r="E2302" s="303">
        <f t="shared" si="95"/>
        <v>1</v>
      </c>
      <c r="F2302" s="303">
        <f t="shared" si="96"/>
        <v>0.19600000000000001</v>
      </c>
      <c r="G2302" s="228">
        <f>ROUND(F2302*E2302,2)</f>
        <v>0.2</v>
      </c>
    </row>
    <row r="2303" spans="3:7" x14ac:dyDescent="0.3">
      <c r="C2303" s="27" t="str">
        <f t="shared" si="95"/>
        <v>Рукавиці не стерильні</v>
      </c>
      <c r="D2303" s="303" t="str">
        <f t="shared" si="95"/>
        <v>пара</v>
      </c>
      <c r="E2303" s="303">
        <f t="shared" si="95"/>
        <v>0.1</v>
      </c>
      <c r="F2303" s="303">
        <f t="shared" si="96"/>
        <v>7.39</v>
      </c>
      <c r="G2303" s="228">
        <f>ROUND(F2303*E2303,2)</f>
        <v>0.74</v>
      </c>
    </row>
    <row r="2304" spans="3:7" x14ac:dyDescent="0.3">
      <c r="C2304" s="27" t="str">
        <f t="shared" si="95"/>
        <v>Рушник паперовий</v>
      </c>
      <c r="D2304" s="303" t="str">
        <f t="shared" si="95"/>
        <v>шт</v>
      </c>
      <c r="E2304" s="303">
        <f t="shared" si="95"/>
        <v>0.3</v>
      </c>
      <c r="F2304" s="303">
        <f t="shared" si="96"/>
        <v>17.5</v>
      </c>
      <c r="G2304" s="28">
        <f>ROUND(E2304*F2304,2)</f>
        <v>5.25</v>
      </c>
    </row>
    <row r="2305" spans="3:9" x14ac:dyDescent="0.3">
      <c r="C2305" s="27" t="str">
        <f t="shared" si="95"/>
        <v xml:space="preserve">Спирт 70% 100мл </v>
      </c>
      <c r="D2305" s="303" t="str">
        <f t="shared" si="95"/>
        <v>фл/гр.</v>
      </c>
      <c r="E2305" s="303">
        <f t="shared" si="95"/>
        <v>0.01</v>
      </c>
      <c r="F2305" s="303">
        <f t="shared" si="96"/>
        <v>24.6</v>
      </c>
      <c r="G2305" s="28">
        <f>ROUND(E2305*F2305,2)</f>
        <v>0.25</v>
      </c>
    </row>
    <row r="2306" spans="3:9" x14ac:dyDescent="0.3">
      <c r="C2306" s="1019" t="s">
        <v>945</v>
      </c>
      <c r="D2306" s="1019"/>
      <c r="E2306" s="1019"/>
      <c r="F2306" s="1019"/>
      <c r="G2306" s="332">
        <f>SUM(G2296:G2305)</f>
        <v>13.43</v>
      </c>
    </row>
    <row r="2308" spans="3:9" x14ac:dyDescent="0.3">
      <c r="C2308" s="12" t="s">
        <v>968</v>
      </c>
      <c r="D2308" s="227"/>
      <c r="E2308" s="227"/>
      <c r="F2308" s="298">
        <f>H2311</f>
        <v>0.14000000000000001</v>
      </c>
      <c r="G2308" s="227" t="s">
        <v>971</v>
      </c>
    </row>
    <row r="2309" spans="3:9" x14ac:dyDescent="0.3">
      <c r="C2309" s="22"/>
      <c r="D2309" s="36"/>
      <c r="E2309" s="36"/>
      <c r="F2309" s="302"/>
      <c r="G2309" s="36"/>
    </row>
    <row r="2310" spans="3:9" ht="27.6" x14ac:dyDescent="0.3">
      <c r="C2310" s="14" t="s">
        <v>513</v>
      </c>
      <c r="D2310" s="14" t="s">
        <v>969</v>
      </c>
      <c r="E2310" s="14" t="s">
        <v>516</v>
      </c>
      <c r="F2310" s="14" t="s">
        <v>970</v>
      </c>
      <c r="G2310" s="14" t="s">
        <v>930</v>
      </c>
      <c r="H2310" s="14" t="s">
        <v>961</v>
      </c>
    </row>
    <row r="2311" spans="3:9" x14ac:dyDescent="0.3">
      <c r="C2311" s="17" t="s">
        <v>1107</v>
      </c>
      <c r="D2311" s="73">
        <f>D2256</f>
        <v>7000</v>
      </c>
      <c r="E2311" s="73">
        <v>12562.55</v>
      </c>
      <c r="F2311" s="73">
        <f>ROUND((D2311/E2311)/60,2)</f>
        <v>0.01</v>
      </c>
      <c r="G2311" s="73">
        <f>E2290</f>
        <v>14</v>
      </c>
      <c r="H2311" s="78">
        <f>ROUND(F2311*G2311,2)</f>
        <v>0.14000000000000001</v>
      </c>
      <c r="I2311" s="333"/>
    </row>
    <row r="2313" spans="3:9" x14ac:dyDescent="0.3">
      <c r="C2313" s="12" t="s">
        <v>948</v>
      </c>
      <c r="D2313" s="227"/>
      <c r="E2313" s="227"/>
      <c r="F2313" s="298">
        <f>H2326</f>
        <v>2.04</v>
      </c>
      <c r="G2313" s="227" t="s">
        <v>971</v>
      </c>
    </row>
    <row r="2314" spans="3:9" x14ac:dyDescent="0.3">
      <c r="C2314" s="22"/>
      <c r="D2314" s="36"/>
      <c r="E2314" s="36"/>
      <c r="F2314" s="302"/>
    </row>
    <row r="2315" spans="3:9" ht="41.4" x14ac:dyDescent="0.3">
      <c r="C2315" s="14" t="s">
        <v>948</v>
      </c>
      <c r="D2315" s="14" t="s">
        <v>955</v>
      </c>
      <c r="E2315" s="14" t="s">
        <v>516</v>
      </c>
      <c r="F2315" s="14" t="s">
        <v>954</v>
      </c>
      <c r="G2315" s="14" t="s">
        <v>930</v>
      </c>
      <c r="H2315" s="14" t="s">
        <v>956</v>
      </c>
    </row>
    <row r="2316" spans="3:9" x14ac:dyDescent="0.3">
      <c r="C2316" s="1009" t="str">
        <f>C2285</f>
        <v>Лікар-фізіотерапевт</v>
      </c>
      <c r="D2316" s="1010"/>
      <c r="E2316" s="1010"/>
      <c r="F2316" s="1010"/>
      <c r="G2316" s="1010"/>
      <c r="H2316" s="1011"/>
    </row>
    <row r="2317" spans="3:9" x14ac:dyDescent="0.3">
      <c r="C2317" s="17" t="s">
        <v>951</v>
      </c>
      <c r="D2317" s="221">
        <f>D2262</f>
        <v>12188.608008565312</v>
      </c>
      <c r="E2317" s="73">
        <f>I2285</f>
        <v>1932.7</v>
      </c>
      <c r="F2317" s="73">
        <f>ROUND((D2317/E2317)/60,2)</f>
        <v>0.11</v>
      </c>
      <c r="G2317" s="73">
        <f>E2289</f>
        <v>3</v>
      </c>
      <c r="H2317" s="78">
        <f>ROUND(F2317*G2317,2)</f>
        <v>0.33</v>
      </c>
    </row>
    <row r="2318" spans="3:9" x14ac:dyDescent="0.3">
      <c r="C2318" s="17" t="s">
        <v>952</v>
      </c>
      <c r="D2318" s="221">
        <f>D2263</f>
        <v>53.149721627408987</v>
      </c>
      <c r="E2318" s="73">
        <f>I2285</f>
        <v>1932.7</v>
      </c>
      <c r="F2318" s="73">
        <f>ROUND((D2318/E2318)/60,2)</f>
        <v>0</v>
      </c>
      <c r="G2318" s="73">
        <f>E2289</f>
        <v>3</v>
      </c>
      <c r="H2318" s="78">
        <f>ROUND(F2318*G2318,2)</f>
        <v>0</v>
      </c>
    </row>
    <row r="2319" spans="3:9" x14ac:dyDescent="0.3">
      <c r="C2319" s="17" t="s">
        <v>953</v>
      </c>
      <c r="D2319" s="221">
        <f>D2264</f>
        <v>374.98368308351178</v>
      </c>
      <c r="E2319" s="73">
        <f>I2285</f>
        <v>1932.7</v>
      </c>
      <c r="F2319" s="73">
        <f>ROUND((D2319/E2319)/60,2)</f>
        <v>0</v>
      </c>
      <c r="G2319" s="73">
        <f>E2289</f>
        <v>3</v>
      </c>
      <c r="H2319" s="78">
        <f>ROUND(F2319*G2319,2)</f>
        <v>0</v>
      </c>
    </row>
    <row r="2320" spans="3:9" x14ac:dyDescent="0.3">
      <c r="C2320" s="17" t="s">
        <v>1109</v>
      </c>
      <c r="D2320" s="221">
        <f>D2265</f>
        <v>1686.0389293361886</v>
      </c>
      <c r="E2320" s="73">
        <f>I2285</f>
        <v>1932.7</v>
      </c>
      <c r="F2320" s="73">
        <f>ROUND((D2320/E2320)/60,2)</f>
        <v>0.01</v>
      </c>
      <c r="G2320" s="73">
        <f>E2289</f>
        <v>3</v>
      </c>
      <c r="H2320" s="78">
        <f>ROUND(F2320*G2320,2)</f>
        <v>0.03</v>
      </c>
    </row>
    <row r="2321" spans="2:15" x14ac:dyDescent="0.3">
      <c r="C2321" s="1009" t="str">
        <f>C2286</f>
        <v>Сестра медична з фізіотерапії</v>
      </c>
      <c r="D2321" s="1010"/>
      <c r="E2321" s="1010"/>
      <c r="F2321" s="1010"/>
      <c r="G2321" s="1010"/>
      <c r="H2321" s="1011"/>
    </row>
    <row r="2322" spans="2:15" x14ac:dyDescent="0.3">
      <c r="C2322" s="17" t="s">
        <v>951</v>
      </c>
      <c r="D2322" s="221">
        <f>D2317</f>
        <v>12188.608008565312</v>
      </c>
      <c r="E2322" s="73">
        <f>I2286</f>
        <v>1932.7</v>
      </c>
      <c r="F2322" s="73">
        <f>ROUND((D2322/E2322)/60,2)</f>
        <v>0.11</v>
      </c>
      <c r="G2322" s="73">
        <f>E2290</f>
        <v>14</v>
      </c>
      <c r="H2322" s="78">
        <f>ROUND(F2322*G2322,2)</f>
        <v>1.54</v>
      </c>
    </row>
    <row r="2323" spans="2:15" x14ac:dyDescent="0.3">
      <c r="C2323" s="17" t="s">
        <v>952</v>
      </c>
      <c r="D2323" s="221">
        <f>D2318</f>
        <v>53.149721627408987</v>
      </c>
      <c r="E2323" s="73">
        <f>I2286</f>
        <v>1932.7</v>
      </c>
      <c r="F2323" s="73">
        <f>ROUND((D2323/E2323)/60,2)</f>
        <v>0</v>
      </c>
      <c r="G2323" s="73">
        <f>E2290</f>
        <v>14</v>
      </c>
      <c r="H2323" s="78">
        <f>ROUND(F2323*G2323,2)</f>
        <v>0</v>
      </c>
    </row>
    <row r="2324" spans="2:15" x14ac:dyDescent="0.3">
      <c r="C2324" s="17" t="s">
        <v>953</v>
      </c>
      <c r="D2324" s="221">
        <f>D2319</f>
        <v>374.98368308351178</v>
      </c>
      <c r="E2324" s="73">
        <f>I2286</f>
        <v>1932.7</v>
      </c>
      <c r="F2324" s="73">
        <f>ROUND((D2324/E2324)/60,2)</f>
        <v>0</v>
      </c>
      <c r="G2324" s="73">
        <f>E2290</f>
        <v>14</v>
      </c>
      <c r="H2324" s="78">
        <f>ROUND(F2324*G2324,2)</f>
        <v>0</v>
      </c>
    </row>
    <row r="2325" spans="2:15" x14ac:dyDescent="0.3">
      <c r="C2325" s="17" t="s">
        <v>1109</v>
      </c>
      <c r="D2325" s="221">
        <f>D2320</f>
        <v>1686.0389293361886</v>
      </c>
      <c r="E2325" s="73">
        <f>I2286</f>
        <v>1932.7</v>
      </c>
      <c r="F2325" s="73">
        <f>ROUND((D2325/E2325)/60,2)</f>
        <v>0.01</v>
      </c>
      <c r="G2325" s="73">
        <f>E2290</f>
        <v>14</v>
      </c>
      <c r="H2325" s="78">
        <f>ROUND(F2325*G2325,2)</f>
        <v>0.14000000000000001</v>
      </c>
    </row>
    <row r="2326" spans="2:15" x14ac:dyDescent="0.3">
      <c r="C2326" s="1012" t="s">
        <v>957</v>
      </c>
      <c r="D2326" s="1013"/>
      <c r="E2326" s="1013"/>
      <c r="F2326" s="1013"/>
      <c r="G2326" s="1014"/>
      <c r="H2326" s="299">
        <f>SUM(H2317:H2325)</f>
        <v>2.04</v>
      </c>
    </row>
    <row r="2328" spans="2:15" x14ac:dyDescent="0.3">
      <c r="C2328" s="1015" t="s">
        <v>959</v>
      </c>
      <c r="D2328" s="1015"/>
      <c r="E2328" s="1015"/>
      <c r="F2328" s="1015"/>
      <c r="G2328" s="1015"/>
      <c r="H2328" s="334">
        <f>F2282+F2294+F2313+F2308</f>
        <v>34.630000000000003</v>
      </c>
    </row>
    <row r="2329" spans="2:15" x14ac:dyDescent="0.3">
      <c r="C2329" s="33"/>
      <c r="D2329" s="33"/>
      <c r="E2329" s="33"/>
      <c r="F2329" s="33"/>
      <c r="G2329" s="33"/>
      <c r="H2329" s="335"/>
    </row>
    <row r="2330" spans="2:15" x14ac:dyDescent="0.3">
      <c r="C2330" s="1015" t="s">
        <v>960</v>
      </c>
      <c r="D2330" s="1015"/>
      <c r="E2330" s="1015"/>
      <c r="F2330" s="1015"/>
      <c r="G2330" s="1015"/>
      <c r="H2330" s="334">
        <f>ROUND(H2328,0)</f>
        <v>35</v>
      </c>
    </row>
    <row r="2333" spans="2:15" s="54" customFormat="1" ht="19.8" x14ac:dyDescent="0.4">
      <c r="B2333" s="1016" t="s">
        <v>958</v>
      </c>
      <c r="C2333" s="1016"/>
      <c r="D2333" s="1016"/>
      <c r="E2333" s="1016"/>
      <c r="F2333" s="1016"/>
      <c r="G2333" s="1016"/>
      <c r="H2333" s="1016"/>
      <c r="I2333" s="1016"/>
      <c r="J2333" s="1016"/>
      <c r="K2333" s="126"/>
      <c r="L2333" s="126"/>
      <c r="M2333" s="631"/>
      <c r="N2333" s="53"/>
      <c r="O2333" s="53"/>
    </row>
    <row r="2335" spans="2:15" s="54" customFormat="1" ht="19.8" x14ac:dyDescent="0.4">
      <c r="B2335" s="673" t="s">
        <v>873</v>
      </c>
      <c r="C2335" s="1017" t="s">
        <v>408</v>
      </c>
      <c r="D2335" s="1017"/>
      <c r="E2335" s="1017"/>
      <c r="F2335" s="296">
        <f>H2387</f>
        <v>62</v>
      </c>
      <c r="G2335" s="296" t="s">
        <v>971</v>
      </c>
      <c r="H2335" s="225"/>
      <c r="I2335" s="225"/>
      <c r="J2335" s="225"/>
      <c r="K2335" s="114"/>
      <c r="L2335" s="114"/>
      <c r="M2335" s="631"/>
      <c r="N2335" s="53"/>
      <c r="O2335" s="53"/>
    </row>
    <row r="2337" spans="2:15" x14ac:dyDescent="0.3">
      <c r="C2337" s="1018" t="s">
        <v>932</v>
      </c>
      <c r="D2337" s="1018"/>
      <c r="E2337" s="297"/>
      <c r="F2337" s="298">
        <f>F2344+F2347+F2345</f>
        <v>35.61</v>
      </c>
      <c r="G2337" s="227" t="s">
        <v>971</v>
      </c>
    </row>
    <row r="2339" spans="2:15" ht="27.6" x14ac:dyDescent="0.3">
      <c r="C2339" s="13" t="s">
        <v>929</v>
      </c>
      <c r="D2339" s="14" t="s">
        <v>928</v>
      </c>
      <c r="E2339" s="14" t="s">
        <v>514</v>
      </c>
      <c r="F2339" s="14" t="s">
        <v>515</v>
      </c>
      <c r="G2339" s="14" t="s">
        <v>962</v>
      </c>
      <c r="H2339" s="14" t="s">
        <v>926</v>
      </c>
      <c r="I2339" s="14" t="s">
        <v>516</v>
      </c>
      <c r="J2339" s="14" t="s">
        <v>961</v>
      </c>
    </row>
    <row r="2340" spans="2:15" x14ac:dyDescent="0.3">
      <c r="C2340" s="17" t="str">
        <f>C2230</f>
        <v>Лікар-фізіотерапевт</v>
      </c>
      <c r="D2340" s="78">
        <f>D2230</f>
        <v>10799.43</v>
      </c>
      <c r="E2340" s="78">
        <f>D2340*12</f>
        <v>129593.16</v>
      </c>
      <c r="F2340" s="78">
        <f>F2230</f>
        <v>8307.26</v>
      </c>
      <c r="G2340" s="78">
        <f>G2230</f>
        <v>4153.63</v>
      </c>
      <c r="H2340" s="78">
        <f>E2340+F2340+G2340</f>
        <v>142054.05000000002</v>
      </c>
      <c r="I2340" s="73">
        <v>1932.7</v>
      </c>
      <c r="J2340" s="78">
        <f>ROUND((H2340/I2340)/60,2)</f>
        <v>1.23</v>
      </c>
    </row>
    <row r="2341" spans="2:15" x14ac:dyDescent="0.3">
      <c r="C2341" s="17" t="str">
        <f>C2231</f>
        <v>Сестра медична з фізіотерапії</v>
      </c>
      <c r="D2341" s="78">
        <f>D2231</f>
        <v>7482.48</v>
      </c>
      <c r="E2341" s="78">
        <f>D2341*12</f>
        <v>89789.759999999995</v>
      </c>
      <c r="F2341" s="78">
        <f>F2231</f>
        <v>5755.75</v>
      </c>
      <c r="G2341" s="78">
        <f>G2231</f>
        <v>2877.875</v>
      </c>
      <c r="H2341" s="78">
        <f>E2341+F2341+G2341</f>
        <v>98423.384999999995</v>
      </c>
      <c r="I2341" s="73">
        <v>1932.7</v>
      </c>
      <c r="J2341" s="78">
        <f>ROUND((H2341/I2341)/60,2)</f>
        <v>0.85</v>
      </c>
    </row>
    <row r="2343" spans="2:15" ht="27.6" x14ac:dyDescent="0.3">
      <c r="C2343" s="13" t="s">
        <v>929</v>
      </c>
      <c r="D2343" s="14" t="s">
        <v>961</v>
      </c>
      <c r="E2343" s="14" t="s">
        <v>930</v>
      </c>
      <c r="F2343" s="14" t="s">
        <v>931</v>
      </c>
    </row>
    <row r="2344" spans="2:15" x14ac:dyDescent="0.3">
      <c r="C2344" s="15" t="str">
        <f>C2340</f>
        <v>Лікар-фізіотерапевт</v>
      </c>
      <c r="D2344" s="78">
        <f>J2340</f>
        <v>1.23</v>
      </c>
      <c r="E2344" s="73">
        <v>3</v>
      </c>
      <c r="F2344" s="299">
        <f>ROUND(D2344*E2344,2)</f>
        <v>3.69</v>
      </c>
    </row>
    <row r="2345" spans="2:15" x14ac:dyDescent="0.3">
      <c r="C2345" s="15" t="str">
        <f>C2341</f>
        <v>Сестра медична з фізіотерапії</v>
      </c>
      <c r="D2345" s="78">
        <f>J2341</f>
        <v>0.85</v>
      </c>
      <c r="E2345" s="73">
        <v>30</v>
      </c>
      <c r="F2345" s="299">
        <f>ROUND(D2345*E2345,2)</f>
        <v>25.5</v>
      </c>
    </row>
    <row r="2346" spans="2:15" x14ac:dyDescent="0.3">
      <c r="D2346" s="19"/>
    </row>
    <row r="2347" spans="2:15" x14ac:dyDescent="0.3">
      <c r="C2347" s="17" t="s">
        <v>933</v>
      </c>
      <c r="D2347" s="78">
        <f>F2344+F2345</f>
        <v>29.19</v>
      </c>
      <c r="E2347" s="300">
        <v>0.22</v>
      </c>
      <c r="F2347" s="301">
        <f>ROUND(D2347*E2347,2)</f>
        <v>6.42</v>
      </c>
    </row>
    <row r="2349" spans="2:15" x14ac:dyDescent="0.3">
      <c r="C2349" s="12" t="s">
        <v>946</v>
      </c>
      <c r="D2349" s="227"/>
      <c r="E2349" s="227"/>
      <c r="F2349" s="227">
        <f>G2363</f>
        <v>21.97</v>
      </c>
      <c r="G2349" s="227" t="s">
        <v>971</v>
      </c>
    </row>
    <row r="2351" spans="2:15" s="184" customFormat="1" x14ac:dyDescent="0.3">
      <c r="B2351" s="672"/>
      <c r="C2351" s="165" t="s">
        <v>1131</v>
      </c>
      <c r="D2351" s="181" t="s">
        <v>944</v>
      </c>
      <c r="E2351" s="655">
        <v>0.01</v>
      </c>
      <c r="F2351" s="656">
        <f>'МЕДИЧНІ М'!E171</f>
        <v>154</v>
      </c>
      <c r="G2351" s="659">
        <f>ROUND(F2351*E2351,2)</f>
        <v>1.54</v>
      </c>
      <c r="H2351" s="336"/>
      <c r="I2351" s="336"/>
      <c r="J2351" s="336"/>
      <c r="K2351" s="189"/>
      <c r="L2351" s="189"/>
      <c r="M2351" s="637"/>
      <c r="N2351" s="180"/>
      <c r="O2351" s="180"/>
    </row>
    <row r="2352" spans="2:15" s="184" customFormat="1" x14ac:dyDescent="0.3">
      <c r="B2352" s="672"/>
      <c r="C2352" s="165" t="s">
        <v>1132</v>
      </c>
      <c r="D2352" s="181" t="s">
        <v>944</v>
      </c>
      <c r="E2352" s="655">
        <v>0.02</v>
      </c>
      <c r="F2352" s="656">
        <f>'МЕДИЧНІ М'!E169</f>
        <v>250</v>
      </c>
      <c r="G2352" s="659">
        <f>ROUND(F2352*E2352,2)</f>
        <v>5</v>
      </c>
      <c r="H2352" s="336"/>
      <c r="I2352" s="336"/>
      <c r="J2352" s="336"/>
      <c r="K2352" s="189"/>
      <c r="L2352" s="189"/>
      <c r="M2352" s="637"/>
      <c r="N2352" s="180"/>
      <c r="O2352" s="180"/>
    </row>
    <row r="2353" spans="3:9" x14ac:dyDescent="0.3">
      <c r="C2353" s="27" t="str">
        <f>'МЕДИЧНІ М'!B242</f>
        <v>Пелюшка поглинаюча 60/60</v>
      </c>
      <c r="D2353" s="28" t="s">
        <v>941</v>
      </c>
      <c r="E2353" s="158">
        <v>1</v>
      </c>
      <c r="F2353" s="81">
        <f>'МЕДИЧНІ М'!F242</f>
        <v>6</v>
      </c>
      <c r="G2353" s="228">
        <f>ROUND(F2353*E2353,2)</f>
        <v>6</v>
      </c>
    </row>
    <row r="2354" spans="3:9" x14ac:dyDescent="0.3">
      <c r="C2354" s="27" t="str">
        <f>C2297</f>
        <v>Антисептик для обробки рук</v>
      </c>
      <c r="D2354" s="303" t="str">
        <f>D2297</f>
        <v>мл</v>
      </c>
      <c r="E2354" s="303">
        <f>E2297</f>
        <v>1</v>
      </c>
      <c r="F2354" s="303">
        <f>F2297</f>
        <v>0.375</v>
      </c>
      <c r="G2354" s="228">
        <f>ROUND(F2354*E2354,2)</f>
        <v>0.38</v>
      </c>
    </row>
    <row r="2355" spans="3:9" x14ac:dyDescent="0.3">
      <c r="C2355" s="27" t="str">
        <f t="shared" ref="C2355:F2362" si="97">C2298</f>
        <v>Антисептик швидкої дії</v>
      </c>
      <c r="D2355" s="303" t="str">
        <f t="shared" si="97"/>
        <v>мл</v>
      </c>
      <c r="E2355" s="303">
        <f t="shared" si="97"/>
        <v>1</v>
      </c>
      <c r="F2355" s="303">
        <f t="shared" si="97"/>
        <v>0.28799999999999998</v>
      </c>
      <c r="G2355" s="228">
        <f>ROUND(F2355*E2355,2)</f>
        <v>0.28999999999999998</v>
      </c>
    </row>
    <row r="2356" spans="3:9" x14ac:dyDescent="0.3">
      <c r="C2356" s="27" t="str">
        <f t="shared" si="97"/>
        <v>Вата 100 гр.</v>
      </c>
      <c r="D2356" s="303" t="str">
        <f t="shared" si="97"/>
        <v>г</v>
      </c>
      <c r="E2356" s="303">
        <f t="shared" si="97"/>
        <v>0.01</v>
      </c>
      <c r="F2356" s="303">
        <f t="shared" si="97"/>
        <v>6.72</v>
      </c>
      <c r="G2356" s="28">
        <f>ROUND(E2356*F2356,2)</f>
        <v>7.0000000000000007E-2</v>
      </c>
    </row>
    <row r="2357" spans="3:9" x14ac:dyDescent="0.3">
      <c r="C2357" s="27" t="str">
        <f t="shared" si="97"/>
        <v>Деззасоби</v>
      </c>
      <c r="D2357" s="303" t="str">
        <f t="shared" si="97"/>
        <v>г</v>
      </c>
      <c r="E2357" s="303">
        <f t="shared" si="97"/>
        <v>0.5</v>
      </c>
      <c r="F2357" s="303">
        <f t="shared" si="97"/>
        <v>0.5</v>
      </c>
      <c r="G2357" s="28">
        <f>ROUND(E2357*F2357,2)</f>
        <v>0.25</v>
      </c>
    </row>
    <row r="2358" spans="3:9" x14ac:dyDescent="0.3">
      <c r="C2358" s="27" t="str">
        <f t="shared" si="97"/>
        <v>Маска одноразова тришарова на резинці</v>
      </c>
      <c r="D2358" s="303" t="str">
        <f t="shared" si="97"/>
        <v>шт</v>
      </c>
      <c r="E2358" s="303">
        <f t="shared" si="97"/>
        <v>1</v>
      </c>
      <c r="F2358" s="303">
        <f t="shared" si="97"/>
        <v>2</v>
      </c>
      <c r="G2358" s="28">
        <f>ROUND(E2358*F2358,2)</f>
        <v>2</v>
      </c>
    </row>
    <row r="2359" spans="3:9" x14ac:dyDescent="0.3">
      <c r="C2359" s="27" t="str">
        <f t="shared" si="97"/>
        <v>Мило рідке</v>
      </c>
      <c r="D2359" s="303" t="str">
        <f t="shared" si="97"/>
        <v>мл</v>
      </c>
      <c r="E2359" s="303">
        <f t="shared" si="97"/>
        <v>1</v>
      </c>
      <c r="F2359" s="303">
        <f t="shared" si="97"/>
        <v>0.19600000000000001</v>
      </c>
      <c r="G2359" s="228">
        <f>ROUND(F2359*E2359,2)</f>
        <v>0.2</v>
      </c>
    </row>
    <row r="2360" spans="3:9" x14ac:dyDescent="0.3">
      <c r="C2360" s="27" t="str">
        <f t="shared" si="97"/>
        <v>Рукавиці не стерильні</v>
      </c>
      <c r="D2360" s="303" t="str">
        <f t="shared" si="97"/>
        <v>пара</v>
      </c>
      <c r="E2360" s="303">
        <f t="shared" si="97"/>
        <v>0.1</v>
      </c>
      <c r="F2360" s="303">
        <f t="shared" si="97"/>
        <v>7.39</v>
      </c>
      <c r="G2360" s="228">
        <f>ROUND(F2360*E2360,2)</f>
        <v>0.74</v>
      </c>
    </row>
    <row r="2361" spans="3:9" x14ac:dyDescent="0.3">
      <c r="C2361" s="27" t="str">
        <f t="shared" si="97"/>
        <v>Рушник паперовий</v>
      </c>
      <c r="D2361" s="303" t="str">
        <f t="shared" si="97"/>
        <v>шт</v>
      </c>
      <c r="E2361" s="303">
        <f t="shared" si="97"/>
        <v>0.3</v>
      </c>
      <c r="F2361" s="303">
        <f t="shared" si="97"/>
        <v>17.5</v>
      </c>
      <c r="G2361" s="228">
        <f>ROUND(F2361*E2361,2)</f>
        <v>5.25</v>
      </c>
    </row>
    <row r="2362" spans="3:9" x14ac:dyDescent="0.3">
      <c r="C2362" s="27" t="str">
        <f t="shared" si="97"/>
        <v xml:space="preserve">Спирт 70% 100мл </v>
      </c>
      <c r="D2362" s="303" t="str">
        <f t="shared" si="97"/>
        <v>фл/гр.</v>
      </c>
      <c r="E2362" s="303">
        <f t="shared" si="97"/>
        <v>0.01</v>
      </c>
      <c r="F2362" s="303">
        <f t="shared" si="97"/>
        <v>24.6</v>
      </c>
      <c r="G2362" s="28">
        <f>ROUND(E2362*F2362,2)</f>
        <v>0.25</v>
      </c>
    </row>
    <row r="2363" spans="3:9" x14ac:dyDescent="0.3">
      <c r="C2363" s="1019" t="s">
        <v>945</v>
      </c>
      <c r="D2363" s="1019"/>
      <c r="E2363" s="1019"/>
      <c r="F2363" s="1019"/>
      <c r="G2363" s="332">
        <f>SUM(G2351:G2362)</f>
        <v>21.97</v>
      </c>
    </row>
    <row r="2365" spans="3:9" x14ac:dyDescent="0.3">
      <c r="C2365" s="12" t="s">
        <v>968</v>
      </c>
      <c r="D2365" s="227"/>
      <c r="E2365" s="227"/>
      <c r="F2365" s="298">
        <f>H2368</f>
        <v>0.3</v>
      </c>
      <c r="G2365" s="227" t="s">
        <v>971</v>
      </c>
    </row>
    <row r="2366" spans="3:9" x14ac:dyDescent="0.3">
      <c r="C2366" s="22"/>
      <c r="D2366" s="36"/>
      <c r="E2366" s="36"/>
      <c r="F2366" s="302"/>
      <c r="G2366" s="36"/>
    </row>
    <row r="2367" spans="3:9" ht="27.6" x14ac:dyDescent="0.3">
      <c r="C2367" s="14" t="s">
        <v>513</v>
      </c>
      <c r="D2367" s="14" t="s">
        <v>1108</v>
      </c>
      <c r="E2367" s="14" t="s">
        <v>516</v>
      </c>
      <c r="F2367" s="14" t="s">
        <v>970</v>
      </c>
      <c r="G2367" s="14" t="s">
        <v>930</v>
      </c>
      <c r="H2367" s="14" t="s">
        <v>961</v>
      </c>
    </row>
    <row r="2368" spans="3:9" x14ac:dyDescent="0.3">
      <c r="C2368" s="17" t="s">
        <v>1107</v>
      </c>
      <c r="D2368" s="73">
        <f>D2256</f>
        <v>7000</v>
      </c>
      <c r="E2368" s="73">
        <v>12562.55</v>
      </c>
      <c r="F2368" s="73">
        <f>ROUND((D2368/E2368)/60,2)</f>
        <v>0.01</v>
      </c>
      <c r="G2368" s="73">
        <f>E2345</f>
        <v>30</v>
      </c>
      <c r="H2368" s="78">
        <f>ROUND(F2368*G2368,2)</f>
        <v>0.3</v>
      </c>
      <c r="I2368" s="333"/>
    </row>
    <row r="2370" spans="3:8" x14ac:dyDescent="0.3">
      <c r="C2370" s="12" t="s">
        <v>948</v>
      </c>
      <c r="D2370" s="227"/>
      <c r="E2370" s="227"/>
      <c r="F2370" s="298">
        <f>H2383</f>
        <v>3.9599999999999995</v>
      </c>
      <c r="G2370" s="227" t="s">
        <v>971</v>
      </c>
    </row>
    <row r="2371" spans="3:8" x14ac:dyDescent="0.3">
      <c r="C2371" s="22"/>
      <c r="D2371" s="36"/>
      <c r="E2371" s="36"/>
      <c r="F2371" s="302"/>
    </row>
    <row r="2372" spans="3:8" ht="41.4" x14ac:dyDescent="0.3">
      <c r="C2372" s="14" t="s">
        <v>948</v>
      </c>
      <c r="D2372" s="14" t="s">
        <v>955</v>
      </c>
      <c r="E2372" s="14" t="s">
        <v>516</v>
      </c>
      <c r="F2372" s="14" t="s">
        <v>954</v>
      </c>
      <c r="G2372" s="14" t="s">
        <v>930</v>
      </c>
      <c r="H2372" s="14" t="s">
        <v>956</v>
      </c>
    </row>
    <row r="2373" spans="3:8" x14ac:dyDescent="0.3">
      <c r="C2373" s="1009" t="str">
        <f>C2340</f>
        <v>Лікар-фізіотерапевт</v>
      </c>
      <c r="D2373" s="1010"/>
      <c r="E2373" s="1010"/>
      <c r="F2373" s="1010"/>
      <c r="G2373" s="1010"/>
      <c r="H2373" s="1011"/>
    </row>
    <row r="2374" spans="3:8" x14ac:dyDescent="0.3">
      <c r="C2374" s="17" t="s">
        <v>951</v>
      </c>
      <c r="D2374" s="221">
        <f>D2262</f>
        <v>12188.608008565312</v>
      </c>
      <c r="E2374" s="73">
        <f>I2340</f>
        <v>1932.7</v>
      </c>
      <c r="F2374" s="73">
        <f>ROUND((D2374/E2374)/60,2)</f>
        <v>0.11</v>
      </c>
      <c r="G2374" s="73">
        <f>E2344</f>
        <v>3</v>
      </c>
      <c r="H2374" s="78">
        <f>ROUND(F2374*G2374,2)</f>
        <v>0.33</v>
      </c>
    </row>
    <row r="2375" spans="3:8" x14ac:dyDescent="0.3">
      <c r="C2375" s="17" t="s">
        <v>952</v>
      </c>
      <c r="D2375" s="221">
        <f>D2263</f>
        <v>53.149721627408987</v>
      </c>
      <c r="E2375" s="73">
        <f>I2340</f>
        <v>1932.7</v>
      </c>
      <c r="F2375" s="73">
        <f>ROUND((D2375/E2375)/60,2)</f>
        <v>0</v>
      </c>
      <c r="G2375" s="73">
        <f>E2344</f>
        <v>3</v>
      </c>
      <c r="H2375" s="78">
        <f>ROUND(F2375*G2375,2)</f>
        <v>0</v>
      </c>
    </row>
    <row r="2376" spans="3:8" x14ac:dyDescent="0.3">
      <c r="C2376" s="17" t="s">
        <v>953</v>
      </c>
      <c r="D2376" s="221">
        <f>D2264</f>
        <v>374.98368308351178</v>
      </c>
      <c r="E2376" s="73">
        <f>I2340</f>
        <v>1932.7</v>
      </c>
      <c r="F2376" s="73">
        <f>ROUND((D2376/E2376)/60,2)</f>
        <v>0</v>
      </c>
      <c r="G2376" s="73">
        <f>E2344</f>
        <v>3</v>
      </c>
      <c r="H2376" s="78">
        <f>ROUND(F2376*G2376,2)</f>
        <v>0</v>
      </c>
    </row>
    <row r="2377" spans="3:8" x14ac:dyDescent="0.3">
      <c r="C2377" s="17" t="s">
        <v>1109</v>
      </c>
      <c r="D2377" s="221">
        <f>D2265</f>
        <v>1686.0389293361886</v>
      </c>
      <c r="E2377" s="73">
        <f>I2340</f>
        <v>1932.7</v>
      </c>
      <c r="F2377" s="73">
        <f>ROUND((D2377/E2377)/60,2)</f>
        <v>0.01</v>
      </c>
      <c r="G2377" s="73">
        <f>E2344</f>
        <v>3</v>
      </c>
      <c r="H2377" s="78">
        <f>ROUND(F2377*G2377,2)</f>
        <v>0.03</v>
      </c>
    </row>
    <row r="2378" spans="3:8" x14ac:dyDescent="0.3">
      <c r="C2378" s="1009" t="str">
        <f>C2341</f>
        <v>Сестра медична з фізіотерапії</v>
      </c>
      <c r="D2378" s="1010"/>
      <c r="E2378" s="1010"/>
      <c r="F2378" s="1010"/>
      <c r="G2378" s="1010"/>
      <c r="H2378" s="1011"/>
    </row>
    <row r="2379" spans="3:8" x14ac:dyDescent="0.3">
      <c r="C2379" s="17" t="s">
        <v>951</v>
      </c>
      <c r="D2379" s="221">
        <f>D2374</f>
        <v>12188.608008565312</v>
      </c>
      <c r="E2379" s="73">
        <f>I2341</f>
        <v>1932.7</v>
      </c>
      <c r="F2379" s="73">
        <f>ROUND((D2379/E2379)/60,2)</f>
        <v>0.11</v>
      </c>
      <c r="G2379" s="73">
        <f>E2345</f>
        <v>30</v>
      </c>
      <c r="H2379" s="78">
        <f>ROUND(F2379*G2379,2)</f>
        <v>3.3</v>
      </c>
    </row>
    <row r="2380" spans="3:8" x14ac:dyDescent="0.3">
      <c r="C2380" s="17" t="s">
        <v>952</v>
      </c>
      <c r="D2380" s="221">
        <f>D2375</f>
        <v>53.149721627408987</v>
      </c>
      <c r="E2380" s="73">
        <f>I2341</f>
        <v>1932.7</v>
      </c>
      <c r="F2380" s="73">
        <f>ROUND((D2380/E2380)/60,2)</f>
        <v>0</v>
      </c>
      <c r="G2380" s="73">
        <f>E2345</f>
        <v>30</v>
      </c>
      <c r="H2380" s="78">
        <f>ROUND(F2380*G2380,2)</f>
        <v>0</v>
      </c>
    </row>
    <row r="2381" spans="3:8" x14ac:dyDescent="0.3">
      <c r="C2381" s="17" t="s">
        <v>953</v>
      </c>
      <c r="D2381" s="221">
        <f>D2376</f>
        <v>374.98368308351178</v>
      </c>
      <c r="E2381" s="73">
        <f>I2341</f>
        <v>1932.7</v>
      </c>
      <c r="F2381" s="73">
        <f>ROUND((D2381/E2381)/60,2)</f>
        <v>0</v>
      </c>
      <c r="G2381" s="73">
        <f>E2345</f>
        <v>30</v>
      </c>
      <c r="H2381" s="78">
        <f>ROUND(F2381*G2381,2)</f>
        <v>0</v>
      </c>
    </row>
    <row r="2382" spans="3:8" x14ac:dyDescent="0.3">
      <c r="C2382" s="17" t="s">
        <v>1109</v>
      </c>
      <c r="D2382" s="221">
        <f>D2377</f>
        <v>1686.0389293361886</v>
      </c>
      <c r="E2382" s="73">
        <f>I2341</f>
        <v>1932.7</v>
      </c>
      <c r="F2382" s="73">
        <f>ROUND((D2382/E2382)/60,2)</f>
        <v>0.01</v>
      </c>
      <c r="G2382" s="73">
        <f>E2345</f>
        <v>30</v>
      </c>
      <c r="H2382" s="78">
        <f>ROUND(F2382*G2382,2)</f>
        <v>0.3</v>
      </c>
    </row>
    <row r="2383" spans="3:8" x14ac:dyDescent="0.3">
      <c r="C2383" s="1012" t="s">
        <v>957</v>
      </c>
      <c r="D2383" s="1013"/>
      <c r="E2383" s="1013"/>
      <c r="F2383" s="1013"/>
      <c r="G2383" s="1014"/>
      <c r="H2383" s="299">
        <f>SUM(H2374:H2382)</f>
        <v>3.9599999999999995</v>
      </c>
    </row>
    <row r="2385" spans="2:15" x14ac:dyDescent="0.3">
      <c r="C2385" s="1015" t="s">
        <v>959</v>
      </c>
      <c r="D2385" s="1015"/>
      <c r="E2385" s="1015"/>
      <c r="F2385" s="1015"/>
      <c r="G2385" s="1015"/>
      <c r="H2385" s="334">
        <f>F2337+F2349+F2370+F2365</f>
        <v>61.839999999999996</v>
      </c>
    </row>
    <row r="2386" spans="2:15" x14ac:dyDescent="0.3">
      <c r="C2386" s="33"/>
      <c r="D2386" s="33"/>
      <c r="E2386" s="33"/>
      <c r="F2386" s="33"/>
      <c r="G2386" s="33"/>
      <c r="H2386" s="335"/>
    </row>
    <row r="2387" spans="2:15" x14ac:dyDescent="0.3">
      <c r="C2387" s="1015" t="s">
        <v>960</v>
      </c>
      <c r="D2387" s="1015"/>
      <c r="E2387" s="1015"/>
      <c r="F2387" s="1015"/>
      <c r="G2387" s="1015"/>
      <c r="H2387" s="334">
        <f>ROUND(H2385,0)</f>
        <v>62</v>
      </c>
    </row>
    <row r="2389" spans="2:15" s="54" customFormat="1" ht="19.8" x14ac:dyDescent="0.4">
      <c r="B2389" s="1016" t="s">
        <v>958</v>
      </c>
      <c r="C2389" s="1016"/>
      <c r="D2389" s="1016"/>
      <c r="E2389" s="1016"/>
      <c r="F2389" s="1016"/>
      <c r="G2389" s="1016"/>
      <c r="H2389" s="1016"/>
      <c r="I2389" s="1016"/>
      <c r="J2389" s="1016"/>
      <c r="K2389" s="126"/>
      <c r="L2389" s="126"/>
      <c r="M2389" s="631"/>
      <c r="N2389" s="53"/>
      <c r="O2389" s="53"/>
    </row>
    <row r="2390" spans="2:15" ht="9" customHeight="1" x14ac:dyDescent="0.3"/>
    <row r="2391" spans="2:15" s="57" customFormat="1" ht="19.8" x14ac:dyDescent="0.4">
      <c r="B2391" s="674" t="s">
        <v>875</v>
      </c>
      <c r="C2391" s="1017" t="s">
        <v>880</v>
      </c>
      <c r="D2391" s="1017"/>
      <c r="E2391" s="1017"/>
      <c r="F2391" s="296">
        <f>H2442</f>
        <v>33</v>
      </c>
      <c r="G2391" s="296" t="s">
        <v>971</v>
      </c>
      <c r="H2391" s="225"/>
      <c r="I2391" s="225"/>
      <c r="J2391" s="225"/>
      <c r="K2391" s="120"/>
      <c r="L2391" s="120"/>
      <c r="M2391" s="631"/>
      <c r="N2391" s="56"/>
      <c r="O2391" s="56"/>
    </row>
    <row r="2392" spans="2:15" ht="9" customHeight="1" x14ac:dyDescent="0.3"/>
    <row r="2393" spans="2:15" x14ac:dyDescent="0.3">
      <c r="C2393" s="1018" t="s">
        <v>932</v>
      </c>
      <c r="D2393" s="1018"/>
      <c r="E2393" s="297"/>
      <c r="F2393" s="298">
        <f>F2400+F2403+F2401</f>
        <v>20.240000000000002</v>
      </c>
      <c r="G2393" s="227" t="s">
        <v>971</v>
      </c>
    </row>
    <row r="2394" spans="2:15" ht="7.5" customHeight="1" x14ac:dyDescent="0.3"/>
    <row r="2395" spans="2:15" ht="27.6" x14ac:dyDescent="0.3">
      <c r="C2395" s="13" t="s">
        <v>929</v>
      </c>
      <c r="D2395" s="14" t="s">
        <v>928</v>
      </c>
      <c r="E2395" s="14" t="s">
        <v>514</v>
      </c>
      <c r="F2395" s="14" t="s">
        <v>515</v>
      </c>
      <c r="G2395" s="14" t="s">
        <v>962</v>
      </c>
      <c r="H2395" s="14" t="s">
        <v>926</v>
      </c>
      <c r="I2395" s="14" t="s">
        <v>516</v>
      </c>
      <c r="J2395" s="14" t="s">
        <v>961</v>
      </c>
    </row>
    <row r="2396" spans="2:15" x14ac:dyDescent="0.3">
      <c r="C2396" s="17" t="str">
        <f>C2340</f>
        <v>Лікар-фізіотерапевт</v>
      </c>
      <c r="D2396" s="78">
        <f>D2340</f>
        <v>10799.43</v>
      </c>
      <c r="E2396" s="78">
        <f>D2396*12</f>
        <v>129593.16</v>
      </c>
      <c r="F2396" s="78">
        <f>F2340</f>
        <v>8307.26</v>
      </c>
      <c r="G2396" s="78">
        <v>4456</v>
      </c>
      <c r="H2396" s="78">
        <f>E2396+F2396+G2396</f>
        <v>142356.42000000001</v>
      </c>
      <c r="I2396" s="73">
        <v>1932.7</v>
      </c>
      <c r="J2396" s="78">
        <f>ROUND((H2396/I2396)/60,2)</f>
        <v>1.23</v>
      </c>
    </row>
    <row r="2397" spans="2:15" x14ac:dyDescent="0.3">
      <c r="C2397" s="17" t="str">
        <f>C2341</f>
        <v>Сестра медична з фізіотерапії</v>
      </c>
      <c r="D2397" s="78">
        <f>D2341</f>
        <v>7482.48</v>
      </c>
      <c r="E2397" s="78">
        <f>D2397*12</f>
        <v>89789.759999999995</v>
      </c>
      <c r="F2397" s="78">
        <f>F2341</f>
        <v>5755.75</v>
      </c>
      <c r="G2397" s="78">
        <v>4181.3999999999996</v>
      </c>
      <c r="H2397" s="78">
        <f>E2397+F2397+G2397</f>
        <v>99726.909999999989</v>
      </c>
      <c r="I2397" s="73">
        <v>1932.7</v>
      </c>
      <c r="J2397" s="78">
        <f>ROUND((H2397/I2397)/60,2)</f>
        <v>0.86</v>
      </c>
    </row>
    <row r="2399" spans="2:15" ht="27.6" x14ac:dyDescent="0.3">
      <c r="C2399" s="13" t="s">
        <v>929</v>
      </c>
      <c r="D2399" s="14" t="s">
        <v>961</v>
      </c>
      <c r="E2399" s="14" t="s">
        <v>930</v>
      </c>
      <c r="F2399" s="14" t="s">
        <v>931</v>
      </c>
    </row>
    <row r="2400" spans="2:15" x14ac:dyDescent="0.3">
      <c r="C2400" s="15" t="str">
        <f>C2396</f>
        <v>Лікар-фізіотерапевт</v>
      </c>
      <c r="D2400" s="78">
        <f>J2396</f>
        <v>1.23</v>
      </c>
      <c r="E2400" s="73">
        <v>3</v>
      </c>
      <c r="F2400" s="299">
        <f>ROUND(D2400*E2400,2)</f>
        <v>3.69</v>
      </c>
    </row>
    <row r="2401" spans="2:15" x14ac:dyDescent="0.3">
      <c r="C2401" s="15" t="str">
        <f>C2397</f>
        <v>Сестра медична з фізіотерапії</v>
      </c>
      <c r="D2401" s="78">
        <f>J2397</f>
        <v>0.86</v>
      </c>
      <c r="E2401" s="73">
        <v>15</v>
      </c>
      <c r="F2401" s="299">
        <f>ROUND(D2401*E2401,2)</f>
        <v>12.9</v>
      </c>
    </row>
    <row r="2402" spans="2:15" x14ac:dyDescent="0.3">
      <c r="D2402" s="19"/>
    </row>
    <row r="2403" spans="2:15" x14ac:dyDescent="0.3">
      <c r="C2403" s="17" t="s">
        <v>933</v>
      </c>
      <c r="D2403" s="78">
        <f>F2400+F2401</f>
        <v>16.59</v>
      </c>
      <c r="E2403" s="300">
        <v>0.22</v>
      </c>
      <c r="F2403" s="301">
        <f>ROUND(D2403*E2403,2)</f>
        <v>3.65</v>
      </c>
    </row>
    <row r="2404" spans="2:15" ht="6.75" customHeight="1" x14ac:dyDescent="0.3"/>
    <row r="2405" spans="2:15" x14ac:dyDescent="0.3">
      <c r="C2405" s="12" t="s">
        <v>946</v>
      </c>
      <c r="D2405" s="227"/>
      <c r="E2405" s="227"/>
      <c r="F2405" s="227">
        <f>G2417</f>
        <v>10.25</v>
      </c>
      <c r="G2405" s="227" t="s">
        <v>971</v>
      </c>
    </row>
    <row r="2406" spans="2:15" ht="6" customHeight="1" x14ac:dyDescent="0.3"/>
    <row r="2407" spans="2:15" x14ac:dyDescent="0.3">
      <c r="C2407" s="27" t="str">
        <f>C2354</f>
        <v>Антисептик для обробки рук</v>
      </c>
      <c r="D2407" s="303" t="str">
        <f>D2354</f>
        <v>мл</v>
      </c>
      <c r="E2407" s="303">
        <f>E2354</f>
        <v>1</v>
      </c>
      <c r="F2407" s="303">
        <f>F2354</f>
        <v>0.375</v>
      </c>
      <c r="G2407" s="228">
        <f>ROUND(F2407*E2407,2)</f>
        <v>0.38</v>
      </c>
    </row>
    <row r="2408" spans="2:15" x14ac:dyDescent="0.3">
      <c r="C2408" s="27" t="str">
        <f t="shared" ref="C2408:F2415" si="98">C2355</f>
        <v>Антисептик швидкої дії</v>
      </c>
      <c r="D2408" s="303" t="str">
        <f t="shared" si="98"/>
        <v>мл</v>
      </c>
      <c r="E2408" s="303">
        <f t="shared" si="98"/>
        <v>1</v>
      </c>
      <c r="F2408" s="303">
        <f t="shared" si="98"/>
        <v>0.28799999999999998</v>
      </c>
      <c r="G2408" s="228">
        <f>ROUND(F2408*E2408,2)</f>
        <v>0.28999999999999998</v>
      </c>
    </row>
    <row r="2409" spans="2:15" x14ac:dyDescent="0.3">
      <c r="C2409" s="27" t="str">
        <f t="shared" si="98"/>
        <v>Вата 100 гр.</v>
      </c>
      <c r="D2409" s="303" t="str">
        <f t="shared" si="98"/>
        <v>г</v>
      </c>
      <c r="E2409" s="303">
        <f t="shared" si="98"/>
        <v>0.01</v>
      </c>
      <c r="F2409" s="303">
        <f t="shared" si="98"/>
        <v>6.72</v>
      </c>
      <c r="G2409" s="228">
        <f>ROUND(F2409*E2409,2)</f>
        <v>7.0000000000000007E-2</v>
      </c>
    </row>
    <row r="2410" spans="2:15" x14ac:dyDescent="0.3">
      <c r="C2410" s="27" t="str">
        <f t="shared" si="98"/>
        <v>Деззасоби</v>
      </c>
      <c r="D2410" s="303" t="str">
        <f t="shared" si="98"/>
        <v>г</v>
      </c>
      <c r="E2410" s="303">
        <f t="shared" si="98"/>
        <v>0.5</v>
      </c>
      <c r="F2410" s="303">
        <f t="shared" si="98"/>
        <v>0.5</v>
      </c>
      <c r="G2410" s="28">
        <f>ROUND(E2410*F2410,2)</f>
        <v>0.25</v>
      </c>
    </row>
    <row r="2411" spans="2:15" x14ac:dyDescent="0.3">
      <c r="C2411" s="27" t="str">
        <f t="shared" si="98"/>
        <v>Маска одноразова тришарова на резинці</v>
      </c>
      <c r="D2411" s="303" t="str">
        <f t="shared" si="98"/>
        <v>шт</v>
      </c>
      <c r="E2411" s="303">
        <f t="shared" si="98"/>
        <v>1</v>
      </c>
      <c r="F2411" s="303">
        <f t="shared" si="98"/>
        <v>2</v>
      </c>
      <c r="G2411" s="228">
        <f t="shared" ref="G2411:G2416" si="99">ROUND(F2411*E2411,2)</f>
        <v>2</v>
      </c>
    </row>
    <row r="2412" spans="2:15" x14ac:dyDescent="0.3">
      <c r="C2412" s="27" t="str">
        <f t="shared" si="98"/>
        <v>Мило рідке</v>
      </c>
      <c r="D2412" s="303" t="str">
        <f t="shared" si="98"/>
        <v>мл</v>
      </c>
      <c r="E2412" s="303">
        <f t="shared" si="98"/>
        <v>1</v>
      </c>
      <c r="F2412" s="303">
        <f t="shared" si="98"/>
        <v>0.19600000000000001</v>
      </c>
      <c r="G2412" s="228">
        <f t="shared" si="99"/>
        <v>0.2</v>
      </c>
    </row>
    <row r="2413" spans="2:15" x14ac:dyDescent="0.3">
      <c r="C2413" s="27" t="str">
        <f t="shared" si="98"/>
        <v>Рукавиці не стерильні</v>
      </c>
      <c r="D2413" s="303" t="str">
        <f t="shared" si="98"/>
        <v>пара</v>
      </c>
      <c r="E2413" s="303">
        <f t="shared" si="98"/>
        <v>0.1</v>
      </c>
      <c r="F2413" s="303">
        <f t="shared" si="98"/>
        <v>7.39</v>
      </c>
      <c r="G2413" s="28">
        <f>ROUND(E2413*F2413,2)</f>
        <v>0.74</v>
      </c>
    </row>
    <row r="2414" spans="2:15" x14ac:dyDescent="0.3">
      <c r="C2414" s="27" t="str">
        <f t="shared" si="98"/>
        <v>Рушник паперовий</v>
      </c>
      <c r="D2414" s="303" t="str">
        <f t="shared" si="98"/>
        <v>шт</v>
      </c>
      <c r="E2414" s="303">
        <f t="shared" si="98"/>
        <v>0.3</v>
      </c>
      <c r="F2414" s="303">
        <f t="shared" si="98"/>
        <v>17.5</v>
      </c>
      <c r="G2414" s="228">
        <f t="shared" si="99"/>
        <v>5.25</v>
      </c>
    </row>
    <row r="2415" spans="2:15" s="184" customFormat="1" x14ac:dyDescent="0.3">
      <c r="B2415" s="672"/>
      <c r="C2415" s="27" t="str">
        <f t="shared" si="98"/>
        <v xml:space="preserve">Спирт 70% 100мл </v>
      </c>
      <c r="D2415" s="303" t="str">
        <f t="shared" si="98"/>
        <v>фл/гр.</v>
      </c>
      <c r="E2415" s="303">
        <f t="shared" si="98"/>
        <v>0.01</v>
      </c>
      <c r="F2415" s="303">
        <f t="shared" si="98"/>
        <v>24.6</v>
      </c>
      <c r="G2415" s="186">
        <f t="shared" si="99"/>
        <v>0.25</v>
      </c>
      <c r="H2415" s="336"/>
      <c r="I2415" s="336"/>
      <c r="J2415" s="336"/>
      <c r="K2415" s="189"/>
      <c r="L2415" s="189"/>
      <c r="M2415" s="637"/>
      <c r="N2415" s="180"/>
      <c r="O2415" s="180"/>
    </row>
    <row r="2416" spans="2:15" x14ac:dyDescent="0.3">
      <c r="C2416" s="27" t="str">
        <f>'МЕДИЧНІ М'!B314</f>
        <v>Вазелін туба 25 г</v>
      </c>
      <c r="D2416" s="28" t="s">
        <v>941</v>
      </c>
      <c r="E2416" s="158">
        <v>0.1</v>
      </c>
      <c r="F2416" s="28">
        <f>'МЕДИЧНІ М'!F314</f>
        <v>8.19</v>
      </c>
      <c r="G2416" s="186">
        <f t="shared" si="99"/>
        <v>0.82</v>
      </c>
    </row>
    <row r="2417" spans="3:9" x14ac:dyDescent="0.3">
      <c r="C2417" s="1019" t="s">
        <v>945</v>
      </c>
      <c r="D2417" s="1019"/>
      <c r="E2417" s="1019"/>
      <c r="F2417" s="1019"/>
      <c r="G2417" s="332">
        <f>SUM(G2407:G2416)</f>
        <v>10.25</v>
      </c>
    </row>
    <row r="2418" spans="3:9" ht="8.25" customHeight="1" x14ac:dyDescent="0.3"/>
    <row r="2419" spans="3:9" x14ac:dyDescent="0.3">
      <c r="C2419" s="12" t="s">
        <v>968</v>
      </c>
      <c r="D2419" s="227"/>
      <c r="E2419" s="227"/>
      <c r="F2419" s="298">
        <f>H2422</f>
        <v>0.15</v>
      </c>
      <c r="G2419" s="227" t="s">
        <v>971</v>
      </c>
    </row>
    <row r="2420" spans="3:9" ht="8.25" customHeight="1" x14ac:dyDescent="0.3">
      <c r="C2420" s="22"/>
      <c r="D2420" s="36"/>
      <c r="E2420" s="36"/>
      <c r="F2420" s="302"/>
      <c r="G2420" s="36"/>
    </row>
    <row r="2421" spans="3:9" ht="27.6" x14ac:dyDescent="0.3">
      <c r="C2421" s="14" t="s">
        <v>513</v>
      </c>
      <c r="D2421" s="14" t="s">
        <v>969</v>
      </c>
      <c r="E2421" s="14" t="s">
        <v>516</v>
      </c>
      <c r="F2421" s="14" t="s">
        <v>970</v>
      </c>
      <c r="G2421" s="14" t="s">
        <v>930</v>
      </c>
      <c r="H2421" s="14" t="s">
        <v>961</v>
      </c>
    </row>
    <row r="2422" spans="3:9" x14ac:dyDescent="0.3">
      <c r="C2422" s="17" t="s">
        <v>1107</v>
      </c>
      <c r="D2422" s="73">
        <f>D2368</f>
        <v>7000</v>
      </c>
      <c r="E2422" s="73">
        <v>12562.55</v>
      </c>
      <c r="F2422" s="73">
        <f>ROUND((D2422/E2422)/60,2)</f>
        <v>0.01</v>
      </c>
      <c r="G2422" s="73">
        <f>E2401</f>
        <v>15</v>
      </c>
      <c r="H2422" s="78">
        <f>ROUND(F2422*G2422,2)</f>
        <v>0.15</v>
      </c>
      <c r="I2422" s="333"/>
    </row>
    <row r="2423" spans="3:9" ht="7.5" customHeight="1" x14ac:dyDescent="0.3"/>
    <row r="2424" spans="3:9" x14ac:dyDescent="0.3">
      <c r="C2424" s="12" t="s">
        <v>948</v>
      </c>
      <c r="D2424" s="227"/>
      <c r="E2424" s="227"/>
      <c r="F2424" s="298">
        <f>H2437</f>
        <v>2.1599999999999997</v>
      </c>
      <c r="G2424" s="227" t="s">
        <v>971</v>
      </c>
    </row>
    <row r="2425" spans="3:9" ht="8.25" customHeight="1" x14ac:dyDescent="0.3">
      <c r="C2425" s="22"/>
      <c r="D2425" s="36"/>
      <c r="E2425" s="36"/>
      <c r="F2425" s="302"/>
    </row>
    <row r="2426" spans="3:9" ht="41.4" x14ac:dyDescent="0.3">
      <c r="C2426" s="14" t="s">
        <v>948</v>
      </c>
      <c r="D2426" s="14" t="s">
        <v>955</v>
      </c>
      <c r="E2426" s="14" t="s">
        <v>516</v>
      </c>
      <c r="F2426" s="14" t="s">
        <v>954</v>
      </c>
      <c r="G2426" s="14" t="s">
        <v>930</v>
      </c>
      <c r="H2426" s="14" t="s">
        <v>956</v>
      </c>
    </row>
    <row r="2427" spans="3:9" x14ac:dyDescent="0.3">
      <c r="C2427" s="1009" t="str">
        <f>C2396</f>
        <v>Лікар-фізіотерапевт</v>
      </c>
      <c r="D2427" s="1010"/>
      <c r="E2427" s="1010"/>
      <c r="F2427" s="1010"/>
      <c r="G2427" s="1010"/>
      <c r="H2427" s="1011"/>
    </row>
    <row r="2428" spans="3:9" x14ac:dyDescent="0.3">
      <c r="C2428" s="17" t="s">
        <v>951</v>
      </c>
      <c r="D2428" s="221">
        <f>D2374</f>
        <v>12188.608008565312</v>
      </c>
      <c r="E2428" s="73">
        <f>I2396</f>
        <v>1932.7</v>
      </c>
      <c r="F2428" s="73">
        <f>ROUND((D2428/E2428)/60,2)</f>
        <v>0.11</v>
      </c>
      <c r="G2428" s="73">
        <f>E2400</f>
        <v>3</v>
      </c>
      <c r="H2428" s="78">
        <f>ROUND(F2428*G2428,2)</f>
        <v>0.33</v>
      </c>
    </row>
    <row r="2429" spans="3:9" x14ac:dyDescent="0.3">
      <c r="C2429" s="17" t="s">
        <v>952</v>
      </c>
      <c r="D2429" s="221">
        <f>D2375</f>
        <v>53.149721627408987</v>
      </c>
      <c r="E2429" s="73">
        <f>I2396</f>
        <v>1932.7</v>
      </c>
      <c r="F2429" s="73">
        <f>ROUND((D2429/E2429)/60,2)</f>
        <v>0</v>
      </c>
      <c r="G2429" s="73">
        <f>E2400</f>
        <v>3</v>
      </c>
      <c r="H2429" s="78">
        <f>ROUND(F2429*G2429,2)</f>
        <v>0</v>
      </c>
    </row>
    <row r="2430" spans="3:9" x14ac:dyDescent="0.3">
      <c r="C2430" s="17" t="s">
        <v>953</v>
      </c>
      <c r="D2430" s="221">
        <f>D2376</f>
        <v>374.98368308351178</v>
      </c>
      <c r="E2430" s="73">
        <f>I2396</f>
        <v>1932.7</v>
      </c>
      <c r="F2430" s="73">
        <f>ROUND((D2430/E2430)/60,2)</f>
        <v>0</v>
      </c>
      <c r="G2430" s="73">
        <f>E2400</f>
        <v>3</v>
      </c>
      <c r="H2430" s="78">
        <f>ROUND(F2430*G2430,2)</f>
        <v>0</v>
      </c>
    </row>
    <row r="2431" spans="3:9" x14ac:dyDescent="0.3">
      <c r="C2431" s="17" t="s">
        <v>1109</v>
      </c>
      <c r="D2431" s="221">
        <f>D2377</f>
        <v>1686.0389293361886</v>
      </c>
      <c r="E2431" s="73">
        <f>I2396</f>
        <v>1932.7</v>
      </c>
      <c r="F2431" s="73">
        <f>ROUND((D2431/E2431)/60,2)</f>
        <v>0.01</v>
      </c>
      <c r="G2431" s="73">
        <f>E2400</f>
        <v>3</v>
      </c>
      <c r="H2431" s="78">
        <f>ROUND(F2431*G2431,2)</f>
        <v>0.03</v>
      </c>
    </row>
    <row r="2432" spans="3:9" x14ac:dyDescent="0.3">
      <c r="C2432" s="1009" t="str">
        <f>C2397</f>
        <v>Сестра медична з фізіотерапії</v>
      </c>
      <c r="D2432" s="1010"/>
      <c r="E2432" s="1010"/>
      <c r="F2432" s="1010"/>
      <c r="G2432" s="1010"/>
      <c r="H2432" s="1011"/>
    </row>
    <row r="2433" spans="2:15" x14ac:dyDescent="0.3">
      <c r="C2433" s="17" t="s">
        <v>951</v>
      </c>
      <c r="D2433" s="221">
        <f>D2428</f>
        <v>12188.608008565312</v>
      </c>
      <c r="E2433" s="73">
        <f>I2397</f>
        <v>1932.7</v>
      </c>
      <c r="F2433" s="73">
        <f>ROUND((D2433/E2433)/60,2)</f>
        <v>0.11</v>
      </c>
      <c r="G2433" s="73">
        <f>E2401</f>
        <v>15</v>
      </c>
      <c r="H2433" s="78">
        <f>ROUND(F2433*G2433,2)</f>
        <v>1.65</v>
      </c>
    </row>
    <row r="2434" spans="2:15" x14ac:dyDescent="0.3">
      <c r="C2434" s="17" t="s">
        <v>952</v>
      </c>
      <c r="D2434" s="221">
        <f>D2429</f>
        <v>53.149721627408987</v>
      </c>
      <c r="E2434" s="73">
        <f>I2397</f>
        <v>1932.7</v>
      </c>
      <c r="F2434" s="73">
        <f>ROUND((D2434/E2434)/60,2)</f>
        <v>0</v>
      </c>
      <c r="G2434" s="73">
        <f>E2401</f>
        <v>15</v>
      </c>
      <c r="H2434" s="78">
        <f>ROUND(F2434*G2434,2)</f>
        <v>0</v>
      </c>
    </row>
    <row r="2435" spans="2:15" x14ac:dyDescent="0.3">
      <c r="C2435" s="17" t="s">
        <v>953</v>
      </c>
      <c r="D2435" s="221">
        <f>D2430</f>
        <v>374.98368308351178</v>
      </c>
      <c r="E2435" s="73">
        <f>I2397</f>
        <v>1932.7</v>
      </c>
      <c r="F2435" s="73">
        <f>ROUND((D2435/E2435)/60,2)</f>
        <v>0</v>
      </c>
      <c r="G2435" s="73">
        <f>E2401</f>
        <v>15</v>
      </c>
      <c r="H2435" s="78">
        <f>ROUND(F2435*G2435,2)</f>
        <v>0</v>
      </c>
    </row>
    <row r="2436" spans="2:15" x14ac:dyDescent="0.3">
      <c r="C2436" s="17" t="s">
        <v>1109</v>
      </c>
      <c r="D2436" s="221">
        <f>D2431</f>
        <v>1686.0389293361886</v>
      </c>
      <c r="E2436" s="73">
        <f>I2397</f>
        <v>1932.7</v>
      </c>
      <c r="F2436" s="73">
        <f>ROUND((D2436/E2436)/60,2)</f>
        <v>0.01</v>
      </c>
      <c r="G2436" s="73">
        <f>E2401</f>
        <v>15</v>
      </c>
      <c r="H2436" s="78">
        <f>ROUND(F2436*G2436,2)</f>
        <v>0.15</v>
      </c>
    </row>
    <row r="2437" spans="2:15" x14ac:dyDescent="0.3">
      <c r="C2437" s="1012" t="s">
        <v>957</v>
      </c>
      <c r="D2437" s="1013"/>
      <c r="E2437" s="1013"/>
      <c r="F2437" s="1013"/>
      <c r="G2437" s="1014"/>
      <c r="H2437" s="299">
        <f>SUM(H2428:H2436)</f>
        <v>2.1599999999999997</v>
      </c>
    </row>
    <row r="2438" spans="2:15" ht="8.25" customHeight="1" x14ac:dyDescent="0.3"/>
    <row r="2440" spans="2:15" x14ac:dyDescent="0.3">
      <c r="C2440" s="1015" t="s">
        <v>959</v>
      </c>
      <c r="D2440" s="1015"/>
      <c r="E2440" s="1015"/>
      <c r="F2440" s="1015"/>
      <c r="G2440" s="1015"/>
      <c r="H2440" s="334">
        <f>F2393+F2405+F2424+F2419</f>
        <v>32.799999999999997</v>
      </c>
    </row>
    <row r="2441" spans="2:15" x14ac:dyDescent="0.3">
      <c r="C2441" s="33"/>
      <c r="D2441" s="33"/>
      <c r="E2441" s="33"/>
      <c r="F2441" s="33"/>
      <c r="G2441" s="33"/>
      <c r="H2441" s="335"/>
    </row>
    <row r="2442" spans="2:15" x14ac:dyDescent="0.3">
      <c r="C2442" s="1015" t="s">
        <v>960</v>
      </c>
      <c r="D2442" s="1015"/>
      <c r="E2442" s="1015"/>
      <c r="F2442" s="1015"/>
      <c r="G2442" s="1015"/>
      <c r="H2442" s="334">
        <f>ROUND(H2440,0)</f>
        <v>33</v>
      </c>
    </row>
    <row r="2443" spans="2:15" s="54" customFormat="1" ht="19.8" x14ac:dyDescent="0.4">
      <c r="B2443" s="1016"/>
      <c r="C2443" s="1016"/>
      <c r="D2443" s="1016"/>
      <c r="E2443" s="1016"/>
      <c r="F2443" s="1016"/>
      <c r="G2443" s="1016"/>
      <c r="H2443" s="1016"/>
      <c r="I2443" s="1016"/>
      <c r="J2443" s="1016"/>
      <c r="K2443" s="126"/>
      <c r="L2443" s="126"/>
      <c r="M2443" s="631"/>
      <c r="N2443" s="53"/>
      <c r="O2443" s="53"/>
    </row>
    <row r="2444" spans="2:15" s="54" customFormat="1" ht="19.8" x14ac:dyDescent="0.4">
      <c r="B2444" s="1016" t="s">
        <v>958</v>
      </c>
      <c r="C2444" s="1016"/>
      <c r="D2444" s="1016"/>
      <c r="E2444" s="1016"/>
      <c r="F2444" s="1016"/>
      <c r="G2444" s="1016"/>
      <c r="H2444" s="1016"/>
      <c r="I2444" s="1016"/>
      <c r="J2444" s="1016"/>
      <c r="K2444" s="126"/>
      <c r="L2444" s="126"/>
      <c r="M2444" s="631"/>
      <c r="N2444" s="53"/>
      <c r="O2444" s="53"/>
    </row>
    <row r="2445" spans="2:15" ht="9" customHeight="1" x14ac:dyDescent="0.3"/>
    <row r="2446" spans="2:15" s="57" customFormat="1" ht="19.8" x14ac:dyDescent="0.4">
      <c r="B2446" s="674" t="s">
        <v>877</v>
      </c>
      <c r="C2446" s="1017" t="s">
        <v>407</v>
      </c>
      <c r="D2446" s="1017"/>
      <c r="E2446" s="1017"/>
      <c r="F2446" s="296">
        <f>H2497</f>
        <v>37</v>
      </c>
      <c r="G2446" s="296" t="s">
        <v>971</v>
      </c>
      <c r="H2446" s="225"/>
      <c r="I2446" s="225"/>
      <c r="J2446" s="225"/>
      <c r="K2446" s="120"/>
      <c r="L2446" s="120"/>
      <c r="M2446" s="631"/>
      <c r="N2446" s="56"/>
      <c r="O2446" s="56"/>
    </row>
    <row r="2447" spans="2:15" ht="9" customHeight="1" x14ac:dyDescent="0.3"/>
    <row r="2448" spans="2:15" x14ac:dyDescent="0.3">
      <c r="C2448" s="1018" t="s">
        <v>932</v>
      </c>
      <c r="D2448" s="1018"/>
      <c r="E2448" s="297"/>
      <c r="F2448" s="298">
        <f>F2455+F2458+F2456</f>
        <v>20.240000000000002</v>
      </c>
      <c r="G2448" s="227" t="s">
        <v>971</v>
      </c>
    </row>
    <row r="2449" spans="3:10" ht="7.5" customHeight="1" x14ac:dyDescent="0.3"/>
    <row r="2450" spans="3:10" ht="27.6" x14ac:dyDescent="0.3">
      <c r="C2450" s="13" t="s">
        <v>929</v>
      </c>
      <c r="D2450" s="14" t="s">
        <v>928</v>
      </c>
      <c r="E2450" s="14" t="s">
        <v>514</v>
      </c>
      <c r="F2450" s="14" t="s">
        <v>515</v>
      </c>
      <c r="G2450" s="14" t="s">
        <v>962</v>
      </c>
      <c r="H2450" s="14" t="s">
        <v>926</v>
      </c>
      <c r="I2450" s="14" t="s">
        <v>516</v>
      </c>
      <c r="J2450" s="14" t="s">
        <v>961</v>
      </c>
    </row>
    <row r="2451" spans="3:10" x14ac:dyDescent="0.3">
      <c r="C2451" s="17" t="str">
        <f>C2396</f>
        <v>Лікар-фізіотерапевт</v>
      </c>
      <c r="D2451" s="78">
        <f>D2396</f>
        <v>10799.43</v>
      </c>
      <c r="E2451" s="78">
        <f>D2451*12</f>
        <v>129593.16</v>
      </c>
      <c r="F2451" s="78">
        <f>F2396</f>
        <v>8307.26</v>
      </c>
      <c r="G2451" s="78">
        <v>4456</v>
      </c>
      <c r="H2451" s="78">
        <f>E2451+F2451+G2451</f>
        <v>142356.42000000001</v>
      </c>
      <c r="I2451" s="73">
        <v>1932.7</v>
      </c>
      <c r="J2451" s="78">
        <f>ROUND((H2451/I2451)/60,2)</f>
        <v>1.23</v>
      </c>
    </row>
    <row r="2452" spans="3:10" x14ac:dyDescent="0.3">
      <c r="C2452" s="17" t="str">
        <f>C2397</f>
        <v>Сестра медична з фізіотерапії</v>
      </c>
      <c r="D2452" s="78">
        <f>D2397</f>
        <v>7482.48</v>
      </c>
      <c r="E2452" s="78">
        <f>D2452*12</f>
        <v>89789.759999999995</v>
      </c>
      <c r="F2452" s="78">
        <f>F2397</f>
        <v>5755.75</v>
      </c>
      <c r="G2452" s="78">
        <v>4181.3999999999996</v>
      </c>
      <c r="H2452" s="78">
        <f>E2452+F2452+G2452</f>
        <v>99726.909999999989</v>
      </c>
      <c r="I2452" s="73">
        <v>1932.7</v>
      </c>
      <c r="J2452" s="78">
        <f>ROUND((H2452/I2452)/60,2)</f>
        <v>0.86</v>
      </c>
    </row>
    <row r="2454" spans="3:10" ht="27.6" x14ac:dyDescent="0.3">
      <c r="C2454" s="13" t="s">
        <v>929</v>
      </c>
      <c r="D2454" s="14" t="s">
        <v>961</v>
      </c>
      <c r="E2454" s="14" t="s">
        <v>930</v>
      </c>
      <c r="F2454" s="14" t="s">
        <v>931</v>
      </c>
    </row>
    <row r="2455" spans="3:10" x14ac:dyDescent="0.3">
      <c r="C2455" s="15" t="str">
        <f>C2451</f>
        <v>Лікар-фізіотерапевт</v>
      </c>
      <c r="D2455" s="78">
        <f>J2451</f>
        <v>1.23</v>
      </c>
      <c r="E2455" s="73">
        <v>3</v>
      </c>
      <c r="F2455" s="299">
        <f>ROUND(D2455*E2455,2)</f>
        <v>3.69</v>
      </c>
    </row>
    <row r="2456" spans="3:10" x14ac:dyDescent="0.3">
      <c r="C2456" s="15" t="str">
        <f>C2452</f>
        <v>Сестра медична з фізіотерапії</v>
      </c>
      <c r="D2456" s="78">
        <f>J2452</f>
        <v>0.86</v>
      </c>
      <c r="E2456" s="73">
        <v>15</v>
      </c>
      <c r="F2456" s="299">
        <f>ROUND(D2456*E2456,2)</f>
        <v>12.9</v>
      </c>
    </row>
    <row r="2457" spans="3:10" x14ac:dyDescent="0.3">
      <c r="D2457" s="19"/>
    </row>
    <row r="2458" spans="3:10" x14ac:dyDescent="0.3">
      <c r="C2458" s="17" t="s">
        <v>933</v>
      </c>
      <c r="D2458" s="78">
        <f>F2455+F2456</f>
        <v>16.59</v>
      </c>
      <c r="E2458" s="300">
        <v>0.22</v>
      </c>
      <c r="F2458" s="301">
        <f>ROUND(D2458*E2458,2)</f>
        <v>3.65</v>
      </c>
    </row>
    <row r="2459" spans="3:10" ht="6.75" customHeight="1" x14ac:dyDescent="0.3"/>
    <row r="2460" spans="3:10" x14ac:dyDescent="0.3">
      <c r="C2460" s="12" t="s">
        <v>946</v>
      </c>
      <c r="D2460" s="227"/>
      <c r="E2460" s="227"/>
      <c r="F2460" s="227">
        <f>G2472</f>
        <v>14.23</v>
      </c>
      <c r="G2460" s="227" t="s">
        <v>971</v>
      </c>
    </row>
    <row r="2461" spans="3:10" ht="6" customHeight="1" x14ac:dyDescent="0.3"/>
    <row r="2462" spans="3:10" x14ac:dyDescent="0.3">
      <c r="C2462" s="27" t="str">
        <f>C2407</f>
        <v>Антисептик для обробки рук</v>
      </c>
      <c r="D2462" s="303" t="str">
        <f>D2407</f>
        <v>мл</v>
      </c>
      <c r="E2462" s="303">
        <f>E2407</f>
        <v>1</v>
      </c>
      <c r="F2462" s="303">
        <f>F2407</f>
        <v>0.375</v>
      </c>
      <c r="G2462" s="228">
        <f>ROUND(F2462*E2462,2)</f>
        <v>0.38</v>
      </c>
    </row>
    <row r="2463" spans="3:10" x14ac:dyDescent="0.3">
      <c r="C2463" s="27" t="str">
        <f t="shared" ref="C2463:F2471" si="100">C2408</f>
        <v>Антисептик швидкої дії</v>
      </c>
      <c r="D2463" s="303" t="str">
        <f t="shared" si="100"/>
        <v>мл</v>
      </c>
      <c r="E2463" s="303">
        <f t="shared" si="100"/>
        <v>1</v>
      </c>
      <c r="F2463" s="303">
        <f t="shared" si="100"/>
        <v>0.28799999999999998</v>
      </c>
      <c r="G2463" s="228">
        <f>ROUND(F2463*E2463,2)</f>
        <v>0.28999999999999998</v>
      </c>
    </row>
    <row r="2464" spans="3:10" x14ac:dyDescent="0.3">
      <c r="C2464" s="27" t="str">
        <f t="shared" si="100"/>
        <v>Вата 100 гр.</v>
      </c>
      <c r="D2464" s="303" t="str">
        <f t="shared" si="100"/>
        <v>г</v>
      </c>
      <c r="E2464" s="303">
        <f t="shared" si="100"/>
        <v>0.01</v>
      </c>
      <c r="F2464" s="303">
        <f t="shared" si="100"/>
        <v>6.72</v>
      </c>
      <c r="G2464" s="228">
        <f>ROUND(F2464*E2464,2)</f>
        <v>7.0000000000000007E-2</v>
      </c>
    </row>
    <row r="2465" spans="2:15" x14ac:dyDescent="0.3">
      <c r="C2465" s="27" t="str">
        <f t="shared" si="100"/>
        <v>Деззасоби</v>
      </c>
      <c r="D2465" s="303" t="str">
        <f t="shared" si="100"/>
        <v>г</v>
      </c>
      <c r="E2465" s="303">
        <f t="shared" si="100"/>
        <v>0.5</v>
      </c>
      <c r="F2465" s="303">
        <f t="shared" si="100"/>
        <v>0.5</v>
      </c>
      <c r="G2465" s="28">
        <f>ROUND(E2465*F2465,2)</f>
        <v>0.25</v>
      </c>
    </row>
    <row r="2466" spans="2:15" x14ac:dyDescent="0.3">
      <c r="C2466" s="27" t="str">
        <f t="shared" si="100"/>
        <v>Маска одноразова тришарова на резинці</v>
      </c>
      <c r="D2466" s="303" t="str">
        <f t="shared" si="100"/>
        <v>шт</v>
      </c>
      <c r="E2466" s="303">
        <f t="shared" si="100"/>
        <v>1</v>
      </c>
      <c r="F2466" s="303">
        <f t="shared" si="100"/>
        <v>2</v>
      </c>
      <c r="G2466" s="228">
        <f>ROUND(F2466*E2466,2)</f>
        <v>2</v>
      </c>
    </row>
    <row r="2467" spans="2:15" x14ac:dyDescent="0.3">
      <c r="C2467" s="27" t="str">
        <f t="shared" si="100"/>
        <v>Мило рідке</v>
      </c>
      <c r="D2467" s="303" t="str">
        <f t="shared" si="100"/>
        <v>мл</v>
      </c>
      <c r="E2467" s="303">
        <f t="shared" si="100"/>
        <v>1</v>
      </c>
      <c r="F2467" s="303">
        <f t="shared" si="100"/>
        <v>0.19600000000000001</v>
      </c>
      <c r="G2467" s="228">
        <f>ROUND(F2467*E2467,2)</f>
        <v>0.2</v>
      </c>
    </row>
    <row r="2468" spans="2:15" x14ac:dyDescent="0.3">
      <c r="C2468" s="27" t="str">
        <f t="shared" si="100"/>
        <v>Рукавиці не стерильні</v>
      </c>
      <c r="D2468" s="303" t="str">
        <f t="shared" si="100"/>
        <v>пара</v>
      </c>
      <c r="E2468" s="303">
        <f t="shared" si="100"/>
        <v>0.1</v>
      </c>
      <c r="F2468" s="303">
        <f t="shared" si="100"/>
        <v>7.39</v>
      </c>
      <c r="G2468" s="28">
        <f>ROUND(E2468*F2468,2)</f>
        <v>0.74</v>
      </c>
    </row>
    <row r="2469" spans="2:15" x14ac:dyDescent="0.3">
      <c r="C2469" s="27" t="str">
        <f t="shared" si="100"/>
        <v>Рушник паперовий</v>
      </c>
      <c r="D2469" s="303" t="str">
        <f t="shared" si="100"/>
        <v>шт</v>
      </c>
      <c r="E2469" s="303">
        <f t="shared" si="100"/>
        <v>0.3</v>
      </c>
      <c r="F2469" s="303">
        <f t="shared" si="100"/>
        <v>17.5</v>
      </c>
      <c r="G2469" s="228">
        <f>ROUND(F2469*E2469,2)</f>
        <v>5.25</v>
      </c>
    </row>
    <row r="2470" spans="2:15" s="184" customFormat="1" x14ac:dyDescent="0.3">
      <c r="B2470" s="672"/>
      <c r="C2470" s="27" t="str">
        <f t="shared" si="100"/>
        <v xml:space="preserve">Спирт 70% 100мл </v>
      </c>
      <c r="D2470" s="303" t="str">
        <f t="shared" si="100"/>
        <v>фл/гр.</v>
      </c>
      <c r="E2470" s="303">
        <f t="shared" si="100"/>
        <v>0.01</v>
      </c>
      <c r="F2470" s="303">
        <f t="shared" si="100"/>
        <v>24.6</v>
      </c>
      <c r="G2470" s="186">
        <f>ROUND(F2470*E2470,2)</f>
        <v>0.25</v>
      </c>
      <c r="H2470" s="336"/>
      <c r="I2470" s="336"/>
      <c r="J2470" s="336"/>
      <c r="K2470" s="189"/>
      <c r="L2470" s="189"/>
      <c r="M2470" s="637"/>
      <c r="N2470" s="180"/>
      <c r="O2470" s="180"/>
    </row>
    <row r="2471" spans="2:15" x14ac:dyDescent="0.3">
      <c r="C2471" s="27" t="str">
        <f>'МЕДИЧНІ М'!B166</f>
        <v>Мазь гідрокортизонова 1% туба 10 г</v>
      </c>
      <c r="D2471" s="303" t="str">
        <f t="shared" si="100"/>
        <v>шт</v>
      </c>
      <c r="E2471" s="303">
        <f t="shared" si="100"/>
        <v>0.1</v>
      </c>
      <c r="F2471" s="651">
        <f>'МЕДИЧНІ М'!E166</f>
        <v>48</v>
      </c>
      <c r="G2471" s="228">
        <f>ROUND(F2471*E2471,2)</f>
        <v>4.8</v>
      </c>
    </row>
    <row r="2472" spans="2:15" x14ac:dyDescent="0.3">
      <c r="C2472" s="1019" t="s">
        <v>945</v>
      </c>
      <c r="D2472" s="1019"/>
      <c r="E2472" s="1019"/>
      <c r="F2472" s="1019"/>
      <c r="G2472" s="332">
        <f>SUM(G2462:G2471)</f>
        <v>14.23</v>
      </c>
    </row>
    <row r="2473" spans="2:15" ht="8.25" customHeight="1" x14ac:dyDescent="0.3"/>
    <row r="2474" spans="2:15" x14ac:dyDescent="0.3">
      <c r="C2474" s="12" t="s">
        <v>968</v>
      </c>
      <c r="D2474" s="227"/>
      <c r="E2474" s="227"/>
      <c r="F2474" s="298">
        <f>H2477</f>
        <v>0.15</v>
      </c>
      <c r="G2474" s="227" t="s">
        <v>971</v>
      </c>
    </row>
    <row r="2475" spans="2:15" ht="8.25" customHeight="1" x14ac:dyDescent="0.3">
      <c r="C2475" s="22"/>
      <c r="D2475" s="36"/>
      <c r="E2475" s="36"/>
      <c r="F2475" s="302"/>
      <c r="G2475" s="36"/>
    </row>
    <row r="2476" spans="2:15" ht="27.6" x14ac:dyDescent="0.3">
      <c r="C2476" s="14" t="s">
        <v>513</v>
      </c>
      <c r="D2476" s="14" t="s">
        <v>969</v>
      </c>
      <c r="E2476" s="14" t="s">
        <v>516</v>
      </c>
      <c r="F2476" s="14" t="s">
        <v>970</v>
      </c>
      <c r="G2476" s="14" t="s">
        <v>930</v>
      </c>
      <c r="H2476" s="14" t="s">
        <v>961</v>
      </c>
    </row>
    <row r="2477" spans="2:15" x14ac:dyDescent="0.3">
      <c r="C2477" s="17" t="s">
        <v>1107</v>
      </c>
      <c r="D2477" s="73">
        <f>D2422</f>
        <v>7000</v>
      </c>
      <c r="E2477" s="73">
        <v>12562.55</v>
      </c>
      <c r="F2477" s="73">
        <f>ROUND((D2477/E2477)/60,2)</f>
        <v>0.01</v>
      </c>
      <c r="G2477" s="73">
        <f>E2456</f>
        <v>15</v>
      </c>
      <c r="H2477" s="78">
        <f>ROUND(F2477*G2477,2)</f>
        <v>0.15</v>
      </c>
      <c r="I2477" s="333"/>
    </row>
    <row r="2478" spans="2:15" ht="7.5" customHeight="1" x14ac:dyDescent="0.3"/>
    <row r="2479" spans="2:15" x14ac:dyDescent="0.3">
      <c r="C2479" s="12" t="s">
        <v>948</v>
      </c>
      <c r="D2479" s="227"/>
      <c r="E2479" s="227"/>
      <c r="F2479" s="298">
        <f>H2492</f>
        <v>2.1599999999999997</v>
      </c>
      <c r="G2479" s="227" t="s">
        <v>971</v>
      </c>
    </row>
    <row r="2480" spans="2:15" ht="8.25" customHeight="1" x14ac:dyDescent="0.3">
      <c r="C2480" s="22"/>
      <c r="D2480" s="36"/>
      <c r="E2480" s="36"/>
      <c r="F2480" s="302"/>
    </row>
    <row r="2481" spans="3:8" ht="41.4" x14ac:dyDescent="0.3">
      <c r="C2481" s="14" t="s">
        <v>948</v>
      </c>
      <c r="D2481" s="14" t="s">
        <v>955</v>
      </c>
      <c r="E2481" s="14" t="s">
        <v>516</v>
      </c>
      <c r="F2481" s="14" t="s">
        <v>954</v>
      </c>
      <c r="G2481" s="14" t="s">
        <v>930</v>
      </c>
      <c r="H2481" s="14" t="s">
        <v>956</v>
      </c>
    </row>
    <row r="2482" spans="3:8" x14ac:dyDescent="0.3">
      <c r="C2482" s="1009" t="str">
        <f>C2451</f>
        <v>Лікар-фізіотерапевт</v>
      </c>
      <c r="D2482" s="1010"/>
      <c r="E2482" s="1010"/>
      <c r="F2482" s="1010"/>
      <c r="G2482" s="1010"/>
      <c r="H2482" s="1011"/>
    </row>
    <row r="2483" spans="3:8" x14ac:dyDescent="0.3">
      <c r="C2483" s="17" t="s">
        <v>951</v>
      </c>
      <c r="D2483" s="221">
        <f>D2428</f>
        <v>12188.608008565312</v>
      </c>
      <c r="E2483" s="73">
        <f>I2451</f>
        <v>1932.7</v>
      </c>
      <c r="F2483" s="73">
        <f>ROUND((D2483/E2483)/60,2)</f>
        <v>0.11</v>
      </c>
      <c r="G2483" s="73">
        <f>E2455</f>
        <v>3</v>
      </c>
      <c r="H2483" s="78">
        <f>ROUND(F2483*G2483,2)</f>
        <v>0.33</v>
      </c>
    </row>
    <row r="2484" spans="3:8" x14ac:dyDescent="0.3">
      <c r="C2484" s="17" t="s">
        <v>952</v>
      </c>
      <c r="D2484" s="221">
        <f>D2429</f>
        <v>53.149721627408987</v>
      </c>
      <c r="E2484" s="73">
        <f>I2451</f>
        <v>1932.7</v>
      </c>
      <c r="F2484" s="73">
        <f>ROUND((D2484/E2484)/60,2)</f>
        <v>0</v>
      </c>
      <c r="G2484" s="73">
        <f>E2455</f>
        <v>3</v>
      </c>
      <c r="H2484" s="78">
        <f>ROUND(F2484*G2484,2)</f>
        <v>0</v>
      </c>
    </row>
    <row r="2485" spans="3:8" x14ac:dyDescent="0.3">
      <c r="C2485" s="17" t="s">
        <v>953</v>
      </c>
      <c r="D2485" s="221">
        <f>D2430</f>
        <v>374.98368308351178</v>
      </c>
      <c r="E2485" s="73">
        <f>I2451</f>
        <v>1932.7</v>
      </c>
      <c r="F2485" s="73">
        <f>ROUND((D2485/E2485)/60,2)</f>
        <v>0</v>
      </c>
      <c r="G2485" s="73">
        <f>E2455</f>
        <v>3</v>
      </c>
      <c r="H2485" s="78">
        <f>ROUND(F2485*G2485,2)</f>
        <v>0</v>
      </c>
    </row>
    <row r="2486" spans="3:8" x14ac:dyDescent="0.3">
      <c r="C2486" s="17" t="s">
        <v>1109</v>
      </c>
      <c r="D2486" s="221">
        <f>D2431</f>
        <v>1686.0389293361886</v>
      </c>
      <c r="E2486" s="73">
        <f>I2451</f>
        <v>1932.7</v>
      </c>
      <c r="F2486" s="73">
        <f>ROUND((D2486/E2486)/60,2)</f>
        <v>0.01</v>
      </c>
      <c r="G2486" s="73">
        <f>E2455</f>
        <v>3</v>
      </c>
      <c r="H2486" s="78">
        <f>ROUND(F2486*G2486,2)</f>
        <v>0.03</v>
      </c>
    </row>
    <row r="2487" spans="3:8" x14ac:dyDescent="0.3">
      <c r="C2487" s="1009" t="str">
        <f>C2452</f>
        <v>Сестра медична з фізіотерапії</v>
      </c>
      <c r="D2487" s="1010"/>
      <c r="E2487" s="1010"/>
      <c r="F2487" s="1010"/>
      <c r="G2487" s="1010"/>
      <c r="H2487" s="1011"/>
    </row>
    <row r="2488" spans="3:8" x14ac:dyDescent="0.3">
      <c r="C2488" s="17" t="s">
        <v>951</v>
      </c>
      <c r="D2488" s="221">
        <f>D2483</f>
        <v>12188.608008565312</v>
      </c>
      <c r="E2488" s="73">
        <f>I2452</f>
        <v>1932.7</v>
      </c>
      <c r="F2488" s="73">
        <f>ROUND((D2488/E2488)/60,2)</f>
        <v>0.11</v>
      </c>
      <c r="G2488" s="73">
        <f>E2456</f>
        <v>15</v>
      </c>
      <c r="H2488" s="78">
        <f>ROUND(F2488*G2488,2)</f>
        <v>1.65</v>
      </c>
    </row>
    <row r="2489" spans="3:8" x14ac:dyDescent="0.3">
      <c r="C2489" s="17" t="s">
        <v>952</v>
      </c>
      <c r="D2489" s="221">
        <f>D2484</f>
        <v>53.149721627408987</v>
      </c>
      <c r="E2489" s="73">
        <f>I2452</f>
        <v>1932.7</v>
      </c>
      <c r="F2489" s="73">
        <f>ROUND((D2489/E2489)/60,2)</f>
        <v>0</v>
      </c>
      <c r="G2489" s="73">
        <f>E2456</f>
        <v>15</v>
      </c>
      <c r="H2489" s="78">
        <f>ROUND(F2489*G2489,2)</f>
        <v>0</v>
      </c>
    </row>
    <row r="2490" spans="3:8" x14ac:dyDescent="0.3">
      <c r="C2490" s="17" t="s">
        <v>953</v>
      </c>
      <c r="D2490" s="221">
        <f>D2485</f>
        <v>374.98368308351178</v>
      </c>
      <c r="E2490" s="73">
        <f>I2452</f>
        <v>1932.7</v>
      </c>
      <c r="F2490" s="73">
        <f>ROUND((D2490/E2490)/60,2)</f>
        <v>0</v>
      </c>
      <c r="G2490" s="73">
        <f>E2456</f>
        <v>15</v>
      </c>
      <c r="H2490" s="78">
        <f>ROUND(F2490*G2490,2)</f>
        <v>0</v>
      </c>
    </row>
    <row r="2491" spans="3:8" x14ac:dyDescent="0.3">
      <c r="C2491" s="17" t="s">
        <v>1109</v>
      </c>
      <c r="D2491" s="221">
        <f>D2486</f>
        <v>1686.0389293361886</v>
      </c>
      <c r="E2491" s="73">
        <f>I2452</f>
        <v>1932.7</v>
      </c>
      <c r="F2491" s="73">
        <f>ROUND((D2491/E2491)/60,2)</f>
        <v>0.01</v>
      </c>
      <c r="G2491" s="73">
        <f>E2456</f>
        <v>15</v>
      </c>
      <c r="H2491" s="78">
        <f>ROUND(F2491*G2491,2)</f>
        <v>0.15</v>
      </c>
    </row>
    <row r="2492" spans="3:8" x14ac:dyDescent="0.3">
      <c r="C2492" s="1012" t="s">
        <v>957</v>
      </c>
      <c r="D2492" s="1013"/>
      <c r="E2492" s="1013"/>
      <c r="F2492" s="1013"/>
      <c r="G2492" s="1014"/>
      <c r="H2492" s="299">
        <f>SUM(H2483:H2491)</f>
        <v>2.1599999999999997</v>
      </c>
    </row>
    <row r="2493" spans="3:8" ht="8.25" customHeight="1" x14ac:dyDescent="0.3"/>
    <row r="2495" spans="3:8" x14ac:dyDescent="0.3">
      <c r="C2495" s="1015" t="s">
        <v>959</v>
      </c>
      <c r="D2495" s="1015"/>
      <c r="E2495" s="1015"/>
      <c r="F2495" s="1015"/>
      <c r="G2495" s="1015"/>
      <c r="H2495" s="334">
        <f>F2448+F2460+F2479+F2474</f>
        <v>36.779999999999994</v>
      </c>
    </row>
    <row r="2496" spans="3:8" x14ac:dyDescent="0.3">
      <c r="C2496" s="33"/>
      <c r="D2496" s="33"/>
      <c r="E2496" s="33"/>
      <c r="F2496" s="33"/>
      <c r="G2496" s="33"/>
      <c r="H2496" s="335"/>
    </row>
    <row r="2497" spans="2:15" x14ac:dyDescent="0.3">
      <c r="C2497" s="1015" t="s">
        <v>960</v>
      </c>
      <c r="D2497" s="1015"/>
      <c r="E2497" s="1015"/>
      <c r="F2497" s="1015"/>
      <c r="G2497" s="1015"/>
      <c r="H2497" s="334">
        <f>ROUND(H2495,0)</f>
        <v>37</v>
      </c>
    </row>
    <row r="2499" spans="2:15" s="54" customFormat="1" ht="19.8" x14ac:dyDescent="0.4">
      <c r="B2499" s="1016" t="s">
        <v>958</v>
      </c>
      <c r="C2499" s="1016"/>
      <c r="D2499" s="1016"/>
      <c r="E2499" s="1016"/>
      <c r="F2499" s="1016"/>
      <c r="G2499" s="1016"/>
      <c r="H2499" s="1016"/>
      <c r="I2499" s="1016"/>
      <c r="J2499" s="1016"/>
      <c r="K2499" s="126"/>
      <c r="L2499" s="126"/>
      <c r="M2499" s="631"/>
      <c r="N2499" s="53"/>
      <c r="O2499" s="53"/>
    </row>
    <row r="2500" spans="2:15" ht="9" customHeight="1" x14ac:dyDescent="0.3"/>
    <row r="2501" spans="2:15" s="57" customFormat="1" ht="19.8" x14ac:dyDescent="0.4">
      <c r="B2501" s="674" t="s">
        <v>879</v>
      </c>
      <c r="C2501" s="1017" t="s">
        <v>481</v>
      </c>
      <c r="D2501" s="1017"/>
      <c r="E2501" s="1017"/>
      <c r="F2501" s="296">
        <f>H2548</f>
        <v>86</v>
      </c>
      <c r="G2501" s="296" t="s">
        <v>971</v>
      </c>
      <c r="H2501" s="225"/>
      <c r="I2501" s="225"/>
      <c r="J2501" s="225"/>
      <c r="K2501" s="120"/>
      <c r="L2501" s="120"/>
      <c r="M2501" s="631"/>
      <c r="N2501" s="56"/>
      <c r="O2501" s="56"/>
    </row>
    <row r="2502" spans="2:15" ht="9" customHeight="1" x14ac:dyDescent="0.3"/>
    <row r="2503" spans="2:15" x14ac:dyDescent="0.3">
      <c r="C2503" s="1018" t="s">
        <v>932</v>
      </c>
      <c r="D2503" s="1018"/>
      <c r="E2503" s="297"/>
      <c r="F2503" s="298">
        <f>F2510+F2513+F2511</f>
        <v>67.45</v>
      </c>
      <c r="G2503" s="227" t="s">
        <v>971</v>
      </c>
    </row>
    <row r="2504" spans="2:15" ht="7.5" customHeight="1" x14ac:dyDescent="0.3"/>
    <row r="2505" spans="2:15" ht="27.6" x14ac:dyDescent="0.3">
      <c r="C2505" s="13" t="s">
        <v>929</v>
      </c>
      <c r="D2505" s="14" t="s">
        <v>928</v>
      </c>
      <c r="E2505" s="14" t="s">
        <v>514</v>
      </c>
      <c r="F2505" s="14" t="s">
        <v>515</v>
      </c>
      <c r="G2505" s="14" t="s">
        <v>962</v>
      </c>
      <c r="H2505" s="14" t="s">
        <v>926</v>
      </c>
      <c r="I2505" s="14" t="s">
        <v>516</v>
      </c>
      <c r="J2505" s="14" t="s">
        <v>961</v>
      </c>
    </row>
    <row r="2506" spans="2:15" x14ac:dyDescent="0.3">
      <c r="C2506" s="17" t="str">
        <f t="shared" ref="C2506:G2507" si="101">C2451</f>
        <v>Лікар-фізіотерапевт</v>
      </c>
      <c r="D2506" s="73">
        <f t="shared" si="101"/>
        <v>10799.43</v>
      </c>
      <c r="E2506" s="73">
        <f t="shared" si="101"/>
        <v>129593.16</v>
      </c>
      <c r="F2506" s="73">
        <f t="shared" si="101"/>
        <v>8307.26</v>
      </c>
      <c r="G2506" s="73">
        <f t="shared" si="101"/>
        <v>4456</v>
      </c>
      <c r="H2506" s="78">
        <f>E2506+F2506+G2506</f>
        <v>142356.42000000001</v>
      </c>
      <c r="I2506" s="73">
        <v>1932.7</v>
      </c>
      <c r="J2506" s="78">
        <f>ROUND((H2506/I2506)/60,2)</f>
        <v>1.23</v>
      </c>
    </row>
    <row r="2507" spans="2:15" x14ac:dyDescent="0.3">
      <c r="C2507" s="17" t="str">
        <f t="shared" si="101"/>
        <v>Сестра медична з фізіотерапії</v>
      </c>
      <c r="D2507" s="73">
        <f t="shared" si="101"/>
        <v>7482.48</v>
      </c>
      <c r="E2507" s="73">
        <f t="shared" si="101"/>
        <v>89789.759999999995</v>
      </c>
      <c r="F2507" s="73">
        <f t="shared" si="101"/>
        <v>5755.75</v>
      </c>
      <c r="G2507" s="73">
        <f t="shared" si="101"/>
        <v>4181.3999999999996</v>
      </c>
      <c r="H2507" s="78">
        <f>E2507+F2507+G2507</f>
        <v>99726.909999999989</v>
      </c>
      <c r="I2507" s="73">
        <v>1932.7</v>
      </c>
      <c r="J2507" s="78">
        <f>ROUND((H2507/I2507)/60,2)</f>
        <v>0.86</v>
      </c>
    </row>
    <row r="2509" spans="2:15" ht="27.6" x14ac:dyDescent="0.3">
      <c r="C2509" s="13" t="s">
        <v>929</v>
      </c>
      <c r="D2509" s="14" t="s">
        <v>961</v>
      </c>
      <c r="E2509" s="14" t="s">
        <v>930</v>
      </c>
      <c r="F2509" s="14" t="s">
        <v>931</v>
      </c>
    </row>
    <row r="2510" spans="2:15" x14ac:dyDescent="0.3">
      <c r="C2510" s="15" t="str">
        <f>C2506</f>
        <v>Лікар-фізіотерапевт</v>
      </c>
      <c r="D2510" s="78">
        <f>J2506</f>
        <v>1.23</v>
      </c>
      <c r="E2510" s="73">
        <v>3</v>
      </c>
      <c r="F2510" s="299">
        <f>ROUND(D2510*E2510,2)</f>
        <v>3.69</v>
      </c>
    </row>
    <row r="2511" spans="2:15" x14ac:dyDescent="0.3">
      <c r="C2511" s="15" t="str">
        <f>C2507</f>
        <v>Сестра медична з фізіотерапії</v>
      </c>
      <c r="D2511" s="78">
        <f>J2507</f>
        <v>0.86</v>
      </c>
      <c r="E2511" s="73">
        <v>60</v>
      </c>
      <c r="F2511" s="299">
        <f>ROUND(D2511*E2511,2)</f>
        <v>51.6</v>
      </c>
    </row>
    <row r="2512" spans="2:15" x14ac:dyDescent="0.3">
      <c r="D2512" s="19"/>
    </row>
    <row r="2513" spans="2:15" x14ac:dyDescent="0.3">
      <c r="C2513" s="17" t="s">
        <v>933</v>
      </c>
      <c r="D2513" s="78">
        <f>F2510+F2511</f>
        <v>55.29</v>
      </c>
      <c r="E2513" s="300">
        <v>0.22</v>
      </c>
      <c r="F2513" s="301">
        <f>ROUND(D2513*E2513,2)</f>
        <v>12.16</v>
      </c>
    </row>
    <row r="2514" spans="2:15" ht="6.75" customHeight="1" x14ac:dyDescent="0.3"/>
    <row r="2515" spans="2:15" x14ac:dyDescent="0.3">
      <c r="C2515" s="12" t="s">
        <v>946</v>
      </c>
      <c r="D2515" s="227"/>
      <c r="E2515" s="227"/>
      <c r="F2515" s="227">
        <f>G2523</f>
        <v>10.66</v>
      </c>
      <c r="G2515" s="227" t="s">
        <v>971</v>
      </c>
    </row>
    <row r="2516" spans="2:15" ht="6" customHeight="1" x14ac:dyDescent="0.3"/>
    <row r="2517" spans="2:15" x14ac:dyDescent="0.3">
      <c r="C2517" s="27" t="str">
        <f t="shared" ref="C2517:F2518" si="102">C2462</f>
        <v>Антисептик для обробки рук</v>
      </c>
      <c r="D2517" s="303" t="str">
        <f t="shared" si="102"/>
        <v>мл</v>
      </c>
      <c r="E2517" s="303">
        <f t="shared" si="102"/>
        <v>1</v>
      </c>
      <c r="F2517" s="303">
        <f t="shared" si="102"/>
        <v>0.375</v>
      </c>
      <c r="G2517" s="228">
        <f>ROUND(F2517*E2517,2)</f>
        <v>0.38</v>
      </c>
    </row>
    <row r="2518" spans="2:15" x14ac:dyDescent="0.3">
      <c r="C2518" s="27" t="str">
        <f t="shared" si="102"/>
        <v>Антисептик швидкої дії</v>
      </c>
      <c r="D2518" s="303" t="str">
        <f t="shared" si="102"/>
        <v>мл</v>
      </c>
      <c r="E2518" s="303">
        <f t="shared" si="102"/>
        <v>1</v>
      </c>
      <c r="F2518" s="303">
        <f t="shared" si="102"/>
        <v>0.28799999999999998</v>
      </c>
      <c r="G2518" s="228">
        <f>ROUND(F2518*E2518,2)</f>
        <v>0.28999999999999998</v>
      </c>
    </row>
    <row r="2519" spans="2:15" x14ac:dyDescent="0.3">
      <c r="C2519" s="27" t="str">
        <f>C2466</f>
        <v>Маска одноразова тришарова на резинці</v>
      </c>
      <c r="D2519" s="303" t="str">
        <f>D2466</f>
        <v>шт</v>
      </c>
      <c r="E2519" s="303">
        <f>E2466</f>
        <v>1</v>
      </c>
      <c r="F2519" s="303">
        <f>F2466</f>
        <v>2</v>
      </c>
      <c r="G2519" s="228">
        <f>ROUND(F2519*E2519,2)</f>
        <v>2</v>
      </c>
    </row>
    <row r="2520" spans="2:15" x14ac:dyDescent="0.3">
      <c r="C2520" s="27" t="str">
        <f t="shared" ref="C2520:F2521" si="103">C2468</f>
        <v>Рукавиці не стерильні</v>
      </c>
      <c r="D2520" s="303" t="str">
        <f t="shared" si="103"/>
        <v>пара</v>
      </c>
      <c r="E2520" s="303">
        <f t="shared" si="103"/>
        <v>0.1</v>
      </c>
      <c r="F2520" s="303">
        <f t="shared" si="103"/>
        <v>7.39</v>
      </c>
      <c r="G2520" s="228">
        <f>ROUND(F2520*E2520,2)</f>
        <v>0.74</v>
      </c>
    </row>
    <row r="2521" spans="2:15" x14ac:dyDescent="0.3">
      <c r="C2521" s="27" t="str">
        <f t="shared" si="103"/>
        <v>Рушник паперовий</v>
      </c>
      <c r="D2521" s="303" t="str">
        <f t="shared" si="103"/>
        <v>шт</v>
      </c>
      <c r="E2521" s="303">
        <f t="shared" si="103"/>
        <v>0.3</v>
      </c>
      <c r="F2521" s="303">
        <f t="shared" si="103"/>
        <v>17.5</v>
      </c>
      <c r="G2521" s="28">
        <f>ROUND(E2521*F2521,2)</f>
        <v>5.25</v>
      </c>
    </row>
    <row r="2522" spans="2:15" s="184" customFormat="1" x14ac:dyDescent="0.3">
      <c r="B2522" s="672"/>
      <c r="C2522" s="27" t="s">
        <v>479</v>
      </c>
      <c r="D2522" s="303" t="s">
        <v>935</v>
      </c>
      <c r="E2522" s="303">
        <v>1</v>
      </c>
      <c r="F2522" s="303">
        <f>'МЕДИЧНІ М'!F315</f>
        <v>2</v>
      </c>
      <c r="G2522" s="228">
        <f>ROUND(F2522*E2522,2)</f>
        <v>2</v>
      </c>
      <c r="H2522" s="336"/>
      <c r="I2522" s="336"/>
      <c r="J2522" s="336"/>
      <c r="K2522" s="189"/>
      <c r="L2522" s="189"/>
      <c r="M2522" s="637"/>
      <c r="N2522" s="180"/>
      <c r="O2522" s="180"/>
    </row>
    <row r="2523" spans="2:15" x14ac:dyDescent="0.3">
      <c r="C2523" s="1019" t="s">
        <v>945</v>
      </c>
      <c r="D2523" s="1019"/>
      <c r="E2523" s="1019"/>
      <c r="F2523" s="1019"/>
      <c r="G2523" s="332">
        <f>SUM(G2517:G2522)</f>
        <v>10.66</v>
      </c>
    </row>
    <row r="2524" spans="2:15" ht="8.25" customHeight="1" x14ac:dyDescent="0.3"/>
    <row r="2525" spans="2:15" x14ac:dyDescent="0.3">
      <c r="C2525" s="12" t="s">
        <v>968</v>
      </c>
      <c r="D2525" s="227"/>
      <c r="E2525" s="227"/>
      <c r="F2525" s="298">
        <f>H2528</f>
        <v>0.6</v>
      </c>
      <c r="G2525" s="227" t="s">
        <v>971</v>
      </c>
    </row>
    <row r="2526" spans="2:15" ht="8.25" customHeight="1" x14ac:dyDescent="0.3">
      <c r="C2526" s="22"/>
      <c r="D2526" s="36"/>
      <c r="E2526" s="36"/>
      <c r="F2526" s="302"/>
      <c r="G2526" s="36"/>
    </row>
    <row r="2527" spans="2:15" ht="27.6" x14ac:dyDescent="0.3">
      <c r="C2527" s="14" t="s">
        <v>513</v>
      </c>
      <c r="D2527" s="14" t="s">
        <v>969</v>
      </c>
      <c r="E2527" s="14" t="s">
        <v>516</v>
      </c>
      <c r="F2527" s="14" t="s">
        <v>970</v>
      </c>
      <c r="G2527" s="14" t="s">
        <v>930</v>
      </c>
      <c r="H2527" s="14" t="s">
        <v>961</v>
      </c>
    </row>
    <row r="2528" spans="2:15" x14ac:dyDescent="0.3">
      <c r="C2528" s="17" t="s">
        <v>1107</v>
      </c>
      <c r="D2528" s="73">
        <f>D2477</f>
        <v>7000</v>
      </c>
      <c r="E2528" s="73">
        <v>12562.55</v>
      </c>
      <c r="F2528" s="73">
        <f>ROUND((D2528/E2528)/60,2)</f>
        <v>0.01</v>
      </c>
      <c r="G2528" s="73">
        <f>E2511</f>
        <v>60</v>
      </c>
      <c r="H2528" s="78">
        <f>ROUND(F2528*G2528,2)</f>
        <v>0.6</v>
      </c>
      <c r="I2528" s="333"/>
    </row>
    <row r="2529" spans="3:8" ht="7.5" customHeight="1" x14ac:dyDescent="0.3"/>
    <row r="2530" spans="3:8" x14ac:dyDescent="0.3">
      <c r="C2530" s="12" t="s">
        <v>948</v>
      </c>
      <c r="D2530" s="227"/>
      <c r="E2530" s="227"/>
      <c r="F2530" s="298">
        <f>H2543</f>
        <v>7.56</v>
      </c>
      <c r="G2530" s="227" t="s">
        <v>971</v>
      </c>
    </row>
    <row r="2531" spans="3:8" ht="8.25" customHeight="1" x14ac:dyDescent="0.3">
      <c r="C2531" s="22"/>
      <c r="D2531" s="36"/>
      <c r="E2531" s="36"/>
      <c r="F2531" s="302"/>
    </row>
    <row r="2532" spans="3:8" ht="41.4" x14ac:dyDescent="0.3">
      <c r="C2532" s="14" t="s">
        <v>948</v>
      </c>
      <c r="D2532" s="14" t="s">
        <v>955</v>
      </c>
      <c r="E2532" s="14" t="s">
        <v>516</v>
      </c>
      <c r="F2532" s="14" t="s">
        <v>954</v>
      </c>
      <c r="G2532" s="14" t="s">
        <v>930</v>
      </c>
      <c r="H2532" s="14" t="s">
        <v>956</v>
      </c>
    </row>
    <row r="2533" spans="3:8" x14ac:dyDescent="0.3">
      <c r="C2533" s="1009" t="str">
        <f>C2506</f>
        <v>Лікар-фізіотерапевт</v>
      </c>
      <c r="D2533" s="1010"/>
      <c r="E2533" s="1010"/>
      <c r="F2533" s="1010"/>
      <c r="G2533" s="1010"/>
      <c r="H2533" s="1011"/>
    </row>
    <row r="2534" spans="3:8" x14ac:dyDescent="0.3">
      <c r="C2534" s="17" t="s">
        <v>951</v>
      </c>
      <c r="D2534" s="221">
        <f>D2483</f>
        <v>12188.608008565312</v>
      </c>
      <c r="E2534" s="73">
        <f>I2506</f>
        <v>1932.7</v>
      </c>
      <c r="F2534" s="73">
        <f>ROUND((D2534/E2534)/60,2)</f>
        <v>0.11</v>
      </c>
      <c r="G2534" s="73">
        <f>E2510</f>
        <v>3</v>
      </c>
      <c r="H2534" s="78">
        <f>ROUND(F2534*G2534,2)</f>
        <v>0.33</v>
      </c>
    </row>
    <row r="2535" spans="3:8" x14ac:dyDescent="0.3">
      <c r="C2535" s="17" t="s">
        <v>952</v>
      </c>
      <c r="D2535" s="221">
        <f>D2484</f>
        <v>53.149721627408987</v>
      </c>
      <c r="E2535" s="73">
        <f>I2506</f>
        <v>1932.7</v>
      </c>
      <c r="F2535" s="73">
        <f>ROUND((D2535/E2535)/60,2)</f>
        <v>0</v>
      </c>
      <c r="G2535" s="73">
        <f>E2510</f>
        <v>3</v>
      </c>
      <c r="H2535" s="78">
        <f>ROUND(F2535*G2535,2)</f>
        <v>0</v>
      </c>
    </row>
    <row r="2536" spans="3:8" x14ac:dyDescent="0.3">
      <c r="C2536" s="17" t="s">
        <v>953</v>
      </c>
      <c r="D2536" s="221">
        <f>D2485</f>
        <v>374.98368308351178</v>
      </c>
      <c r="E2536" s="73">
        <f>I2506</f>
        <v>1932.7</v>
      </c>
      <c r="F2536" s="73">
        <f>ROUND((D2536/E2536)/60,2)</f>
        <v>0</v>
      </c>
      <c r="G2536" s="73">
        <f>E2510</f>
        <v>3</v>
      </c>
      <c r="H2536" s="78">
        <f>ROUND(F2536*G2536,2)</f>
        <v>0</v>
      </c>
    </row>
    <row r="2537" spans="3:8" x14ac:dyDescent="0.3">
      <c r="C2537" s="17" t="s">
        <v>1109</v>
      </c>
      <c r="D2537" s="221">
        <f>D2486</f>
        <v>1686.0389293361886</v>
      </c>
      <c r="E2537" s="73">
        <f>I2506</f>
        <v>1932.7</v>
      </c>
      <c r="F2537" s="73">
        <f>ROUND((D2537/E2537)/60,2)</f>
        <v>0.01</v>
      </c>
      <c r="G2537" s="73">
        <f>E2510</f>
        <v>3</v>
      </c>
      <c r="H2537" s="78">
        <f>ROUND(F2537*G2537,2)</f>
        <v>0.03</v>
      </c>
    </row>
    <row r="2538" spans="3:8" x14ac:dyDescent="0.3">
      <c r="C2538" s="1009" t="str">
        <f>C2507</f>
        <v>Сестра медична з фізіотерапії</v>
      </c>
      <c r="D2538" s="1010"/>
      <c r="E2538" s="1010"/>
      <c r="F2538" s="1010"/>
      <c r="G2538" s="1010"/>
      <c r="H2538" s="1011"/>
    </row>
    <row r="2539" spans="3:8" x14ac:dyDescent="0.3">
      <c r="C2539" s="17" t="s">
        <v>951</v>
      </c>
      <c r="D2539" s="221">
        <f>D2534</f>
        <v>12188.608008565312</v>
      </c>
      <c r="E2539" s="73">
        <f>I2507</f>
        <v>1932.7</v>
      </c>
      <c r="F2539" s="73">
        <f>ROUND((D2539/E2539)/60,2)</f>
        <v>0.11</v>
      </c>
      <c r="G2539" s="73">
        <f>E2511</f>
        <v>60</v>
      </c>
      <c r="H2539" s="78">
        <f>ROUND(F2539*G2539,2)</f>
        <v>6.6</v>
      </c>
    </row>
    <row r="2540" spans="3:8" x14ac:dyDescent="0.3">
      <c r="C2540" s="17" t="s">
        <v>952</v>
      </c>
      <c r="D2540" s="221">
        <f>D2535</f>
        <v>53.149721627408987</v>
      </c>
      <c r="E2540" s="73">
        <f>I2507</f>
        <v>1932.7</v>
      </c>
      <c r="F2540" s="73">
        <f>ROUND((D2540/E2540)/60,2)</f>
        <v>0</v>
      </c>
      <c r="G2540" s="73">
        <f>E2511</f>
        <v>60</v>
      </c>
      <c r="H2540" s="78">
        <f>ROUND(F2540*G2540,2)</f>
        <v>0</v>
      </c>
    </row>
    <row r="2541" spans="3:8" x14ac:dyDescent="0.3">
      <c r="C2541" s="17" t="s">
        <v>953</v>
      </c>
      <c r="D2541" s="221">
        <f>D2536</f>
        <v>374.98368308351178</v>
      </c>
      <c r="E2541" s="73">
        <f>I2507</f>
        <v>1932.7</v>
      </c>
      <c r="F2541" s="73">
        <f>ROUND((D2541/E2541)/60,2)</f>
        <v>0</v>
      </c>
      <c r="G2541" s="73">
        <f>E2511</f>
        <v>60</v>
      </c>
      <c r="H2541" s="78">
        <f>ROUND(F2541*G2541,2)</f>
        <v>0</v>
      </c>
    </row>
    <row r="2542" spans="3:8" x14ac:dyDescent="0.3">
      <c r="C2542" s="17" t="s">
        <v>1109</v>
      </c>
      <c r="D2542" s="221">
        <f>D2537</f>
        <v>1686.0389293361886</v>
      </c>
      <c r="E2542" s="73">
        <f>I2507</f>
        <v>1932.7</v>
      </c>
      <c r="F2542" s="73">
        <f>ROUND((D2542/E2542)/60,2)</f>
        <v>0.01</v>
      </c>
      <c r="G2542" s="73">
        <f>E2511</f>
        <v>60</v>
      </c>
      <c r="H2542" s="78">
        <f>ROUND(F2542*G2542,2)</f>
        <v>0.6</v>
      </c>
    </row>
    <row r="2543" spans="3:8" x14ac:dyDescent="0.3">
      <c r="C2543" s="1012" t="s">
        <v>957</v>
      </c>
      <c r="D2543" s="1013"/>
      <c r="E2543" s="1013"/>
      <c r="F2543" s="1013"/>
      <c r="G2543" s="1014"/>
      <c r="H2543" s="299">
        <f>SUM(H2534:H2542)</f>
        <v>7.56</v>
      </c>
    </row>
    <row r="2544" spans="3:8" ht="8.25" customHeight="1" x14ac:dyDescent="0.3"/>
    <row r="2546" spans="3:8" x14ac:dyDescent="0.3">
      <c r="C2546" s="1015" t="s">
        <v>959</v>
      </c>
      <c r="D2546" s="1015"/>
      <c r="E2546" s="1015"/>
      <c r="F2546" s="1015"/>
      <c r="G2546" s="1015"/>
      <c r="H2546" s="832">
        <f>F2503+F2515+F2530+F2525</f>
        <v>86.27</v>
      </c>
    </row>
    <row r="2547" spans="3:8" x14ac:dyDescent="0.3">
      <c r="C2547" s="33"/>
      <c r="D2547" s="33"/>
      <c r="E2547" s="33"/>
      <c r="F2547" s="33"/>
      <c r="G2547" s="33"/>
      <c r="H2547" s="335"/>
    </row>
    <row r="2548" spans="3:8" x14ac:dyDescent="0.3">
      <c r="C2548" s="1015" t="s">
        <v>960</v>
      </c>
      <c r="D2548" s="1015"/>
      <c r="E2548" s="1015"/>
      <c r="F2548" s="1015"/>
      <c r="G2548" s="1015"/>
      <c r="H2548" s="334">
        <f>ROUND(H2546,0)</f>
        <v>86</v>
      </c>
    </row>
  </sheetData>
  <mergeCells count="310">
    <mergeCell ref="C145:H145"/>
    <mergeCell ref="C44:H44"/>
    <mergeCell ref="B2:J2"/>
    <mergeCell ref="C4:E4"/>
    <mergeCell ref="C6:D6"/>
    <mergeCell ref="C29:F29"/>
    <mergeCell ref="C39:H39"/>
    <mergeCell ref="C59:D59"/>
    <mergeCell ref="C82:F82"/>
    <mergeCell ref="C102:G102"/>
    <mergeCell ref="C51:G51"/>
    <mergeCell ref="C53:G53"/>
    <mergeCell ref="C57:E57"/>
    <mergeCell ref="B55:J55"/>
    <mergeCell ref="C212:G212"/>
    <mergeCell ref="C217:E217"/>
    <mergeCell ref="B215:J215"/>
    <mergeCell ref="C92:H92"/>
    <mergeCell ref="C110:E110"/>
    <mergeCell ref="C97:H97"/>
    <mergeCell ref="C203:H203"/>
    <mergeCell ref="C198:H198"/>
    <mergeCell ref="C49:G49"/>
    <mergeCell ref="C104:G104"/>
    <mergeCell ref="C155:G155"/>
    <mergeCell ref="C135:F135"/>
    <mergeCell ref="C208:G208"/>
    <mergeCell ref="B108:J108"/>
    <mergeCell ref="C210:G210"/>
    <mergeCell ref="C165:D165"/>
    <mergeCell ref="C163:E163"/>
    <mergeCell ref="C106:G106"/>
    <mergeCell ref="C188:F188"/>
    <mergeCell ref="C112:D112"/>
    <mergeCell ref="B161:J161"/>
    <mergeCell ref="C150:H150"/>
    <mergeCell ref="C157:G157"/>
    <mergeCell ref="C159:G159"/>
    <mergeCell ref="C219:D219"/>
    <mergeCell ref="C269:E269"/>
    <mergeCell ref="C271:D271"/>
    <mergeCell ref="C294:F294"/>
    <mergeCell ref="B267:J267"/>
    <mergeCell ref="C239:F239"/>
    <mergeCell ref="C261:G261"/>
    <mergeCell ref="C249:H249"/>
    <mergeCell ref="C254:H254"/>
    <mergeCell ref="C259:G259"/>
    <mergeCell ref="C263:G263"/>
    <mergeCell ref="C304:H304"/>
    <mergeCell ref="C1351:D1351"/>
    <mergeCell ref="C1496:H1496"/>
    <mergeCell ref="C1462:D1462"/>
    <mergeCell ref="C314:G314"/>
    <mergeCell ref="C494:E494"/>
    <mergeCell ref="B549:J549"/>
    <mergeCell ref="C551:E551"/>
    <mergeCell ref="B720:J720"/>
    <mergeCell ref="C1397:G1397"/>
    <mergeCell ref="C319:G319"/>
    <mergeCell ref="C309:H309"/>
    <mergeCell ref="C489:G489"/>
    <mergeCell ref="B378:J378"/>
    <mergeCell ref="C380:E380"/>
    <mergeCell ref="C317:G317"/>
    <mergeCell ref="C375:G375"/>
    <mergeCell ref="C474:H474"/>
    <mergeCell ref="C1235:E1235"/>
    <mergeCell ref="C1455:G1455"/>
    <mergeCell ref="C1460:E1460"/>
    <mergeCell ref="C1506:G1506"/>
    <mergeCell ref="C722:E722"/>
    <mergeCell ref="C1292:E1292"/>
    <mergeCell ref="B1233:J1233"/>
    <mergeCell ref="C1407:D1407"/>
    <mergeCell ref="C1431:F1431"/>
    <mergeCell ref="C1441:H1441"/>
    <mergeCell ref="C779:E779"/>
    <mergeCell ref="B948:J948"/>
    <mergeCell ref="C1615:G1615"/>
    <mergeCell ref="C1610:H1610"/>
    <mergeCell ref="C1619:G1619"/>
    <mergeCell ref="B1347:J1347"/>
    <mergeCell ref="C1349:E1349"/>
    <mergeCell ref="C1385:H1385"/>
    <mergeCell ref="C1375:F1375"/>
    <mergeCell ref="C1501:H1501"/>
    <mergeCell ref="C1508:G1508"/>
    <mergeCell ref="C1395:G1395"/>
    <mergeCell ref="C1605:H1605"/>
    <mergeCell ref="C1570:E1570"/>
    <mergeCell ref="B1458:J1458"/>
    <mergeCell ref="C1390:H1390"/>
    <mergeCell ref="C1399:G1399"/>
    <mergeCell ref="B1568:J1568"/>
    <mergeCell ref="C1572:D1572"/>
    <mergeCell ref="C1510:G1510"/>
    <mergeCell ref="B1403:J1403"/>
    <mergeCell ref="C1405:E1405"/>
    <mergeCell ref="B1513:J1513"/>
    <mergeCell ref="C1446:H1446"/>
    <mergeCell ref="C1451:G1451"/>
    <mergeCell ref="C1453:G1453"/>
    <mergeCell ref="C1664:H1664"/>
    <mergeCell ref="C1718:H1718"/>
    <mergeCell ref="C1677:E1677"/>
    <mergeCell ref="C1757:F1757"/>
    <mergeCell ref="C1727:G1727"/>
    <mergeCell ref="B1729:J1729"/>
    <mergeCell ref="C1731:E1731"/>
    <mergeCell ref="C1733:D1733"/>
    <mergeCell ref="C1713:H1713"/>
    <mergeCell ref="C1723:G1723"/>
    <mergeCell ref="B1837:J1837"/>
    <mergeCell ref="C2442:G2442"/>
    <mergeCell ref="C2417:F2417"/>
    <mergeCell ref="C2427:H2427"/>
    <mergeCell ref="C2432:H2432"/>
    <mergeCell ref="C2437:G2437"/>
    <mergeCell ref="C2173:D2173"/>
    <mergeCell ref="C1725:G1725"/>
    <mergeCell ref="C1947:G1947"/>
    <mergeCell ref="C1767:H1767"/>
    <mergeCell ref="C1835:G1835"/>
    <mergeCell ref="C1811:F1811"/>
    <mergeCell ref="C2044:H2044"/>
    <mergeCell ref="C1949:G1949"/>
    <mergeCell ref="B2006:J2006"/>
    <mergeCell ref="C2008:E2008"/>
    <mergeCell ref="C2010:D2010"/>
    <mergeCell ref="C2206:H2206"/>
    <mergeCell ref="C2266:H2266"/>
    <mergeCell ref="C2261:H2261"/>
    <mergeCell ref="C2211:H2211"/>
    <mergeCell ref="C2227:D2227"/>
    <mergeCell ref="C2216:G2216"/>
    <mergeCell ref="C2218:G2218"/>
    <mergeCell ref="C1940:H1940"/>
    <mergeCell ref="B1897:J1897"/>
    <mergeCell ref="C2440:G2440"/>
    <mergeCell ref="C2373:H2373"/>
    <mergeCell ref="C2378:H2378"/>
    <mergeCell ref="C2387:G2387"/>
    <mergeCell ref="C2383:G2383"/>
    <mergeCell ref="C2391:E2391"/>
    <mergeCell ref="C2385:G2385"/>
    <mergeCell ref="B2389:J2389"/>
    <mergeCell ref="C2393:D2393"/>
    <mergeCell ref="C2220:G2220"/>
    <mergeCell ref="C2363:F2363"/>
    <mergeCell ref="C2273:G2273"/>
    <mergeCell ref="C2275:G2275"/>
    <mergeCell ref="C2282:D2282"/>
    <mergeCell ref="C2337:D2337"/>
    <mergeCell ref="C2335:E2335"/>
    <mergeCell ref="C2321:H2321"/>
    <mergeCell ref="C2326:G2326"/>
    <mergeCell ref="C2328:G2328"/>
    <mergeCell ref="C2271:G2271"/>
    <mergeCell ref="C2306:F2306"/>
    <mergeCell ref="C2316:H2316"/>
    <mergeCell ref="C2330:G2330"/>
    <mergeCell ref="B2278:J2278"/>
    <mergeCell ref="B2333:J2333"/>
    <mergeCell ref="B321:J321"/>
    <mergeCell ref="C323:E323"/>
    <mergeCell ref="C325:D325"/>
    <mergeCell ref="C350:F350"/>
    <mergeCell ref="C360:H360"/>
    <mergeCell ref="C365:H365"/>
    <mergeCell ref="C370:G370"/>
    <mergeCell ref="C2064:D2064"/>
    <mergeCell ref="C373:G373"/>
    <mergeCell ref="C1841:D1841"/>
    <mergeCell ref="C1871:F1871"/>
    <mergeCell ref="C1881:H1881"/>
    <mergeCell ref="C1781:G1781"/>
    <mergeCell ref="C1565:G1565"/>
    <mergeCell ref="C1669:G1669"/>
    <mergeCell ref="C1671:G1671"/>
    <mergeCell ref="C1673:G1673"/>
    <mergeCell ref="B1675:J1675"/>
    <mergeCell ref="B492:J492"/>
    <mergeCell ref="C1956:D1956"/>
    <mergeCell ref="C1617:G1617"/>
    <mergeCell ref="C1925:F1925"/>
    <mergeCell ref="C1935:H1935"/>
    <mergeCell ref="C1901:D1901"/>
    <mergeCell ref="C2548:G2548"/>
    <mergeCell ref="C2503:D2503"/>
    <mergeCell ref="C2523:F2523"/>
    <mergeCell ref="C2533:H2533"/>
    <mergeCell ref="C2538:H2538"/>
    <mergeCell ref="C2543:G2543"/>
    <mergeCell ref="C1787:D1787"/>
    <mergeCell ref="C1821:H1821"/>
    <mergeCell ref="C1831:G1831"/>
    <mergeCell ref="C1833:G1833"/>
    <mergeCell ref="C2501:E2501"/>
    <mergeCell ref="C1954:E1954"/>
    <mergeCell ref="C1990:H1990"/>
    <mergeCell ref="C2487:H2487"/>
    <mergeCell ref="C2492:G2492"/>
    <mergeCell ref="C2495:G2495"/>
    <mergeCell ref="B2499:J2499"/>
    <mergeCell ref="B2443:J2443"/>
    <mergeCell ref="B2444:J2444"/>
    <mergeCell ref="C2446:E2446"/>
    <mergeCell ref="C2448:D2448"/>
    <mergeCell ref="C2472:F2472"/>
    <mergeCell ref="C2482:H2482"/>
    <mergeCell ref="C2004:G2004"/>
    <mergeCell ref="B1176:J1176"/>
    <mergeCell ref="C1178:E1178"/>
    <mergeCell ref="B1119:J1119"/>
    <mergeCell ref="C1121:E1121"/>
    <mergeCell ref="B606:J606"/>
    <mergeCell ref="C608:E608"/>
    <mergeCell ref="C1703:F1703"/>
    <mergeCell ref="C2497:G2497"/>
    <mergeCell ref="B2114:J2114"/>
    <mergeCell ref="C2116:E2116"/>
    <mergeCell ref="B1952:J1952"/>
    <mergeCell ref="C1779:G1779"/>
    <mergeCell ref="B1783:J1783"/>
    <mergeCell ref="C1785:E1785"/>
    <mergeCell ref="C2062:E2062"/>
    <mergeCell ref="B2060:J2060"/>
    <mergeCell ref="C2049:H2049"/>
    <mergeCell ref="C2054:G2054"/>
    <mergeCell ref="C2056:G2056"/>
    <mergeCell ref="C2034:F2034"/>
    <mergeCell ref="C2111:G2111"/>
    <mergeCell ref="C2058:G2058"/>
    <mergeCell ref="C1899:E1899"/>
    <mergeCell ref="C1945:G1945"/>
    <mergeCell ref="B1290:J1290"/>
    <mergeCell ref="C1679:D1679"/>
    <mergeCell ref="B1621:J1621"/>
    <mergeCell ref="C1623:E1623"/>
    <mergeCell ref="C1625:D1625"/>
    <mergeCell ref="C1659:H1659"/>
    <mergeCell ref="C1561:G1561"/>
    <mergeCell ref="C2546:G2546"/>
    <mergeCell ref="C2280:E2280"/>
    <mergeCell ref="C1772:H1772"/>
    <mergeCell ref="C1777:G1777"/>
    <mergeCell ref="C2109:G2109"/>
    <mergeCell ref="C2102:H2102"/>
    <mergeCell ref="C2087:F2087"/>
    <mergeCell ref="C2097:H2097"/>
    <mergeCell ref="C2107:G2107"/>
    <mergeCell ref="C1886:H1886"/>
    <mergeCell ref="C1891:G1891"/>
    <mergeCell ref="C1995:H1995"/>
    <mergeCell ref="C2000:G2000"/>
    <mergeCell ref="C2002:G2002"/>
    <mergeCell ref="C2251:F2251"/>
    <mergeCell ref="B2223:J2223"/>
    <mergeCell ref="C2225:E2225"/>
    <mergeCell ref="C382:D382"/>
    <mergeCell ref="C417:H417"/>
    <mergeCell ref="C422:H422"/>
    <mergeCell ref="C427:G427"/>
    <mergeCell ref="C430:G430"/>
    <mergeCell ref="C432:G432"/>
    <mergeCell ref="C479:H479"/>
    <mergeCell ref="C484:G484"/>
    <mergeCell ref="C487:G487"/>
    <mergeCell ref="C439:D439"/>
    <mergeCell ref="B1062:J1062"/>
    <mergeCell ref="C1064:E1064"/>
    <mergeCell ref="B1005:J1005"/>
    <mergeCell ref="C1007:E1007"/>
    <mergeCell ref="C407:F407"/>
    <mergeCell ref="C950:E950"/>
    <mergeCell ref="B891:J891"/>
    <mergeCell ref="C893:E893"/>
    <mergeCell ref="B663:J663"/>
    <mergeCell ref="C464:F464"/>
    <mergeCell ref="B435:J435"/>
    <mergeCell ref="C437:E437"/>
    <mergeCell ref="C665:E665"/>
    <mergeCell ref="B834:J834"/>
    <mergeCell ref="C836:E836"/>
    <mergeCell ref="B777:J777"/>
    <mergeCell ref="C2196:F2196"/>
    <mergeCell ref="C1486:F1486"/>
    <mergeCell ref="C1541:F1541"/>
    <mergeCell ref="C1595:F1595"/>
    <mergeCell ref="C1649:F1649"/>
    <mergeCell ref="C1893:G1893"/>
    <mergeCell ref="C1895:G1895"/>
    <mergeCell ref="C1826:H1826"/>
    <mergeCell ref="C1563:G1563"/>
    <mergeCell ref="C1980:F1980"/>
    <mergeCell ref="C1556:H1556"/>
    <mergeCell ref="C1515:E1515"/>
    <mergeCell ref="C1517:D1517"/>
    <mergeCell ref="C1551:H1551"/>
    <mergeCell ref="B2169:J2169"/>
    <mergeCell ref="C2156:H2156"/>
    <mergeCell ref="C2151:H2151"/>
    <mergeCell ref="C2171:E2171"/>
    <mergeCell ref="C2118:D2118"/>
    <mergeCell ref="C2141:F2141"/>
    <mergeCell ref="C2161:G2161"/>
    <mergeCell ref="C2167:G2167"/>
    <mergeCell ref="C2165:G2165"/>
    <mergeCell ref="C1839:E1839"/>
  </mergeCells>
  <phoneticPr fontId="8" type="noConversion"/>
  <hyperlinks>
    <hyperlink ref="L4" location="'10 Фізіотерапія'!A4" display="Ультрафіолетове опромінення загальне" xr:uid="{00000000-0004-0000-1F00-000000000000}"/>
    <hyperlink ref="L5" location="'10 Фізіотерапія'!A54" display="Ультрафіолетове опромінення місцеве" xr:uid="{00000000-0004-0000-1F00-000001000000}"/>
    <hyperlink ref="L6" location="'10 Фізіотерапія'!A104" display="Опромінення інфрачервоними променями" xr:uid="{00000000-0004-0000-1F00-000002000000}"/>
    <hyperlink ref="L7" location="'10 Фізіотерапія'!A154" display="Лазеротерапія низькочастотна" xr:uid="{00000000-0004-0000-1F00-000003000000}"/>
    <hyperlink ref="L8" location="'10 Фізіотерапія'!A205" display="Лазеротерапія високочастотна" xr:uid="{00000000-0004-0000-1F00-000004000000}"/>
    <hyperlink ref="L9" location="'10 Фізіотерапія'!A256" display="Електрофорез лікарський" xr:uid="{00000000-0004-0000-1F00-000005000000}"/>
    <hyperlink ref="L28" location="'10 Фізіотерапія'!A317" display="Функціональна електростимуляція" xr:uid="{00000000-0004-0000-1F00-000006000000}"/>
    <hyperlink ref="L29" location="'10 Фізіотерапія'!A368" display="Крізшкірна електронейростимуляція" xr:uid="{00000000-0004-0000-1F00-000007000000}"/>
    <hyperlink ref="L30" location="'10 Фізіотерапія'!A419" display="Нервово-мязова електростимуляція" xr:uid="{00000000-0004-0000-1F00-000008000000}"/>
    <hyperlink ref="L32" location="'10 Фізіотерапія'!A470" display="Аерозольтерапія індивідуальна" xr:uid="{00000000-0004-0000-1F00-000009000000}"/>
    <hyperlink ref="L38" location="'10 Фізіотерапія'!A524" display="Магнітотерапія (низькочастотна)" xr:uid="{00000000-0004-0000-1F00-00000A000000}"/>
    <hyperlink ref="L46" location="'10 Фізіотерапія'!A879" display="Озекеритолікування" xr:uid="{00000000-0004-0000-1F00-00000B000000}"/>
    <hyperlink ref="L39" location="'10 Фізіотерапія'!A524" display="Магнітотерапія (низькочастотна)" xr:uid="{00000000-0004-0000-1F00-00000C000000}"/>
  </hyperlinks>
  <pageMargins left="0" right="0" top="0" bottom="0" header="0.31496062992125984" footer="0.31496062992125984"/>
  <pageSetup paperSize="9" scale="65" orientation="portrait" r:id="rId1"/>
  <rowBreaks count="45" manualBreakCount="45">
    <brk id="54" min="1" max="9" man="1"/>
    <brk id="107" min="1" max="9" man="1"/>
    <brk id="160" min="1" max="9" man="1"/>
    <brk id="214" min="1" max="9" man="1"/>
    <brk id="265" min="1" max="9" man="1"/>
    <brk id="320" min="1" max="9" man="1"/>
    <brk id="376" min="1" max="9" man="1"/>
    <brk id="433" min="1" max="9" man="1"/>
    <brk id="490" min="1" max="9" man="1"/>
    <brk id="547" min="1" max="9" man="1"/>
    <brk id="604" min="1" max="9" man="1"/>
    <brk id="661" min="1" max="9" man="1"/>
    <brk id="718" min="1" max="9" man="1"/>
    <brk id="775" min="1" max="9" man="1"/>
    <brk id="832" min="1" max="9" man="1"/>
    <brk id="889" min="1" max="9" man="1"/>
    <brk id="946" min="1" max="9" man="1"/>
    <brk id="1003" min="1" max="9" man="1"/>
    <brk id="1060" min="1" max="9" man="1"/>
    <brk id="1117" min="1" max="9" man="1"/>
    <brk id="1174" min="1" max="9" man="1"/>
    <brk id="1231" min="1" max="9" man="1"/>
    <brk id="1288" min="1" max="9" man="1"/>
    <brk id="1345" min="1" max="9" man="1"/>
    <brk id="1401" min="1" max="9" man="1"/>
    <brk id="1457" min="1" max="9" man="1"/>
    <brk id="1512" min="1" max="9" man="1"/>
    <brk id="1567" min="1" max="9" man="1"/>
    <brk id="1620" min="1" max="9" man="1"/>
    <brk id="1674" min="1" max="9" man="1"/>
    <brk id="1728" min="1" max="9" man="1"/>
    <brk id="1782" min="1" max="9" man="1"/>
    <brk id="1836" min="1" max="9" man="1"/>
    <brk id="1896" min="1" max="9" man="1"/>
    <brk id="1951" min="1" max="9" man="1"/>
    <brk id="2005" min="1" max="9" man="1"/>
    <brk id="2059" min="1" max="9" man="1"/>
    <brk id="2113" min="1" max="9" man="1"/>
    <brk id="2168" min="1" max="9" man="1"/>
    <brk id="2222" min="1" max="9" man="1"/>
    <brk id="2277" min="1" max="9" man="1"/>
    <brk id="2332" min="1" max="9" man="1"/>
    <brk id="2388" min="1" max="9" man="1"/>
    <brk id="2443" min="1" max="9" man="1"/>
    <brk id="2498" min="1" max="9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I53"/>
  <sheetViews>
    <sheetView view="pageBreakPreview" zoomScaleNormal="100" workbookViewId="0">
      <selection activeCell="J4" sqref="J4"/>
    </sheetView>
  </sheetViews>
  <sheetFormatPr defaultRowHeight="14.4" x14ac:dyDescent="0.3"/>
  <cols>
    <col min="1" max="1" width="6.33203125" style="7" bestFit="1" customWidth="1"/>
    <col min="2" max="2" width="35.6640625" style="7" customWidth="1"/>
    <col min="3" max="3" width="9.33203125" style="7" bestFit="1" customWidth="1"/>
    <col min="4" max="4" width="10.44140625" style="7" bestFit="1" customWidth="1"/>
    <col min="5" max="5" width="11" style="7" customWidth="1"/>
    <col min="6" max="6" width="9.33203125" style="7" bestFit="1" customWidth="1"/>
    <col min="7" max="7" width="10.44140625" style="7" bestFit="1" customWidth="1"/>
    <col min="8" max="9" width="9.33203125" style="7" bestFit="1" customWidth="1"/>
  </cols>
  <sheetData>
    <row r="1" spans="1:9" ht="7.5" customHeight="1" x14ac:dyDescent="0.3"/>
    <row r="2" spans="1:9" s="54" customFormat="1" ht="19.8" x14ac:dyDescent="0.4">
      <c r="A2" s="1016" t="s">
        <v>958</v>
      </c>
      <c r="B2" s="1016"/>
      <c r="C2" s="1016"/>
      <c r="D2" s="1016"/>
      <c r="E2" s="1016"/>
      <c r="F2" s="1016"/>
      <c r="G2" s="1016"/>
      <c r="H2" s="1016"/>
      <c r="I2" s="1016"/>
    </row>
    <row r="3" spans="1:9" s="54" customFormat="1" ht="11.25" customHeight="1" x14ac:dyDescent="0.4">
      <c r="A3" s="53"/>
      <c r="B3" s="53"/>
      <c r="C3" s="53"/>
      <c r="D3" s="53"/>
      <c r="E3" s="53"/>
      <c r="F3" s="53"/>
      <c r="G3" s="53"/>
      <c r="H3" s="53"/>
      <c r="I3" s="53"/>
    </row>
    <row r="4" spans="1:9" s="54" customFormat="1" ht="37.5" customHeight="1" x14ac:dyDescent="0.4">
      <c r="A4" s="50" t="s">
        <v>1014</v>
      </c>
      <c r="B4" s="1017" t="s">
        <v>1184</v>
      </c>
      <c r="C4" s="1017"/>
      <c r="D4" s="1017"/>
      <c r="E4" s="261">
        <f>G53</f>
        <v>16.5</v>
      </c>
      <c r="F4" s="52" t="s">
        <v>971</v>
      </c>
      <c r="G4" s="53"/>
      <c r="H4" s="53"/>
      <c r="I4" s="53"/>
    </row>
    <row r="6" spans="1:9" x14ac:dyDescent="0.3">
      <c r="B6" s="1018" t="s">
        <v>932</v>
      </c>
      <c r="C6" s="1018"/>
      <c r="D6" s="10"/>
      <c r="E6" s="11">
        <f>E13+E16+E14</f>
        <v>9.64</v>
      </c>
      <c r="F6" s="12" t="s">
        <v>971</v>
      </c>
    </row>
    <row r="7" spans="1:9" ht="6" customHeight="1" x14ac:dyDescent="0.3"/>
    <row r="8" spans="1:9" ht="27.6" x14ac:dyDescent="0.3">
      <c r="B8" s="13" t="s">
        <v>929</v>
      </c>
      <c r="C8" s="14" t="s">
        <v>928</v>
      </c>
      <c r="D8" s="14" t="s">
        <v>514</v>
      </c>
      <c r="E8" s="14" t="s">
        <v>515</v>
      </c>
      <c r="F8" s="14" t="s">
        <v>962</v>
      </c>
      <c r="G8" s="14" t="s">
        <v>926</v>
      </c>
      <c r="H8" s="14" t="s">
        <v>516</v>
      </c>
      <c r="I8" s="14" t="s">
        <v>961</v>
      </c>
    </row>
    <row r="9" spans="1:9" x14ac:dyDescent="0.3">
      <c r="B9" s="17"/>
      <c r="C9" s="16"/>
      <c r="D9" s="16"/>
      <c r="E9" s="16"/>
      <c r="F9" s="16"/>
      <c r="G9" s="16"/>
      <c r="H9" s="17"/>
      <c r="I9" s="16"/>
    </row>
    <row r="10" spans="1:9" x14ac:dyDescent="0.3">
      <c r="B10" s="17" t="s">
        <v>1193</v>
      </c>
      <c r="C10" s="16">
        <f>ЗП!C42</f>
        <v>6506.5</v>
      </c>
      <c r="D10" s="16">
        <f>C10*12</f>
        <v>78078</v>
      </c>
      <c r="E10" s="16">
        <f>ЗП!E42</f>
        <v>5005</v>
      </c>
      <c r="F10" s="16">
        <f>E10*50%</f>
        <v>2502.5</v>
      </c>
      <c r="G10" s="16">
        <f>D10+E10+F10</f>
        <v>85585.5</v>
      </c>
      <c r="H10" s="17">
        <v>1807.2</v>
      </c>
      <c r="I10" s="16">
        <f>ROUND((G10/H10)/60,2)</f>
        <v>0.79</v>
      </c>
    </row>
    <row r="11" spans="1:9" ht="6.75" customHeight="1" x14ac:dyDescent="0.3"/>
    <row r="12" spans="1:9" ht="27.6" x14ac:dyDescent="0.3">
      <c r="B12" s="13" t="s">
        <v>929</v>
      </c>
      <c r="C12" s="14" t="s">
        <v>961</v>
      </c>
      <c r="D12" s="14" t="s">
        <v>930</v>
      </c>
      <c r="E12" s="14" t="s">
        <v>931</v>
      </c>
    </row>
    <row r="13" spans="1:9" x14ac:dyDescent="0.3">
      <c r="B13" s="15"/>
      <c r="C13" s="16"/>
      <c r="D13" s="17"/>
      <c r="E13" s="18"/>
    </row>
    <row r="14" spans="1:9" x14ac:dyDescent="0.3">
      <c r="B14" s="15" t="str">
        <f>B10</f>
        <v xml:space="preserve">Сестра медична </v>
      </c>
      <c r="C14" s="16">
        <f>I10</f>
        <v>0.79</v>
      </c>
      <c r="D14" s="17">
        <v>10</v>
      </c>
      <c r="E14" s="18">
        <f>ROUND(C14*D14,2)</f>
        <v>7.9</v>
      </c>
    </row>
    <row r="15" spans="1:9" ht="9" customHeight="1" x14ac:dyDescent="0.3">
      <c r="C15" s="19"/>
    </row>
    <row r="16" spans="1:9" x14ac:dyDescent="0.3">
      <c r="B16" s="17" t="s">
        <v>933</v>
      </c>
      <c r="C16" s="16">
        <f>E13+E14</f>
        <v>7.9</v>
      </c>
      <c r="D16" s="20">
        <v>0.22</v>
      </c>
      <c r="E16" s="21">
        <f>ROUND(C16*D16,2)</f>
        <v>1.74</v>
      </c>
    </row>
    <row r="18" spans="2:7" x14ac:dyDescent="0.3">
      <c r="B18" s="12" t="s">
        <v>946</v>
      </c>
      <c r="C18" s="12"/>
      <c r="D18" s="12"/>
      <c r="E18" s="12">
        <f>F28</f>
        <v>5.5699999999999994</v>
      </c>
      <c r="F18" s="12" t="s">
        <v>971</v>
      </c>
    </row>
    <row r="19" spans="2:7" ht="8.25" customHeight="1" x14ac:dyDescent="0.3"/>
    <row r="20" spans="2:7" x14ac:dyDescent="0.3">
      <c r="B20" s="27" t="s">
        <v>934</v>
      </c>
      <c r="C20" s="28" t="s">
        <v>935</v>
      </c>
      <c r="D20" s="29">
        <v>1</v>
      </c>
      <c r="E20" s="29">
        <f>'МЕДИЧНІ М'!E179</f>
        <v>2.8</v>
      </c>
      <c r="F20" s="30">
        <f>ROUND(D20*E20,2)</f>
        <v>2.8</v>
      </c>
    </row>
    <row r="21" spans="2:7" x14ac:dyDescent="0.3">
      <c r="B21" s="27" t="s">
        <v>936</v>
      </c>
      <c r="C21" s="28" t="s">
        <v>937</v>
      </c>
      <c r="D21" s="29">
        <v>1</v>
      </c>
      <c r="E21" s="30">
        <f>'МЕДИЧНІ М'!F178</f>
        <v>0.3</v>
      </c>
      <c r="F21" s="30">
        <f t="shared" ref="F21:F27" si="0">ROUND(D21*E21,2)</f>
        <v>0.3</v>
      </c>
    </row>
    <row r="22" spans="2:7" x14ac:dyDescent="0.3">
      <c r="B22" s="27" t="s">
        <v>938</v>
      </c>
      <c r="C22" s="28" t="s">
        <v>939</v>
      </c>
      <c r="D22" s="29">
        <v>0.1</v>
      </c>
      <c r="E22" s="30">
        <f>'МЕДИЧНІ М'!F176</f>
        <v>6</v>
      </c>
      <c r="F22" s="30">
        <f t="shared" si="0"/>
        <v>0.6</v>
      </c>
    </row>
    <row r="23" spans="2:7" x14ac:dyDescent="0.3">
      <c r="B23" s="27" t="s">
        <v>940</v>
      </c>
      <c r="C23" s="28" t="s">
        <v>941</v>
      </c>
      <c r="D23" s="29">
        <v>0.5</v>
      </c>
      <c r="E23" s="29">
        <f>'МЕДИЧНІ М'!E177</f>
        <v>2</v>
      </c>
      <c r="F23" s="30">
        <f t="shared" si="0"/>
        <v>1</v>
      </c>
    </row>
    <row r="24" spans="2:7" x14ac:dyDescent="0.3">
      <c r="B24" s="27" t="s">
        <v>942</v>
      </c>
      <c r="C24" s="28" t="s">
        <v>941</v>
      </c>
      <c r="D24" s="29">
        <v>0.01</v>
      </c>
      <c r="E24" s="29">
        <f>'МЕДИЧНІ М'!E180</f>
        <v>24.6</v>
      </c>
      <c r="F24" s="30">
        <f t="shared" si="0"/>
        <v>0.25</v>
      </c>
    </row>
    <row r="25" spans="2:7" x14ac:dyDescent="0.3">
      <c r="B25" s="27" t="s">
        <v>943</v>
      </c>
      <c r="C25" s="28" t="s">
        <v>944</v>
      </c>
      <c r="D25" s="29">
        <v>1</v>
      </c>
      <c r="E25" s="30">
        <f>'МЕДИЧНІ М'!F174</f>
        <v>7.0000000000000007E-2</v>
      </c>
      <c r="F25" s="30">
        <f t="shared" si="0"/>
        <v>7.0000000000000007E-2</v>
      </c>
    </row>
    <row r="26" spans="2:7" x14ac:dyDescent="0.3">
      <c r="B26" s="27" t="s">
        <v>1124</v>
      </c>
      <c r="C26" s="28" t="s">
        <v>944</v>
      </c>
      <c r="D26" s="29">
        <v>0.5</v>
      </c>
      <c r="E26" s="29">
        <f>'МЕДИЧНІ М'!E175</f>
        <v>0.5</v>
      </c>
      <c r="F26" s="30">
        <f t="shared" si="0"/>
        <v>0.25</v>
      </c>
    </row>
    <row r="27" spans="2:7" x14ac:dyDescent="0.3">
      <c r="B27" s="27" t="s">
        <v>1159</v>
      </c>
      <c r="C27" s="28" t="s">
        <v>1160</v>
      </c>
      <c r="D27" s="29">
        <f>D14</f>
        <v>10</v>
      </c>
      <c r="E27" s="29">
        <f>ROUND(3389/H10/60,2)</f>
        <v>0.03</v>
      </c>
      <c r="F27" s="29">
        <f t="shared" si="0"/>
        <v>0.3</v>
      </c>
    </row>
    <row r="28" spans="2:7" x14ac:dyDescent="0.3">
      <c r="B28" s="1012" t="s">
        <v>945</v>
      </c>
      <c r="C28" s="1013"/>
      <c r="D28" s="1013"/>
      <c r="E28" s="1014"/>
      <c r="F28" s="31">
        <f>SUM(F20:F27)</f>
        <v>5.5699999999999994</v>
      </c>
    </row>
    <row r="30" spans="2:7" x14ac:dyDescent="0.3">
      <c r="B30" s="12" t="s">
        <v>968</v>
      </c>
      <c r="C30" s="12"/>
      <c r="D30" s="12"/>
      <c r="E30" s="11">
        <f>G33</f>
        <v>0</v>
      </c>
      <c r="F30" s="12" t="s">
        <v>971</v>
      </c>
    </row>
    <row r="31" spans="2:7" x14ac:dyDescent="0.3">
      <c r="B31" s="22"/>
      <c r="C31" s="22"/>
      <c r="D31" s="22"/>
      <c r="E31" s="23"/>
      <c r="F31" s="22"/>
    </row>
    <row r="32" spans="2:7" ht="27.6" x14ac:dyDescent="0.3">
      <c r="B32" s="14" t="s">
        <v>513</v>
      </c>
      <c r="C32" s="14" t="s">
        <v>1108</v>
      </c>
      <c r="D32" s="14" t="s">
        <v>516</v>
      </c>
      <c r="E32" s="14" t="s">
        <v>970</v>
      </c>
      <c r="F32" s="14" t="s">
        <v>930</v>
      </c>
      <c r="G32" s="14" t="s">
        <v>961</v>
      </c>
    </row>
    <row r="33" spans="2:8" x14ac:dyDescent="0.3">
      <c r="B33" s="43"/>
      <c r="C33" s="17"/>
      <c r="D33" s="17">
        <f>H9</f>
        <v>0</v>
      </c>
      <c r="E33" s="17">
        <v>0</v>
      </c>
      <c r="F33" s="17">
        <f>D13</f>
        <v>0</v>
      </c>
      <c r="G33" s="16">
        <f>ROUND(E33*F33,2)</f>
        <v>0</v>
      </c>
      <c r="H33" s="38"/>
    </row>
    <row r="35" spans="2:8" x14ac:dyDescent="0.3">
      <c r="B35" s="12" t="s">
        <v>948</v>
      </c>
      <c r="C35" s="12"/>
      <c r="D35" s="12"/>
      <c r="E35" s="11">
        <f>G48</f>
        <v>1.3</v>
      </c>
      <c r="F35" s="12" t="s">
        <v>971</v>
      </c>
    </row>
    <row r="36" spans="2:8" x14ac:dyDescent="0.3">
      <c r="B36" s="22"/>
      <c r="C36" s="22"/>
      <c r="D36" s="22"/>
      <c r="E36" s="23"/>
    </row>
    <row r="37" spans="2:8" ht="55.2" x14ac:dyDescent="0.3">
      <c r="B37" s="14" t="s">
        <v>948</v>
      </c>
      <c r="C37" s="14" t="s">
        <v>955</v>
      </c>
      <c r="D37" s="14" t="s">
        <v>516</v>
      </c>
      <c r="E37" s="14" t="s">
        <v>954</v>
      </c>
      <c r="F37" s="14" t="s">
        <v>930</v>
      </c>
      <c r="G37" s="14" t="s">
        <v>956</v>
      </c>
    </row>
    <row r="38" spans="2:8" hidden="1" x14ac:dyDescent="0.3">
      <c r="B38" s="1009"/>
      <c r="C38" s="1010"/>
      <c r="D38" s="1010"/>
      <c r="E38" s="1010"/>
      <c r="F38" s="1010"/>
      <c r="G38" s="1011"/>
    </row>
    <row r="39" spans="2:8" hidden="1" x14ac:dyDescent="0.3">
      <c r="B39" s="17"/>
      <c r="C39" s="17"/>
      <c r="D39" s="17"/>
      <c r="E39" s="17"/>
      <c r="F39" s="17"/>
      <c r="G39" s="16"/>
    </row>
    <row r="40" spans="2:8" hidden="1" x14ac:dyDescent="0.3">
      <c r="B40" s="17"/>
      <c r="C40" s="17"/>
      <c r="D40" s="17"/>
      <c r="E40" s="17"/>
      <c r="F40" s="17"/>
      <c r="G40" s="16"/>
    </row>
    <row r="41" spans="2:8" hidden="1" x14ac:dyDescent="0.3">
      <c r="B41" s="17"/>
      <c r="C41" s="17"/>
      <c r="D41" s="17"/>
      <c r="E41" s="17"/>
      <c r="F41" s="17"/>
      <c r="G41" s="16"/>
    </row>
    <row r="42" spans="2:8" hidden="1" x14ac:dyDescent="0.3">
      <c r="B42" s="17"/>
      <c r="C42" s="17"/>
      <c r="D42" s="17"/>
      <c r="E42" s="17"/>
      <c r="F42" s="17"/>
      <c r="G42" s="16"/>
    </row>
    <row r="43" spans="2:8" x14ac:dyDescent="0.3">
      <c r="B43" s="1009" t="str">
        <f>B10</f>
        <v xml:space="preserve">Сестра медична </v>
      </c>
      <c r="C43" s="1010"/>
      <c r="D43" s="1010"/>
      <c r="E43" s="1010"/>
      <c r="F43" s="1010"/>
      <c r="G43" s="1011"/>
    </row>
    <row r="44" spans="2:8" x14ac:dyDescent="0.3">
      <c r="B44" s="17" t="s">
        <v>951</v>
      </c>
      <c r="C44" s="112">
        <f>НАКЛАДНІ!F4</f>
        <v>12188.608008565312</v>
      </c>
      <c r="D44" s="17">
        <f>H10</f>
        <v>1807.2</v>
      </c>
      <c r="E44" s="17">
        <f>ROUND((C44/D44)/60,2)</f>
        <v>0.11</v>
      </c>
      <c r="F44" s="17">
        <f>D14</f>
        <v>10</v>
      </c>
      <c r="G44" s="16">
        <f>ROUND(E44*F44,2)</f>
        <v>1.1000000000000001</v>
      </c>
    </row>
    <row r="45" spans="2:8" x14ac:dyDescent="0.3">
      <c r="B45" s="17" t="s">
        <v>952</v>
      </c>
      <c r="C45" s="112">
        <f>НАКЛАДНІ!F5</f>
        <v>53.149721627408987</v>
      </c>
      <c r="D45" s="17">
        <f>H10</f>
        <v>1807.2</v>
      </c>
      <c r="E45" s="17">
        <f>ROUND((C45/D45)/60,2)</f>
        <v>0</v>
      </c>
      <c r="F45" s="17">
        <f>D14</f>
        <v>10</v>
      </c>
      <c r="G45" s="16">
        <f>ROUND(E45*F45,2)</f>
        <v>0</v>
      </c>
    </row>
    <row r="46" spans="2:8" x14ac:dyDescent="0.3">
      <c r="B46" s="17" t="s">
        <v>953</v>
      </c>
      <c r="C46" s="112">
        <f>НАКЛАДНІ!F6</f>
        <v>374.98368308351178</v>
      </c>
      <c r="D46" s="17">
        <f>H10</f>
        <v>1807.2</v>
      </c>
      <c r="E46" s="17">
        <f>ROUND((C46/D46)/60,2)</f>
        <v>0</v>
      </c>
      <c r="F46" s="17">
        <f>D14</f>
        <v>10</v>
      </c>
      <c r="G46" s="16">
        <f>ROUND(E46*F46,2)</f>
        <v>0</v>
      </c>
    </row>
    <row r="47" spans="2:8" x14ac:dyDescent="0.3">
      <c r="B47" s="17" t="s">
        <v>1109</v>
      </c>
      <c r="C47" s="112">
        <f>НАКЛАДНІ!F7</f>
        <v>1686.0389293361886</v>
      </c>
      <c r="D47" s="17">
        <f>H10</f>
        <v>1807.2</v>
      </c>
      <c r="E47" s="17">
        <f>ROUND((C47/D47)/60,2)</f>
        <v>0.02</v>
      </c>
      <c r="F47" s="17">
        <f>D14</f>
        <v>10</v>
      </c>
      <c r="G47" s="16">
        <f>ROUND(E47*F47,2)</f>
        <v>0.2</v>
      </c>
    </row>
    <row r="48" spans="2:8" x14ac:dyDescent="0.3">
      <c r="B48" s="1012" t="s">
        <v>957</v>
      </c>
      <c r="C48" s="1013"/>
      <c r="D48" s="1013"/>
      <c r="E48" s="1013"/>
      <c r="F48" s="1014"/>
      <c r="G48" s="18">
        <f>SUM(G39:G47)</f>
        <v>1.3</v>
      </c>
    </row>
    <row r="49" spans="2:7" ht="13.5" customHeight="1" x14ac:dyDescent="0.3"/>
    <row r="50" spans="2:7" hidden="1" x14ac:dyDescent="0.3"/>
    <row r="51" spans="2:7" x14ac:dyDescent="0.3">
      <c r="B51" s="1015" t="s">
        <v>959</v>
      </c>
      <c r="C51" s="1015"/>
      <c r="D51" s="1015"/>
      <c r="E51" s="1015"/>
      <c r="F51" s="1015"/>
      <c r="G51" s="32">
        <f>E6+E18+E30+E35</f>
        <v>16.510000000000002</v>
      </c>
    </row>
    <row r="52" spans="2:7" x14ac:dyDescent="0.3">
      <c r="B52" s="33"/>
      <c r="C52" s="33"/>
      <c r="D52" s="33"/>
      <c r="E52" s="33"/>
      <c r="F52" s="33"/>
      <c r="G52" s="34"/>
    </row>
    <row r="53" spans="2:7" x14ac:dyDescent="0.3">
      <c r="B53" s="1015" t="s">
        <v>960</v>
      </c>
      <c r="C53" s="1015"/>
      <c r="D53" s="1015"/>
      <c r="E53" s="1015"/>
      <c r="F53" s="1015"/>
      <c r="G53" s="32">
        <f>ROUND(G51,1)</f>
        <v>16.5</v>
      </c>
    </row>
  </sheetData>
  <mergeCells count="9">
    <mergeCell ref="B48:F48"/>
    <mergeCell ref="B51:F51"/>
    <mergeCell ref="B53:F53"/>
    <mergeCell ref="A2:I2"/>
    <mergeCell ref="B4:D4"/>
    <mergeCell ref="B6:C6"/>
    <mergeCell ref="B28:E28"/>
    <mergeCell ref="B38:G38"/>
    <mergeCell ref="B43:G43"/>
  </mergeCells>
  <phoneticPr fontId="8" type="noConversion"/>
  <pageMargins left="0" right="0" top="0" bottom="0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5:I32"/>
  <sheetViews>
    <sheetView view="pageBreakPreview" zoomScaleNormal="100" workbookViewId="0">
      <selection activeCell="I27" sqref="I27"/>
    </sheetView>
  </sheetViews>
  <sheetFormatPr defaultRowHeight="14.4" x14ac:dyDescent="0.3"/>
  <cols>
    <col min="2" max="2" width="9.109375" style="7"/>
    <col min="3" max="3" width="88.88671875" style="7" customWidth="1"/>
    <col min="4" max="4" width="13.88671875" style="7" hidden="1" customWidth="1"/>
    <col min="5" max="5" width="17.109375" style="7" customWidth="1"/>
    <col min="6" max="6" width="9.109375" style="7"/>
    <col min="7" max="7" width="0" style="7" hidden="1" customWidth="1"/>
    <col min="9" max="9" width="9.109375" style="3"/>
  </cols>
  <sheetData>
    <row r="5" spans="2:7" ht="28.2" x14ac:dyDescent="0.3">
      <c r="B5" s="17"/>
      <c r="C5" s="17"/>
      <c r="D5" s="97" t="s">
        <v>540</v>
      </c>
      <c r="E5" s="97" t="s">
        <v>541</v>
      </c>
      <c r="F5" s="97" t="s">
        <v>542</v>
      </c>
      <c r="G5" s="17"/>
    </row>
    <row r="6" spans="2:7" x14ac:dyDescent="0.3">
      <c r="B6" s="94" t="s">
        <v>701</v>
      </c>
      <c r="C6" s="95" t="s">
        <v>702</v>
      </c>
      <c r="D6" s="16"/>
      <c r="E6" s="17"/>
      <c r="F6" s="17"/>
      <c r="G6" s="17"/>
    </row>
    <row r="7" spans="2:7" x14ac:dyDescent="0.3">
      <c r="B7" s="94" t="s">
        <v>703</v>
      </c>
      <c r="C7" s="15" t="s">
        <v>704</v>
      </c>
      <c r="D7" s="16">
        <v>6566.32</v>
      </c>
      <c r="E7" s="17">
        <v>9663</v>
      </c>
      <c r="F7" s="17">
        <v>15</v>
      </c>
      <c r="G7" s="17">
        <f>ROUND((D7/E7)*F7,2)</f>
        <v>10.19</v>
      </c>
    </row>
    <row r="8" spans="2:7" x14ac:dyDescent="0.3">
      <c r="B8" s="94"/>
      <c r="C8" s="15" t="s">
        <v>539</v>
      </c>
      <c r="D8" s="16">
        <v>5000</v>
      </c>
      <c r="E8" s="17">
        <v>9663</v>
      </c>
      <c r="F8" s="17">
        <v>15</v>
      </c>
      <c r="G8" s="17">
        <f t="shared" ref="G8:G31" si="0">ROUND((D8/E8)*F8,2)</f>
        <v>7.76</v>
      </c>
    </row>
    <row r="9" spans="2:7" x14ac:dyDescent="0.3">
      <c r="B9" s="94" t="s">
        <v>705</v>
      </c>
      <c r="C9" s="15" t="s">
        <v>706</v>
      </c>
      <c r="D9" s="16">
        <v>6566.32</v>
      </c>
      <c r="E9" s="17">
        <v>9663</v>
      </c>
      <c r="F9" s="17">
        <v>15</v>
      </c>
      <c r="G9" s="17">
        <f t="shared" si="0"/>
        <v>10.19</v>
      </c>
    </row>
    <row r="10" spans="2:7" x14ac:dyDescent="0.3">
      <c r="B10" s="94"/>
      <c r="C10" s="15" t="s">
        <v>539</v>
      </c>
      <c r="D10" s="16">
        <v>5000</v>
      </c>
      <c r="E10" s="17">
        <v>9663</v>
      </c>
      <c r="F10" s="17">
        <v>15</v>
      </c>
      <c r="G10" s="17">
        <f t="shared" si="0"/>
        <v>7.76</v>
      </c>
    </row>
    <row r="11" spans="2:7" x14ac:dyDescent="0.3">
      <c r="B11" s="94" t="s">
        <v>707</v>
      </c>
      <c r="C11" s="15" t="s">
        <v>708</v>
      </c>
      <c r="D11" s="16">
        <v>7551.25</v>
      </c>
      <c r="E11" s="17">
        <v>9663</v>
      </c>
      <c r="F11" s="17">
        <v>15</v>
      </c>
      <c r="G11" s="17">
        <f t="shared" si="0"/>
        <v>11.72</v>
      </c>
    </row>
    <row r="12" spans="2:7" x14ac:dyDescent="0.3">
      <c r="B12" s="94"/>
      <c r="C12" s="15" t="s">
        <v>539</v>
      </c>
      <c r="D12" s="16">
        <v>5000</v>
      </c>
      <c r="E12" s="17">
        <v>9663</v>
      </c>
      <c r="F12" s="17">
        <v>15</v>
      </c>
      <c r="G12" s="17">
        <f t="shared" si="0"/>
        <v>7.76</v>
      </c>
    </row>
    <row r="13" spans="2:7" x14ac:dyDescent="0.3">
      <c r="B13" s="94" t="s">
        <v>709</v>
      </c>
      <c r="C13" s="15" t="s">
        <v>1190</v>
      </c>
      <c r="D13" s="16">
        <v>6132.1</v>
      </c>
      <c r="E13" s="17">
        <v>9663</v>
      </c>
      <c r="F13" s="17">
        <v>15</v>
      </c>
      <c r="G13" s="17">
        <f t="shared" si="0"/>
        <v>9.52</v>
      </c>
    </row>
    <row r="14" spans="2:7" x14ac:dyDescent="0.3">
      <c r="B14" s="94"/>
      <c r="C14" s="15" t="s">
        <v>539</v>
      </c>
      <c r="D14" s="16">
        <v>5000</v>
      </c>
      <c r="E14" s="17">
        <v>9663</v>
      </c>
      <c r="F14" s="17">
        <v>15</v>
      </c>
      <c r="G14" s="17">
        <f>ROUND((D14/E14)*F14,2)</f>
        <v>7.76</v>
      </c>
    </row>
    <row r="15" spans="2:7" x14ac:dyDescent="0.3">
      <c r="B15" s="94" t="s">
        <v>711</v>
      </c>
      <c r="C15" s="15" t="s">
        <v>1196</v>
      </c>
      <c r="D15" s="16">
        <v>7551.25</v>
      </c>
      <c r="E15" s="17">
        <v>9663</v>
      </c>
      <c r="F15" s="17">
        <v>15</v>
      </c>
      <c r="G15" s="17">
        <f t="shared" si="0"/>
        <v>11.72</v>
      </c>
    </row>
    <row r="16" spans="2:7" x14ac:dyDescent="0.3">
      <c r="B16" s="94"/>
      <c r="C16" s="15" t="s">
        <v>539</v>
      </c>
      <c r="D16" s="16">
        <v>5000</v>
      </c>
      <c r="E16" s="17">
        <v>9663</v>
      </c>
      <c r="F16" s="17">
        <v>15</v>
      </c>
      <c r="G16" s="17">
        <f>ROUND((D16/E16)*F16,2)</f>
        <v>7.76</v>
      </c>
    </row>
    <row r="17" spans="2:7" x14ac:dyDescent="0.3">
      <c r="B17" s="94" t="s">
        <v>712</v>
      </c>
      <c r="C17" s="15" t="s">
        <v>713</v>
      </c>
      <c r="D17" s="16">
        <v>7000.5</v>
      </c>
      <c r="E17" s="17">
        <v>9663</v>
      </c>
      <c r="F17" s="17">
        <v>15</v>
      </c>
      <c r="G17" s="17">
        <f t="shared" si="0"/>
        <v>10.87</v>
      </c>
    </row>
    <row r="18" spans="2:7" x14ac:dyDescent="0.3">
      <c r="B18" s="94"/>
      <c r="C18" s="15" t="s">
        <v>539</v>
      </c>
      <c r="D18" s="16">
        <v>5000</v>
      </c>
      <c r="E18" s="17">
        <v>9663</v>
      </c>
      <c r="F18" s="17">
        <v>15</v>
      </c>
      <c r="G18" s="17">
        <f>ROUND((D18/E18)*F18,2)</f>
        <v>7.76</v>
      </c>
    </row>
    <row r="19" spans="2:7" x14ac:dyDescent="0.3">
      <c r="B19" s="94" t="s">
        <v>714</v>
      </c>
      <c r="C19" s="15" t="s">
        <v>715</v>
      </c>
      <c r="D19" s="16"/>
      <c r="E19" s="17">
        <v>9663</v>
      </c>
      <c r="F19" s="17">
        <v>15</v>
      </c>
      <c r="G19" s="17">
        <f t="shared" si="0"/>
        <v>0</v>
      </c>
    </row>
    <row r="20" spans="2:7" x14ac:dyDescent="0.3">
      <c r="B20" s="94"/>
      <c r="C20" s="15" t="s">
        <v>539</v>
      </c>
      <c r="D20" s="16"/>
      <c r="E20" s="17">
        <v>9663</v>
      </c>
      <c r="F20" s="17">
        <v>15</v>
      </c>
      <c r="G20" s="17">
        <f>ROUND((D20/E20)*F20,2)</f>
        <v>0</v>
      </c>
    </row>
    <row r="21" spans="2:7" x14ac:dyDescent="0.3">
      <c r="B21" s="94" t="s">
        <v>716</v>
      </c>
      <c r="C21" s="15" t="s">
        <v>717</v>
      </c>
      <c r="D21" s="16">
        <v>7551.25</v>
      </c>
      <c r="E21" s="17">
        <v>9663</v>
      </c>
      <c r="F21" s="17">
        <v>15</v>
      </c>
      <c r="G21" s="17">
        <f t="shared" si="0"/>
        <v>11.72</v>
      </c>
    </row>
    <row r="22" spans="2:7" x14ac:dyDescent="0.3">
      <c r="B22" s="94"/>
      <c r="C22" s="15" t="s">
        <v>539</v>
      </c>
      <c r="D22" s="16">
        <v>5000</v>
      </c>
      <c r="E22" s="17">
        <v>9663</v>
      </c>
      <c r="F22" s="17">
        <v>15</v>
      </c>
      <c r="G22" s="17">
        <f>ROUND((D22/E22)*F22,2)</f>
        <v>7.76</v>
      </c>
    </row>
    <row r="23" spans="2:7" x14ac:dyDescent="0.3">
      <c r="B23" s="94" t="s">
        <v>718</v>
      </c>
      <c r="C23" s="15" t="s">
        <v>719</v>
      </c>
      <c r="D23" s="16">
        <v>6970.38</v>
      </c>
      <c r="E23" s="17">
        <v>9663</v>
      </c>
      <c r="F23" s="17">
        <v>15</v>
      </c>
      <c r="G23" s="17">
        <f t="shared" si="0"/>
        <v>10.82</v>
      </c>
    </row>
    <row r="24" spans="2:7" x14ac:dyDescent="0.3">
      <c r="B24" s="94"/>
      <c r="C24" s="15" t="s">
        <v>539</v>
      </c>
      <c r="D24" s="16">
        <v>5000</v>
      </c>
      <c r="E24" s="17">
        <v>9663</v>
      </c>
      <c r="F24" s="17">
        <v>15</v>
      </c>
      <c r="G24" s="17">
        <f>ROUND((D24/E24)*F24,2)</f>
        <v>7.76</v>
      </c>
    </row>
    <row r="25" spans="2:7" x14ac:dyDescent="0.3">
      <c r="B25" s="94" t="s">
        <v>720</v>
      </c>
      <c r="C25" s="15" t="s">
        <v>721</v>
      </c>
      <c r="D25" s="16"/>
      <c r="E25" s="17">
        <v>9663</v>
      </c>
      <c r="F25" s="17">
        <v>15</v>
      </c>
      <c r="G25" s="17">
        <f t="shared" si="0"/>
        <v>0</v>
      </c>
    </row>
    <row r="26" spans="2:7" x14ac:dyDescent="0.3">
      <c r="B26" s="94"/>
      <c r="C26" s="15" t="s">
        <v>539</v>
      </c>
      <c r="D26" s="16"/>
      <c r="E26" s="17">
        <v>9663</v>
      </c>
      <c r="F26" s="17">
        <v>15</v>
      </c>
      <c r="G26" s="17">
        <f>ROUND((D26/E26)*F26,2)</f>
        <v>0</v>
      </c>
    </row>
    <row r="27" spans="2:7" x14ac:dyDescent="0.3">
      <c r="B27" s="94" t="s">
        <v>722</v>
      </c>
      <c r="C27" s="15" t="s">
        <v>1189</v>
      </c>
      <c r="D27" s="16">
        <v>5967.01</v>
      </c>
      <c r="E27" s="17">
        <v>9663</v>
      </c>
      <c r="F27" s="17">
        <v>15</v>
      </c>
      <c r="G27" s="17">
        <f t="shared" si="0"/>
        <v>9.26</v>
      </c>
    </row>
    <row r="28" spans="2:7" x14ac:dyDescent="0.3">
      <c r="B28" s="94"/>
      <c r="C28" s="15" t="s">
        <v>539</v>
      </c>
      <c r="D28" s="16">
        <v>5000</v>
      </c>
      <c r="E28" s="17">
        <v>9663</v>
      </c>
      <c r="F28" s="17">
        <v>15</v>
      </c>
      <c r="G28" s="17">
        <f>ROUND((D28/E28)*F28,2)</f>
        <v>7.76</v>
      </c>
    </row>
    <row r="29" spans="2:7" x14ac:dyDescent="0.3">
      <c r="B29" s="94" t="s">
        <v>724</v>
      </c>
      <c r="C29" s="15" t="s">
        <v>725</v>
      </c>
      <c r="D29" s="16">
        <v>6061.2</v>
      </c>
      <c r="E29" s="17">
        <v>9663</v>
      </c>
      <c r="F29" s="17">
        <v>15</v>
      </c>
      <c r="G29" s="17">
        <f t="shared" si="0"/>
        <v>9.41</v>
      </c>
    </row>
    <row r="30" spans="2:7" x14ac:dyDescent="0.3">
      <c r="B30" s="94"/>
      <c r="C30" s="15" t="s">
        <v>539</v>
      </c>
      <c r="D30" s="16">
        <v>5000</v>
      </c>
      <c r="E30" s="17">
        <v>9663</v>
      </c>
      <c r="F30" s="17">
        <v>15</v>
      </c>
      <c r="G30" s="17">
        <f>ROUND((D30/E30)*F30,2)</f>
        <v>7.76</v>
      </c>
    </row>
    <row r="31" spans="2:7" x14ac:dyDescent="0.3">
      <c r="B31" s="94" t="s">
        <v>726</v>
      </c>
      <c r="C31" s="15" t="s">
        <v>727</v>
      </c>
      <c r="D31" s="16">
        <v>8306.3700000000008</v>
      </c>
      <c r="E31" s="17">
        <v>9663</v>
      </c>
      <c r="F31" s="17">
        <v>15</v>
      </c>
      <c r="G31" s="17">
        <f t="shared" si="0"/>
        <v>12.89</v>
      </c>
    </row>
    <row r="32" spans="2:7" x14ac:dyDescent="0.3">
      <c r="B32" s="17"/>
      <c r="C32" s="15" t="s">
        <v>539</v>
      </c>
      <c r="D32" s="16">
        <v>5000</v>
      </c>
      <c r="E32" s="17">
        <v>9663</v>
      </c>
      <c r="F32" s="17">
        <v>15</v>
      </c>
      <c r="G32" s="17">
        <f>ROUND((D32/E32)*F32,2)</f>
        <v>7.76</v>
      </c>
    </row>
  </sheetData>
  <phoneticPr fontId="8" type="noConversion"/>
  <pageMargins left="0" right="0" top="0" bottom="0" header="0" footer="0"/>
  <pageSetup paperSize="9" scale="8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C2:G23"/>
  <sheetViews>
    <sheetView view="pageBreakPreview" zoomScaleNormal="100" workbookViewId="0">
      <selection activeCell="H3" sqref="H3"/>
    </sheetView>
  </sheetViews>
  <sheetFormatPr defaultRowHeight="14.4" x14ac:dyDescent="0.3"/>
  <cols>
    <col min="3" max="3" width="9.109375" style="7"/>
    <col min="4" max="4" width="68.109375" style="7" customWidth="1"/>
    <col min="5" max="5" width="11.5546875" style="7" customWidth="1"/>
    <col min="6" max="6" width="17.44140625" style="7" customWidth="1"/>
    <col min="7" max="7" width="11.5546875" style="7" customWidth="1"/>
  </cols>
  <sheetData>
    <row r="2" spans="3:7" x14ac:dyDescent="0.3">
      <c r="C2" s="17"/>
      <c r="D2" s="17"/>
      <c r="E2" s="17"/>
      <c r="F2" s="17" t="s">
        <v>787</v>
      </c>
      <c r="G2" s="17"/>
    </row>
    <row r="3" spans="3:7" ht="28.2" x14ac:dyDescent="0.3">
      <c r="C3" s="17"/>
      <c r="D3" s="17"/>
      <c r="E3" s="97" t="s">
        <v>540</v>
      </c>
      <c r="F3" s="97" t="s">
        <v>541</v>
      </c>
      <c r="G3" s="97" t="s">
        <v>542</v>
      </c>
    </row>
    <row r="4" spans="3:7" x14ac:dyDescent="0.3">
      <c r="C4" s="17">
        <v>10</v>
      </c>
      <c r="D4" s="96" t="s">
        <v>543</v>
      </c>
      <c r="E4" s="16"/>
      <c r="F4" s="17"/>
      <c r="G4" s="17"/>
    </row>
    <row r="5" spans="3:7" x14ac:dyDescent="0.3">
      <c r="C5" s="94" t="s">
        <v>843</v>
      </c>
      <c r="D5" s="17" t="s">
        <v>844</v>
      </c>
      <c r="E5" s="16"/>
      <c r="F5" s="17"/>
      <c r="G5" s="17">
        <v>10</v>
      </c>
    </row>
    <row r="6" spans="3:7" x14ac:dyDescent="0.3">
      <c r="C6" s="94" t="s">
        <v>845</v>
      </c>
      <c r="D6" s="17" t="s">
        <v>846</v>
      </c>
      <c r="E6" s="16"/>
      <c r="F6" s="17"/>
      <c r="G6" s="17">
        <v>10</v>
      </c>
    </row>
    <row r="7" spans="3:7" x14ac:dyDescent="0.3">
      <c r="C7" s="94" t="s">
        <v>847</v>
      </c>
      <c r="D7" s="17" t="s">
        <v>848</v>
      </c>
      <c r="E7" s="16"/>
      <c r="F7" s="17"/>
      <c r="G7" s="17">
        <v>25</v>
      </c>
    </row>
    <row r="8" spans="3:7" x14ac:dyDescent="0.3">
      <c r="C8" s="94" t="s">
        <v>849</v>
      </c>
      <c r="D8" s="17" t="s">
        <v>850</v>
      </c>
      <c r="E8" s="16"/>
      <c r="F8" s="17"/>
      <c r="G8" s="17">
        <v>15</v>
      </c>
    </row>
    <row r="9" spans="3:7" x14ac:dyDescent="0.3">
      <c r="C9" s="94" t="s">
        <v>851</v>
      </c>
      <c r="D9" s="17" t="s">
        <v>852</v>
      </c>
      <c r="E9" s="16"/>
      <c r="F9" s="17"/>
      <c r="G9" s="17">
        <v>30</v>
      </c>
    </row>
    <row r="10" spans="3:7" x14ac:dyDescent="0.3">
      <c r="C10" s="94" t="s">
        <v>853</v>
      </c>
      <c r="D10" s="17" t="s">
        <v>854</v>
      </c>
      <c r="E10" s="16"/>
      <c r="F10" s="17"/>
      <c r="G10" s="17">
        <v>20</v>
      </c>
    </row>
    <row r="11" spans="3:7" x14ac:dyDescent="0.3">
      <c r="C11" s="94" t="s">
        <v>855</v>
      </c>
      <c r="D11" s="17" t="s">
        <v>856</v>
      </c>
      <c r="E11" s="16"/>
      <c r="F11" s="17"/>
      <c r="G11" s="17">
        <v>20</v>
      </c>
    </row>
    <row r="12" spans="3:7" x14ac:dyDescent="0.3">
      <c r="C12" s="94" t="s">
        <v>857</v>
      </c>
      <c r="D12" s="17" t="s">
        <v>858</v>
      </c>
      <c r="E12" s="16"/>
      <c r="F12" s="17"/>
      <c r="G12" s="17">
        <v>20</v>
      </c>
    </row>
    <row r="13" spans="3:7" x14ac:dyDescent="0.3">
      <c r="C13" s="94" t="s">
        <v>859</v>
      </c>
      <c r="D13" s="17" t="s">
        <v>860</v>
      </c>
      <c r="E13" s="16"/>
      <c r="F13" s="17"/>
      <c r="G13" s="17">
        <v>20</v>
      </c>
    </row>
    <row r="14" spans="3:7" x14ac:dyDescent="0.3">
      <c r="C14" s="94" t="s">
        <v>861</v>
      </c>
      <c r="D14" s="17" t="s">
        <v>862</v>
      </c>
      <c r="E14" s="16"/>
      <c r="F14" s="17"/>
      <c r="G14" s="17">
        <v>10</v>
      </c>
    </row>
    <row r="15" spans="3:7" x14ac:dyDescent="0.3">
      <c r="C15" s="94" t="s">
        <v>863</v>
      </c>
      <c r="D15" s="17" t="s">
        <v>864</v>
      </c>
      <c r="E15" s="16"/>
      <c r="F15" s="17"/>
      <c r="G15" s="17">
        <v>20</v>
      </c>
    </row>
    <row r="16" spans="3:7" x14ac:dyDescent="0.3">
      <c r="C16" s="94" t="s">
        <v>865</v>
      </c>
      <c r="D16" s="17" t="s">
        <v>866</v>
      </c>
      <c r="E16" s="16"/>
      <c r="F16" s="17"/>
      <c r="G16" s="17">
        <v>20</v>
      </c>
    </row>
    <row r="17" spans="3:7" x14ac:dyDescent="0.3">
      <c r="C17" s="94" t="s">
        <v>867</v>
      </c>
      <c r="D17" s="17" t="s">
        <v>868</v>
      </c>
      <c r="E17" s="16"/>
      <c r="F17" s="17"/>
      <c r="G17" s="17">
        <v>15</v>
      </c>
    </row>
    <row r="18" spans="3:7" x14ac:dyDescent="0.3">
      <c r="C18" s="94" t="s">
        <v>869</v>
      </c>
      <c r="D18" s="17" t="s">
        <v>870</v>
      </c>
      <c r="E18" s="16"/>
      <c r="F18" s="17"/>
      <c r="G18" s="17">
        <v>15</v>
      </c>
    </row>
    <row r="19" spans="3:7" x14ac:dyDescent="0.3">
      <c r="C19" s="94" t="s">
        <v>871</v>
      </c>
      <c r="D19" s="17" t="s">
        <v>872</v>
      </c>
      <c r="E19" s="16"/>
      <c r="F19" s="17"/>
      <c r="G19" s="17">
        <v>15</v>
      </c>
    </row>
    <row r="20" spans="3:7" x14ac:dyDescent="0.3">
      <c r="C20" s="94" t="s">
        <v>873</v>
      </c>
      <c r="D20" s="17" t="s">
        <v>874</v>
      </c>
      <c r="E20" s="16"/>
      <c r="F20" s="17"/>
      <c r="G20" s="17">
        <v>10</v>
      </c>
    </row>
    <row r="21" spans="3:7" x14ac:dyDescent="0.3">
      <c r="C21" s="94" t="s">
        <v>875</v>
      </c>
      <c r="D21" s="17" t="s">
        <v>876</v>
      </c>
      <c r="E21" s="16"/>
      <c r="F21" s="17"/>
      <c r="G21" s="17">
        <v>20</v>
      </c>
    </row>
    <row r="22" spans="3:7" x14ac:dyDescent="0.3">
      <c r="C22" s="94" t="s">
        <v>877</v>
      </c>
      <c r="D22" s="17" t="s">
        <v>878</v>
      </c>
      <c r="E22" s="16"/>
      <c r="F22" s="17"/>
      <c r="G22" s="17">
        <v>40</v>
      </c>
    </row>
    <row r="23" spans="3:7" x14ac:dyDescent="0.3">
      <c r="C23" s="94" t="s">
        <v>879</v>
      </c>
      <c r="D23" s="17" t="s">
        <v>880</v>
      </c>
      <c r="E23" s="16"/>
      <c r="F23" s="17"/>
      <c r="G23" s="17">
        <v>15</v>
      </c>
    </row>
  </sheetData>
  <phoneticPr fontId="8" type="noConversion"/>
  <pageMargins left="0" right="0" top="0" bottom="0" header="0" footer="0"/>
  <pageSetup paperSize="9" scale="8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I53"/>
  <sheetViews>
    <sheetView view="pageBreakPreview" zoomScaleNormal="100" workbookViewId="0">
      <selection activeCell="M25" sqref="M25"/>
    </sheetView>
  </sheetViews>
  <sheetFormatPr defaultRowHeight="14.4" x14ac:dyDescent="0.3"/>
  <cols>
    <col min="1" max="1" width="3.6640625" customWidth="1"/>
    <col min="2" max="2" width="43.44140625" customWidth="1"/>
    <col min="3" max="9" width="17.88671875" customWidth="1"/>
  </cols>
  <sheetData>
    <row r="1" spans="2:9" s="7" customFormat="1" ht="18" x14ac:dyDescent="0.35">
      <c r="B1" s="1008" t="s">
        <v>110</v>
      </c>
      <c r="C1" s="1008"/>
      <c r="D1" s="1008"/>
      <c r="E1" s="1008"/>
      <c r="F1" s="1008"/>
      <c r="G1" s="1008"/>
      <c r="H1" s="1008"/>
      <c r="I1" s="1008"/>
    </row>
    <row r="2" spans="2:9" s="7" customFormat="1" ht="13.8" x14ac:dyDescent="0.25"/>
    <row r="3" spans="2:9" s="22" customFormat="1" ht="13.8" x14ac:dyDescent="0.25">
      <c r="B3" s="90" t="s">
        <v>929</v>
      </c>
      <c r="C3" s="91" t="s">
        <v>928</v>
      </c>
      <c r="D3" s="91" t="s">
        <v>514</v>
      </c>
      <c r="E3" s="91" t="s">
        <v>515</v>
      </c>
      <c r="F3" s="91" t="s">
        <v>962</v>
      </c>
      <c r="G3" s="91" t="s">
        <v>926</v>
      </c>
      <c r="H3" s="91" t="s">
        <v>516</v>
      </c>
      <c r="I3" s="91" t="s">
        <v>927</v>
      </c>
    </row>
    <row r="4" spans="2:9" s="7" customFormat="1" ht="13.8" x14ac:dyDescent="0.25">
      <c r="B4" s="17" t="s">
        <v>523</v>
      </c>
      <c r="C4" s="16">
        <v>0</v>
      </c>
      <c r="D4" s="16">
        <f>C4*12</f>
        <v>0</v>
      </c>
      <c r="E4" s="16">
        <v>0</v>
      </c>
      <c r="F4" s="16">
        <f>E4*0.5</f>
        <v>0</v>
      </c>
      <c r="G4" s="16">
        <f>D4+E4+F4</f>
        <v>0</v>
      </c>
      <c r="H4" s="17">
        <v>1932.7</v>
      </c>
      <c r="I4" s="16">
        <f>ROUND((G4/H4)/60,2)</f>
        <v>0</v>
      </c>
    </row>
    <row r="5" spans="2:9" s="7" customFormat="1" ht="13.8" x14ac:dyDescent="0.25">
      <c r="B5" s="17" t="s">
        <v>526</v>
      </c>
      <c r="C5" s="16">
        <v>0</v>
      </c>
      <c r="D5" s="16">
        <f>C5*12</f>
        <v>0</v>
      </c>
      <c r="E5" s="16">
        <v>0</v>
      </c>
      <c r="F5" s="16">
        <f>E5*0.5</f>
        <v>0</v>
      </c>
      <c r="G5" s="16">
        <f>D5+E5+F5</f>
        <v>0</v>
      </c>
      <c r="H5" s="17">
        <v>1932.7</v>
      </c>
      <c r="I5" s="16">
        <f>ROUND((G5/H5)/60,2)</f>
        <v>0</v>
      </c>
    </row>
    <row r="6" spans="2:9" s="44" customFormat="1" ht="13.8" x14ac:dyDescent="0.25">
      <c r="B6" s="37" t="s">
        <v>529</v>
      </c>
      <c r="C6" s="24">
        <v>0</v>
      </c>
      <c r="D6" s="24">
        <f>C6*12</f>
        <v>0</v>
      </c>
      <c r="E6" s="24">
        <v>0</v>
      </c>
      <c r="F6" s="24">
        <f>E6*0.5</f>
        <v>0</v>
      </c>
      <c r="G6" s="24">
        <f>D6+E6+F6</f>
        <v>0</v>
      </c>
      <c r="H6" s="37">
        <v>1932.7</v>
      </c>
      <c r="I6" s="24">
        <f>ROUND((G6/H6)/60,2)</f>
        <v>0</v>
      </c>
    </row>
    <row r="7" spans="2:9" s="192" customFormat="1" ht="13.8" x14ac:dyDescent="0.25">
      <c r="B7" s="263" t="s">
        <v>517</v>
      </c>
      <c r="C7" s="167">
        <v>8537.1</v>
      </c>
      <c r="D7" s="167">
        <f t="shared" ref="D7:D26" si="0">C7*12</f>
        <v>102445.20000000001</v>
      </c>
      <c r="E7" s="167">
        <v>6567</v>
      </c>
      <c r="F7" s="167">
        <f>E7*0.5</f>
        <v>3283.5</v>
      </c>
      <c r="G7" s="167">
        <f>D7+E7+F7</f>
        <v>112295.70000000001</v>
      </c>
      <c r="H7" s="166">
        <v>1932.7</v>
      </c>
      <c r="I7" s="167">
        <f t="shared" ref="I7:I26" si="1">ROUND((G7/H7)/60,2)</f>
        <v>0.97</v>
      </c>
    </row>
    <row r="8" spans="2:9" s="192" customFormat="1" ht="13.8" x14ac:dyDescent="0.25">
      <c r="B8" s="166" t="s">
        <v>518</v>
      </c>
      <c r="C8" s="167">
        <v>8537.1</v>
      </c>
      <c r="D8" s="167">
        <f t="shared" si="0"/>
        <v>102445.20000000001</v>
      </c>
      <c r="E8" s="167">
        <v>6567</v>
      </c>
      <c r="F8" s="167">
        <f t="shared" ref="F8:F28" si="2">E8*0.5</f>
        <v>3283.5</v>
      </c>
      <c r="G8" s="167">
        <f t="shared" ref="G8:G28" si="3">D8+E8+F8</f>
        <v>112295.70000000001</v>
      </c>
      <c r="H8" s="166">
        <v>1932.7</v>
      </c>
      <c r="I8" s="167">
        <f t="shared" si="1"/>
        <v>0.97</v>
      </c>
    </row>
    <row r="9" spans="2:9" s="192" customFormat="1" ht="13.8" x14ac:dyDescent="0.25">
      <c r="B9" s="166" t="s">
        <v>519</v>
      </c>
      <c r="C9" s="166">
        <f>2454.42*4</f>
        <v>9817.68</v>
      </c>
      <c r="D9" s="167">
        <f t="shared" si="0"/>
        <v>117812.16</v>
      </c>
      <c r="E9" s="167">
        <v>7552.05</v>
      </c>
      <c r="F9" s="167">
        <f t="shared" si="2"/>
        <v>3776.0250000000001</v>
      </c>
      <c r="G9" s="167">
        <f t="shared" si="3"/>
        <v>129140.235</v>
      </c>
      <c r="H9" s="166">
        <v>1656.6</v>
      </c>
      <c r="I9" s="167">
        <f t="shared" si="1"/>
        <v>1.3</v>
      </c>
    </row>
    <row r="10" spans="2:9" s="192" customFormat="1" ht="13.8" x14ac:dyDescent="0.25">
      <c r="B10" s="166" t="s">
        <v>520</v>
      </c>
      <c r="C10" s="167">
        <f>3986.45*2</f>
        <v>7972.9</v>
      </c>
      <c r="D10" s="167">
        <f t="shared" si="0"/>
        <v>95674.799999999988</v>
      </c>
      <c r="E10" s="167">
        <f>6133</f>
        <v>6133</v>
      </c>
      <c r="F10" s="167">
        <f t="shared" si="2"/>
        <v>3066.5</v>
      </c>
      <c r="G10" s="167">
        <f t="shared" si="3"/>
        <v>104874.29999999999</v>
      </c>
      <c r="H10" s="166">
        <v>1932.7</v>
      </c>
      <c r="I10" s="167">
        <f t="shared" si="1"/>
        <v>0.9</v>
      </c>
    </row>
    <row r="11" spans="2:9" s="192" customFormat="1" ht="13.8" x14ac:dyDescent="0.25">
      <c r="B11" s="166" t="s">
        <v>521</v>
      </c>
      <c r="C11" s="167">
        <v>9817.67</v>
      </c>
      <c r="D11" s="167">
        <f t="shared" si="0"/>
        <v>117812.04000000001</v>
      </c>
      <c r="E11" s="167">
        <v>7552.05</v>
      </c>
      <c r="F11" s="167">
        <f t="shared" si="2"/>
        <v>3776.0250000000001</v>
      </c>
      <c r="G11" s="167">
        <f t="shared" si="3"/>
        <v>129140.11500000001</v>
      </c>
      <c r="H11" s="166">
        <v>1932.7</v>
      </c>
      <c r="I11" s="167">
        <f t="shared" si="1"/>
        <v>1.1100000000000001</v>
      </c>
    </row>
    <row r="12" spans="2:9" s="192" customFormat="1" ht="13.8" x14ac:dyDescent="0.25">
      <c r="B12" s="166" t="s">
        <v>1199</v>
      </c>
      <c r="C12" s="167">
        <f>4550.65*2</f>
        <v>9101.2999999999993</v>
      </c>
      <c r="D12" s="167">
        <f t="shared" si="0"/>
        <v>109215.59999999999</v>
      </c>
      <c r="E12" s="167">
        <f>7001</f>
        <v>7001</v>
      </c>
      <c r="F12" s="167">
        <f t="shared" si="2"/>
        <v>3500.5</v>
      </c>
      <c r="G12" s="167">
        <f t="shared" si="3"/>
        <v>119717.09999999999</v>
      </c>
      <c r="H12" s="166">
        <v>1932.7</v>
      </c>
      <c r="I12" s="167">
        <f t="shared" si="1"/>
        <v>1.03</v>
      </c>
    </row>
    <row r="13" spans="2:9" s="192" customFormat="1" ht="13.8" x14ac:dyDescent="0.25">
      <c r="B13" s="166" t="s">
        <v>524</v>
      </c>
      <c r="C13" s="167">
        <v>11951.94</v>
      </c>
      <c r="D13" s="167">
        <f t="shared" si="0"/>
        <v>143423.28</v>
      </c>
      <c r="E13" s="167">
        <v>9193.7999999999993</v>
      </c>
      <c r="F13" s="167">
        <f t="shared" si="2"/>
        <v>4596.8999999999996</v>
      </c>
      <c r="G13" s="167">
        <f t="shared" si="3"/>
        <v>157213.97999999998</v>
      </c>
      <c r="H13" s="166">
        <v>1807.2</v>
      </c>
      <c r="I13" s="167">
        <f t="shared" si="1"/>
        <v>1.45</v>
      </c>
    </row>
    <row r="14" spans="2:9" s="192" customFormat="1" ht="13.8" x14ac:dyDescent="0.25">
      <c r="B14" s="166" t="s">
        <v>525</v>
      </c>
      <c r="C14" s="167">
        <v>9817.67</v>
      </c>
      <c r="D14" s="167">
        <f t="shared" si="0"/>
        <v>117812.04000000001</v>
      </c>
      <c r="E14" s="167">
        <v>7552.05</v>
      </c>
      <c r="F14" s="167">
        <f t="shared" si="2"/>
        <v>3776.0250000000001</v>
      </c>
      <c r="G14" s="167">
        <f t="shared" si="3"/>
        <v>129140.11500000001</v>
      </c>
      <c r="H14" s="166">
        <v>1932.7</v>
      </c>
      <c r="I14" s="167">
        <f t="shared" si="1"/>
        <v>1.1100000000000001</v>
      </c>
    </row>
    <row r="15" spans="2:9" s="192" customFormat="1" ht="13.8" x14ac:dyDescent="0.25">
      <c r="B15" s="166" t="s">
        <v>527</v>
      </c>
      <c r="C15" s="167">
        <v>6553.85</v>
      </c>
      <c r="D15" s="167">
        <f t="shared" si="0"/>
        <v>78646.200000000012</v>
      </c>
      <c r="E15" s="167">
        <v>6553.85</v>
      </c>
      <c r="F15" s="167">
        <f t="shared" si="2"/>
        <v>3276.9250000000002</v>
      </c>
      <c r="G15" s="167">
        <f t="shared" si="3"/>
        <v>88476.97500000002</v>
      </c>
      <c r="H15" s="166">
        <v>1932.7</v>
      </c>
      <c r="I15" s="167">
        <f t="shared" si="1"/>
        <v>0.76</v>
      </c>
    </row>
    <row r="16" spans="2:9" s="192" customFormat="1" ht="13.8" x14ac:dyDescent="0.25">
      <c r="B16" s="166" t="s">
        <v>528</v>
      </c>
      <c r="C16" s="167">
        <f>1970.1*4</f>
        <v>7880.4</v>
      </c>
      <c r="D16" s="167">
        <f t="shared" si="0"/>
        <v>94564.799999999988</v>
      </c>
      <c r="E16" s="167">
        <f>6567</f>
        <v>6567</v>
      </c>
      <c r="F16" s="167">
        <f t="shared" si="2"/>
        <v>3283.5</v>
      </c>
      <c r="G16" s="167">
        <f t="shared" si="3"/>
        <v>104415.29999999999</v>
      </c>
      <c r="H16" s="166">
        <v>1932.7</v>
      </c>
      <c r="I16" s="167">
        <f t="shared" si="1"/>
        <v>0.9</v>
      </c>
    </row>
    <row r="17" spans="2:9" s="192" customFormat="1" ht="13.8" x14ac:dyDescent="0.25">
      <c r="B17" s="166" t="s">
        <v>1191</v>
      </c>
      <c r="C17" s="167">
        <v>10799.43</v>
      </c>
      <c r="D17" s="167">
        <f t="shared" si="0"/>
        <v>129593.16</v>
      </c>
      <c r="E17" s="167">
        <v>8307.26</v>
      </c>
      <c r="F17" s="167">
        <f t="shared" si="2"/>
        <v>4153.63</v>
      </c>
      <c r="G17" s="167">
        <f t="shared" si="3"/>
        <v>142054.05000000002</v>
      </c>
      <c r="H17" s="166">
        <v>1932.7</v>
      </c>
      <c r="I17" s="167">
        <f t="shared" si="1"/>
        <v>1.23</v>
      </c>
    </row>
    <row r="18" spans="2:9" s="192" customFormat="1" ht="13.8" x14ac:dyDescent="0.25">
      <c r="B18" s="166" t="s">
        <v>1192</v>
      </c>
      <c r="C18" s="167">
        <v>9241.32</v>
      </c>
      <c r="D18" s="167">
        <f t="shared" si="0"/>
        <v>110895.84</v>
      </c>
      <c r="E18" s="167">
        <v>7701.1</v>
      </c>
      <c r="F18" s="167">
        <f t="shared" si="2"/>
        <v>3850.55</v>
      </c>
      <c r="G18" s="167">
        <f t="shared" si="3"/>
        <v>122447.49</v>
      </c>
      <c r="H18" s="166">
        <v>1932.7</v>
      </c>
      <c r="I18" s="167">
        <f t="shared" si="1"/>
        <v>1.06</v>
      </c>
    </row>
    <row r="19" spans="2:9" s="192" customFormat="1" ht="13.8" x14ac:dyDescent="0.25">
      <c r="B19" s="166" t="s">
        <v>530</v>
      </c>
      <c r="C19" s="167">
        <v>10671.38</v>
      </c>
      <c r="D19" s="167">
        <f t="shared" si="0"/>
        <v>128056.56</v>
      </c>
      <c r="E19" s="167">
        <v>8208.75</v>
      </c>
      <c r="F19" s="167">
        <f t="shared" si="2"/>
        <v>4104.375</v>
      </c>
      <c r="G19" s="167">
        <f t="shared" si="3"/>
        <v>140369.685</v>
      </c>
      <c r="H19" s="166">
        <v>1807.2</v>
      </c>
      <c r="I19" s="167">
        <f t="shared" si="1"/>
        <v>1.29</v>
      </c>
    </row>
    <row r="20" spans="2:9" s="192" customFormat="1" ht="13.8" x14ac:dyDescent="0.25">
      <c r="B20" s="166" t="s">
        <v>531</v>
      </c>
      <c r="C20" s="167">
        <v>6500</v>
      </c>
      <c r="D20" s="167">
        <f t="shared" si="0"/>
        <v>78000</v>
      </c>
      <c r="E20" s="167">
        <v>6268.9</v>
      </c>
      <c r="F20" s="167">
        <f t="shared" si="2"/>
        <v>3134.45</v>
      </c>
      <c r="G20" s="167">
        <f t="shared" si="3"/>
        <v>87403.349999999991</v>
      </c>
      <c r="H20" s="166">
        <v>1932.7</v>
      </c>
      <c r="I20" s="167">
        <f t="shared" si="1"/>
        <v>0.75</v>
      </c>
    </row>
    <row r="21" spans="2:9" s="192" customFormat="1" ht="13.8" x14ac:dyDescent="0.25">
      <c r="B21" s="166" t="s">
        <v>532</v>
      </c>
      <c r="C21" s="167">
        <f>2138.91*4</f>
        <v>8555.64</v>
      </c>
      <c r="D21" s="167">
        <f t="shared" si="0"/>
        <v>102667.68</v>
      </c>
      <c r="E21" s="167">
        <v>6581.25</v>
      </c>
      <c r="F21" s="167">
        <f t="shared" si="2"/>
        <v>3290.625</v>
      </c>
      <c r="G21" s="167">
        <f t="shared" si="3"/>
        <v>112539.55499999999</v>
      </c>
      <c r="H21" s="166">
        <v>1807.2</v>
      </c>
      <c r="I21" s="167">
        <f t="shared" si="1"/>
        <v>1.04</v>
      </c>
    </row>
    <row r="22" spans="2:9" s="192" customFormat="1" ht="13.8" x14ac:dyDescent="0.25">
      <c r="B22" s="166" t="s">
        <v>1209</v>
      </c>
      <c r="C22" s="167">
        <v>6660.23</v>
      </c>
      <c r="D22" s="167">
        <f t="shared" si="0"/>
        <v>79922.759999999995</v>
      </c>
      <c r="E22" s="167">
        <v>6054.75</v>
      </c>
      <c r="F22" s="167">
        <f t="shared" si="2"/>
        <v>3027.375</v>
      </c>
      <c r="G22" s="167">
        <f t="shared" si="3"/>
        <v>89004.884999999995</v>
      </c>
      <c r="H22" s="166">
        <v>1656.6</v>
      </c>
      <c r="I22" s="167">
        <f t="shared" si="1"/>
        <v>0.9</v>
      </c>
    </row>
    <row r="23" spans="2:9" s="192" customFormat="1" ht="13.8" x14ac:dyDescent="0.25">
      <c r="B23" s="166" t="s">
        <v>533</v>
      </c>
      <c r="C23" s="167">
        <v>9817.67</v>
      </c>
      <c r="D23" s="167">
        <f t="shared" si="0"/>
        <v>117812.04000000001</v>
      </c>
      <c r="E23" s="167">
        <v>7552.05</v>
      </c>
      <c r="F23" s="167">
        <f t="shared" si="2"/>
        <v>3776.0250000000001</v>
      </c>
      <c r="G23" s="167">
        <f t="shared" si="3"/>
        <v>129140.11500000001</v>
      </c>
      <c r="H23" s="166">
        <v>1656.6</v>
      </c>
      <c r="I23" s="167">
        <f t="shared" si="1"/>
        <v>1.3</v>
      </c>
    </row>
    <row r="24" spans="2:9" s="192" customFormat="1" ht="13.8" x14ac:dyDescent="0.25">
      <c r="B24" s="166" t="s">
        <v>534</v>
      </c>
      <c r="C24" s="167">
        <v>10799.43</v>
      </c>
      <c r="D24" s="167">
        <f>C24*12</f>
        <v>129593.16</v>
      </c>
      <c r="E24" s="167">
        <v>8307.26</v>
      </c>
      <c r="F24" s="167">
        <f t="shared" si="2"/>
        <v>4153.63</v>
      </c>
      <c r="G24" s="167">
        <f>D24+E24+F24</f>
        <v>142054.05000000002</v>
      </c>
      <c r="H24" s="166">
        <v>1807.2</v>
      </c>
      <c r="I24" s="167">
        <f t="shared" si="1"/>
        <v>1.31</v>
      </c>
    </row>
    <row r="25" spans="2:9" s="192" customFormat="1" ht="13.8" x14ac:dyDescent="0.25">
      <c r="B25" s="166" t="s">
        <v>535</v>
      </c>
      <c r="C25" s="167">
        <v>6500</v>
      </c>
      <c r="D25" s="167">
        <f t="shared" si="0"/>
        <v>78000</v>
      </c>
      <c r="E25" s="167">
        <v>5265</v>
      </c>
      <c r="F25" s="167">
        <f t="shared" si="2"/>
        <v>2632.5</v>
      </c>
      <c r="G25" s="167">
        <f t="shared" si="3"/>
        <v>85897.5</v>
      </c>
      <c r="H25" s="166">
        <v>1656.6</v>
      </c>
      <c r="I25" s="167">
        <f t="shared" si="1"/>
        <v>0.86</v>
      </c>
    </row>
    <row r="26" spans="2:9" s="192" customFormat="1" ht="13.8" x14ac:dyDescent="0.25">
      <c r="B26" s="166" t="s">
        <v>1211</v>
      </c>
      <c r="C26" s="167">
        <f>4231.77*2</f>
        <v>8463.5400000000009</v>
      </c>
      <c r="D26" s="167">
        <f t="shared" si="0"/>
        <v>101562.48000000001</v>
      </c>
      <c r="E26" s="167">
        <v>7052.95</v>
      </c>
      <c r="F26" s="167">
        <f t="shared" si="2"/>
        <v>3526.4749999999999</v>
      </c>
      <c r="G26" s="167">
        <f t="shared" si="3"/>
        <v>112141.90500000001</v>
      </c>
      <c r="H26" s="166">
        <v>1932.7</v>
      </c>
      <c r="I26" s="167">
        <f t="shared" si="1"/>
        <v>0.97</v>
      </c>
    </row>
    <row r="27" spans="2:9" s="192" customFormat="1" ht="13.8" x14ac:dyDescent="0.25">
      <c r="B27" s="166" t="s">
        <v>1188</v>
      </c>
      <c r="C27" s="167">
        <f>5233.25*2</f>
        <v>10466.5</v>
      </c>
      <c r="D27" s="167">
        <f>C27*12</f>
        <v>125598</v>
      </c>
      <c r="E27" s="167">
        <v>8051.15</v>
      </c>
      <c r="F27" s="167">
        <f t="shared" si="2"/>
        <v>4025.5749999999998</v>
      </c>
      <c r="G27" s="167">
        <f t="shared" si="3"/>
        <v>137674.72500000001</v>
      </c>
      <c r="H27" s="166">
        <v>1932.7</v>
      </c>
      <c r="I27" s="167">
        <f>ROUND((G27/H27)/60,2)</f>
        <v>1.19</v>
      </c>
    </row>
    <row r="28" spans="2:9" s="192" customFormat="1" ht="13.8" x14ac:dyDescent="0.25">
      <c r="B28" s="166" t="s">
        <v>1192</v>
      </c>
      <c r="C28" s="167">
        <v>10921.56</v>
      </c>
      <c r="D28" s="167">
        <f>C28*12</f>
        <v>131058.72</v>
      </c>
      <c r="E28" s="167">
        <v>8401.2000000000007</v>
      </c>
      <c r="F28" s="167">
        <f t="shared" si="2"/>
        <v>4200.6000000000004</v>
      </c>
      <c r="G28" s="167">
        <f t="shared" si="3"/>
        <v>143660.52000000002</v>
      </c>
      <c r="H28" s="166">
        <v>1932.7</v>
      </c>
      <c r="I28" s="167">
        <f>ROUND((G28/H28)/60,2)</f>
        <v>1.24</v>
      </c>
    </row>
    <row r="29" spans="2:9" s="192" customFormat="1" ht="13.8" x14ac:dyDescent="0.25">
      <c r="B29" s="166"/>
      <c r="C29" s="167"/>
      <c r="D29" s="167"/>
      <c r="E29" s="167"/>
      <c r="F29" s="167"/>
      <c r="G29" s="167"/>
      <c r="H29" s="166"/>
      <c r="I29" s="167"/>
    </row>
    <row r="30" spans="2:9" x14ac:dyDescent="0.3">
      <c r="B30" s="1"/>
      <c r="C30" s="2"/>
      <c r="D30" s="2"/>
      <c r="E30" s="2"/>
      <c r="F30" s="2"/>
      <c r="G30" s="2"/>
      <c r="H30" s="1"/>
      <c r="I30" s="1"/>
    </row>
    <row r="31" spans="2:9" s="180" customFormat="1" ht="13.8" x14ac:dyDescent="0.25">
      <c r="B31" s="264" t="s">
        <v>929</v>
      </c>
      <c r="C31" s="265" t="s">
        <v>928</v>
      </c>
      <c r="D31" s="265" t="s">
        <v>514</v>
      </c>
      <c r="E31" s="265" t="s">
        <v>515</v>
      </c>
      <c r="F31" s="265" t="s">
        <v>962</v>
      </c>
      <c r="G31" s="265" t="s">
        <v>926</v>
      </c>
      <c r="H31" s="265" t="s">
        <v>516</v>
      </c>
      <c r="I31" s="265" t="s">
        <v>927</v>
      </c>
    </row>
    <row r="32" spans="2:9" s="192" customFormat="1" ht="13.8" x14ac:dyDescent="0.25">
      <c r="B32" s="166" t="s">
        <v>536</v>
      </c>
      <c r="C32" s="167">
        <v>6506.5</v>
      </c>
      <c r="D32" s="167">
        <f t="shared" ref="D32:D44" si="4">C32*12</f>
        <v>78078</v>
      </c>
      <c r="E32" s="167">
        <v>5005</v>
      </c>
      <c r="F32" s="167">
        <f t="shared" ref="F32:F49" si="5">E32*0.5</f>
        <v>2502.5</v>
      </c>
      <c r="G32" s="167">
        <f t="shared" ref="G32:G38" si="6">D32+E32+F32</f>
        <v>85585.5</v>
      </c>
      <c r="H32" s="166">
        <v>1932.7</v>
      </c>
      <c r="I32" s="167">
        <f t="shared" ref="I32:I44" si="7">ROUND((G32/H32)/60,2)</f>
        <v>0.74</v>
      </c>
    </row>
    <row r="33" spans="2:9" s="192" customFormat="1" ht="13.8" x14ac:dyDescent="0.25">
      <c r="B33" s="166" t="s">
        <v>1213</v>
      </c>
      <c r="C33" s="167">
        <f>C32</f>
        <v>6506.5</v>
      </c>
      <c r="D33" s="167">
        <f t="shared" si="4"/>
        <v>78078</v>
      </c>
      <c r="E33" s="167">
        <f>E32</f>
        <v>5005</v>
      </c>
      <c r="F33" s="167">
        <f t="shared" si="5"/>
        <v>2502.5</v>
      </c>
      <c r="G33" s="167">
        <f t="shared" si="6"/>
        <v>85585.5</v>
      </c>
      <c r="H33" s="166">
        <v>1932.7</v>
      </c>
      <c r="I33" s="167">
        <f t="shared" si="7"/>
        <v>0.74</v>
      </c>
    </row>
    <row r="34" spans="2:9" s="192" customFormat="1" ht="13.8" x14ac:dyDescent="0.25">
      <c r="B34" s="166" t="s">
        <v>536</v>
      </c>
      <c r="C34" s="167">
        <f>C33</f>
        <v>6506.5</v>
      </c>
      <c r="D34" s="167">
        <f t="shared" si="4"/>
        <v>78078</v>
      </c>
      <c r="E34" s="167">
        <f>E33</f>
        <v>5005</v>
      </c>
      <c r="F34" s="167">
        <f t="shared" si="5"/>
        <v>2502.5</v>
      </c>
      <c r="G34" s="167">
        <f t="shared" si="6"/>
        <v>85585.5</v>
      </c>
      <c r="H34" s="166">
        <v>1932.7</v>
      </c>
      <c r="I34" s="167">
        <f t="shared" si="7"/>
        <v>0.74</v>
      </c>
    </row>
    <row r="35" spans="2:9" s="192" customFormat="1" ht="13.8" x14ac:dyDescent="0.25">
      <c r="B35" s="166" t="s">
        <v>537</v>
      </c>
      <c r="C35" s="167">
        <f>C34</f>
        <v>6506.5</v>
      </c>
      <c r="D35" s="167">
        <f t="shared" si="4"/>
        <v>78078</v>
      </c>
      <c r="E35" s="167">
        <f>E34</f>
        <v>5005</v>
      </c>
      <c r="F35" s="167">
        <f t="shared" si="5"/>
        <v>2502.5</v>
      </c>
      <c r="G35" s="167">
        <f t="shared" si="6"/>
        <v>85585.5</v>
      </c>
      <c r="H35" s="166">
        <v>1932.7</v>
      </c>
      <c r="I35" s="167">
        <f t="shared" si="7"/>
        <v>0.74</v>
      </c>
    </row>
    <row r="36" spans="2:9" s="192" customFormat="1" ht="13.8" x14ac:dyDescent="0.25">
      <c r="B36" s="166" t="s">
        <v>1214</v>
      </c>
      <c r="C36" s="167">
        <f>C35</f>
        <v>6506.5</v>
      </c>
      <c r="D36" s="167">
        <f t="shared" si="4"/>
        <v>78078</v>
      </c>
      <c r="E36" s="167">
        <f>E35</f>
        <v>5005</v>
      </c>
      <c r="F36" s="167">
        <f t="shared" si="5"/>
        <v>2502.5</v>
      </c>
      <c r="G36" s="167">
        <f t="shared" si="6"/>
        <v>85585.5</v>
      </c>
      <c r="H36" s="166">
        <v>1932.7</v>
      </c>
      <c r="I36" s="167">
        <f t="shared" si="7"/>
        <v>0.74</v>
      </c>
    </row>
    <row r="37" spans="2:9" s="192" customFormat="1" ht="13.8" x14ac:dyDescent="0.25">
      <c r="B37" s="166" t="s">
        <v>1197</v>
      </c>
      <c r="C37" s="167">
        <v>7482.48</v>
      </c>
      <c r="D37" s="167">
        <f t="shared" si="4"/>
        <v>89789.759999999995</v>
      </c>
      <c r="E37" s="167">
        <v>5755.75</v>
      </c>
      <c r="F37" s="167">
        <f t="shared" si="5"/>
        <v>2877.875</v>
      </c>
      <c r="G37" s="167">
        <f t="shared" si="6"/>
        <v>98423.384999999995</v>
      </c>
      <c r="H37" s="166">
        <v>1932.7</v>
      </c>
      <c r="I37" s="167">
        <f t="shared" si="7"/>
        <v>0.85</v>
      </c>
    </row>
    <row r="38" spans="2:9" s="192" customFormat="1" ht="13.8" x14ac:dyDescent="0.25">
      <c r="B38" s="166" t="s">
        <v>963</v>
      </c>
      <c r="C38" s="167">
        <v>6506.55</v>
      </c>
      <c r="D38" s="167">
        <f t="shared" si="4"/>
        <v>78078.600000000006</v>
      </c>
      <c r="E38" s="167">
        <v>5005</v>
      </c>
      <c r="F38" s="167">
        <f t="shared" si="5"/>
        <v>2502.5</v>
      </c>
      <c r="G38" s="167">
        <f t="shared" si="6"/>
        <v>85586.1</v>
      </c>
      <c r="H38" s="166">
        <v>1932.7</v>
      </c>
      <c r="I38" s="167">
        <f t="shared" si="7"/>
        <v>0.74</v>
      </c>
    </row>
    <row r="39" spans="2:9" s="192" customFormat="1" ht="13.8" x14ac:dyDescent="0.25">
      <c r="B39" s="166" t="s">
        <v>1215</v>
      </c>
      <c r="C39" s="167">
        <f>3741.24*2</f>
        <v>7482.48</v>
      </c>
      <c r="D39" s="167">
        <f t="shared" si="4"/>
        <v>89789.759999999995</v>
      </c>
      <c r="E39" s="167">
        <v>5755.75</v>
      </c>
      <c r="F39" s="167">
        <f t="shared" si="5"/>
        <v>2877.875</v>
      </c>
      <c r="G39" s="167">
        <f t="shared" ref="G39:G44" si="8">D39+E39+F39</f>
        <v>98423.384999999995</v>
      </c>
      <c r="H39" s="166">
        <v>1932.7</v>
      </c>
      <c r="I39" s="167">
        <f t="shared" si="7"/>
        <v>0.85</v>
      </c>
    </row>
    <row r="40" spans="2:9" s="192" customFormat="1" ht="13.8" x14ac:dyDescent="0.25">
      <c r="B40" s="166" t="s">
        <v>538</v>
      </c>
      <c r="C40" s="167">
        <v>8133.13</v>
      </c>
      <c r="D40" s="167">
        <f t="shared" si="4"/>
        <v>97597.56</v>
      </c>
      <c r="E40" s="167">
        <v>6256.25</v>
      </c>
      <c r="F40" s="167">
        <f t="shared" si="5"/>
        <v>3128.125</v>
      </c>
      <c r="G40" s="167">
        <f t="shared" si="8"/>
        <v>106981.935</v>
      </c>
      <c r="H40" s="166">
        <v>1807.2</v>
      </c>
      <c r="I40" s="167">
        <f t="shared" si="7"/>
        <v>0.99</v>
      </c>
    </row>
    <row r="41" spans="2:9" s="192" customFormat="1" ht="13.8" x14ac:dyDescent="0.25">
      <c r="B41" s="166" t="s">
        <v>1193</v>
      </c>
      <c r="C41" s="167">
        <v>6506.5</v>
      </c>
      <c r="D41" s="167">
        <f t="shared" si="4"/>
        <v>78078</v>
      </c>
      <c r="E41" s="167">
        <v>5005</v>
      </c>
      <c r="F41" s="167">
        <f t="shared" si="5"/>
        <v>2502.5</v>
      </c>
      <c r="G41" s="167">
        <f t="shared" si="8"/>
        <v>85585.5</v>
      </c>
      <c r="H41" s="166">
        <v>1807.2</v>
      </c>
      <c r="I41" s="167">
        <f t="shared" si="7"/>
        <v>0.79</v>
      </c>
    </row>
    <row r="42" spans="2:9" s="192" customFormat="1" ht="13.8" x14ac:dyDescent="0.25">
      <c r="B42" s="166" t="s">
        <v>539</v>
      </c>
      <c r="C42" s="167">
        <f>C41</f>
        <v>6506.5</v>
      </c>
      <c r="D42" s="167">
        <f t="shared" si="4"/>
        <v>78078</v>
      </c>
      <c r="E42" s="167">
        <f>E41</f>
        <v>5005</v>
      </c>
      <c r="F42" s="167">
        <f t="shared" si="5"/>
        <v>2502.5</v>
      </c>
      <c r="G42" s="167">
        <f t="shared" si="8"/>
        <v>85585.5</v>
      </c>
      <c r="H42" s="166">
        <v>1932.7</v>
      </c>
      <c r="I42" s="167">
        <f t="shared" si="7"/>
        <v>0.74</v>
      </c>
    </row>
    <row r="43" spans="2:9" s="192" customFormat="1" ht="13.8" x14ac:dyDescent="0.25">
      <c r="B43" s="166" t="s">
        <v>1207</v>
      </c>
      <c r="C43" s="167">
        <v>7871.18</v>
      </c>
      <c r="D43" s="167">
        <f t="shared" si="4"/>
        <v>94454.16</v>
      </c>
      <c r="E43" s="167">
        <v>6054.75</v>
      </c>
      <c r="F43" s="167">
        <f t="shared" si="5"/>
        <v>3027.375</v>
      </c>
      <c r="G43" s="167">
        <f t="shared" si="8"/>
        <v>103536.285</v>
      </c>
      <c r="H43" s="166">
        <v>1807.2</v>
      </c>
      <c r="I43" s="167">
        <f t="shared" si="7"/>
        <v>0.95</v>
      </c>
    </row>
    <row r="44" spans="2:9" s="192" customFormat="1" ht="13.8" x14ac:dyDescent="0.25">
      <c r="B44" s="166" t="s">
        <v>1212</v>
      </c>
      <c r="C44" s="167">
        <v>7482.48</v>
      </c>
      <c r="D44" s="167">
        <f t="shared" si="4"/>
        <v>89789.759999999995</v>
      </c>
      <c r="E44" s="167">
        <v>5755.75</v>
      </c>
      <c r="F44" s="167">
        <f t="shared" si="5"/>
        <v>2877.875</v>
      </c>
      <c r="G44" s="167">
        <f t="shared" si="8"/>
        <v>98423.384999999995</v>
      </c>
      <c r="H44" s="266">
        <v>1506</v>
      </c>
      <c r="I44" s="167">
        <f t="shared" si="7"/>
        <v>1.0900000000000001</v>
      </c>
    </row>
    <row r="45" spans="2:9" s="192" customFormat="1" ht="13.8" x14ac:dyDescent="0.25">
      <c r="B45" s="166" t="s">
        <v>1194</v>
      </c>
      <c r="C45" s="167">
        <v>6500</v>
      </c>
      <c r="D45" s="167">
        <f>C45*12</f>
        <v>78000</v>
      </c>
      <c r="E45" s="167">
        <v>5005</v>
      </c>
      <c r="F45" s="167">
        <f t="shared" si="5"/>
        <v>2502.5</v>
      </c>
      <c r="G45" s="167">
        <f>D45+E45+F45</f>
        <v>85507.5</v>
      </c>
      <c r="H45" s="166">
        <v>1932.7</v>
      </c>
      <c r="I45" s="167">
        <f>ROUND((G45/H45)/60,2)</f>
        <v>0.74</v>
      </c>
    </row>
    <row r="46" spans="2:9" s="192" customFormat="1" ht="13.8" x14ac:dyDescent="0.25">
      <c r="B46" s="166" t="s">
        <v>1195</v>
      </c>
      <c r="C46" s="167">
        <v>6500</v>
      </c>
      <c r="D46" s="167">
        <f>C46*12</f>
        <v>78000</v>
      </c>
      <c r="E46" s="167">
        <v>4745</v>
      </c>
      <c r="F46" s="167">
        <f t="shared" si="5"/>
        <v>2372.5</v>
      </c>
      <c r="G46" s="167">
        <f>D46+E46+F46</f>
        <v>85117.5</v>
      </c>
      <c r="H46" s="166">
        <v>1932.7</v>
      </c>
      <c r="I46" s="167">
        <f>ROUND((G46/H46)/60,2)</f>
        <v>0.73</v>
      </c>
    </row>
    <row r="47" spans="2:9" s="192" customFormat="1" ht="13.8" x14ac:dyDescent="0.25">
      <c r="B47" s="166" t="s">
        <v>1201</v>
      </c>
      <c r="C47" s="167">
        <v>7871.18</v>
      </c>
      <c r="D47" s="167">
        <f>C47*12</f>
        <v>94454.16</v>
      </c>
      <c r="E47" s="167">
        <v>6054.75</v>
      </c>
      <c r="F47" s="167">
        <f t="shared" si="5"/>
        <v>3027.375</v>
      </c>
      <c r="G47" s="167">
        <f>D47+E47+F47</f>
        <v>103536.285</v>
      </c>
      <c r="H47" s="166">
        <v>1932.7</v>
      </c>
      <c r="I47" s="167">
        <f>ROUND((G47/H47)/60,2)</f>
        <v>0.89</v>
      </c>
    </row>
    <row r="48" spans="2:9" s="192" customFormat="1" ht="13.8" x14ac:dyDescent="0.25">
      <c r="B48" s="166" t="s">
        <v>1097</v>
      </c>
      <c r="C48" s="167">
        <v>6506.5</v>
      </c>
      <c r="D48" s="167">
        <f>C48*12</f>
        <v>78078</v>
      </c>
      <c r="E48" s="167">
        <v>5005</v>
      </c>
      <c r="F48" s="167">
        <f t="shared" si="5"/>
        <v>2502.5</v>
      </c>
      <c r="G48" s="167">
        <f>D48+E48+F48</f>
        <v>85585.5</v>
      </c>
      <c r="H48" s="166">
        <v>1932.7</v>
      </c>
      <c r="I48" s="167">
        <f>ROUND((G48/H48)/60,2)</f>
        <v>0.74</v>
      </c>
    </row>
    <row r="49" spans="2:9" s="192" customFormat="1" ht="13.8" x14ac:dyDescent="0.25">
      <c r="B49" s="166" t="s">
        <v>1200</v>
      </c>
      <c r="C49" s="167">
        <v>6506.5</v>
      </c>
      <c r="D49" s="167">
        <f>C49*12</f>
        <v>78078</v>
      </c>
      <c r="E49" s="167">
        <v>5005</v>
      </c>
      <c r="F49" s="167">
        <f t="shared" si="5"/>
        <v>2502.5</v>
      </c>
      <c r="G49" s="167">
        <f>D49+E49+F49</f>
        <v>85585.5</v>
      </c>
      <c r="H49" s="166">
        <v>1932.7</v>
      </c>
      <c r="I49" s="167">
        <f>ROUND((G49/H49)/60,2)</f>
        <v>0.74</v>
      </c>
    </row>
    <row r="50" spans="2:9" s="267" customFormat="1" x14ac:dyDescent="0.3"/>
    <row r="51" spans="2:9" s="267" customFormat="1" x14ac:dyDescent="0.3"/>
    <row r="52" spans="2:9" s="192" customFormat="1" ht="13.8" x14ac:dyDescent="0.25">
      <c r="B52" s="166" t="s">
        <v>1193</v>
      </c>
      <c r="C52" s="167">
        <v>6500</v>
      </c>
      <c r="D52" s="167">
        <f>C52*12</f>
        <v>78000</v>
      </c>
      <c r="E52" s="167">
        <v>5005</v>
      </c>
      <c r="F52" s="167">
        <f>E52*0.5</f>
        <v>2502.5</v>
      </c>
      <c r="G52" s="167">
        <f>D52+E52+F52</f>
        <v>85507.5</v>
      </c>
      <c r="H52" s="166">
        <v>1932.7</v>
      </c>
      <c r="I52" s="167">
        <f>ROUND((G52/H52)/60,2)</f>
        <v>0.74</v>
      </c>
    </row>
    <row r="53" spans="2:9" s="192" customFormat="1" ht="13.8" x14ac:dyDescent="0.25">
      <c r="B53" s="166" t="s">
        <v>1102</v>
      </c>
      <c r="C53" s="167">
        <v>6841.4</v>
      </c>
      <c r="D53" s="167">
        <f>C53*12</f>
        <v>82096.799999999988</v>
      </c>
      <c r="E53" s="167">
        <v>3414</v>
      </c>
      <c r="F53" s="167">
        <f>E53*0.5</f>
        <v>1707</v>
      </c>
      <c r="G53" s="167">
        <f>D53+E53+F53</f>
        <v>87217.799999999988</v>
      </c>
      <c r="H53" s="166">
        <v>2002</v>
      </c>
      <c r="I53" s="167">
        <f>ROUND((G53/H53)/60,2)</f>
        <v>0.73</v>
      </c>
    </row>
  </sheetData>
  <mergeCells count="1">
    <mergeCell ref="B1:I1"/>
  </mergeCells>
  <phoneticPr fontId="8" type="noConversion"/>
  <pageMargins left="0" right="0" top="0" bottom="0" header="0" footer="0"/>
  <pageSetup paperSize="9" scale="6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1:I19"/>
  <sheetViews>
    <sheetView view="pageBreakPreview" zoomScaleNormal="100" workbookViewId="0">
      <selection activeCell="E24" sqref="E24"/>
    </sheetView>
  </sheetViews>
  <sheetFormatPr defaultRowHeight="14.4" x14ac:dyDescent="0.3"/>
  <cols>
    <col min="1" max="1" width="4.33203125" customWidth="1"/>
    <col min="2" max="2" width="62.6640625" style="7" customWidth="1"/>
    <col min="3" max="3" width="51.44140625" style="74" customWidth="1"/>
    <col min="4" max="4" width="13.5546875" style="74" customWidth="1"/>
    <col min="5" max="5" width="18.109375" style="74" customWidth="1"/>
    <col min="6" max="7" width="5.109375" style="74" bestFit="1" customWidth="1"/>
    <col min="8" max="9" width="9.109375" style="923"/>
  </cols>
  <sheetData>
    <row r="1" spans="2:8" x14ac:dyDescent="0.3">
      <c r="E1" s="74" t="s">
        <v>220</v>
      </c>
      <c r="F1" s="74" t="s">
        <v>219</v>
      </c>
      <c r="G1" s="74" t="s">
        <v>219</v>
      </c>
    </row>
    <row r="2" spans="2:8" ht="27.6" x14ac:dyDescent="0.3">
      <c r="B2" s="14" t="s">
        <v>513</v>
      </c>
      <c r="C2" s="150" t="s">
        <v>27</v>
      </c>
      <c r="D2" s="14" t="s">
        <v>1</v>
      </c>
      <c r="E2" s="150" t="s">
        <v>95</v>
      </c>
      <c r="F2" s="150" t="s">
        <v>95</v>
      </c>
      <c r="G2" s="150" t="s">
        <v>95</v>
      </c>
    </row>
    <row r="3" spans="2:8" x14ac:dyDescent="0.3">
      <c r="B3" s="14"/>
      <c r="C3" s="14"/>
      <c r="D3" s="14"/>
      <c r="E3" s="14"/>
      <c r="F3" s="14"/>
      <c r="G3" s="14"/>
    </row>
    <row r="4" spans="2:8" ht="19.5" customHeight="1" x14ac:dyDescent="0.3">
      <c r="B4" s="27" t="s">
        <v>98</v>
      </c>
      <c r="C4" s="524" t="s">
        <v>96</v>
      </c>
      <c r="D4" s="28" t="s">
        <v>941</v>
      </c>
      <c r="E4" s="81">
        <f>150/500</f>
        <v>0.3</v>
      </c>
      <c r="F4" s="81">
        <f>100/500</f>
        <v>0.2</v>
      </c>
      <c r="G4" s="81">
        <f t="shared" ref="G4:G9" si="0">E4-F4</f>
        <v>9.9999999999999978E-2</v>
      </c>
    </row>
    <row r="5" spans="2:8" x14ac:dyDescent="0.3">
      <c r="B5" s="27" t="s">
        <v>1182</v>
      </c>
      <c r="C5" s="524" t="s">
        <v>97</v>
      </c>
      <c r="D5" s="28" t="s">
        <v>941</v>
      </c>
      <c r="E5" s="81">
        <v>3.8</v>
      </c>
      <c r="F5" s="81">
        <v>3.8</v>
      </c>
      <c r="G5" s="81">
        <f t="shared" si="0"/>
        <v>0</v>
      </c>
    </row>
    <row r="6" spans="2:8" x14ac:dyDescent="0.3">
      <c r="B6" s="27" t="s">
        <v>1106</v>
      </c>
      <c r="C6" s="524" t="s">
        <v>100</v>
      </c>
      <c r="D6" s="28" t="s">
        <v>941</v>
      </c>
      <c r="E6" s="81">
        <f>5.94</f>
        <v>5.94</v>
      </c>
      <c r="F6" s="81">
        <v>6.6</v>
      </c>
      <c r="G6" s="81">
        <f t="shared" si="0"/>
        <v>-0.65999999999999925</v>
      </c>
    </row>
    <row r="7" spans="2:8" ht="42" x14ac:dyDescent="0.3">
      <c r="B7" s="320" t="s">
        <v>301</v>
      </c>
      <c r="C7" s="161" t="str">
        <f>'!!!ТАРИФИ додаткові!!!'!D10</f>
        <v>Попередній,періодичний та психіатричний огляд ,  у тому числі на вживання психоактивних речовин з видачею довідки (форма № 100-2/о)</v>
      </c>
      <c r="D7" s="28" t="s">
        <v>941</v>
      </c>
      <c r="E7" s="81">
        <f>(250/500)+(300/600)</f>
        <v>1</v>
      </c>
      <c r="F7" s="81"/>
      <c r="G7" s="81">
        <f t="shared" si="0"/>
        <v>1</v>
      </c>
      <c r="H7" s="923" t="s">
        <v>302</v>
      </c>
    </row>
    <row r="8" spans="2:8" ht="42" x14ac:dyDescent="0.3">
      <c r="B8" s="27" t="s">
        <v>298</v>
      </c>
      <c r="C8" s="161" t="str">
        <f>'!!!ТАРИФИ додаткові!!!'!D10</f>
        <v>Попередній,періодичний та психіатричний огляд ,  у тому числі на вживання психоактивних речовин з видачею довідки (форма № 100-2/о)</v>
      </c>
      <c r="D8" s="28" t="s">
        <v>941</v>
      </c>
      <c r="E8" s="81">
        <v>8.5</v>
      </c>
      <c r="F8" s="81"/>
      <c r="G8" s="81">
        <f t="shared" si="0"/>
        <v>8.5</v>
      </c>
    </row>
    <row r="9" spans="2:8" x14ac:dyDescent="0.3">
      <c r="B9" s="27"/>
      <c r="C9" s="228"/>
      <c r="D9" s="28"/>
      <c r="E9" s="81"/>
      <c r="F9" s="81"/>
      <c r="G9" s="81">
        <f t="shared" si="0"/>
        <v>0</v>
      </c>
    </row>
    <row r="10" spans="2:8" x14ac:dyDescent="0.3">
      <c r="B10" s="27"/>
      <c r="C10" s="228"/>
      <c r="D10" s="28"/>
      <c r="E10" s="81"/>
      <c r="F10" s="81"/>
      <c r="G10" s="81"/>
    </row>
    <row r="11" spans="2:8" x14ac:dyDescent="0.3">
      <c r="B11" s="27"/>
      <c r="C11" s="228"/>
      <c r="D11" s="28"/>
      <c r="E11" s="81"/>
      <c r="F11" s="81"/>
      <c r="G11" s="81"/>
    </row>
    <row r="12" spans="2:8" x14ac:dyDescent="0.3">
      <c r="B12" s="27"/>
      <c r="C12" s="228"/>
      <c r="D12" s="28"/>
      <c r="E12" s="81"/>
      <c r="F12" s="81"/>
      <c r="G12" s="81"/>
    </row>
    <row r="13" spans="2:8" x14ac:dyDescent="0.3">
      <c r="B13" s="27"/>
      <c r="C13" s="228"/>
      <c r="D13" s="28"/>
      <c r="E13" s="81"/>
      <c r="F13" s="81"/>
      <c r="G13" s="81"/>
    </row>
    <row r="14" spans="2:8" x14ac:dyDescent="0.3">
      <c r="B14" s="159"/>
      <c r="C14" s="228"/>
      <c r="D14" s="257"/>
      <c r="E14" s="258"/>
      <c r="F14" s="258"/>
      <c r="G14" s="258"/>
    </row>
    <row r="15" spans="2:8" x14ac:dyDescent="0.3">
      <c r="B15" s="160"/>
      <c r="C15" s="228"/>
      <c r="D15" s="226"/>
      <c r="E15" s="226"/>
      <c r="F15" s="226"/>
      <c r="G15" s="226"/>
    </row>
    <row r="16" spans="2:8" x14ac:dyDescent="0.3">
      <c r="B16" s="160"/>
      <c r="C16" s="228"/>
      <c r="D16" s="226"/>
      <c r="E16" s="226"/>
      <c r="F16" s="226"/>
      <c r="G16" s="226"/>
    </row>
    <row r="17" spans="2:7" x14ac:dyDescent="0.3">
      <c r="B17" s="160"/>
      <c r="C17" s="228"/>
      <c r="D17" s="257"/>
      <c r="E17" s="258"/>
      <c r="F17" s="258"/>
      <c r="G17" s="258"/>
    </row>
    <row r="18" spans="2:7" x14ac:dyDescent="0.3">
      <c r="B18" s="160"/>
      <c r="C18" s="228"/>
      <c r="D18" s="226"/>
      <c r="E18" s="226"/>
      <c r="F18" s="226"/>
      <c r="G18" s="226"/>
    </row>
    <row r="19" spans="2:7" x14ac:dyDescent="0.3">
      <c r="B19" s="160"/>
      <c r="C19" s="228"/>
      <c r="D19" s="257"/>
      <c r="E19" s="226"/>
      <c r="F19" s="226"/>
      <c r="G19" s="226"/>
    </row>
  </sheetData>
  <phoneticPr fontId="8" type="noConversion"/>
  <pageMargins left="0.75" right="0.75" top="1" bottom="1" header="0.5" footer="0.5"/>
  <pageSetup paperSize="9" scale="5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H7"/>
  <sheetViews>
    <sheetView workbookViewId="0">
      <selection activeCell="G2" sqref="G2"/>
    </sheetView>
  </sheetViews>
  <sheetFormatPr defaultRowHeight="14.4" x14ac:dyDescent="0.3"/>
  <cols>
    <col min="1" max="1" width="3.33203125" customWidth="1"/>
    <col min="2" max="2" width="34.6640625" bestFit="1" customWidth="1"/>
    <col min="3" max="3" width="36.6640625" customWidth="1"/>
    <col min="4" max="4" width="19.44140625" style="6" customWidth="1"/>
    <col min="5" max="5" width="24.109375" customWidth="1"/>
    <col min="6" max="6" width="16.6640625" style="98" customWidth="1"/>
  </cols>
  <sheetData>
    <row r="2" spans="2:8" ht="41.4" x14ac:dyDescent="0.3">
      <c r="B2" s="14" t="s">
        <v>948</v>
      </c>
      <c r="C2" s="14"/>
      <c r="D2" s="833" t="s">
        <v>90</v>
      </c>
      <c r="E2" s="14" t="s">
        <v>221</v>
      </c>
      <c r="F2" s="91" t="s">
        <v>955</v>
      </c>
    </row>
    <row r="3" spans="2:8" ht="21" customHeight="1" x14ac:dyDescent="0.3">
      <c r="B3" s="14"/>
      <c r="C3" s="14"/>
      <c r="D3" s="833"/>
      <c r="E3" s="14"/>
      <c r="F3" s="91"/>
    </row>
    <row r="4" spans="2:8" x14ac:dyDescent="0.3">
      <c r="B4" s="17" t="s">
        <v>951</v>
      </c>
      <c r="C4" s="73" t="s">
        <v>222</v>
      </c>
      <c r="D4" s="228">
        <f>2846039.97</f>
        <v>2846039.97</v>
      </c>
      <c r="E4" s="268">
        <f>220.75+12.75</f>
        <v>233.5</v>
      </c>
      <c r="F4" s="222">
        <f>D4/E4</f>
        <v>12188.608008565312</v>
      </c>
    </row>
    <row r="5" spans="2:8" x14ac:dyDescent="0.3">
      <c r="B5" s="17" t="s">
        <v>952</v>
      </c>
      <c r="C5" s="73" t="s">
        <v>223</v>
      </c>
      <c r="D5" s="226">
        <f>12410.46</f>
        <v>12410.46</v>
      </c>
      <c r="E5" s="268">
        <f>E4</f>
        <v>233.5</v>
      </c>
      <c r="F5" s="222">
        <f>D5/E5</f>
        <v>53.149721627408987</v>
      </c>
    </row>
    <row r="6" spans="2:8" x14ac:dyDescent="0.3">
      <c r="B6" s="17" t="s">
        <v>106</v>
      </c>
      <c r="C6" s="73" t="s">
        <v>225</v>
      </c>
      <c r="D6" s="228">
        <f>27410.4+43720.79+1014.5+15413</f>
        <v>87558.69</v>
      </c>
      <c r="E6" s="268">
        <f>E5</f>
        <v>233.5</v>
      </c>
      <c r="F6" s="222">
        <f>D6/E6</f>
        <v>374.98368308351178</v>
      </c>
      <c r="H6" t="s">
        <v>224</v>
      </c>
    </row>
    <row r="7" spans="2:8" x14ac:dyDescent="0.3">
      <c r="B7" s="17" t="s">
        <v>107</v>
      </c>
      <c r="C7" s="73" t="s">
        <v>225</v>
      </c>
      <c r="D7" s="228">
        <f>1570.27+306023.17+67813+18283.65</f>
        <v>393690.09</v>
      </c>
      <c r="E7" s="268">
        <f>E6</f>
        <v>233.5</v>
      </c>
      <c r="F7" s="222">
        <f>D7/E7</f>
        <v>1686.0389293361886</v>
      </c>
      <c r="H7" t="s">
        <v>224</v>
      </c>
    </row>
  </sheetData>
  <phoneticPr fontId="8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Z70"/>
  <sheetViews>
    <sheetView view="pageBreakPreview" topLeftCell="B43" zoomScale="90" zoomScaleNormal="100" workbookViewId="0">
      <selection activeCell="C71" sqref="C71"/>
    </sheetView>
  </sheetViews>
  <sheetFormatPr defaultRowHeight="14.4" x14ac:dyDescent="0.3"/>
  <cols>
    <col min="1" max="1" width="9.109375" style="7"/>
    <col min="2" max="2" width="105.109375" style="240" customWidth="1"/>
    <col min="3" max="3" width="31.44140625" style="74" customWidth="1"/>
    <col min="4" max="4" width="9.109375" style="7"/>
    <col min="5" max="5" width="9.109375" style="200"/>
    <col min="6" max="26" width="9.109375" style="7"/>
  </cols>
  <sheetData>
    <row r="2" spans="1:26" s="256" customFormat="1" ht="18" x14ac:dyDescent="0.35">
      <c r="A2" s="253"/>
      <c r="B2" s="254" t="s">
        <v>513</v>
      </c>
      <c r="C2" s="255" t="s">
        <v>1108</v>
      </c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</row>
    <row r="3" spans="1:26" s="247" customFormat="1" ht="18" x14ac:dyDescent="0.35">
      <c r="A3" s="244"/>
      <c r="B3" s="245" t="s">
        <v>44</v>
      </c>
      <c r="C3" s="252">
        <f>C4</f>
        <v>815.88</v>
      </c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/>
      <c r="W3" s="244"/>
      <c r="X3" s="244"/>
      <c r="Y3" s="244"/>
      <c r="Z3" s="244"/>
    </row>
    <row r="4" spans="1:26" x14ac:dyDescent="0.3">
      <c r="B4" s="234" t="s">
        <v>45</v>
      </c>
      <c r="C4" s="171">
        <f>815.88</f>
        <v>815.88</v>
      </c>
      <c r="E4" s="7"/>
    </row>
    <row r="5" spans="1:26" s="247" customFormat="1" ht="18" x14ac:dyDescent="0.35">
      <c r="A5" s="244"/>
      <c r="B5" s="242" t="s">
        <v>1090</v>
      </c>
      <c r="C5" s="251">
        <f>SUM(C6:C9)</f>
        <v>34445.759999999995</v>
      </c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  <c r="Y5" s="244"/>
      <c r="Z5" s="244"/>
    </row>
    <row r="6" spans="1:26" x14ac:dyDescent="0.3">
      <c r="B6" s="234" t="s">
        <v>1117</v>
      </c>
      <c r="C6" s="162">
        <v>844.68</v>
      </c>
      <c r="E6" s="7"/>
    </row>
    <row r="7" spans="1:26" x14ac:dyDescent="0.3">
      <c r="B7" s="234" t="s">
        <v>46</v>
      </c>
      <c r="C7" s="17">
        <v>22909.439999999999</v>
      </c>
      <c r="E7" s="7"/>
    </row>
    <row r="8" spans="1:26" x14ac:dyDescent="0.3">
      <c r="B8" s="234" t="s">
        <v>47</v>
      </c>
      <c r="C8" s="17">
        <v>9492.7199999999993</v>
      </c>
      <c r="E8" s="7"/>
    </row>
    <row r="9" spans="1:26" x14ac:dyDescent="0.3">
      <c r="B9" s="234" t="s">
        <v>48</v>
      </c>
      <c r="C9" s="17">
        <v>1198.92</v>
      </c>
      <c r="E9" s="7"/>
    </row>
    <row r="10" spans="1:26" s="247" customFormat="1" ht="18" x14ac:dyDescent="0.35">
      <c r="A10" s="244"/>
      <c r="B10" s="242" t="s">
        <v>49</v>
      </c>
      <c r="C10" s="248">
        <f>SUM(C11:C13)</f>
        <v>67231.44</v>
      </c>
      <c r="D10" s="244"/>
      <c r="E10" s="244"/>
      <c r="F10" s="244"/>
      <c r="G10" s="244"/>
      <c r="H10" s="244"/>
      <c r="I10" s="244"/>
      <c r="J10" s="244"/>
      <c r="K10" s="244"/>
      <c r="L10" s="244"/>
      <c r="M10" s="244"/>
      <c r="N10" s="244"/>
      <c r="O10" s="244"/>
      <c r="P10" s="244"/>
      <c r="Q10" s="244"/>
      <c r="R10" s="244"/>
      <c r="S10" s="244"/>
      <c r="T10" s="244"/>
      <c r="U10" s="244"/>
      <c r="V10" s="244"/>
      <c r="W10" s="244"/>
      <c r="X10" s="244"/>
      <c r="Y10" s="244"/>
      <c r="Z10" s="244"/>
    </row>
    <row r="11" spans="1:26" x14ac:dyDescent="0.3">
      <c r="B11" s="234" t="s">
        <v>1117</v>
      </c>
      <c r="C11" s="17">
        <v>815.88</v>
      </c>
      <c r="E11" s="7"/>
    </row>
    <row r="12" spans="1:26" x14ac:dyDescent="0.3">
      <c r="B12" s="234" t="s">
        <v>50</v>
      </c>
      <c r="C12" s="17">
        <v>57415.56</v>
      </c>
      <c r="E12" s="7"/>
    </row>
    <row r="13" spans="1:26" x14ac:dyDescent="0.3">
      <c r="B13" s="235" t="s">
        <v>51</v>
      </c>
      <c r="C13" s="163">
        <v>9000</v>
      </c>
      <c r="E13" s="7"/>
    </row>
    <row r="14" spans="1:26" s="247" customFormat="1" ht="18" x14ac:dyDescent="0.35">
      <c r="A14" s="244"/>
      <c r="B14" s="249" t="s">
        <v>52</v>
      </c>
      <c r="C14" s="250">
        <f>C15</f>
        <v>193</v>
      </c>
      <c r="D14" s="244"/>
      <c r="E14" s="244"/>
      <c r="F14" s="244"/>
      <c r="G14" s="244"/>
      <c r="H14" s="244"/>
      <c r="I14" s="244"/>
      <c r="J14" s="244"/>
      <c r="K14" s="244"/>
      <c r="L14" s="244"/>
      <c r="M14" s="244"/>
      <c r="N14" s="244"/>
      <c r="O14" s="244"/>
      <c r="P14" s="244"/>
      <c r="Q14" s="244"/>
      <c r="R14" s="244"/>
      <c r="S14" s="244"/>
      <c r="T14" s="244"/>
      <c r="U14" s="244"/>
      <c r="V14" s="244"/>
      <c r="W14" s="244"/>
      <c r="X14" s="244"/>
      <c r="Y14" s="244"/>
      <c r="Z14" s="244"/>
    </row>
    <row r="15" spans="1:26" x14ac:dyDescent="0.3">
      <c r="B15" s="236" t="s">
        <v>1115</v>
      </c>
      <c r="C15" s="168">
        <v>193</v>
      </c>
      <c r="E15" s="7"/>
    </row>
    <row r="16" spans="1:26" s="247" customFormat="1" ht="18" x14ac:dyDescent="0.35">
      <c r="A16" s="244"/>
      <c r="B16" s="249" t="s">
        <v>607</v>
      </c>
      <c r="C16" s="248">
        <f>SUM(C17:C18)</f>
        <v>0</v>
      </c>
      <c r="D16" s="244"/>
      <c r="E16" s="244"/>
      <c r="F16" s="244"/>
      <c r="G16" s="244"/>
      <c r="H16" s="244"/>
      <c r="I16" s="244"/>
      <c r="J16" s="244"/>
      <c r="K16" s="244"/>
      <c r="L16" s="244"/>
      <c r="M16" s="244"/>
      <c r="N16" s="244"/>
      <c r="O16" s="244"/>
      <c r="P16" s="244"/>
      <c r="Q16" s="244"/>
      <c r="R16" s="244"/>
      <c r="S16" s="244"/>
      <c r="T16" s="244"/>
      <c r="U16" s="244"/>
      <c r="V16" s="244"/>
      <c r="W16" s="244"/>
      <c r="X16" s="244"/>
      <c r="Y16" s="244"/>
      <c r="Z16" s="244"/>
    </row>
    <row r="17" spans="1:26" x14ac:dyDescent="0.3">
      <c r="B17" s="237" t="s">
        <v>1094</v>
      </c>
      <c r="C17" s="164">
        <v>0</v>
      </c>
      <c r="E17" s="7"/>
    </row>
    <row r="18" spans="1:26" x14ac:dyDescent="0.3">
      <c r="B18" s="236" t="s">
        <v>1091</v>
      </c>
      <c r="C18" s="164">
        <v>0</v>
      </c>
      <c r="E18" s="7"/>
    </row>
    <row r="19" spans="1:26" s="247" customFormat="1" ht="18" x14ac:dyDescent="0.35">
      <c r="A19" s="244"/>
      <c r="B19" s="242" t="s">
        <v>16</v>
      </c>
      <c r="C19" s="248">
        <f>SUM(C20:C21)</f>
        <v>815.88</v>
      </c>
      <c r="D19" s="244"/>
      <c r="E19" s="244"/>
      <c r="F19" s="244"/>
      <c r="G19" s="244"/>
      <c r="H19" s="244"/>
      <c r="I19" s="244"/>
      <c r="J19" s="244"/>
      <c r="K19" s="244"/>
      <c r="L19" s="244"/>
      <c r="M19" s="244"/>
      <c r="N19" s="244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  <c r="Z19" s="244"/>
    </row>
    <row r="20" spans="1:26" x14ac:dyDescent="0.3">
      <c r="B20" s="236" t="s">
        <v>53</v>
      </c>
      <c r="C20" s="164">
        <v>0</v>
      </c>
      <c r="E20" s="7"/>
    </row>
    <row r="21" spans="1:26" x14ac:dyDescent="0.3">
      <c r="B21" s="236" t="s">
        <v>1117</v>
      </c>
      <c r="C21" s="166">
        <v>815.88</v>
      </c>
      <c r="E21" s="7"/>
    </row>
    <row r="22" spans="1:26" s="247" customFormat="1" ht="18" x14ac:dyDescent="0.35">
      <c r="A22" s="244"/>
      <c r="B22" s="242" t="s">
        <v>1093</v>
      </c>
      <c r="C22" s="246">
        <f>SUM(C23:C37)</f>
        <v>0</v>
      </c>
      <c r="D22" s="244"/>
      <c r="E22" s="244"/>
      <c r="F22" s="244"/>
      <c r="G22" s="244"/>
      <c r="H22" s="244"/>
      <c r="I22" s="244"/>
      <c r="J22" s="244"/>
      <c r="K22" s="244"/>
      <c r="L22" s="244"/>
      <c r="M22" s="244"/>
      <c r="N22" s="244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44"/>
    </row>
    <row r="23" spans="1:26" x14ac:dyDescent="0.3">
      <c r="B23" s="238" t="s">
        <v>54</v>
      </c>
      <c r="C23" s="168"/>
      <c r="E23" s="7"/>
    </row>
    <row r="24" spans="1:26" x14ac:dyDescent="0.3">
      <c r="B24" s="238" t="s">
        <v>55</v>
      </c>
      <c r="C24" s="168"/>
      <c r="E24" s="7"/>
    </row>
    <row r="25" spans="1:26" x14ac:dyDescent="0.3">
      <c r="B25" s="238" t="s">
        <v>56</v>
      </c>
      <c r="C25" s="168"/>
      <c r="E25" s="7"/>
    </row>
    <row r="26" spans="1:26" x14ac:dyDescent="0.3">
      <c r="B26" s="238" t="s">
        <v>57</v>
      </c>
      <c r="C26" s="168"/>
      <c r="E26" s="7"/>
    </row>
    <row r="27" spans="1:26" x14ac:dyDescent="0.3">
      <c r="B27" s="238" t="s">
        <v>58</v>
      </c>
      <c r="C27" s="271"/>
      <c r="E27" s="7"/>
    </row>
    <row r="28" spans="1:26" x14ac:dyDescent="0.3">
      <c r="B28" s="238" t="s">
        <v>59</v>
      </c>
      <c r="C28" s="168"/>
      <c r="E28" s="7"/>
    </row>
    <row r="29" spans="1:26" x14ac:dyDescent="0.3">
      <c r="B29" s="238" t="s">
        <v>60</v>
      </c>
      <c r="C29" s="168"/>
      <c r="E29" s="7"/>
    </row>
    <row r="30" spans="1:26" x14ac:dyDescent="0.3">
      <c r="B30" s="238" t="s">
        <v>61</v>
      </c>
      <c r="C30" s="168"/>
      <c r="E30" s="7"/>
    </row>
    <row r="31" spans="1:26" x14ac:dyDescent="0.3">
      <c r="B31" s="238" t="s">
        <v>57</v>
      </c>
      <c r="C31" s="168"/>
      <c r="E31" s="7"/>
    </row>
    <row r="32" spans="1:26" x14ac:dyDescent="0.3">
      <c r="B32" s="238" t="s">
        <v>62</v>
      </c>
      <c r="C32" s="168"/>
      <c r="E32" s="7"/>
    </row>
    <row r="33" spans="1:26" x14ac:dyDescent="0.3">
      <c r="B33" s="238" t="s">
        <v>63</v>
      </c>
      <c r="C33" s="168"/>
      <c r="E33" s="7"/>
    </row>
    <row r="34" spans="1:26" x14ac:dyDescent="0.3">
      <c r="B34" s="238" t="s">
        <v>64</v>
      </c>
      <c r="C34" s="168"/>
      <c r="E34" s="7"/>
    </row>
    <row r="35" spans="1:26" x14ac:dyDescent="0.3">
      <c r="B35" s="238" t="s">
        <v>59</v>
      </c>
      <c r="C35" s="168"/>
      <c r="E35" s="7"/>
    </row>
    <row r="36" spans="1:26" x14ac:dyDescent="0.3">
      <c r="B36" s="238" t="s">
        <v>65</v>
      </c>
      <c r="C36" s="168"/>
      <c r="E36" s="7"/>
    </row>
    <row r="37" spans="1:26" x14ac:dyDescent="0.3">
      <c r="B37" s="274"/>
      <c r="C37" s="168"/>
      <c r="E37" s="7"/>
    </row>
    <row r="38" spans="1:26" s="247" customFormat="1" ht="18" x14ac:dyDescent="0.35">
      <c r="A38" s="244"/>
      <c r="B38" s="242" t="s">
        <v>66</v>
      </c>
      <c r="C38" s="248">
        <f>C39</f>
        <v>815.88</v>
      </c>
      <c r="D38" s="244"/>
      <c r="E38" s="244"/>
      <c r="F38" s="244"/>
      <c r="G38" s="244"/>
      <c r="H38" s="244"/>
      <c r="I38" s="244"/>
      <c r="J38" s="244"/>
      <c r="K38" s="244"/>
      <c r="L38" s="244"/>
      <c r="M38" s="244"/>
      <c r="N38" s="244"/>
      <c r="O38" s="244"/>
      <c r="P38" s="244"/>
      <c r="Q38" s="244"/>
      <c r="R38" s="244"/>
      <c r="S38" s="244"/>
      <c r="T38" s="244"/>
      <c r="U38" s="244"/>
      <c r="V38" s="244"/>
      <c r="W38" s="244"/>
      <c r="X38" s="244"/>
      <c r="Y38" s="244"/>
      <c r="Z38" s="244"/>
    </row>
    <row r="39" spans="1:26" x14ac:dyDescent="0.3">
      <c r="B39" s="236" t="s">
        <v>67</v>
      </c>
      <c r="C39" s="166">
        <v>815.88</v>
      </c>
      <c r="E39" s="7"/>
    </row>
    <row r="40" spans="1:26" s="247" customFormat="1" ht="18" x14ac:dyDescent="0.35">
      <c r="A40" s="244"/>
      <c r="B40" s="242" t="s">
        <v>68</v>
      </c>
      <c r="C40" s="248">
        <f>SUM(C41:C43)</f>
        <v>0</v>
      </c>
      <c r="D40" s="244"/>
      <c r="E40" s="244"/>
      <c r="F40" s="244"/>
      <c r="G40" s="244"/>
      <c r="H40" s="244"/>
      <c r="I40" s="244"/>
      <c r="J40" s="244"/>
      <c r="K40" s="244"/>
      <c r="L40" s="244"/>
      <c r="M40" s="244"/>
      <c r="N40" s="244"/>
      <c r="O40" s="244"/>
      <c r="P40" s="244"/>
      <c r="Q40" s="244"/>
      <c r="R40" s="244"/>
      <c r="S40" s="244"/>
      <c r="T40" s="244"/>
      <c r="U40" s="244"/>
      <c r="V40" s="244"/>
      <c r="W40" s="244"/>
      <c r="X40" s="244"/>
      <c r="Y40" s="244"/>
      <c r="Z40" s="244"/>
    </row>
    <row r="41" spans="1:26" x14ac:dyDescent="0.3">
      <c r="B41" s="237" t="s">
        <v>69</v>
      </c>
      <c r="C41" s="164"/>
      <c r="E41" s="7"/>
    </row>
    <row r="42" spans="1:26" x14ac:dyDescent="0.3">
      <c r="B42" s="236" t="s">
        <v>70</v>
      </c>
      <c r="C42" s="164"/>
      <c r="E42" s="7"/>
    </row>
    <row r="43" spans="1:26" x14ac:dyDescent="0.3">
      <c r="B43" s="237" t="s">
        <v>71</v>
      </c>
      <c r="C43" s="164"/>
      <c r="E43" s="7"/>
    </row>
    <row r="44" spans="1:26" s="247" customFormat="1" ht="18" x14ac:dyDescent="0.35">
      <c r="A44" s="244"/>
      <c r="B44" s="245" t="s">
        <v>31</v>
      </c>
      <c r="C44" s="248">
        <f>SUM(C45:C46)</f>
        <v>2714.48</v>
      </c>
      <c r="D44" s="244"/>
      <c r="E44" s="244"/>
      <c r="F44" s="244"/>
      <c r="G44" s="244"/>
      <c r="H44" s="244"/>
      <c r="I44" s="244"/>
      <c r="J44" s="244"/>
      <c r="K44" s="244"/>
      <c r="L44" s="244"/>
      <c r="M44" s="244"/>
      <c r="N44" s="244"/>
      <c r="O44" s="244"/>
      <c r="P44" s="244"/>
      <c r="Q44" s="244"/>
      <c r="R44" s="244"/>
      <c r="S44" s="244"/>
      <c r="T44" s="244"/>
      <c r="U44" s="244"/>
      <c r="V44" s="244"/>
      <c r="W44" s="244"/>
      <c r="X44" s="244"/>
      <c r="Y44" s="244"/>
      <c r="Z44" s="244"/>
    </row>
    <row r="45" spans="1:26" x14ac:dyDescent="0.3">
      <c r="B45" s="237" t="s">
        <v>1117</v>
      </c>
      <c r="C45" s="166">
        <v>815.88</v>
      </c>
      <c r="E45" s="7"/>
    </row>
    <row r="46" spans="1:26" x14ac:dyDescent="0.3">
      <c r="B46" s="237" t="s">
        <v>1096</v>
      </c>
      <c r="C46" s="164">
        <f>1898.6</f>
        <v>1898.6</v>
      </c>
      <c r="E46" s="7"/>
    </row>
    <row r="47" spans="1:26" s="247" customFormat="1" ht="18" x14ac:dyDescent="0.35">
      <c r="A47" s="244"/>
      <c r="B47" s="233" t="s">
        <v>923</v>
      </c>
      <c r="C47" s="246">
        <f>C48</f>
        <v>189</v>
      </c>
      <c r="D47" s="244"/>
      <c r="E47" s="244"/>
      <c r="F47" s="244"/>
      <c r="G47" s="244"/>
      <c r="H47" s="244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4"/>
      <c r="T47" s="244"/>
      <c r="U47" s="244"/>
      <c r="V47" s="244"/>
      <c r="W47" s="244"/>
      <c r="X47" s="244"/>
      <c r="Y47" s="244"/>
      <c r="Z47" s="244"/>
    </row>
    <row r="48" spans="1:26" x14ac:dyDescent="0.3">
      <c r="B48" s="238" t="s">
        <v>93</v>
      </c>
      <c r="C48" s="167">
        <v>189</v>
      </c>
      <c r="E48" s="7"/>
    </row>
    <row r="49" spans="1:26" s="247" customFormat="1" ht="18" x14ac:dyDescent="0.35">
      <c r="A49" s="244"/>
      <c r="B49" s="245" t="s">
        <v>72</v>
      </c>
      <c r="C49" s="246">
        <f>SUM(C50:C51)</f>
        <v>329.52</v>
      </c>
      <c r="D49" s="244"/>
      <c r="E49" s="244"/>
      <c r="F49" s="244"/>
      <c r="G49" s="244"/>
      <c r="H49" s="244"/>
      <c r="I49" s="244"/>
      <c r="J49" s="244"/>
      <c r="K49" s="244"/>
      <c r="L49" s="244"/>
      <c r="M49" s="244"/>
      <c r="N49" s="244"/>
      <c r="O49" s="244"/>
      <c r="P49" s="244"/>
      <c r="Q49" s="244"/>
      <c r="R49" s="244"/>
      <c r="S49" s="244"/>
      <c r="T49" s="244"/>
      <c r="U49" s="244"/>
      <c r="V49" s="244"/>
      <c r="W49" s="244"/>
      <c r="X49" s="244"/>
      <c r="Y49" s="244"/>
      <c r="Z49" s="244"/>
    </row>
    <row r="50" spans="1:26" x14ac:dyDescent="0.3">
      <c r="B50" s="162" t="s">
        <v>1104</v>
      </c>
      <c r="C50" s="169"/>
      <c r="E50" s="7"/>
    </row>
    <row r="51" spans="1:26" x14ac:dyDescent="0.3">
      <c r="B51" s="162" t="s">
        <v>73</v>
      </c>
      <c r="C51" s="170">
        <v>329.52</v>
      </c>
      <c r="E51" s="7"/>
    </row>
    <row r="52" spans="1:26" s="545" customFormat="1" ht="18" x14ac:dyDescent="0.35">
      <c r="A52" s="542"/>
      <c r="B52" s="543" t="s">
        <v>1090</v>
      </c>
      <c r="C52" s="550">
        <f>SUM(C53:C54)</f>
        <v>37090</v>
      </c>
      <c r="D52" s="542"/>
      <c r="E52" s="542"/>
      <c r="F52" s="542"/>
      <c r="G52" s="542"/>
      <c r="H52" s="542"/>
      <c r="I52" s="542"/>
      <c r="J52" s="542"/>
      <c r="K52" s="542"/>
      <c r="L52" s="542"/>
      <c r="M52" s="542"/>
      <c r="N52" s="542"/>
      <c r="O52" s="542"/>
      <c r="P52" s="542"/>
      <c r="Q52" s="542"/>
      <c r="R52" s="542"/>
      <c r="S52" s="542"/>
      <c r="T52" s="542"/>
      <c r="U52" s="542"/>
      <c r="V52" s="542"/>
      <c r="W52" s="542"/>
      <c r="X52" s="542"/>
      <c r="Y52" s="542"/>
      <c r="Z52" s="542"/>
    </row>
    <row r="53" spans="1:26" s="414" customFormat="1" ht="31.2" x14ac:dyDescent="0.3">
      <c r="A53" s="472"/>
      <c r="B53" s="239" t="s">
        <v>84</v>
      </c>
      <c r="C53" s="553">
        <v>32900</v>
      </c>
      <c r="D53" s="472"/>
      <c r="E53" s="472"/>
      <c r="F53" s="472"/>
      <c r="G53" s="472"/>
      <c r="H53" s="472"/>
      <c r="I53" s="472"/>
      <c r="J53" s="472"/>
      <c r="K53" s="472"/>
      <c r="L53" s="472"/>
      <c r="M53" s="472"/>
      <c r="N53" s="472"/>
      <c r="O53" s="472"/>
      <c r="P53" s="472"/>
      <c r="Q53" s="472"/>
      <c r="R53" s="472"/>
      <c r="S53" s="472"/>
      <c r="T53" s="472"/>
      <c r="U53" s="472"/>
      <c r="V53" s="472"/>
      <c r="W53" s="472"/>
      <c r="X53" s="472"/>
      <c r="Y53" s="472"/>
      <c r="Z53" s="472"/>
    </row>
    <row r="54" spans="1:26" s="414" customFormat="1" x14ac:dyDescent="0.3">
      <c r="A54" s="472"/>
      <c r="B54" s="234" t="s">
        <v>85</v>
      </c>
      <c r="C54" s="269">
        <v>4190</v>
      </c>
      <c r="D54" s="472"/>
      <c r="E54" s="472"/>
      <c r="F54" s="472"/>
      <c r="G54" s="472"/>
      <c r="H54" s="472"/>
      <c r="I54" s="472"/>
      <c r="J54" s="472"/>
      <c r="K54" s="472"/>
      <c r="L54" s="472"/>
      <c r="M54" s="472"/>
      <c r="N54" s="472"/>
      <c r="O54" s="472"/>
      <c r="P54" s="472"/>
      <c r="Q54" s="472"/>
      <c r="R54" s="472"/>
      <c r="S54" s="472"/>
      <c r="T54" s="472"/>
      <c r="U54" s="472"/>
      <c r="V54" s="472"/>
      <c r="W54" s="472"/>
      <c r="X54" s="472"/>
      <c r="Y54" s="472"/>
      <c r="Z54" s="472"/>
    </row>
    <row r="55" spans="1:26" s="243" customFormat="1" ht="18" x14ac:dyDescent="0.35">
      <c r="A55" s="241"/>
      <c r="B55" s="242" t="s">
        <v>1107</v>
      </c>
      <c r="C55" s="272">
        <f>SUM(C56:C61)</f>
        <v>7000</v>
      </c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241"/>
    </row>
    <row r="56" spans="1:26" s="220" customFormat="1" x14ac:dyDescent="0.3">
      <c r="A56" s="219"/>
      <c r="B56" s="275" t="s">
        <v>126</v>
      </c>
      <c r="C56" s="273">
        <v>1482</v>
      </c>
      <c r="D56" s="279" t="s">
        <v>123</v>
      </c>
      <c r="E56" s="219"/>
      <c r="F56" s="219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19"/>
      <c r="V56" s="219"/>
      <c r="W56" s="219"/>
      <c r="X56" s="219"/>
      <c r="Y56" s="219"/>
      <c r="Z56" s="219"/>
    </row>
    <row r="57" spans="1:26" s="220" customFormat="1" x14ac:dyDescent="0.3">
      <c r="A57" s="219"/>
      <c r="B57" s="275" t="s">
        <v>127</v>
      </c>
      <c r="C57" s="273">
        <v>740</v>
      </c>
      <c r="D57" s="219" t="s">
        <v>123</v>
      </c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</row>
    <row r="58" spans="1:26" s="220" customFormat="1" x14ac:dyDescent="0.3">
      <c r="A58" s="219"/>
      <c r="B58" s="275" t="s">
        <v>128</v>
      </c>
      <c r="C58" s="273">
        <v>2889</v>
      </c>
      <c r="D58" s="219" t="s">
        <v>124</v>
      </c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19"/>
      <c r="Z58" s="219"/>
    </row>
    <row r="59" spans="1:26" s="220" customFormat="1" x14ac:dyDescent="0.3">
      <c r="A59" s="219"/>
      <c r="B59" s="275" t="s">
        <v>129</v>
      </c>
      <c r="C59" s="273">
        <v>1889</v>
      </c>
      <c r="D59" s="219" t="s">
        <v>125</v>
      </c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19"/>
      <c r="Z59" s="219"/>
    </row>
    <row r="60" spans="1:26" s="220" customFormat="1" x14ac:dyDescent="0.3">
      <c r="A60" s="219"/>
      <c r="B60" s="275"/>
      <c r="C60" s="273"/>
      <c r="D60" s="219"/>
      <c r="E60" s="219"/>
      <c r="F60" s="219"/>
      <c r="G60" s="219"/>
      <c r="H60" s="219"/>
      <c r="I60" s="21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</row>
    <row r="61" spans="1:26" s="6" customFormat="1" ht="18.600000000000001" x14ac:dyDescent="0.3">
      <c r="A61" s="44"/>
      <c r="B61" s="229"/>
      <c r="C61" s="230"/>
      <c r="D61" s="231"/>
      <c r="E61" s="232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 spans="1:26" s="545" customFormat="1" ht="18" x14ac:dyDescent="0.35">
      <c r="A62" s="542"/>
      <c r="B62" s="543" t="s">
        <v>1093</v>
      </c>
      <c r="C62" s="544">
        <f>SUM(C63)</f>
        <v>290000</v>
      </c>
      <c r="D62" s="542"/>
      <c r="E62" s="542"/>
      <c r="F62" s="542"/>
      <c r="G62" s="542"/>
      <c r="H62" s="542"/>
      <c r="I62" s="542"/>
      <c r="J62" s="542"/>
      <c r="K62" s="542"/>
      <c r="L62" s="542"/>
      <c r="M62" s="542"/>
      <c r="N62" s="542"/>
      <c r="O62" s="542"/>
      <c r="P62" s="542"/>
      <c r="Q62" s="542"/>
      <c r="R62" s="542"/>
      <c r="S62" s="542"/>
      <c r="T62" s="542"/>
      <c r="U62" s="542"/>
      <c r="V62" s="542"/>
      <c r="W62" s="542"/>
      <c r="X62" s="542"/>
      <c r="Y62" s="542"/>
      <c r="Z62" s="542"/>
    </row>
    <row r="63" spans="1:26" s="536" customFormat="1" ht="18" x14ac:dyDescent="0.35">
      <c r="A63" s="533"/>
      <c r="B63" s="534" t="s">
        <v>109</v>
      </c>
      <c r="C63" s="535">
        <f>2900000*0.1</f>
        <v>290000</v>
      </c>
      <c r="D63" s="533"/>
      <c r="E63" s="533"/>
      <c r="F63" s="533"/>
      <c r="G63" s="533"/>
      <c r="H63" s="533"/>
      <c r="I63" s="533"/>
      <c r="J63" s="533"/>
      <c r="K63" s="533"/>
      <c r="L63" s="533"/>
      <c r="M63" s="533"/>
      <c r="N63" s="533"/>
      <c r="O63" s="533"/>
      <c r="P63" s="533"/>
      <c r="Q63" s="533"/>
      <c r="R63" s="533"/>
      <c r="S63" s="533"/>
      <c r="T63" s="533"/>
      <c r="U63" s="533"/>
      <c r="V63" s="533"/>
      <c r="W63" s="533"/>
      <c r="X63" s="533"/>
      <c r="Y63" s="533"/>
      <c r="Z63" s="533"/>
    </row>
    <row r="64" spans="1:26" s="548" customFormat="1" ht="18" x14ac:dyDescent="0.35">
      <c r="A64" s="546"/>
      <c r="B64" s="543" t="s">
        <v>143</v>
      </c>
      <c r="C64" s="547">
        <f>SUM(C65:C66)</f>
        <v>136236.38</v>
      </c>
      <c r="D64" s="546"/>
      <c r="E64" s="546"/>
      <c r="F64" s="546"/>
      <c r="G64" s="546"/>
      <c r="H64" s="546"/>
      <c r="I64" s="546"/>
      <c r="J64" s="546"/>
      <c r="K64" s="546"/>
      <c r="L64" s="546"/>
      <c r="M64" s="546"/>
      <c r="N64" s="546"/>
      <c r="O64" s="546"/>
      <c r="P64" s="546"/>
      <c r="Q64" s="546"/>
      <c r="R64" s="546"/>
      <c r="S64" s="546"/>
      <c r="T64" s="546"/>
      <c r="U64" s="546"/>
      <c r="V64" s="546"/>
      <c r="W64" s="546"/>
      <c r="X64" s="546"/>
      <c r="Y64" s="546"/>
      <c r="Z64" s="546"/>
    </row>
    <row r="65" spans="1:26" s="536" customFormat="1" ht="18" x14ac:dyDescent="0.35">
      <c r="A65" s="533"/>
      <c r="B65" s="532" t="s">
        <v>1117</v>
      </c>
      <c r="C65" s="537">
        <v>815.88</v>
      </c>
      <c r="D65" s="533"/>
      <c r="E65" s="533"/>
      <c r="F65" s="533"/>
      <c r="G65" s="533"/>
      <c r="H65" s="533"/>
      <c r="I65" s="533"/>
      <c r="J65" s="533"/>
      <c r="K65" s="533"/>
      <c r="L65" s="533"/>
      <c r="M65" s="533"/>
      <c r="N65" s="533"/>
      <c r="O65" s="533"/>
      <c r="P65" s="533"/>
      <c r="Q65" s="533"/>
      <c r="R65" s="533"/>
      <c r="S65" s="533"/>
      <c r="T65" s="533"/>
      <c r="U65" s="533"/>
      <c r="V65" s="533"/>
      <c r="W65" s="533"/>
      <c r="X65" s="533"/>
      <c r="Y65" s="533"/>
      <c r="Z65" s="533"/>
    </row>
    <row r="66" spans="1:26" s="536" customFormat="1" ht="18" x14ac:dyDescent="0.35">
      <c r="A66" s="533"/>
      <c r="B66" s="532" t="s">
        <v>144</v>
      </c>
      <c r="C66" s="538">
        <f>1354205*0.1</f>
        <v>135420.5</v>
      </c>
      <c r="D66" s="533"/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</row>
    <row r="67" spans="1:26" s="545" customFormat="1" ht="18" x14ac:dyDescent="0.35">
      <c r="A67" s="542"/>
      <c r="B67" s="543" t="s">
        <v>1090</v>
      </c>
      <c r="C67" s="549">
        <f>SUM(C68)</f>
        <v>0</v>
      </c>
      <c r="D67" s="542"/>
      <c r="E67" s="542"/>
      <c r="F67" s="542"/>
      <c r="G67" s="542"/>
      <c r="H67" s="542"/>
      <c r="I67" s="542"/>
      <c r="J67" s="542"/>
      <c r="K67" s="542"/>
      <c r="L67" s="542"/>
      <c r="M67" s="542"/>
      <c r="N67" s="542"/>
      <c r="O67" s="542"/>
      <c r="P67" s="542"/>
      <c r="Q67" s="542"/>
      <c r="R67" s="542"/>
      <c r="S67" s="542"/>
      <c r="T67" s="542"/>
      <c r="U67" s="542"/>
      <c r="V67" s="542"/>
      <c r="W67" s="542"/>
      <c r="X67" s="542"/>
      <c r="Y67" s="542"/>
      <c r="Z67" s="542"/>
    </row>
    <row r="68" spans="1:26" s="536" customFormat="1" ht="30" customHeight="1" x14ac:dyDescent="0.35">
      <c r="A68" s="533"/>
      <c r="B68" s="539" t="s">
        <v>159</v>
      </c>
      <c r="C68" s="540">
        <v>0</v>
      </c>
      <c r="D68" s="533"/>
      <c r="E68" s="533"/>
      <c r="F68" s="533"/>
      <c r="G68" s="533"/>
      <c r="H68" s="533"/>
      <c r="I68" s="533"/>
      <c r="J68" s="533"/>
      <c r="K68" s="533"/>
      <c r="L68" s="533"/>
      <c r="M68" s="533"/>
      <c r="N68" s="533"/>
      <c r="O68" s="533"/>
      <c r="P68" s="533"/>
      <c r="Q68" s="533"/>
      <c r="R68" s="533"/>
      <c r="S68" s="533"/>
      <c r="T68" s="533"/>
      <c r="U68" s="533"/>
      <c r="V68" s="533"/>
      <c r="W68" s="533"/>
      <c r="X68" s="533"/>
      <c r="Y68" s="533"/>
      <c r="Z68" s="533"/>
    </row>
    <row r="69" spans="1:26" s="545" customFormat="1" ht="18" x14ac:dyDescent="0.35">
      <c r="A69" s="542"/>
      <c r="B69" s="543" t="s">
        <v>1090</v>
      </c>
      <c r="C69" s="550">
        <f>SUM(C70:C75)</f>
        <v>6500</v>
      </c>
      <c r="D69" s="542"/>
      <c r="E69" s="542"/>
      <c r="F69" s="542"/>
      <c r="G69" s="542"/>
      <c r="H69" s="542"/>
      <c r="I69" s="542"/>
      <c r="J69" s="542"/>
      <c r="K69" s="542"/>
      <c r="L69" s="542"/>
      <c r="M69" s="542"/>
      <c r="N69" s="542"/>
      <c r="O69" s="542"/>
      <c r="P69" s="542"/>
      <c r="Q69" s="542"/>
      <c r="R69" s="542"/>
      <c r="S69" s="542"/>
      <c r="T69" s="542"/>
      <c r="U69" s="542"/>
      <c r="V69" s="542"/>
      <c r="W69" s="542"/>
      <c r="X69" s="542"/>
      <c r="Y69" s="542"/>
      <c r="Z69" s="542"/>
    </row>
    <row r="70" spans="1:26" s="536" customFormat="1" ht="30" customHeight="1" x14ac:dyDescent="0.35">
      <c r="A70" s="533"/>
      <c r="B70" s="541" t="s">
        <v>356</v>
      </c>
      <c r="C70" s="540">
        <f>65000*0.1</f>
        <v>6500</v>
      </c>
      <c r="D70" s="533"/>
      <c r="E70" s="533"/>
      <c r="F70" s="533"/>
      <c r="G70" s="533"/>
      <c r="H70" s="533"/>
      <c r="I70" s="533"/>
      <c r="J70" s="533"/>
      <c r="K70" s="533"/>
      <c r="L70" s="533"/>
      <c r="M70" s="533"/>
      <c r="N70" s="533"/>
      <c r="O70" s="533"/>
      <c r="P70" s="533"/>
      <c r="Q70" s="533"/>
      <c r="R70" s="533"/>
      <c r="S70" s="533"/>
      <c r="T70" s="533"/>
      <c r="U70" s="533"/>
      <c r="V70" s="533"/>
      <c r="W70" s="533"/>
      <c r="X70" s="533"/>
      <c r="Y70" s="533"/>
      <c r="Z70" s="533"/>
    </row>
  </sheetData>
  <phoneticPr fontId="8" type="noConversion"/>
  <pageMargins left="0" right="0" top="0" bottom="0" header="0" footer="0"/>
  <pageSetup paperSize="9" scale="73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33</vt:i4>
      </vt:variant>
      <vt:variant>
        <vt:lpstr>Именованные диапазоны</vt:lpstr>
      </vt:variant>
      <vt:variant>
        <vt:i4>30</vt:i4>
      </vt:variant>
    </vt:vector>
  </HeadingPairs>
  <TitlesOfParts>
    <vt:vector size="63" baseType="lpstr">
      <vt:lpstr>2</vt:lpstr>
      <vt:lpstr>3</vt:lpstr>
      <vt:lpstr>4</vt:lpstr>
      <vt:lpstr>5</vt:lpstr>
      <vt:lpstr>10</vt:lpstr>
      <vt:lpstr>ЗП</vt:lpstr>
      <vt:lpstr>МАТЕРІАЛИ</vt:lpstr>
      <vt:lpstr>НАКЛАДНІ</vt:lpstr>
      <vt:lpstr>АМОРТИЗАЦІЯ</vt:lpstr>
      <vt:lpstr>Обстеження</vt:lpstr>
      <vt:lpstr>ТАРИФИ</vt:lpstr>
      <vt:lpstr>МЕДИЧНІ М</vt:lpstr>
      <vt:lpstr>Перелік ціни</vt:lpstr>
      <vt:lpstr>!!!ТАРИФИ додаткові!!!</vt:lpstr>
      <vt:lpstr>МО довідка ф №10-2о </vt:lpstr>
      <vt:lpstr>2.Лабораторія ДОДАТКОВІ</vt:lpstr>
      <vt:lpstr>1.Медичні огляди</vt:lpstr>
      <vt:lpstr>1.Медичні огляди ДОДАТКОВІ</vt:lpstr>
      <vt:lpstr>2.Лабораторія</vt:lpstr>
      <vt:lpstr>ІФА COVID</vt:lpstr>
      <vt:lpstr>3.Масаж</vt:lpstr>
      <vt:lpstr>4.Рентген Фл</vt:lpstr>
      <vt:lpstr>4.Рентген НОВИЙ</vt:lpstr>
      <vt:lpstr>4.УЗД</vt:lpstr>
      <vt:lpstr>4.РЕХ</vt:lpstr>
      <vt:lpstr>4.Ендоскопія</vt:lpstr>
      <vt:lpstr>5.Консультація Лікаря</vt:lpstr>
      <vt:lpstr>6.Штучне п.в.</vt:lpstr>
      <vt:lpstr>7.Корекція Зір</vt:lpstr>
      <vt:lpstr>8.Видача</vt:lpstr>
      <vt:lpstr>9.Сервіс</vt:lpstr>
      <vt:lpstr>10.Фізіотерапія</vt:lpstr>
      <vt:lpstr>11.Забір аналізів</vt:lpstr>
      <vt:lpstr>'!!!ТАРИФИ додаткові!!!'!Область_печати</vt:lpstr>
      <vt:lpstr>'1.Медичні огляди'!Область_печати</vt:lpstr>
      <vt:lpstr>'1.Медичні огляди ДОДАТКОВІ'!Область_печати</vt:lpstr>
      <vt:lpstr>'10'!Область_печати</vt:lpstr>
      <vt:lpstr>'10.Фізіотерапія'!Область_печати</vt:lpstr>
      <vt:lpstr>'11.Забір аналізів'!Область_печати</vt:lpstr>
      <vt:lpstr>'2'!Область_печати</vt:lpstr>
      <vt:lpstr>'2.Лабораторія'!Область_печати</vt:lpstr>
      <vt:lpstr>'2.Лабораторія ДОДАТКОВІ'!Область_печати</vt:lpstr>
      <vt:lpstr>'3'!Область_печати</vt:lpstr>
      <vt:lpstr>'3.Масаж'!Область_печати</vt:lpstr>
      <vt:lpstr>'4'!Область_печати</vt:lpstr>
      <vt:lpstr>'4.Ендоскопія'!Область_печати</vt:lpstr>
      <vt:lpstr>'4.Рентген НОВИЙ'!Область_печати</vt:lpstr>
      <vt:lpstr>'4.Рентген Фл'!Область_печати</vt:lpstr>
      <vt:lpstr>'4.РЕХ'!Область_печати</vt:lpstr>
      <vt:lpstr>'4.УЗД'!Область_печати</vt:lpstr>
      <vt:lpstr>'5'!Область_печати</vt:lpstr>
      <vt:lpstr>'5.Консультація Лікаря'!Область_печати</vt:lpstr>
      <vt:lpstr>'8.Видача'!Область_печати</vt:lpstr>
      <vt:lpstr>'9.Сервіс'!Область_печати</vt:lpstr>
      <vt:lpstr>АМОРТИЗАЦІЯ!Область_печати</vt:lpstr>
      <vt:lpstr>ЗП!Область_печати</vt:lpstr>
      <vt:lpstr>'ІФА COVID'!Область_печати</vt:lpstr>
      <vt:lpstr>МАТЕРІАЛИ!Область_печати</vt:lpstr>
      <vt:lpstr>'МЕДИЧНІ М'!Область_печати</vt:lpstr>
      <vt:lpstr>'МО довідка ф №10-2о '!Область_печати</vt:lpstr>
      <vt:lpstr>Обстеження!Область_печати</vt:lpstr>
      <vt:lpstr>'Перелік ціни'!Область_печати</vt:lpstr>
      <vt:lpstr>ТАРИФИ!Область_печати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2020-12-21T14:22:33Z</cp:lastPrinted>
  <dcterms:created xsi:type="dcterms:W3CDTF">2015-06-05T18:19:34Z</dcterms:created>
  <dcterms:modified xsi:type="dcterms:W3CDTF">2023-09-05T13:30:41Z</dcterms:modified>
</cp:coreProperties>
</file>